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omments3.xml" ContentType="application/vnd.openxmlformats-officedocument.spreadsheetml.comments+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12"/>
  <workbookPr/>
  <mc:AlternateContent xmlns:mc="http://schemas.openxmlformats.org/markup-compatibility/2006">
    <mc:Choice Requires="x15">
      <x15ac:absPath xmlns:x15ac="http://schemas.microsoft.com/office/spreadsheetml/2010/11/ac" url="https://goliveprojet-my.sharepoint.com/personal/olivier_goliveprojet_com/Documents/Partagé avec tout le monde/SUPAERO-DECARBO/Shift/Relecture Alpha/"/>
    </mc:Choice>
  </mc:AlternateContent>
  <xr:revisionPtr revIDLastSave="0" documentId="8_{AFA36F95-BFF9-4FF8-9D80-ECA7FA1613B9}" xr6:coauthVersionLast="47" xr6:coauthVersionMax="47" xr10:uidLastSave="{00000000-0000-0000-0000-000000000000}"/>
  <bookViews>
    <workbookView xWindow="0" yWindow="600" windowWidth="25600" windowHeight="14360" firstSheet="7" activeTab="7" xr2:uid="{00000000-000D-0000-FFFF-FFFF00000000}"/>
  </bookViews>
  <sheets>
    <sheet name="Lisez-moi" sheetId="30" r:id="rId1"/>
    <sheet name="Hypothèses" sheetId="1" r:id="rId2"/>
    <sheet name="Trajectoires" sheetId="20" r:id="rId3"/>
    <sheet name="Graphes rapport" sheetId="21" r:id="rId4"/>
    <sheet name="Roadmap_Avion" sheetId="22" r:id="rId5"/>
    <sheet name="Prod_Carburant_Alt" sheetId="24" r:id="rId6"/>
    <sheet name="Synthèse scénarios" sheetId="27" r:id="rId7"/>
    <sheet name="Calculs Scénario MAVERICK" sheetId="25" r:id="rId8"/>
    <sheet name="Calculs Scénario CHARLIE" sheetId="31" r:id="rId9"/>
    <sheet name="Calculs Scénario ICEMAN" sheetId="26" r:id="rId10"/>
    <sheet name="CA_Secteur" sheetId="28" r:id="rId11"/>
    <sheet name="CA_Secteur_HorsCOVID" sheetId="29" r:id="rId12"/>
    <sheet name="Synthèse mesures CT" sheetId="2" r:id="rId13"/>
    <sheet name="Densification" sheetId="14" r:id="rId14"/>
    <sheet name="Transfert modal" sheetId="8" r:id="rId15"/>
    <sheet name="Miles" sheetId="10" r:id="rId16"/>
    <sheet name="Opérations sol" sheetId="18" r:id="rId17"/>
    <sheet name="Fuel tankering" sheetId="7" r:id="rId18"/>
    <sheet name="Turboprop" sheetId="6" r:id="rId19"/>
    <sheet name="Cost index" sheetId="19" r:id="rId20"/>
    <sheet name="Aviation d'affaire" sheetId="9" r:id="rId21"/>
    <sheet name="Paramètres" sheetId="23" state="hidden" r:id="rId22"/>
  </sheets>
  <definedNames>
    <definedName name="_xlnm._FilterDatabase" localSheetId="14" hidden="1">'Transfert modal'!$A$1:$L$55</definedName>
    <definedName name="BIOCARB">Paramètres!$H$3:$H$10</definedName>
    <definedName name="BIOCARB_PARAM">Paramètres!$I$3:$I$5</definedName>
    <definedName name="CA">Paramètres!$D$3:$D$4</definedName>
    <definedName name="CAR_Avion">Paramètres!$K$3:$K$5</definedName>
    <definedName name="CARB">Paramètres!$H$3:$H$10</definedName>
    <definedName name="MIX">Paramètres!$F$3:$F$6</definedName>
    <definedName name="MIX_PARAM">Paramètres!$G$3:$G$6</definedName>
    <definedName name="Perimetre">Paramètres!$L$3:$L$4</definedName>
    <definedName name="RENOUV">Paramètres!$E$3:$E$4</definedName>
    <definedName name="RM_Avion">Paramètres!$C$3:$C$4</definedName>
    <definedName name="SC_CA">Paramètres!$D$3:$D$4</definedName>
    <definedName name="SC_GLOB">Paramètres!$B$3:$B$5</definedName>
    <definedName name="solver_eng" localSheetId="16" hidden="1">1</definedName>
    <definedName name="solver_neg" localSheetId="16" hidden="1">1</definedName>
    <definedName name="solver_num" localSheetId="16" hidden="1">0</definedName>
    <definedName name="solver_opt" localSheetId="16" hidden="1">'Opérations sol'!#REF!</definedName>
    <definedName name="solver_typ" localSheetId="16" hidden="1">1</definedName>
    <definedName name="solver_val" localSheetId="16" hidden="1">0</definedName>
    <definedName name="solver_ver" localSheetId="16" hidden="1">3</definedName>
    <definedName name="TYPE_Avion">Paramètres!$J$3:$J$6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4" roundtripDataSignature="AMtx7mjDzkGVyGz1G/Fx//6xCidb/8ZwnQ=="/>
    </ext>
  </extLst>
</workbook>
</file>

<file path=xl/calcChain.xml><?xml version="1.0" encoding="utf-8"?>
<calcChain xmlns="http://schemas.openxmlformats.org/spreadsheetml/2006/main">
  <c r="J17" i="25" l="1"/>
  <c r="C62" i="1"/>
  <c r="B2" i="9"/>
  <c r="R10" i="20"/>
  <c r="E80" i="1"/>
  <c r="E81" i="1"/>
  <c r="E59" i="1"/>
  <c r="Z13" i="20"/>
  <c r="I59" i="1"/>
  <c r="B73" i="1"/>
  <c r="C73" i="1"/>
  <c r="C56" i="1"/>
  <c r="B2" i="7" s="1"/>
  <c r="C55" i="1"/>
  <c r="E56" i="1"/>
  <c r="B44" i="1"/>
  <c r="F55" i="1" s="1"/>
  <c r="E120" i="1"/>
  <c r="J56" i="1" l="1"/>
  <c r="I56" i="1"/>
  <c r="C59" i="1"/>
  <c r="E55" i="1"/>
  <c r="J55" i="1"/>
  <c r="B10" i="19"/>
  <c r="C10" i="19"/>
  <c r="C106" i="1"/>
  <c r="B129" i="1"/>
  <c r="J59" i="1" l="1"/>
  <c r="I55" i="1"/>
  <c r="F54" i="1"/>
  <c r="B130" i="1"/>
  <c r="F119" i="1"/>
  <c r="F123" i="1" s="1"/>
  <c r="E119" i="1"/>
  <c r="E123" i="1" s="1"/>
  <c r="C119" i="1"/>
  <c r="C123" i="1" s="1"/>
  <c r="F118" i="1"/>
  <c r="F122" i="1" s="1"/>
  <c r="E118" i="1"/>
  <c r="E122" i="1" s="1"/>
  <c r="D118" i="1"/>
  <c r="D122" i="1" s="1"/>
  <c r="C118" i="1"/>
  <c r="C122" i="1" s="1"/>
  <c r="F117" i="1"/>
  <c r="F121" i="1" s="1"/>
  <c r="E117" i="1"/>
  <c r="E121" i="1" s="1"/>
  <c r="D117" i="1"/>
  <c r="D121" i="1" s="1"/>
  <c r="C117" i="1"/>
  <c r="C121" i="1" s="1"/>
  <c r="C116" i="1"/>
  <c r="D123" i="1"/>
  <c r="H2" i="31"/>
  <c r="C114" i="1"/>
  <c r="F53" i="1" l="1"/>
  <c r="E54" i="1"/>
  <c r="B131" i="1"/>
  <c r="H2" i="25"/>
  <c r="L9" i="27"/>
  <c r="L52" i="27"/>
  <c r="L95" i="27"/>
  <c r="H2" i="26"/>
  <c r="Q61" i="24"/>
  <c r="Q37" i="24" s="1"/>
  <c r="Q36" i="24" s="1"/>
  <c r="Q35" i="24" s="1"/>
  <c r="Q34" i="24" s="1"/>
  <c r="Q33" i="24" s="1"/>
  <c r="Q32" i="24" s="1"/>
  <c r="Q31" i="24" s="1"/>
  <c r="Q30" i="24" s="1"/>
  <c r="Q29" i="24" s="1"/>
  <c r="Q28" i="24" s="1"/>
  <c r="Q27" i="24" s="1"/>
  <c r="Q26" i="24" s="1"/>
  <c r="Q25" i="24" s="1"/>
  <c r="Q24" i="24" s="1"/>
  <c r="Q23" i="24" s="1"/>
  <c r="Q22" i="24" s="1"/>
  <c r="Q21" i="24" s="1"/>
  <c r="Q20" i="24" s="1"/>
  <c r="Q19" i="24" s="1"/>
  <c r="Q18" i="24" s="1"/>
  <c r="Q17" i="24" s="1"/>
  <c r="R46" i="24"/>
  <c r="F52" i="1" l="1"/>
  <c r="E53" i="1"/>
  <c r="AH37" i="24"/>
  <c r="AH17" i="24"/>
  <c r="AH18" i="24" s="1"/>
  <c r="AH19" i="24" s="1"/>
  <c r="AH20" i="24" s="1"/>
  <c r="AH21" i="24" s="1"/>
  <c r="AH22" i="24" s="1"/>
  <c r="AH23" i="24" s="1"/>
  <c r="AH24" i="24" s="1"/>
  <c r="AH25" i="24" s="1"/>
  <c r="AH26" i="24" s="1"/>
  <c r="AH27" i="24" s="1"/>
  <c r="AH28" i="24" s="1"/>
  <c r="AH29" i="24" s="1"/>
  <c r="AH30" i="24" s="1"/>
  <c r="AH31" i="24" s="1"/>
  <c r="AH32" i="24" s="1"/>
  <c r="AH33" i="24" s="1"/>
  <c r="AH34" i="24" s="1"/>
  <c r="AH35" i="24" s="1"/>
  <c r="B132" i="1"/>
  <c r="F113" i="1"/>
  <c r="C113" i="1" s="1"/>
  <c r="F112" i="1"/>
  <c r="F111" i="1"/>
  <c r="F51" i="1" l="1"/>
  <c r="E52" i="1"/>
  <c r="C111" i="1"/>
  <c r="C120" i="1" s="1"/>
  <c r="F120" i="1"/>
  <c r="B133" i="1"/>
  <c r="O22" i="24"/>
  <c r="O23" i="24"/>
  <c r="O24" i="24"/>
  <c r="O25" i="24"/>
  <c r="O26" i="24"/>
  <c r="O27" i="24"/>
  <c r="O28" i="24"/>
  <c r="O29" i="24"/>
  <c r="O30" i="24"/>
  <c r="O31" i="24"/>
  <c r="O32" i="24"/>
  <c r="O33" i="24"/>
  <c r="O34" i="24"/>
  <c r="O35" i="24"/>
  <c r="O36" i="24"/>
  <c r="F22" i="24"/>
  <c r="F23" i="24"/>
  <c r="F24" i="24"/>
  <c r="F25" i="24"/>
  <c r="F26" i="24"/>
  <c r="F27" i="24"/>
  <c r="F28" i="24"/>
  <c r="F29" i="24"/>
  <c r="F30" i="24"/>
  <c r="F31" i="24"/>
  <c r="F32" i="24"/>
  <c r="F33" i="24"/>
  <c r="F34" i="24"/>
  <c r="F35" i="24"/>
  <c r="F36" i="24"/>
  <c r="E51" i="1" l="1"/>
  <c r="J2" i="26"/>
  <c r="J2" i="31"/>
  <c r="J2" i="25"/>
  <c r="M9" i="27"/>
  <c r="M52" i="27"/>
  <c r="M95" i="27"/>
  <c r="J95" i="27"/>
  <c r="J9" i="27"/>
  <c r="J52" i="27"/>
  <c r="B134" i="1"/>
  <c r="B18" i="1"/>
  <c r="I45" i="24"/>
  <c r="H45" i="24"/>
  <c r="H47" i="24"/>
  <c r="B135" i="1" l="1"/>
  <c r="I63" i="8"/>
  <c r="E150" i="14"/>
  <c r="E151" i="14" s="1"/>
  <c r="J43" i="24"/>
  <c r="B136" i="1" l="1"/>
  <c r="O12" i="27"/>
  <c r="C12" i="27"/>
  <c r="O55" i="27"/>
  <c r="C55" i="27"/>
  <c r="O98" i="27"/>
  <c r="P99" i="27" s="1"/>
  <c r="C98" i="27"/>
  <c r="G99" i="27" s="1"/>
  <c r="Q101" i="27"/>
  <c r="P101" i="27"/>
  <c r="O101" i="27"/>
  <c r="N101" i="27"/>
  <c r="M101" i="27"/>
  <c r="L101" i="27"/>
  <c r="K101" i="27"/>
  <c r="J101" i="27"/>
  <c r="I101" i="27"/>
  <c r="H101" i="27"/>
  <c r="G101" i="27"/>
  <c r="F101" i="27"/>
  <c r="E101" i="27"/>
  <c r="D101" i="27"/>
  <c r="C101" i="27"/>
  <c r="I95" i="27"/>
  <c r="F2" i="26"/>
  <c r="E2" i="26"/>
  <c r="D2" i="26"/>
  <c r="C2" i="26"/>
  <c r="B2" i="26"/>
  <c r="F2" i="31"/>
  <c r="E2" i="31"/>
  <c r="D2" i="31"/>
  <c r="C2" i="31"/>
  <c r="B2" i="31"/>
  <c r="F2" i="25"/>
  <c r="E2" i="25"/>
  <c r="D2" i="25"/>
  <c r="C2" i="25"/>
  <c r="B2" i="25"/>
  <c r="I52" i="27"/>
  <c r="I9" i="27"/>
  <c r="B137" i="1" l="1"/>
  <c r="L99" i="27"/>
  <c r="Q99" i="27"/>
  <c r="K99" i="27"/>
  <c r="O99" i="27"/>
  <c r="C99" i="27"/>
  <c r="E99" i="27"/>
  <c r="I99" i="27"/>
  <c r="M99" i="27"/>
  <c r="F99" i="27"/>
  <c r="J99" i="27"/>
  <c r="N99" i="27"/>
  <c r="D99" i="27"/>
  <c r="H99" i="27"/>
  <c r="AY46" i="31" a="1"/>
  <c r="AY46" i="31" s="1"/>
  <c r="AW46" i="31" a="1"/>
  <c r="AW46" i="31" s="1"/>
  <c r="AF46" i="31" a="1"/>
  <c r="AF46" i="31" s="1"/>
  <c r="O46" i="31" a="1"/>
  <c r="O46" i="31" s="1"/>
  <c r="M46" i="31" a="1"/>
  <c r="M46" i="31" s="1"/>
  <c r="AP45" i="31" a="1"/>
  <c r="AP45" i="31" s="1"/>
  <c r="AN45" i="31" a="1"/>
  <c r="AN45" i="31" s="1"/>
  <c r="W45" i="31" a="1"/>
  <c r="W45" i="31" s="1"/>
  <c r="AX44" i="31" a="1"/>
  <c r="AX44" i="31" s="1"/>
  <c r="AG44" i="31" a="1"/>
  <c r="AG44" i="31" s="1"/>
  <c r="AE44" i="31" a="1"/>
  <c r="AE44" i="31" s="1"/>
  <c r="N44" i="31" a="1"/>
  <c r="N44" i="31" s="1"/>
  <c r="AP46" i="31" a="1"/>
  <c r="AP46" i="31" s="1"/>
  <c r="AN46" i="31" a="1"/>
  <c r="AN46" i="31" s="1"/>
  <c r="W46" i="31" a="1"/>
  <c r="W46" i="31" s="1"/>
  <c r="AX45" i="31" a="1"/>
  <c r="AX45" i="31" s="1"/>
  <c r="AG45" i="31" a="1"/>
  <c r="AG45" i="31" s="1"/>
  <c r="AE45" i="31" a="1"/>
  <c r="AE45" i="31" s="1"/>
  <c r="N45" i="31" a="1"/>
  <c r="N45" i="31" s="1"/>
  <c r="AO44" i="31" a="1"/>
  <c r="AO44" i="31" s="1"/>
  <c r="X44" i="31" a="1"/>
  <c r="X44" i="31" s="1"/>
  <c r="V44" i="31" a="1"/>
  <c r="V44" i="31" s="1"/>
  <c r="AX46" i="31" a="1"/>
  <c r="AX46" i="31" s="1"/>
  <c r="AG46" i="31" a="1"/>
  <c r="AG46" i="31" s="1"/>
  <c r="AE46" i="31" a="1"/>
  <c r="AE46" i="31" s="1"/>
  <c r="N46" i="31" a="1"/>
  <c r="N46" i="31" s="1"/>
  <c r="AO45" i="31" a="1"/>
  <c r="AO45" i="31" s="1"/>
  <c r="X45" i="31" a="1"/>
  <c r="X45" i="31" s="1"/>
  <c r="V45" i="31" a="1"/>
  <c r="V45" i="31" s="1"/>
  <c r="AY44" i="31" a="1"/>
  <c r="AY44" i="31" s="1"/>
  <c r="AW44" i="31" a="1"/>
  <c r="AW44" i="31" s="1"/>
  <c r="AF44" i="31" a="1"/>
  <c r="AF44" i="31" s="1"/>
  <c r="O44" i="31" a="1"/>
  <c r="O44" i="31" s="1"/>
  <c r="AW45" i="31" a="1"/>
  <c r="AW45" i="31" s="1"/>
  <c r="AF45" i="31" a="1"/>
  <c r="AF45" i="31" s="1"/>
  <c r="M45" i="31" a="1"/>
  <c r="M45" i="31" s="1"/>
  <c r="AY43" i="31" a="1"/>
  <c r="AY43" i="31" s="1"/>
  <c r="AW43" i="31" a="1"/>
  <c r="AW43" i="31" s="1"/>
  <c r="AF43" i="31" a="1"/>
  <c r="AF43" i="31" s="1"/>
  <c r="O43" i="31" a="1"/>
  <c r="O43" i="31" s="1"/>
  <c r="M43" i="31" a="1"/>
  <c r="M43" i="31" s="1"/>
  <c r="AP42" i="31" a="1"/>
  <c r="AP42" i="31" s="1"/>
  <c r="AN42" i="31" a="1"/>
  <c r="AN42" i="31" s="1"/>
  <c r="W42" i="31" a="1"/>
  <c r="W42" i="31" s="1"/>
  <c r="AP44" i="31" a="1"/>
  <c r="AP44" i="31" s="1"/>
  <c r="AP43" i="31" a="1"/>
  <c r="AP43" i="31" s="1"/>
  <c r="AN43" i="31" a="1"/>
  <c r="AN43" i="31" s="1"/>
  <c r="W43" i="31" a="1"/>
  <c r="W43" i="31" s="1"/>
  <c r="AX42" i="31" a="1"/>
  <c r="AX42" i="31" s="1"/>
  <c r="AG42" i="31" a="1"/>
  <c r="AG42" i="31" s="1"/>
  <c r="AE42" i="31" a="1"/>
  <c r="AE42" i="31" s="1"/>
  <c r="N42" i="31" a="1"/>
  <c r="N42" i="31" s="1"/>
  <c r="AO41" i="31" a="1"/>
  <c r="AO41" i="31" s="1"/>
  <c r="X41" i="31" a="1"/>
  <c r="X41" i="31" s="1"/>
  <c r="X46" i="31" a="1"/>
  <c r="X46" i="31" s="1"/>
  <c r="AN44" i="31" a="1"/>
  <c r="AN44" i="31" s="1"/>
  <c r="W44" i="31" a="1"/>
  <c r="W44" i="31" s="1"/>
  <c r="M44" i="31" a="1"/>
  <c r="M44" i="31" s="1"/>
  <c r="AX43" i="31" a="1"/>
  <c r="AX43" i="31" s="1"/>
  <c r="AG43" i="31" a="1"/>
  <c r="AG43" i="31" s="1"/>
  <c r="AE43" i="31" a="1"/>
  <c r="AE43" i="31" s="1"/>
  <c r="N43" i="31" a="1"/>
  <c r="N43" i="31" s="1"/>
  <c r="AO42" i="31" a="1"/>
  <c r="AO42" i="31" s="1"/>
  <c r="X42" i="31" a="1"/>
  <c r="X42" i="31" s="1"/>
  <c r="V42" i="31" a="1"/>
  <c r="V42" i="31" s="1"/>
  <c r="AO46" i="31" a="1"/>
  <c r="AO46" i="31" s="1"/>
  <c r="V46" i="31" a="1"/>
  <c r="V46" i="31" s="1"/>
  <c r="X43" i="31" a="1"/>
  <c r="X43" i="31" s="1"/>
  <c r="M42" i="31" a="1"/>
  <c r="M42" i="31" s="1"/>
  <c r="AY41" i="31" a="1"/>
  <c r="AY41" i="31" s="1"/>
  <c r="AE41" i="31" a="1"/>
  <c r="AE41" i="31" s="1"/>
  <c r="W41" i="31" a="1"/>
  <c r="W41" i="31" s="1"/>
  <c r="AX40" i="31" a="1"/>
  <c r="AX40" i="31" s="1"/>
  <c r="AG40" i="31" a="1"/>
  <c r="AG40" i="31" s="1"/>
  <c r="AE40" i="31" a="1"/>
  <c r="AE40" i="31" s="1"/>
  <c r="N40" i="31" a="1"/>
  <c r="N40" i="31" s="1"/>
  <c r="AO39" i="31" a="1"/>
  <c r="AO39" i="31" s="1"/>
  <c r="AO43" i="31" a="1"/>
  <c r="AO43" i="31" s="1"/>
  <c r="V43" i="31" a="1"/>
  <c r="V43" i="31" s="1"/>
  <c r="AY42" i="31" a="1"/>
  <c r="AY42" i="31" s="1"/>
  <c r="AN41" i="31" a="1"/>
  <c r="AN41" i="31" s="1"/>
  <c r="AG41" i="31" a="1"/>
  <c r="AG41" i="31" s="1"/>
  <c r="N41" i="31" a="1"/>
  <c r="N41" i="31" s="1"/>
  <c r="AO40" i="31" a="1"/>
  <c r="AO40" i="31" s="1"/>
  <c r="X40" i="31" a="1"/>
  <c r="X40" i="31" s="1"/>
  <c r="V40" i="31" a="1"/>
  <c r="V40" i="31" s="1"/>
  <c r="AY39" i="31" a="1"/>
  <c r="AY39" i="31" s="1"/>
  <c r="AW39" i="31" a="1"/>
  <c r="AW39" i="31" s="1"/>
  <c r="AF39" i="31" a="1"/>
  <c r="AF39" i="31" s="1"/>
  <c r="AW42" i="31" a="1"/>
  <c r="AW42" i="31" s="1"/>
  <c r="AF42" i="31" a="1"/>
  <c r="AF42" i="31" s="1"/>
  <c r="O42" i="31" a="1"/>
  <c r="O42" i="31" s="1"/>
  <c r="AX41" i="31" a="1"/>
  <c r="AX41" i="31" s="1"/>
  <c r="AP41" i="31" a="1"/>
  <c r="AP41" i="31" s="1"/>
  <c r="AF41" i="31" a="1"/>
  <c r="AF41" i="31" s="1"/>
  <c r="V41" i="31" a="1"/>
  <c r="V41" i="31" s="1"/>
  <c r="AY40" i="31" a="1"/>
  <c r="AY40" i="31" s="1"/>
  <c r="AW40" i="31" a="1"/>
  <c r="AW40" i="31" s="1"/>
  <c r="AF40" i="31" a="1"/>
  <c r="AF40" i="31" s="1"/>
  <c r="O40" i="31" a="1"/>
  <c r="O40" i="31" s="1"/>
  <c r="M40" i="31" a="1"/>
  <c r="M40" i="31" s="1"/>
  <c r="AP39" i="31" a="1"/>
  <c r="AP39" i="31" s="1"/>
  <c r="O45" i="31" a="1"/>
  <c r="O45" i="31" s="1"/>
  <c r="AW41" i="31" a="1"/>
  <c r="AW41" i="31" s="1"/>
  <c r="AN40" i="31" a="1"/>
  <c r="AN40" i="31" s="1"/>
  <c r="W40" i="31" a="1"/>
  <c r="W40" i="31" s="1"/>
  <c r="AX39" i="31" a="1"/>
  <c r="AX39" i="31" s="1"/>
  <c r="AN39" i="31" a="1"/>
  <c r="AN39" i="31" s="1"/>
  <c r="AE39" i="31" a="1"/>
  <c r="AE39" i="31" s="1"/>
  <c r="X39" i="31" a="1"/>
  <c r="X39" i="31" s="1"/>
  <c r="V39" i="31" a="1"/>
  <c r="V39" i="31" s="1"/>
  <c r="AY38" i="31" a="1"/>
  <c r="AY38" i="31" s="1"/>
  <c r="AW38" i="31" a="1"/>
  <c r="AW38" i="31" s="1"/>
  <c r="AF38" i="31" a="1"/>
  <c r="AF38" i="31" s="1"/>
  <c r="O38" i="31" a="1"/>
  <c r="O38" i="31" s="1"/>
  <c r="M38" i="31" a="1"/>
  <c r="M38" i="31" s="1"/>
  <c r="AP37" i="31" a="1"/>
  <c r="AP37" i="31" s="1"/>
  <c r="AN37" i="31" a="1"/>
  <c r="AN37" i="31" s="1"/>
  <c r="W37" i="31" a="1"/>
  <c r="W37" i="31" s="1"/>
  <c r="AX36" i="31" a="1"/>
  <c r="AX36" i="31" s="1"/>
  <c r="AG36" i="31" a="1"/>
  <c r="AG36" i="31" s="1"/>
  <c r="AE36" i="31" a="1"/>
  <c r="AE36" i="31" s="1"/>
  <c r="N36" i="31" a="1"/>
  <c r="N36" i="31" s="1"/>
  <c r="AO35" i="31" a="1"/>
  <c r="AO35" i="31" s="1"/>
  <c r="X35" i="31" a="1"/>
  <c r="X35" i="31" s="1"/>
  <c r="V35" i="31" a="1"/>
  <c r="V35" i="31" s="1"/>
  <c r="AY34" i="31" a="1"/>
  <c r="AY34" i="31" s="1"/>
  <c r="O41" i="31" a="1"/>
  <c r="O41" i="31" s="1"/>
  <c r="O39" i="31" a="1"/>
  <c r="O39" i="31" s="1"/>
  <c r="M39" i="31" a="1"/>
  <c r="M39" i="31" s="1"/>
  <c r="AP38" i="31" a="1"/>
  <c r="AP38" i="31" s="1"/>
  <c r="AN38" i="31" a="1"/>
  <c r="AN38" i="31" s="1"/>
  <c r="W38" i="31" a="1"/>
  <c r="W38" i="31" s="1"/>
  <c r="AX37" i="31" a="1"/>
  <c r="AX37" i="31" s="1"/>
  <c r="AG37" i="31" a="1"/>
  <c r="AG37" i="31" s="1"/>
  <c r="AE37" i="31" a="1"/>
  <c r="AE37" i="31" s="1"/>
  <c r="N37" i="31" a="1"/>
  <c r="N37" i="31" s="1"/>
  <c r="AO36" i="31" a="1"/>
  <c r="AO36" i="31" s="1"/>
  <c r="X36" i="31" a="1"/>
  <c r="X36" i="31" s="1"/>
  <c r="V36" i="31" a="1"/>
  <c r="V36" i="31" s="1"/>
  <c r="AY35" i="31" a="1"/>
  <c r="AY35" i="31" s="1"/>
  <c r="AW35" i="31" a="1"/>
  <c r="AW35" i="31" s="1"/>
  <c r="AF35" i="31" a="1"/>
  <c r="AF35" i="31" s="1"/>
  <c r="O35" i="31" a="1"/>
  <c r="O35" i="31" s="1"/>
  <c r="M35" i="31" a="1"/>
  <c r="M35" i="31" s="1"/>
  <c r="AP34" i="31" a="1"/>
  <c r="AP34" i="31" s="1"/>
  <c r="AN34" i="31" a="1"/>
  <c r="AN34" i="31" s="1"/>
  <c r="W34" i="31" a="1"/>
  <c r="W34" i="31" s="1"/>
  <c r="AY45" i="31" a="1"/>
  <c r="AY45" i="31" s="1"/>
  <c r="M41" i="31" a="1"/>
  <c r="M41" i="31" s="1"/>
  <c r="AG39" i="31" a="1"/>
  <c r="AG39" i="31" s="1"/>
  <c r="W39" i="31" a="1"/>
  <c r="W39" i="31" s="1"/>
  <c r="AX38" i="31" a="1"/>
  <c r="AX38" i="31" s="1"/>
  <c r="AG38" i="31" a="1"/>
  <c r="AG38" i="31" s="1"/>
  <c r="AE38" i="31" a="1"/>
  <c r="AE38" i="31" s="1"/>
  <c r="N38" i="31" a="1"/>
  <c r="N38" i="31" s="1"/>
  <c r="AO37" i="31" a="1"/>
  <c r="AO37" i="31" s="1"/>
  <c r="X37" i="31" a="1"/>
  <c r="X37" i="31" s="1"/>
  <c r="V37" i="31" a="1"/>
  <c r="V37" i="31" s="1"/>
  <c r="AY36" i="31" a="1"/>
  <c r="AY36" i="31" s="1"/>
  <c r="AW36" i="31" a="1"/>
  <c r="AW36" i="31" s="1"/>
  <c r="AF36" i="31" a="1"/>
  <c r="AF36" i="31" s="1"/>
  <c r="O36" i="31" a="1"/>
  <c r="O36" i="31" s="1"/>
  <c r="M36" i="31" a="1"/>
  <c r="M36" i="31" s="1"/>
  <c r="AP35" i="31" a="1"/>
  <c r="AP35" i="31" s="1"/>
  <c r="AN35" i="31" a="1"/>
  <c r="AN35" i="31" s="1"/>
  <c r="W35" i="31" a="1"/>
  <c r="W35" i="31" s="1"/>
  <c r="AX34" i="31" a="1"/>
  <c r="AX34" i="31" s="1"/>
  <c r="N39" i="31" a="1"/>
  <c r="N39" i="31" s="1"/>
  <c r="AW37" i="31" a="1"/>
  <c r="AW37" i="31" s="1"/>
  <c r="AF37" i="31" a="1"/>
  <c r="AF37" i="31" s="1"/>
  <c r="M37" i="31" a="1"/>
  <c r="M37" i="31" s="1"/>
  <c r="AF34" i="31" a="1"/>
  <c r="AF34" i="31" s="1"/>
  <c r="X34" i="31" a="1"/>
  <c r="X34" i="31" s="1"/>
  <c r="N34" i="31" a="1"/>
  <c r="N34" i="31" s="1"/>
  <c r="AO33" i="31" a="1"/>
  <c r="AO33" i="31" s="1"/>
  <c r="X33" i="31" a="1"/>
  <c r="X33" i="31" s="1"/>
  <c r="V33" i="31" a="1"/>
  <c r="V33" i="31" s="1"/>
  <c r="AY32" i="31" a="1"/>
  <c r="AY32" i="31" s="1"/>
  <c r="AW32" i="31" a="1"/>
  <c r="AW32" i="31" s="1"/>
  <c r="AF32" i="31" a="1"/>
  <c r="AF32" i="31" s="1"/>
  <c r="O32" i="31" a="1"/>
  <c r="O32" i="31" s="1"/>
  <c r="M32" i="31" a="1"/>
  <c r="M32" i="31" s="1"/>
  <c r="AP31" i="31" a="1"/>
  <c r="AP31" i="31" s="1"/>
  <c r="AN31" i="31" a="1"/>
  <c r="AN31" i="31" s="1"/>
  <c r="W31" i="31" a="1"/>
  <c r="W31" i="31" s="1"/>
  <c r="AX30" i="31" a="1"/>
  <c r="AX30" i="31" s="1"/>
  <c r="AG30" i="31" a="1"/>
  <c r="AG30" i="31" s="1"/>
  <c r="AE30" i="31" a="1"/>
  <c r="AE30" i="31" s="1"/>
  <c r="N30" i="31" a="1"/>
  <c r="N30" i="31" s="1"/>
  <c r="AO29" i="31" a="1"/>
  <c r="AO29" i="31" s="1"/>
  <c r="AP36" i="31" a="1"/>
  <c r="AP36" i="31" s="1"/>
  <c r="AG35" i="31" a="1"/>
  <c r="AG35" i="31" s="1"/>
  <c r="AE34" i="31" a="1"/>
  <c r="AE34" i="31" s="1"/>
  <c r="AY33" i="31" a="1"/>
  <c r="AY33" i="31" s="1"/>
  <c r="AW33" i="31" a="1"/>
  <c r="AW33" i="31" s="1"/>
  <c r="AF33" i="31" a="1"/>
  <c r="AF33" i="31" s="1"/>
  <c r="O33" i="31" a="1"/>
  <c r="O33" i="31" s="1"/>
  <c r="M33" i="31" a="1"/>
  <c r="M33" i="31" s="1"/>
  <c r="AP32" i="31" a="1"/>
  <c r="AP32" i="31" s="1"/>
  <c r="AN32" i="31" a="1"/>
  <c r="AN32" i="31" s="1"/>
  <c r="W32" i="31" a="1"/>
  <c r="W32" i="31" s="1"/>
  <c r="AX31" i="31" a="1"/>
  <c r="AX31" i="31" s="1"/>
  <c r="AG31" i="31" a="1"/>
  <c r="AG31" i="31" s="1"/>
  <c r="AE31" i="31" a="1"/>
  <c r="AE31" i="31" s="1"/>
  <c r="N31" i="31" a="1"/>
  <c r="N31" i="31" s="1"/>
  <c r="AO30" i="31" a="1"/>
  <c r="AO30" i="31" s="1"/>
  <c r="X30" i="31" a="1"/>
  <c r="X30" i="31" s="1"/>
  <c r="V30" i="31" a="1"/>
  <c r="V30" i="31" s="1"/>
  <c r="AY29" i="31" a="1"/>
  <c r="AY29" i="31" s="1"/>
  <c r="AW29" i="31" a="1"/>
  <c r="AW29" i="31" s="1"/>
  <c r="AF29" i="31" a="1"/>
  <c r="AF29" i="31" s="1"/>
  <c r="X38" i="31" a="1"/>
  <c r="X38" i="31" s="1"/>
  <c r="AN36" i="31" a="1"/>
  <c r="AN36" i="31" s="1"/>
  <c r="W36" i="31" a="1"/>
  <c r="W36" i="31" s="1"/>
  <c r="AX35" i="31" a="1"/>
  <c r="AX35" i="31" s="1"/>
  <c r="AE35" i="31" a="1"/>
  <c r="AE35" i="31" s="1"/>
  <c r="N35" i="31" a="1"/>
  <c r="N35" i="31" s="1"/>
  <c r="AW34" i="31" a="1"/>
  <c r="AW34" i="31" s="1"/>
  <c r="AO34" i="31" a="1"/>
  <c r="AO34" i="31" s="1"/>
  <c r="AG34" i="31" a="1"/>
  <c r="AG34" i="31" s="1"/>
  <c r="M34" i="31" a="1"/>
  <c r="M34" i="31" s="1"/>
  <c r="AP33" i="31" a="1"/>
  <c r="AP33" i="31" s="1"/>
  <c r="AN33" i="31" a="1"/>
  <c r="AN33" i="31" s="1"/>
  <c r="W33" i="31" a="1"/>
  <c r="W33" i="31" s="1"/>
  <c r="AX32" i="31" a="1"/>
  <c r="AX32" i="31" s="1"/>
  <c r="AG32" i="31" a="1"/>
  <c r="AG32" i="31" s="1"/>
  <c r="AE32" i="31" a="1"/>
  <c r="AE32" i="31" s="1"/>
  <c r="N32" i="31" a="1"/>
  <c r="N32" i="31" s="1"/>
  <c r="AO31" i="31" a="1"/>
  <c r="AO31" i="31" s="1"/>
  <c r="X31" i="31" a="1"/>
  <c r="X31" i="31" s="1"/>
  <c r="V31" i="31" a="1"/>
  <c r="V31" i="31" s="1"/>
  <c r="AY30" i="31" a="1"/>
  <c r="AY30" i="31" s="1"/>
  <c r="AW30" i="31" a="1"/>
  <c r="AW30" i="31" s="1"/>
  <c r="AF30" i="31" a="1"/>
  <c r="AF30" i="31" s="1"/>
  <c r="O30" i="31" a="1"/>
  <c r="O30" i="31" s="1"/>
  <c r="M30" i="31" a="1"/>
  <c r="M30" i="31" s="1"/>
  <c r="O34" i="31" a="1"/>
  <c r="O34" i="31" s="1"/>
  <c r="AG33" i="31" a="1"/>
  <c r="AG33" i="31" s="1"/>
  <c r="AO32" i="31" a="1"/>
  <c r="AO32" i="31" s="1"/>
  <c r="V32" i="31" a="1"/>
  <c r="V32" i="31" s="1"/>
  <c r="AY31" i="31" a="1"/>
  <c r="AY31" i="31" s="1"/>
  <c r="O31" i="31" a="1"/>
  <c r="O31" i="31" s="1"/>
  <c r="AN30" i="31" a="1"/>
  <c r="AN30" i="31" s="1"/>
  <c r="W30" i="31" a="1"/>
  <c r="W30" i="31" s="1"/>
  <c r="W29" i="31" a="1"/>
  <c r="W29" i="31" s="1"/>
  <c r="AX28" i="31" a="1"/>
  <c r="AX28" i="31" s="1"/>
  <c r="AG28" i="31" a="1"/>
  <c r="AG28" i="31" s="1"/>
  <c r="AE28" i="31" a="1"/>
  <c r="AE28" i="31" s="1"/>
  <c r="N28" i="31" a="1"/>
  <c r="N28" i="31" s="1"/>
  <c r="AO27" i="31" a="1"/>
  <c r="AO27" i="31" s="1"/>
  <c r="X27" i="31" a="1"/>
  <c r="X27" i="31" s="1"/>
  <c r="V27" i="31" a="1"/>
  <c r="V27" i="31" s="1"/>
  <c r="AY26" i="31" a="1"/>
  <c r="AY26" i="31" s="1"/>
  <c r="AW26" i="31" a="1"/>
  <c r="AW26" i="31" s="1"/>
  <c r="AF26" i="31" a="1"/>
  <c r="AF26" i="31" s="1"/>
  <c r="O26" i="31" a="1"/>
  <c r="O26" i="31" s="1"/>
  <c r="M26" i="31" a="1"/>
  <c r="M26" i="31" s="1"/>
  <c r="AP25" i="31" a="1"/>
  <c r="AP25" i="31" s="1"/>
  <c r="AN25" i="31" a="1"/>
  <c r="AN25" i="31" s="1"/>
  <c r="W25" i="31" a="1"/>
  <c r="W25" i="31" s="1"/>
  <c r="AP40" i="31" a="1"/>
  <c r="AP40" i="31" s="1"/>
  <c r="V34" i="31" a="1"/>
  <c r="V34" i="31" s="1"/>
  <c r="AX33" i="31" a="1"/>
  <c r="AX33" i="31" s="1"/>
  <c r="AE33" i="31" a="1"/>
  <c r="AE33" i="31" s="1"/>
  <c r="N33" i="31" a="1"/>
  <c r="N33" i="31" s="1"/>
  <c r="AW31" i="31" a="1"/>
  <c r="AW31" i="31" s="1"/>
  <c r="AF31" i="31" a="1"/>
  <c r="AF31" i="31" s="1"/>
  <c r="M31" i="31" a="1"/>
  <c r="M31" i="31" s="1"/>
  <c r="AN29" i="31" a="1"/>
  <c r="AN29" i="31" s="1"/>
  <c r="AE29" i="31" a="1"/>
  <c r="AE29" i="31" s="1"/>
  <c r="N29" i="31" a="1"/>
  <c r="N29" i="31" s="1"/>
  <c r="AO28" i="31" a="1"/>
  <c r="AO28" i="31" s="1"/>
  <c r="X28" i="31" a="1"/>
  <c r="X28" i="31" s="1"/>
  <c r="V28" i="31" a="1"/>
  <c r="V28" i="31" s="1"/>
  <c r="AY27" i="31" a="1"/>
  <c r="AY27" i="31" s="1"/>
  <c r="AW27" i="31" a="1"/>
  <c r="AW27" i="31" s="1"/>
  <c r="AF27" i="31" a="1"/>
  <c r="AF27" i="31" s="1"/>
  <c r="O27" i="31" a="1"/>
  <c r="O27" i="31" s="1"/>
  <c r="M27" i="31" a="1"/>
  <c r="M27" i="31" s="1"/>
  <c r="AP26" i="31" a="1"/>
  <c r="AP26" i="31" s="1"/>
  <c r="AN26" i="31" a="1"/>
  <c r="AN26" i="31" s="1"/>
  <c r="W26" i="31" a="1"/>
  <c r="W26" i="31" s="1"/>
  <c r="AY37" i="31" a="1"/>
  <c r="AY37" i="31" s="1"/>
  <c r="O37" i="31" a="1"/>
  <c r="O37" i="31" s="1"/>
  <c r="AX29" i="31" a="1"/>
  <c r="AX29" i="31" s="1"/>
  <c r="X29" i="31" a="1"/>
  <c r="X29" i="31" s="1"/>
  <c r="V29" i="31" a="1"/>
  <c r="V29" i="31" s="1"/>
  <c r="AY28" i="31" a="1"/>
  <c r="AY28" i="31" s="1"/>
  <c r="AW28" i="31" a="1"/>
  <c r="AW28" i="31" s="1"/>
  <c r="AF28" i="31" a="1"/>
  <c r="AF28" i="31" s="1"/>
  <c r="O28" i="31" a="1"/>
  <c r="O28" i="31" s="1"/>
  <c r="M28" i="31" a="1"/>
  <c r="M28" i="31" s="1"/>
  <c r="AP27" i="31" a="1"/>
  <c r="AP27" i="31" s="1"/>
  <c r="AN27" i="31" a="1"/>
  <c r="AN27" i="31" s="1"/>
  <c r="W27" i="31" a="1"/>
  <c r="W27" i="31" s="1"/>
  <c r="AX26" i="31" a="1"/>
  <c r="AX26" i="31" s="1"/>
  <c r="AG26" i="31" a="1"/>
  <c r="AG26" i="31" s="1"/>
  <c r="AE26" i="31" a="1"/>
  <c r="AE26" i="31" s="1"/>
  <c r="N26" i="31" a="1"/>
  <c r="N26" i="31" s="1"/>
  <c r="AO25" i="31" a="1"/>
  <c r="AO25" i="31" s="1"/>
  <c r="X25" i="31" a="1"/>
  <c r="X25" i="31" s="1"/>
  <c r="V25" i="31" a="1"/>
  <c r="V25" i="31" s="1"/>
  <c r="AP29" i="31" a="1"/>
  <c r="AP29" i="31" s="1"/>
  <c r="AW25" i="31" a="1"/>
  <c r="AW25" i="31" s="1"/>
  <c r="AG25" i="31" a="1"/>
  <c r="AG25" i="31" s="1"/>
  <c r="AY24" i="31" a="1"/>
  <c r="AY24" i="31" s="1"/>
  <c r="AW24" i="31" a="1"/>
  <c r="AW24" i="31" s="1"/>
  <c r="AF24" i="31" a="1"/>
  <c r="AF24" i="31" s="1"/>
  <c r="O24" i="31" a="1"/>
  <c r="O24" i="31" s="1"/>
  <c r="M24" i="31" a="1"/>
  <c r="M24" i="31" s="1"/>
  <c r="AP23" i="31" a="1"/>
  <c r="AP23" i="31" s="1"/>
  <c r="AN23" i="31" a="1"/>
  <c r="AN23" i="31" s="1"/>
  <c r="W23" i="31" a="1"/>
  <c r="W23" i="31" s="1"/>
  <c r="AX22" i="31" a="1"/>
  <c r="AX22" i="31" s="1"/>
  <c r="AG22" i="31" a="1"/>
  <c r="AG22" i="31" s="1"/>
  <c r="AE22" i="31" a="1"/>
  <c r="AE22" i="31" s="1"/>
  <c r="N22" i="31" a="1"/>
  <c r="N22" i="31" s="1"/>
  <c r="AO21" i="31" a="1"/>
  <c r="AO21" i="31" s="1"/>
  <c r="X21" i="31" a="1"/>
  <c r="X21" i="31" s="1"/>
  <c r="V21" i="31" a="1"/>
  <c r="V21" i="31" s="1"/>
  <c r="AY20" i="31" a="1"/>
  <c r="AY20" i="31" s="1"/>
  <c r="AW20" i="31" a="1"/>
  <c r="AW20" i="31" s="1"/>
  <c r="AF20" i="31" a="1"/>
  <c r="AF20" i="31" s="1"/>
  <c r="O20" i="31" a="1"/>
  <c r="O20" i="31" s="1"/>
  <c r="M20" i="31" a="1"/>
  <c r="M20" i="31" s="1"/>
  <c r="AP19" i="31" a="1"/>
  <c r="AP19" i="31" s="1"/>
  <c r="AN19" i="31" a="1"/>
  <c r="AN19" i="31" s="1"/>
  <c r="W19" i="31" a="1"/>
  <c r="W19" i="31" s="1"/>
  <c r="AX18" i="31" a="1"/>
  <c r="AX18" i="31" s="1"/>
  <c r="AG18" i="31" a="1"/>
  <c r="AG18" i="31" s="1"/>
  <c r="AE18" i="31" a="1"/>
  <c r="AE18" i="31" s="1"/>
  <c r="N18" i="31" a="1"/>
  <c r="N18" i="31" s="1"/>
  <c r="V38" i="31" a="1"/>
  <c r="V38" i="31" s="1"/>
  <c r="AP30" i="31" a="1"/>
  <c r="AP30" i="31" s="1"/>
  <c r="O29" i="31" a="1"/>
  <c r="O29" i="31" s="1"/>
  <c r="X26" i="31" a="1"/>
  <c r="X26" i="31" s="1"/>
  <c r="AF25" i="31" a="1"/>
  <c r="AF25" i="31" s="1"/>
  <c r="N25" i="31" a="1"/>
  <c r="N25" i="31" s="1"/>
  <c r="AP24" i="31" a="1"/>
  <c r="AP24" i="31" s="1"/>
  <c r="AN24" i="31" a="1"/>
  <c r="AN24" i="31" s="1"/>
  <c r="W24" i="31" a="1"/>
  <c r="W24" i="31" s="1"/>
  <c r="AX23" i="31" a="1"/>
  <c r="AX23" i="31" s="1"/>
  <c r="AG23" i="31" a="1"/>
  <c r="AG23" i="31" s="1"/>
  <c r="AE23" i="31" a="1"/>
  <c r="AE23" i="31" s="1"/>
  <c r="N23" i="31" a="1"/>
  <c r="N23" i="31" s="1"/>
  <c r="AO22" i="31" a="1"/>
  <c r="AO22" i="31" s="1"/>
  <c r="X22" i="31" a="1"/>
  <c r="X22" i="31" s="1"/>
  <c r="V22" i="31" a="1"/>
  <c r="V22" i="31" s="1"/>
  <c r="AY21" i="31" a="1"/>
  <c r="AY21" i="31" s="1"/>
  <c r="AW21" i="31" a="1"/>
  <c r="AW21" i="31" s="1"/>
  <c r="AF21" i="31" a="1"/>
  <c r="AF21" i="31" s="1"/>
  <c r="O21" i="31" a="1"/>
  <c r="O21" i="31" s="1"/>
  <c r="M21" i="31" a="1"/>
  <c r="M21" i="31" s="1"/>
  <c r="AP20" i="31" a="1"/>
  <c r="AP20" i="31" s="1"/>
  <c r="AN20" i="31" a="1"/>
  <c r="AN20" i="31" s="1"/>
  <c r="W20" i="31" a="1"/>
  <c r="W20" i="31" s="1"/>
  <c r="AX19" i="31" a="1"/>
  <c r="AX19" i="31" s="1"/>
  <c r="AG19" i="31" a="1"/>
  <c r="AG19" i="31" s="1"/>
  <c r="AE19" i="31" a="1"/>
  <c r="AE19" i="31" s="1"/>
  <c r="N19" i="31" a="1"/>
  <c r="N19" i="31" s="1"/>
  <c r="AO18" i="31" a="1"/>
  <c r="AO18" i="31" s="1"/>
  <c r="X18" i="31" a="1"/>
  <c r="X18" i="31" s="1"/>
  <c r="V18" i="31" a="1"/>
  <c r="V18" i="31" s="1"/>
  <c r="AY17" i="31" a="1"/>
  <c r="AY17" i="31" s="1"/>
  <c r="AW17" i="31" a="1"/>
  <c r="AW17" i="31" s="1"/>
  <c r="AF17" i="31" a="1"/>
  <c r="AF17" i="31" s="1"/>
  <c r="O17" i="31" a="1"/>
  <c r="O17" i="31" s="1"/>
  <c r="M17" i="31" a="1"/>
  <c r="M17" i="31" s="1"/>
  <c r="AP16" i="31" a="1"/>
  <c r="AP16" i="31" s="1"/>
  <c r="AN16" i="31" a="1"/>
  <c r="AN16" i="31" s="1"/>
  <c r="W16" i="31" a="1"/>
  <c r="W16" i="31" s="1"/>
  <c r="AO38" i="31" a="1"/>
  <c r="AO38" i="31" s="1"/>
  <c r="X32" i="31" a="1"/>
  <c r="X32" i="31" s="1"/>
  <c r="AG29" i="31" a="1"/>
  <c r="AG29" i="31" s="1"/>
  <c r="M29" i="31" a="1"/>
  <c r="M29" i="31" s="1"/>
  <c r="AP28" i="31" a="1"/>
  <c r="AP28" i="31" s="1"/>
  <c r="AG27" i="31" a="1"/>
  <c r="AG27" i="31" s="1"/>
  <c r="AO26" i="31" a="1"/>
  <c r="AO26" i="31" s="1"/>
  <c r="V26" i="31" a="1"/>
  <c r="V26" i="31" s="1"/>
  <c r="AY25" i="31" a="1"/>
  <c r="AY25" i="31" s="1"/>
  <c r="AE25" i="31" a="1"/>
  <c r="AE25" i="31" s="1"/>
  <c r="M25" i="31" a="1"/>
  <c r="M25" i="31" s="1"/>
  <c r="AX24" i="31" a="1"/>
  <c r="AX24" i="31" s="1"/>
  <c r="AG24" i="31" a="1"/>
  <c r="AG24" i="31" s="1"/>
  <c r="AE24" i="31" a="1"/>
  <c r="AE24" i="31" s="1"/>
  <c r="N24" i="31" a="1"/>
  <c r="N24" i="31" s="1"/>
  <c r="AO23" i="31" a="1"/>
  <c r="AO23" i="31" s="1"/>
  <c r="X23" i="31" a="1"/>
  <c r="X23" i="31" s="1"/>
  <c r="V23" i="31" a="1"/>
  <c r="V23" i="31" s="1"/>
  <c r="AY22" i="31" a="1"/>
  <c r="AY22" i="31" s="1"/>
  <c r="AW22" i="31" a="1"/>
  <c r="AW22" i="31" s="1"/>
  <c r="AF22" i="31" a="1"/>
  <c r="AF22" i="31" s="1"/>
  <c r="O22" i="31" a="1"/>
  <c r="O22" i="31" s="1"/>
  <c r="M22" i="31" a="1"/>
  <c r="M22" i="31" s="1"/>
  <c r="AP21" i="31" a="1"/>
  <c r="AP21" i="31" s="1"/>
  <c r="AN21" i="31" a="1"/>
  <c r="AN21" i="31" s="1"/>
  <c r="W21" i="31" a="1"/>
  <c r="W21" i="31" s="1"/>
  <c r="AX20" i="31" a="1"/>
  <c r="AX20" i="31" s="1"/>
  <c r="AG20" i="31" a="1"/>
  <c r="AG20" i="31" s="1"/>
  <c r="AE20" i="31" a="1"/>
  <c r="AE20" i="31" s="1"/>
  <c r="N20" i="31" a="1"/>
  <c r="N20" i="31" s="1"/>
  <c r="AO19" i="31" a="1"/>
  <c r="AO19" i="31" s="1"/>
  <c r="X19" i="31" a="1"/>
  <c r="X19" i="31" s="1"/>
  <c r="V19" i="31" a="1"/>
  <c r="V19" i="31" s="1"/>
  <c r="AY18" i="31" a="1"/>
  <c r="AY18" i="31" s="1"/>
  <c r="AW18" i="31" a="1"/>
  <c r="AW18" i="31" s="1"/>
  <c r="AF18" i="31" a="1"/>
  <c r="AF18" i="31" s="1"/>
  <c r="O18" i="31" a="1"/>
  <c r="O18" i="31" s="1"/>
  <c r="M18" i="31" a="1"/>
  <c r="M18" i="31" s="1"/>
  <c r="AP17" i="31" a="1"/>
  <c r="AP17" i="31" s="1"/>
  <c r="AN17" i="31" a="1"/>
  <c r="AN17" i="31" s="1"/>
  <c r="W17" i="31" a="1"/>
  <c r="W17" i="31" s="1"/>
  <c r="AX16" i="31" a="1"/>
  <c r="AX16" i="31" s="1"/>
  <c r="AG16" i="31" a="1"/>
  <c r="AG16" i="31" s="1"/>
  <c r="AE16" i="31" a="1"/>
  <c r="AE16" i="31" s="1"/>
  <c r="N16" i="31" a="1"/>
  <c r="N16" i="31" s="1"/>
  <c r="AN28" i="31" a="1"/>
  <c r="AN28" i="31" s="1"/>
  <c r="W28" i="31" a="1"/>
  <c r="W28" i="31" s="1"/>
  <c r="AX27" i="31" a="1"/>
  <c r="AX27" i="31" s="1"/>
  <c r="AE27" i="31" a="1"/>
  <c r="AE27" i="31" s="1"/>
  <c r="N27" i="31" a="1"/>
  <c r="N27" i="31" s="1"/>
  <c r="AX25" i="31" a="1"/>
  <c r="AX25" i="31" s="1"/>
  <c r="AO24" i="31" a="1"/>
  <c r="AO24" i="31" s="1"/>
  <c r="V24" i="31" a="1"/>
  <c r="V24" i="31" s="1"/>
  <c r="AY23" i="31" a="1"/>
  <c r="AY23" i="31" s="1"/>
  <c r="O23" i="31" a="1"/>
  <c r="O23" i="31" s="1"/>
  <c r="X20" i="31" a="1"/>
  <c r="X20" i="31" s="1"/>
  <c r="AY16" i="31" a="1"/>
  <c r="AY16" i="31" s="1"/>
  <c r="AO16" i="31" a="1"/>
  <c r="AO16" i="31" s="1"/>
  <c r="X16" i="31" a="1"/>
  <c r="X16" i="31" s="1"/>
  <c r="O16" i="31" a="1"/>
  <c r="O16" i="31" s="1"/>
  <c r="AW23" i="31" a="1"/>
  <c r="AW23" i="31" s="1"/>
  <c r="AF23" i="31" a="1"/>
  <c r="AF23" i="31" s="1"/>
  <c r="M23" i="31" a="1"/>
  <c r="M23" i="31" s="1"/>
  <c r="AP22" i="31" a="1"/>
  <c r="AP22" i="31" s="1"/>
  <c r="AG21" i="31" a="1"/>
  <c r="AG21" i="31" s="1"/>
  <c r="AO20" i="31" a="1"/>
  <c r="AO20" i="31" s="1"/>
  <c r="V20" i="31" a="1"/>
  <c r="V20" i="31" s="1"/>
  <c r="AY19" i="31" a="1"/>
  <c r="AY19" i="31" s="1"/>
  <c r="O19" i="31" a="1"/>
  <c r="O19" i="31" s="1"/>
  <c r="AE17" i="31" a="1"/>
  <c r="AE17" i="31" s="1"/>
  <c r="V17" i="31" a="1"/>
  <c r="V17" i="31" s="1"/>
  <c r="O25" i="31" a="1"/>
  <c r="O25" i="31" s="1"/>
  <c r="AN22" i="31" a="1"/>
  <c r="AN22" i="31" s="1"/>
  <c r="W22" i="31" a="1"/>
  <c r="W22" i="31" s="1"/>
  <c r="AX21" i="31" a="1"/>
  <c r="AX21" i="31" s="1"/>
  <c r="AE21" i="31" a="1"/>
  <c r="AE21" i="31" s="1"/>
  <c r="N21" i="31" a="1"/>
  <c r="N21" i="31" s="1"/>
  <c r="AW19" i="31" a="1"/>
  <c r="AW19" i="31" s="1"/>
  <c r="AF19" i="31" a="1"/>
  <c r="AF19" i="31" s="1"/>
  <c r="M19" i="31" a="1"/>
  <c r="M19" i="31" s="1"/>
  <c r="AP18" i="31" a="1"/>
  <c r="AP18" i="31" s="1"/>
  <c r="AO17" i="31" a="1"/>
  <c r="AO17" i="31" s="1"/>
  <c r="AW16" i="31" a="1"/>
  <c r="AW16" i="31" s="1"/>
  <c r="V16" i="31" a="1"/>
  <c r="V16" i="31" s="1"/>
  <c r="M16" i="31" a="1"/>
  <c r="M16" i="31" s="1"/>
  <c r="X24" i="31" a="1"/>
  <c r="X24" i="31" s="1"/>
  <c r="AN18" i="31" a="1"/>
  <c r="AN18" i="31" s="1"/>
  <c r="W18" i="31" a="1"/>
  <c r="W18" i="31" s="1"/>
  <c r="AX17" i="31" a="1"/>
  <c r="AX17" i="31" s="1"/>
  <c r="AG17" i="31" a="1"/>
  <c r="AG17" i="31" s="1"/>
  <c r="X17" i="31" a="1"/>
  <c r="X17" i="31" s="1"/>
  <c r="N17" i="31" a="1"/>
  <c r="N17" i="31" s="1"/>
  <c r="AF16" i="31" a="1"/>
  <c r="AF16" i="31" s="1"/>
  <c r="H45" i="31"/>
  <c r="H46" i="31"/>
  <c r="H43" i="31"/>
  <c r="H44" i="31"/>
  <c r="H42" i="31"/>
  <c r="H41" i="31"/>
  <c r="H37" i="31"/>
  <c r="H38" i="31"/>
  <c r="H34" i="31"/>
  <c r="H40" i="31"/>
  <c r="H39" i="31"/>
  <c r="H35" i="31"/>
  <c r="H36" i="31"/>
  <c r="H31" i="31"/>
  <c r="H32" i="31"/>
  <c r="H33" i="31"/>
  <c r="H29" i="31"/>
  <c r="H27" i="31"/>
  <c r="H26" i="31"/>
  <c r="H23" i="31"/>
  <c r="H19" i="31"/>
  <c r="H30" i="31"/>
  <c r="H28" i="31"/>
  <c r="H24" i="31"/>
  <c r="H20" i="31"/>
  <c r="H16" i="31"/>
  <c r="J16" i="31" s="1"/>
  <c r="H25" i="31"/>
  <c r="H21" i="31"/>
  <c r="H17" i="31"/>
  <c r="H18" i="31"/>
  <c r="H22" i="31"/>
  <c r="B66" i="1"/>
  <c r="J46" i="24"/>
  <c r="J47" i="24"/>
  <c r="J45" i="24"/>
  <c r="B138" i="1" l="1"/>
  <c r="F49" i="1"/>
  <c r="Y16" i="31" a="1"/>
  <c r="Y16" i="31" s="1"/>
  <c r="AZ16" i="31" a="1"/>
  <c r="AZ16" i="31" s="1"/>
  <c r="P16" i="31" a="1"/>
  <c r="P16" i="31" s="1"/>
  <c r="AH16" i="31" a="1"/>
  <c r="AH16" i="31" s="1"/>
  <c r="I16" i="31"/>
  <c r="J17" i="31"/>
  <c r="AQ16" i="31" a="1"/>
  <c r="AQ16" i="31" s="1"/>
  <c r="K43" i="24"/>
  <c r="B139" i="1" l="1"/>
  <c r="J18" i="31"/>
  <c r="AH17" i="31" a="1"/>
  <c r="AH17" i="31" s="1"/>
  <c r="I17" i="31"/>
  <c r="Y17" i="31" a="1"/>
  <c r="Y17" i="31" s="1"/>
  <c r="AQ17" i="31" a="1"/>
  <c r="AQ17" i="31" s="1"/>
  <c r="AZ17" i="31" a="1"/>
  <c r="AZ17" i="31" s="1"/>
  <c r="P17" i="31" a="1"/>
  <c r="P17" i="31" s="1"/>
  <c r="G80" i="1"/>
  <c r="G81" i="1"/>
  <c r="B13" i="1"/>
  <c r="D128" i="1" s="1"/>
  <c r="B19" i="1"/>
  <c r="H20" i="25"/>
  <c r="Q58" i="27"/>
  <c r="P58" i="27"/>
  <c r="O58" i="27"/>
  <c r="N58" i="27"/>
  <c r="M58" i="27"/>
  <c r="L58" i="27"/>
  <c r="K58" i="27"/>
  <c r="J58" i="27"/>
  <c r="I58" i="27"/>
  <c r="H58" i="27"/>
  <c r="G58" i="27"/>
  <c r="F58" i="27"/>
  <c r="E58" i="27"/>
  <c r="D58" i="27"/>
  <c r="C58" i="27"/>
  <c r="Q56" i="27"/>
  <c r="N56" i="27"/>
  <c r="Q15" i="27"/>
  <c r="P15" i="27"/>
  <c r="O15" i="27"/>
  <c r="N15" i="27"/>
  <c r="M15" i="27"/>
  <c r="L15" i="27"/>
  <c r="K15" i="27"/>
  <c r="J15" i="27"/>
  <c r="I15" i="27"/>
  <c r="H15" i="27"/>
  <c r="G15" i="27"/>
  <c r="F15" i="27"/>
  <c r="E15" i="27"/>
  <c r="D15" i="27"/>
  <c r="C15" i="27"/>
  <c r="M13" i="27"/>
  <c r="E112" i="1"/>
  <c r="C112" i="1" s="1"/>
  <c r="D111" i="1"/>
  <c r="D120" i="1" s="1"/>
  <c r="K47" i="24"/>
  <c r="K46" i="24"/>
  <c r="K45" i="24"/>
  <c r="AF37" i="24"/>
  <c r="AC37" i="24"/>
  <c r="Z37" i="24"/>
  <c r="W37" i="24"/>
  <c r="O37" i="24"/>
  <c r="L37" i="24"/>
  <c r="I37" i="24"/>
  <c r="F37" i="24"/>
  <c r="AF36" i="24"/>
  <c r="AC36" i="24"/>
  <c r="Z36" i="24"/>
  <c r="W36" i="24"/>
  <c r="L36" i="24"/>
  <c r="I36" i="24"/>
  <c r="AF35" i="24"/>
  <c r="AC35" i="24"/>
  <c r="Z35" i="24"/>
  <c r="W35" i="24"/>
  <c r="L35" i="24"/>
  <c r="I35" i="24"/>
  <c r="AF34" i="24"/>
  <c r="AC34" i="24"/>
  <c r="Z34" i="24"/>
  <c r="W34" i="24"/>
  <c r="L34" i="24"/>
  <c r="I34" i="24"/>
  <c r="AF33" i="24"/>
  <c r="AC33" i="24"/>
  <c r="Z33" i="24"/>
  <c r="W33" i="24"/>
  <c r="L33" i="24"/>
  <c r="I33" i="24"/>
  <c r="AF32" i="24"/>
  <c r="AC32" i="24"/>
  <c r="Z32" i="24"/>
  <c r="W32" i="24"/>
  <c r="L32" i="24"/>
  <c r="I32" i="24"/>
  <c r="AF31" i="24"/>
  <c r="AC31" i="24"/>
  <c r="Z31" i="24"/>
  <c r="W31" i="24"/>
  <c r="L31" i="24"/>
  <c r="I31" i="24"/>
  <c r="AF30" i="24"/>
  <c r="AC30" i="24"/>
  <c r="Z30" i="24"/>
  <c r="W30" i="24"/>
  <c r="L30" i="24"/>
  <c r="I30" i="24"/>
  <c r="AF29" i="24"/>
  <c r="AC29" i="24"/>
  <c r="Z29" i="24"/>
  <c r="W29" i="24"/>
  <c r="L29" i="24"/>
  <c r="I29" i="24"/>
  <c r="AF28" i="24"/>
  <c r="AC28" i="24"/>
  <c r="Z28" i="24"/>
  <c r="W28" i="24"/>
  <c r="L28" i="24"/>
  <c r="I28" i="24"/>
  <c r="AF27" i="24"/>
  <c r="AC27" i="24"/>
  <c r="Z27" i="24"/>
  <c r="W27" i="24"/>
  <c r="L27" i="24"/>
  <c r="I27" i="24"/>
  <c r="AF26" i="24"/>
  <c r="AC26" i="24"/>
  <c r="Z26" i="24"/>
  <c r="W26" i="24"/>
  <c r="L26" i="24"/>
  <c r="I26" i="24"/>
  <c r="AF25" i="24"/>
  <c r="AC25" i="24"/>
  <c r="Z25" i="24"/>
  <c r="W25" i="24"/>
  <c r="L25" i="24"/>
  <c r="I25" i="24"/>
  <c r="AF24" i="24"/>
  <c r="AC24" i="24"/>
  <c r="Z24" i="24"/>
  <c r="W24" i="24"/>
  <c r="L24" i="24"/>
  <c r="I24" i="24"/>
  <c r="AF23" i="24"/>
  <c r="AC23" i="24"/>
  <c r="Z23" i="24"/>
  <c r="W23" i="24"/>
  <c r="L23" i="24"/>
  <c r="I23" i="24"/>
  <c r="AF22" i="24"/>
  <c r="AC22" i="24"/>
  <c r="Z22" i="24"/>
  <c r="W22" i="24"/>
  <c r="L22" i="24"/>
  <c r="I22" i="24"/>
  <c r="AF21" i="24"/>
  <c r="AC21" i="24"/>
  <c r="Z21" i="24"/>
  <c r="W21" i="24"/>
  <c r="O21" i="24"/>
  <c r="L21" i="24"/>
  <c r="I21" i="24"/>
  <c r="F21" i="24"/>
  <c r="AF20" i="24"/>
  <c r="AC20" i="24"/>
  <c r="Z20" i="24"/>
  <c r="W20" i="24"/>
  <c r="O20" i="24"/>
  <c r="L20" i="24"/>
  <c r="I20" i="24"/>
  <c r="F20" i="24"/>
  <c r="AF19" i="24"/>
  <c r="AC19" i="24"/>
  <c r="Z19" i="24"/>
  <c r="W19" i="24"/>
  <c r="O19" i="24"/>
  <c r="L19" i="24"/>
  <c r="I19" i="24"/>
  <c r="F19" i="24"/>
  <c r="AH36" i="24"/>
  <c r="AF18" i="24"/>
  <c r="AC18" i="24"/>
  <c r="Z18" i="24"/>
  <c r="W18" i="24"/>
  <c r="O18" i="24"/>
  <c r="L18" i="24"/>
  <c r="I18" i="24"/>
  <c r="F18" i="24"/>
  <c r="AF17" i="24"/>
  <c r="AC17" i="24"/>
  <c r="Z17" i="24"/>
  <c r="W17" i="24"/>
  <c r="O17" i="24"/>
  <c r="L17" i="24"/>
  <c r="I17" i="24"/>
  <c r="F17" i="24"/>
  <c r="AF16" i="24"/>
  <c r="AC16" i="24"/>
  <c r="Z16" i="24"/>
  <c r="W16" i="24"/>
  <c r="O16" i="24"/>
  <c r="L16" i="24"/>
  <c r="I16" i="24"/>
  <c r="F16" i="24"/>
  <c r="AF15" i="24"/>
  <c r="AC15" i="24"/>
  <c r="Z15" i="24"/>
  <c r="W15" i="24"/>
  <c r="O15" i="24"/>
  <c r="L15" i="24"/>
  <c r="I15" i="24"/>
  <c r="F15" i="24"/>
  <c r="AF14" i="24"/>
  <c r="AC14" i="24"/>
  <c r="Z14" i="24"/>
  <c r="W14" i="24"/>
  <c r="O14" i="24"/>
  <c r="L14" i="24"/>
  <c r="I14" i="24"/>
  <c r="F14" i="24"/>
  <c r="AF13" i="24"/>
  <c r="AC13" i="24"/>
  <c r="Z13" i="24"/>
  <c r="W13" i="24"/>
  <c r="O13" i="24"/>
  <c r="L13" i="24"/>
  <c r="I13" i="24"/>
  <c r="F13" i="24"/>
  <c r="AF12" i="24"/>
  <c r="AC12" i="24"/>
  <c r="Z12" i="24"/>
  <c r="W12" i="24"/>
  <c r="O12" i="24"/>
  <c r="L12" i="24"/>
  <c r="I12" i="24"/>
  <c r="F12" i="24"/>
  <c r="AF11" i="24"/>
  <c r="AC11" i="24"/>
  <c r="Z11" i="24"/>
  <c r="W11" i="24"/>
  <c r="O11" i="24"/>
  <c r="L11" i="24"/>
  <c r="I11" i="24"/>
  <c r="F11" i="24"/>
  <c r="AF10" i="24"/>
  <c r="AC10" i="24"/>
  <c r="Z10" i="24"/>
  <c r="W10" i="24"/>
  <c r="O10" i="24"/>
  <c r="L10" i="24"/>
  <c r="I10" i="24"/>
  <c r="F10" i="24"/>
  <c r="AF9" i="24"/>
  <c r="AC9" i="24"/>
  <c r="Z9" i="24"/>
  <c r="W9" i="24"/>
  <c r="O9" i="24"/>
  <c r="L9" i="24"/>
  <c r="I9" i="24"/>
  <c r="F9" i="24"/>
  <c r="AF8" i="24"/>
  <c r="AC8" i="24"/>
  <c r="Z8" i="24"/>
  <c r="W8" i="24"/>
  <c r="O8" i="24"/>
  <c r="L8" i="24"/>
  <c r="I8" i="24"/>
  <c r="F8" i="24"/>
  <c r="AF7" i="24"/>
  <c r="AC7" i="24"/>
  <c r="Z7" i="24"/>
  <c r="W7" i="24"/>
  <c r="O7" i="24"/>
  <c r="L7" i="24"/>
  <c r="I7" i="24"/>
  <c r="F7"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I3" i="24"/>
  <c r="AH3" i="24"/>
  <c r="AG3" i="24"/>
  <c r="AF3" i="24"/>
  <c r="AE3" i="24"/>
  <c r="AD3" i="24"/>
  <c r="AC3" i="24"/>
  <c r="AB3" i="24"/>
  <c r="AA3" i="24"/>
  <c r="Z3" i="24"/>
  <c r="Y3" i="24"/>
  <c r="X3" i="24"/>
  <c r="W3" i="24"/>
  <c r="V3" i="24"/>
  <c r="U3" i="24"/>
  <c r="T3" i="24"/>
  <c r="S3" i="24"/>
  <c r="R3" i="24"/>
  <c r="Q3" i="24"/>
  <c r="P3" i="24"/>
  <c r="O3" i="24"/>
  <c r="N3" i="24"/>
  <c r="M3" i="24"/>
  <c r="L3" i="24"/>
  <c r="K3" i="24"/>
  <c r="J3" i="24"/>
  <c r="I3" i="24"/>
  <c r="H3" i="24"/>
  <c r="G3" i="24"/>
  <c r="F3" i="24"/>
  <c r="E3" i="24"/>
  <c r="D3" i="24"/>
  <c r="C3" i="24"/>
  <c r="B3" i="24"/>
  <c r="F24" i="22"/>
  <c r="F25" i="22" s="1"/>
  <c r="F26" i="22" s="1"/>
  <c r="F27" i="22" s="1"/>
  <c r="F28" i="22" s="1"/>
  <c r="F29" i="22" s="1"/>
  <c r="F30" i="22" s="1"/>
  <c r="F31" i="22" s="1"/>
  <c r="F32" i="22" s="1"/>
  <c r="F33" i="22" s="1"/>
  <c r="F34" i="22" s="1"/>
  <c r="F35" i="22" s="1"/>
  <c r="F36" i="22" s="1"/>
  <c r="F37" i="22" s="1"/>
  <c r="F38" i="22" s="1"/>
  <c r="C20" i="22"/>
  <c r="C21" i="22" s="1"/>
  <c r="C22" i="22" s="1"/>
  <c r="C23" i="22" s="1"/>
  <c r="C24" i="22" s="1"/>
  <c r="C25" i="22" s="1"/>
  <c r="C26" i="22" s="1"/>
  <c r="C27" i="22" s="1"/>
  <c r="C28" i="22" s="1"/>
  <c r="C29" i="22" s="1"/>
  <c r="C30" i="22" s="1"/>
  <c r="C31" i="22" s="1"/>
  <c r="C32" i="22" s="1"/>
  <c r="C33" i="22" s="1"/>
  <c r="C34" i="22" s="1"/>
  <c r="C35" i="22" s="1"/>
  <c r="C36" i="22" s="1"/>
  <c r="C37" i="22" s="1"/>
  <c r="C38" i="22" s="1"/>
  <c r="F19" i="22"/>
  <c r="F20" i="22" s="1"/>
  <c r="F21" i="22" s="1"/>
  <c r="F22" i="22" s="1"/>
  <c r="C19" i="22"/>
  <c r="C14" i="22"/>
  <c r="C15" i="22" s="1"/>
  <c r="C16" i="22" s="1"/>
  <c r="C17" i="22" s="1"/>
  <c r="Z6" i="22"/>
  <c r="Y6" i="22"/>
  <c r="X6" i="22"/>
  <c r="W6" i="22"/>
  <c r="V6" i="22"/>
  <c r="U6" i="22"/>
  <c r="T6" i="22"/>
  <c r="S6" i="22"/>
  <c r="R6" i="22"/>
  <c r="Q6" i="22"/>
  <c r="P6" i="22"/>
  <c r="O6" i="22"/>
  <c r="N6" i="22"/>
  <c r="M6" i="22"/>
  <c r="L6" i="22"/>
  <c r="K6" i="22"/>
  <c r="J6" i="22"/>
  <c r="I6" i="22"/>
  <c r="H6" i="22"/>
  <c r="G6" i="22"/>
  <c r="F6" i="22"/>
  <c r="E6" i="22"/>
  <c r="D6" i="22"/>
  <c r="C6" i="22"/>
  <c r="Z4" i="22"/>
  <c r="Y4" i="22"/>
  <c r="X4" i="22"/>
  <c r="W4" i="22"/>
  <c r="V4" i="22"/>
  <c r="U4" i="22"/>
  <c r="T4" i="22"/>
  <c r="S4" i="22"/>
  <c r="R4" i="22"/>
  <c r="Q4" i="22"/>
  <c r="P4" i="22"/>
  <c r="O4" i="22"/>
  <c r="N4" i="22"/>
  <c r="M4" i="22"/>
  <c r="L4" i="22"/>
  <c r="K4" i="22"/>
  <c r="J4" i="22"/>
  <c r="I4" i="22"/>
  <c r="H4" i="22"/>
  <c r="G4" i="22"/>
  <c r="F4" i="22"/>
  <c r="E4" i="22"/>
  <c r="D4" i="22"/>
  <c r="C4" i="22"/>
  <c r="C78" i="1"/>
  <c r="C79" i="1"/>
  <c r="C80" i="1"/>
  <c r="C81" i="1"/>
  <c r="C77" i="1"/>
  <c r="G2" i="25" l="1"/>
  <c r="K52" i="27"/>
  <c r="K95" i="27"/>
  <c r="K9" i="27"/>
  <c r="G2" i="26"/>
  <c r="G2" i="31"/>
  <c r="N61" i="24"/>
  <c r="O61" i="24" s="1"/>
  <c r="E128" i="1"/>
  <c r="E129" i="1"/>
  <c r="E130" i="1"/>
  <c r="E131" i="1"/>
  <c r="E132" i="1"/>
  <c r="E133" i="1"/>
  <c r="E134" i="1"/>
  <c r="E135" i="1"/>
  <c r="E136" i="1"/>
  <c r="E137" i="1"/>
  <c r="E138" i="1"/>
  <c r="B140" i="1"/>
  <c r="D140" i="1" s="1"/>
  <c r="E139" i="1"/>
  <c r="D130" i="1"/>
  <c r="D134" i="1"/>
  <c r="D138" i="1"/>
  <c r="D131" i="1"/>
  <c r="D135" i="1"/>
  <c r="D139" i="1"/>
  <c r="D129" i="1"/>
  <c r="D132" i="1"/>
  <c r="D136" i="1"/>
  <c r="D133" i="1"/>
  <c r="D137" i="1"/>
  <c r="K48" i="24"/>
  <c r="M48" i="24" s="1"/>
  <c r="N48" i="24" s="1"/>
  <c r="F18" i="1"/>
  <c r="I61" i="24"/>
  <c r="F19" i="1"/>
  <c r="AU46" i="31"/>
  <c r="AU45" i="31"/>
  <c r="AU44" i="31"/>
  <c r="AU43" i="31"/>
  <c r="AU42" i="31"/>
  <c r="AU41" i="31"/>
  <c r="AU40" i="31"/>
  <c r="AU39" i="31"/>
  <c r="AU38" i="31"/>
  <c r="AU37" i="31"/>
  <c r="AU36" i="31"/>
  <c r="AU35" i="31"/>
  <c r="AU34" i="31"/>
  <c r="AU33" i="31"/>
  <c r="AU32" i="31"/>
  <c r="AU31" i="31"/>
  <c r="AU30" i="31"/>
  <c r="AU29" i="31"/>
  <c r="AU28" i="31"/>
  <c r="AU27" i="31"/>
  <c r="AU26" i="31"/>
  <c r="AU25" i="31"/>
  <c r="AU24" i="31"/>
  <c r="AU23" i="31"/>
  <c r="AU22" i="31"/>
  <c r="AU21" i="31"/>
  <c r="AU20" i="31"/>
  <c r="AU19" i="31"/>
  <c r="AU18" i="31"/>
  <c r="AU17" i="31"/>
  <c r="AU16" i="31"/>
  <c r="AU15" i="31"/>
  <c r="AU14" i="31"/>
  <c r="AU13" i="31"/>
  <c r="AU12" i="31"/>
  <c r="AU11" i="31"/>
  <c r="AU10" i="31"/>
  <c r="AL46" i="31"/>
  <c r="AL45" i="31"/>
  <c r="AL44" i="31"/>
  <c r="AL43" i="31"/>
  <c r="AL42" i="31"/>
  <c r="AL41" i="31"/>
  <c r="AL40" i="31"/>
  <c r="AL39" i="31"/>
  <c r="AL38" i="31"/>
  <c r="AL37" i="31"/>
  <c r="AL36" i="31"/>
  <c r="AL35" i="31"/>
  <c r="AL34" i="31"/>
  <c r="AL33" i="31"/>
  <c r="AL32" i="31"/>
  <c r="AL31" i="31"/>
  <c r="AL30" i="31"/>
  <c r="AL29" i="31"/>
  <c r="AL28" i="31"/>
  <c r="AL27" i="31"/>
  <c r="AL26" i="31"/>
  <c r="AL25" i="31"/>
  <c r="AL24" i="31"/>
  <c r="AL23" i="31"/>
  <c r="AL22" i="31"/>
  <c r="AL21" i="31"/>
  <c r="AL20" i="31"/>
  <c r="AL19" i="31"/>
  <c r="AL18" i="31"/>
  <c r="AL17" i="31"/>
  <c r="AL16" i="31"/>
  <c r="AL15" i="31"/>
  <c r="AL14" i="31"/>
  <c r="AL13" i="31"/>
  <c r="AL12" i="31"/>
  <c r="AL11" i="31"/>
  <c r="AL10" i="31"/>
  <c r="N132" i="27" a="1"/>
  <c r="N132" i="27" s="1"/>
  <c r="N127" i="27" a="1"/>
  <c r="N127" i="27" s="1"/>
  <c r="N124" i="27" a="1"/>
  <c r="N124" i="27" s="1"/>
  <c r="N123" i="27" a="1"/>
  <c r="N123" i="27" s="1"/>
  <c r="N121" i="27" a="1"/>
  <c r="N121" i="27" s="1"/>
  <c r="N114" i="27" a="1"/>
  <c r="N114" i="27" s="1"/>
  <c r="N133" i="27" a="1"/>
  <c r="N133" i="27" s="1"/>
  <c r="N130" i="27" a="1"/>
  <c r="N130" i="27" s="1"/>
  <c r="N128" i="27" a="1"/>
  <c r="N128" i="27" s="1"/>
  <c r="N118" i="27" a="1"/>
  <c r="N118" i="27" s="1"/>
  <c r="N116" i="27" a="1"/>
  <c r="N116" i="27" s="1"/>
  <c r="N112" i="27" a="1"/>
  <c r="N112" i="27" s="1"/>
  <c r="N110" i="27" a="1"/>
  <c r="N110" i="27" s="1"/>
  <c r="N126" i="27" a="1"/>
  <c r="N126" i="27" s="1"/>
  <c r="N125" i="27" a="1"/>
  <c r="N125" i="27" s="1"/>
  <c r="N122" i="27" a="1"/>
  <c r="N122" i="27" s="1"/>
  <c r="N120" i="27" a="1"/>
  <c r="N120" i="27" s="1"/>
  <c r="N115" i="27" a="1"/>
  <c r="N115" i="27" s="1"/>
  <c r="N131" i="27" a="1"/>
  <c r="N131" i="27" s="1"/>
  <c r="N129" i="27" a="1"/>
  <c r="N129" i="27" s="1"/>
  <c r="N119" i="27" a="1"/>
  <c r="N119" i="27" s="1"/>
  <c r="N117" i="27" a="1"/>
  <c r="N117" i="27" s="1"/>
  <c r="N109" i="27" a="1"/>
  <c r="N109" i="27" s="1"/>
  <c r="N107" i="27" a="1"/>
  <c r="N107" i="27" s="1"/>
  <c r="N113" i="27" a="1"/>
  <c r="N113" i="27" s="1"/>
  <c r="N111" i="27" a="1"/>
  <c r="N111" i="27" s="1"/>
  <c r="N104" i="27" a="1"/>
  <c r="N104" i="27" s="1"/>
  <c r="N103" i="27" a="1"/>
  <c r="N103" i="27" s="1"/>
  <c r="N106" i="27" a="1"/>
  <c r="N106" i="27" s="1"/>
  <c r="N105" i="27" a="1"/>
  <c r="N105" i="27" s="1"/>
  <c r="N108" i="27" a="1"/>
  <c r="N108" i="27" s="1"/>
  <c r="AZ18" i="31" a="1"/>
  <c r="AZ18" i="31" s="1"/>
  <c r="P18" i="31" a="1"/>
  <c r="P18" i="31" s="1"/>
  <c r="AQ18" i="31" a="1"/>
  <c r="AQ18" i="31" s="1"/>
  <c r="J19" i="31"/>
  <c r="AH18" i="31" a="1"/>
  <c r="AH18" i="31" s="1"/>
  <c r="I18" i="31"/>
  <c r="Y18" i="31" a="1"/>
  <c r="Y18" i="31" s="1"/>
  <c r="H24" i="26"/>
  <c r="H22" i="25"/>
  <c r="H26" i="25"/>
  <c r="H16" i="25"/>
  <c r="J16" i="25" s="1"/>
  <c r="N13" i="27"/>
  <c r="N17" i="27" s="1" a="1"/>
  <c r="N17" i="27" s="1"/>
  <c r="G56" i="27"/>
  <c r="G89" i="27" s="1" a="1"/>
  <c r="G89" i="27" s="1"/>
  <c r="O56" i="27"/>
  <c r="M18" i="27" a="1"/>
  <c r="M18" i="27" s="1"/>
  <c r="M19" i="27" a="1"/>
  <c r="M19" i="27" s="1"/>
  <c r="H56" i="27"/>
  <c r="H85" i="27" s="1" a="1"/>
  <c r="H85" i="27" s="1"/>
  <c r="P56" i="27"/>
  <c r="M20" i="27" a="1"/>
  <c r="M20" i="27" s="1"/>
  <c r="AX46" i="26" a="1"/>
  <c r="AX46" i="26" s="1"/>
  <c r="AN46" i="26" a="1"/>
  <c r="AN46" i="26" s="1"/>
  <c r="X46" i="26" a="1"/>
  <c r="X46" i="26" s="1"/>
  <c r="N46" i="26" a="1"/>
  <c r="N46" i="26" s="1"/>
  <c r="AW45" i="26" a="1"/>
  <c r="AW45" i="26" s="1"/>
  <c r="AG45" i="26" a="1"/>
  <c r="AG45" i="26" s="1"/>
  <c r="W45" i="26" a="1"/>
  <c r="W45" i="26" s="1"/>
  <c r="M45" i="26" a="1"/>
  <c r="M45" i="26" s="1"/>
  <c r="AP44" i="26" a="1"/>
  <c r="AP44" i="26" s="1"/>
  <c r="AF44" i="26" a="1"/>
  <c r="AF44" i="26" s="1"/>
  <c r="V44" i="26" a="1"/>
  <c r="V44" i="26" s="1"/>
  <c r="AY43" i="26" a="1"/>
  <c r="AY43" i="26" s="1"/>
  <c r="AO43" i="26" a="1"/>
  <c r="AO43" i="26" s="1"/>
  <c r="AE43" i="26" a="1"/>
  <c r="AE43" i="26" s="1"/>
  <c r="O43" i="26" a="1"/>
  <c r="O43" i="26" s="1"/>
  <c r="AX42" i="26" a="1"/>
  <c r="AX42" i="26" s="1"/>
  <c r="AN42" i="26" a="1"/>
  <c r="AN42" i="26" s="1"/>
  <c r="X42" i="26" a="1"/>
  <c r="X42" i="26" s="1"/>
  <c r="N42" i="26" a="1"/>
  <c r="N42" i="26" s="1"/>
  <c r="AW41" i="26" a="1"/>
  <c r="AW41" i="26" s="1"/>
  <c r="AG41" i="26" a="1"/>
  <c r="AG41" i="26" s="1"/>
  <c r="W41" i="26" a="1"/>
  <c r="W41" i="26" s="1"/>
  <c r="M41" i="26" a="1"/>
  <c r="M41" i="26" s="1"/>
  <c r="AP40" i="26" a="1"/>
  <c r="AP40" i="26" s="1"/>
  <c r="AF40" i="26" a="1"/>
  <c r="AF40" i="26" s="1"/>
  <c r="V40" i="26" a="1"/>
  <c r="V40" i="26" s="1"/>
  <c r="AY39" i="26" a="1"/>
  <c r="AY39" i="26" s="1"/>
  <c r="AO39" i="26" a="1"/>
  <c r="AO39" i="26" s="1"/>
  <c r="AE39" i="26" a="1"/>
  <c r="AE39" i="26" s="1"/>
  <c r="O39" i="26" a="1"/>
  <c r="O39" i="26" s="1"/>
  <c r="AX38" i="26" a="1"/>
  <c r="AX38" i="26" s="1"/>
  <c r="AN38" i="26" a="1"/>
  <c r="AN38" i="26" s="1"/>
  <c r="X38" i="26" a="1"/>
  <c r="X38" i="26" s="1"/>
  <c r="N38" i="26" a="1"/>
  <c r="N38" i="26" s="1"/>
  <c r="AW37" i="26" a="1"/>
  <c r="AW37" i="26" s="1"/>
  <c r="AG37" i="26" a="1"/>
  <c r="AG37" i="26" s="1"/>
  <c r="W37" i="26" a="1"/>
  <c r="W37" i="26" s="1"/>
  <c r="M37" i="26" a="1"/>
  <c r="M37" i="26" s="1"/>
  <c r="AP36" i="26" a="1"/>
  <c r="AP36" i="26" s="1"/>
  <c r="AF36" i="26" a="1"/>
  <c r="AF36" i="26" s="1"/>
  <c r="V36" i="26" a="1"/>
  <c r="V36" i="26" s="1"/>
  <c r="AY35" i="26" a="1"/>
  <c r="AY35" i="26" s="1"/>
  <c r="AO35" i="26" a="1"/>
  <c r="AO35" i="26" s="1"/>
  <c r="AE35" i="26" a="1"/>
  <c r="AE35" i="26" s="1"/>
  <c r="O35" i="26" a="1"/>
  <c r="O35" i="26" s="1"/>
  <c r="AX34" i="26" a="1"/>
  <c r="AX34" i="26" s="1"/>
  <c r="AO34" i="26" a="1"/>
  <c r="AO34" i="26" s="1"/>
  <c r="AW46" i="26" a="1"/>
  <c r="AW46" i="26" s="1"/>
  <c r="AG46" i="26" a="1"/>
  <c r="AG46" i="26" s="1"/>
  <c r="W46" i="26" a="1"/>
  <c r="W46" i="26" s="1"/>
  <c r="M46" i="26" a="1"/>
  <c r="M46" i="26" s="1"/>
  <c r="AP45" i="26" a="1"/>
  <c r="AP45" i="26" s="1"/>
  <c r="AF45" i="26" a="1"/>
  <c r="AF45" i="26" s="1"/>
  <c r="V45" i="26" a="1"/>
  <c r="V45" i="26" s="1"/>
  <c r="AY44" i="26" a="1"/>
  <c r="AY44" i="26" s="1"/>
  <c r="AO44" i="26" a="1"/>
  <c r="AO44" i="26" s="1"/>
  <c r="AE44" i="26" a="1"/>
  <c r="AE44" i="26" s="1"/>
  <c r="O44" i="26" a="1"/>
  <c r="O44" i="26" s="1"/>
  <c r="AX43" i="26" a="1"/>
  <c r="AX43" i="26" s="1"/>
  <c r="AN43" i="26" a="1"/>
  <c r="AN43" i="26" s="1"/>
  <c r="X43" i="26" a="1"/>
  <c r="X43" i="26" s="1"/>
  <c r="N43" i="26" a="1"/>
  <c r="N43" i="26" s="1"/>
  <c r="AW42" i="26" a="1"/>
  <c r="AW42" i="26" s="1"/>
  <c r="AG42" i="26" a="1"/>
  <c r="AG42" i="26" s="1"/>
  <c r="W42" i="26" a="1"/>
  <c r="W42" i="26" s="1"/>
  <c r="M42" i="26" a="1"/>
  <c r="M42" i="26" s="1"/>
  <c r="AP41" i="26" a="1"/>
  <c r="AP41" i="26" s="1"/>
  <c r="AF41" i="26" a="1"/>
  <c r="AF41" i="26" s="1"/>
  <c r="V41" i="26" a="1"/>
  <c r="V41" i="26" s="1"/>
  <c r="AY40" i="26" a="1"/>
  <c r="AY40" i="26" s="1"/>
  <c r="AO40" i="26" a="1"/>
  <c r="AO40" i="26" s="1"/>
  <c r="AE40" i="26" a="1"/>
  <c r="AE40" i="26" s="1"/>
  <c r="O40" i="26" a="1"/>
  <c r="O40" i="26" s="1"/>
  <c r="AX39" i="26" a="1"/>
  <c r="AX39" i="26" s="1"/>
  <c r="AN39" i="26" a="1"/>
  <c r="AN39" i="26" s="1"/>
  <c r="X39" i="26" a="1"/>
  <c r="X39" i="26" s="1"/>
  <c r="N39" i="26" a="1"/>
  <c r="N39" i="26" s="1"/>
  <c r="AW38" i="26" a="1"/>
  <c r="AW38" i="26" s="1"/>
  <c r="AG38" i="26" a="1"/>
  <c r="AG38" i="26" s="1"/>
  <c r="W38" i="26" a="1"/>
  <c r="W38" i="26" s="1"/>
  <c r="M38" i="26" a="1"/>
  <c r="M38" i="26" s="1"/>
  <c r="AP37" i="26" a="1"/>
  <c r="AP37" i="26" s="1"/>
  <c r="AF37" i="26" a="1"/>
  <c r="AF37" i="26" s="1"/>
  <c r="V37" i="26" a="1"/>
  <c r="V37" i="26" s="1"/>
  <c r="AY36" i="26" a="1"/>
  <c r="AY36" i="26" s="1"/>
  <c r="AO36" i="26" a="1"/>
  <c r="AO36" i="26" s="1"/>
  <c r="AE36" i="26" a="1"/>
  <c r="AE36" i="26" s="1"/>
  <c r="O36" i="26" a="1"/>
  <c r="O36" i="26" s="1"/>
  <c r="AX35" i="26" a="1"/>
  <c r="AX35" i="26" s="1"/>
  <c r="AN35" i="26" a="1"/>
  <c r="AN35" i="26" s="1"/>
  <c r="X35" i="26" a="1"/>
  <c r="X35" i="26" s="1"/>
  <c r="N35" i="26" a="1"/>
  <c r="N35" i="26" s="1"/>
  <c r="AW34" i="26" a="1"/>
  <c r="AW34" i="26" s="1"/>
  <c r="AP46" i="26" a="1"/>
  <c r="AP46" i="26" s="1"/>
  <c r="AF46" i="26" a="1"/>
  <c r="AF46" i="26" s="1"/>
  <c r="V46" i="26" a="1"/>
  <c r="V46" i="26" s="1"/>
  <c r="AY45" i="26" a="1"/>
  <c r="AY45" i="26" s="1"/>
  <c r="AO45" i="26" a="1"/>
  <c r="AO45" i="26" s="1"/>
  <c r="AE45" i="26" a="1"/>
  <c r="AE45" i="26" s="1"/>
  <c r="O45" i="26" a="1"/>
  <c r="O45" i="26" s="1"/>
  <c r="AX44" i="26" a="1"/>
  <c r="AX44" i="26" s="1"/>
  <c r="AN44" i="26" a="1"/>
  <c r="AN44" i="26" s="1"/>
  <c r="X44" i="26" a="1"/>
  <c r="X44" i="26" s="1"/>
  <c r="N44" i="26" a="1"/>
  <c r="N44" i="26" s="1"/>
  <c r="AW43" i="26" a="1"/>
  <c r="AW43" i="26" s="1"/>
  <c r="AG43" i="26" a="1"/>
  <c r="AG43" i="26" s="1"/>
  <c r="W43" i="26" a="1"/>
  <c r="W43" i="26" s="1"/>
  <c r="M43" i="26" a="1"/>
  <c r="M43" i="26" s="1"/>
  <c r="AP42" i="26" a="1"/>
  <c r="AP42" i="26" s="1"/>
  <c r="AF42" i="26" a="1"/>
  <c r="AF42" i="26" s="1"/>
  <c r="V42" i="26" a="1"/>
  <c r="V42" i="26" s="1"/>
  <c r="AY41" i="26" a="1"/>
  <c r="AY41" i="26" s="1"/>
  <c r="AO41" i="26" a="1"/>
  <c r="AO41" i="26" s="1"/>
  <c r="AE41" i="26" a="1"/>
  <c r="AE41" i="26" s="1"/>
  <c r="O41" i="26" a="1"/>
  <c r="O41" i="26" s="1"/>
  <c r="AX40" i="26" a="1"/>
  <c r="AX40" i="26" s="1"/>
  <c r="AN40" i="26" a="1"/>
  <c r="AN40" i="26" s="1"/>
  <c r="X40" i="26" a="1"/>
  <c r="X40" i="26" s="1"/>
  <c r="N40" i="26" a="1"/>
  <c r="N40" i="26" s="1"/>
  <c r="AW39" i="26" a="1"/>
  <c r="AW39" i="26" s="1"/>
  <c r="AG39" i="26" a="1"/>
  <c r="AG39" i="26" s="1"/>
  <c r="W39" i="26" a="1"/>
  <c r="W39" i="26" s="1"/>
  <c r="M39" i="26" a="1"/>
  <c r="M39" i="26" s="1"/>
  <c r="AP38" i="26" a="1"/>
  <c r="AP38" i="26" s="1"/>
  <c r="AF38" i="26" a="1"/>
  <c r="AF38" i="26" s="1"/>
  <c r="V38" i="26" a="1"/>
  <c r="V38" i="26" s="1"/>
  <c r="AY37" i="26" a="1"/>
  <c r="AY37" i="26" s="1"/>
  <c r="AO37" i="26" a="1"/>
  <c r="AO37" i="26" s="1"/>
  <c r="AE37" i="26" a="1"/>
  <c r="AE37" i="26" s="1"/>
  <c r="O37" i="26" a="1"/>
  <c r="O37" i="26" s="1"/>
  <c r="AX36" i="26" a="1"/>
  <c r="AX36" i="26" s="1"/>
  <c r="AN36" i="26" a="1"/>
  <c r="AN36" i="26" s="1"/>
  <c r="X36" i="26" a="1"/>
  <c r="X36" i="26" s="1"/>
  <c r="N36" i="26" a="1"/>
  <c r="N36" i="26" s="1"/>
  <c r="AW35" i="26" a="1"/>
  <c r="AW35" i="26" s="1"/>
  <c r="AG35" i="26" a="1"/>
  <c r="AG35" i="26" s="1"/>
  <c r="W35" i="26" a="1"/>
  <c r="W35" i="26" s="1"/>
  <c r="M35" i="26" a="1"/>
  <c r="M35" i="26" s="1"/>
  <c r="AP34" i="26" a="1"/>
  <c r="AP34" i="26" s="1"/>
  <c r="AY46" i="26" a="1"/>
  <c r="AY46" i="26" s="1"/>
  <c r="AO46" i="26" a="1"/>
  <c r="AO46" i="26" s="1"/>
  <c r="AE46" i="26" a="1"/>
  <c r="AE46" i="26" s="1"/>
  <c r="O46" i="26" a="1"/>
  <c r="O46" i="26" s="1"/>
  <c r="AX45" i="26" a="1"/>
  <c r="AX45" i="26" s="1"/>
  <c r="AN45" i="26" a="1"/>
  <c r="AN45" i="26" s="1"/>
  <c r="X45" i="26" a="1"/>
  <c r="X45" i="26" s="1"/>
  <c r="N45" i="26" a="1"/>
  <c r="N45" i="26" s="1"/>
  <c r="AW44" i="26" a="1"/>
  <c r="AW44" i="26" s="1"/>
  <c r="AG44" i="26" a="1"/>
  <c r="AG44" i="26" s="1"/>
  <c r="W44" i="26" a="1"/>
  <c r="W44" i="26" s="1"/>
  <c r="M44" i="26" a="1"/>
  <c r="M44" i="26" s="1"/>
  <c r="AP43" i="26" a="1"/>
  <c r="AP43" i="26" s="1"/>
  <c r="AF43" i="26" a="1"/>
  <c r="AF43" i="26" s="1"/>
  <c r="V43" i="26" a="1"/>
  <c r="V43" i="26" s="1"/>
  <c r="AY42" i="26" a="1"/>
  <c r="AY42" i="26" s="1"/>
  <c r="AO42" i="26" a="1"/>
  <c r="AO42" i="26" s="1"/>
  <c r="AE42" i="26" a="1"/>
  <c r="AE42" i="26" s="1"/>
  <c r="O42" i="26" a="1"/>
  <c r="O42" i="26" s="1"/>
  <c r="AX41" i="26" a="1"/>
  <c r="AX41" i="26" s="1"/>
  <c r="AN41" i="26" a="1"/>
  <c r="AN41" i="26" s="1"/>
  <c r="X41" i="26" a="1"/>
  <c r="X41" i="26" s="1"/>
  <c r="N41" i="26" a="1"/>
  <c r="N41" i="26" s="1"/>
  <c r="AW40" i="26" a="1"/>
  <c r="AW40" i="26" s="1"/>
  <c r="AG40" i="26" a="1"/>
  <c r="AG40" i="26" s="1"/>
  <c r="W40" i="26" a="1"/>
  <c r="W40" i="26" s="1"/>
  <c r="M40" i="26" a="1"/>
  <c r="M40" i="26" s="1"/>
  <c r="AP39" i="26" a="1"/>
  <c r="AP39" i="26" s="1"/>
  <c r="AF39" i="26" a="1"/>
  <c r="AF39" i="26" s="1"/>
  <c r="V39" i="26" a="1"/>
  <c r="V39" i="26" s="1"/>
  <c r="AY38" i="26" a="1"/>
  <c r="AY38" i="26" s="1"/>
  <c r="AO38" i="26" a="1"/>
  <c r="AO38" i="26" s="1"/>
  <c r="AE38" i="26" a="1"/>
  <c r="AE38" i="26" s="1"/>
  <c r="O38" i="26" a="1"/>
  <c r="O38" i="26" s="1"/>
  <c r="AX37" i="26" a="1"/>
  <c r="AX37" i="26" s="1"/>
  <c r="AN37" i="26" a="1"/>
  <c r="AN37" i="26" s="1"/>
  <c r="X37" i="26" a="1"/>
  <c r="X37" i="26" s="1"/>
  <c r="N37" i="26" a="1"/>
  <c r="N37" i="26" s="1"/>
  <c r="AW36" i="26" a="1"/>
  <c r="AW36" i="26" s="1"/>
  <c r="AG36" i="26" a="1"/>
  <c r="AG36" i="26" s="1"/>
  <c r="W36" i="26" a="1"/>
  <c r="W36" i="26" s="1"/>
  <c r="M36" i="26" a="1"/>
  <c r="M36" i="26" s="1"/>
  <c r="AP35" i="26" a="1"/>
  <c r="AP35" i="26" s="1"/>
  <c r="AF35" i="26" a="1"/>
  <c r="AF35" i="26" s="1"/>
  <c r="V35" i="26" a="1"/>
  <c r="V35" i="26" s="1"/>
  <c r="AY34" i="26" a="1"/>
  <c r="AY34" i="26" s="1"/>
  <c r="AN34" i="26" a="1"/>
  <c r="AN34" i="26" s="1"/>
  <c r="X34" i="26" a="1"/>
  <c r="X34" i="26" s="1"/>
  <c r="N34" i="26" a="1"/>
  <c r="N34" i="26" s="1"/>
  <c r="AW33" i="26" a="1"/>
  <c r="AW33" i="26" s="1"/>
  <c r="AN33" i="26" a="1"/>
  <c r="AN33" i="26" s="1"/>
  <c r="X33" i="26" a="1"/>
  <c r="X33" i="26" s="1"/>
  <c r="N33" i="26" a="1"/>
  <c r="N33" i="26" s="1"/>
  <c r="AW32" i="26" a="1"/>
  <c r="AW32" i="26" s="1"/>
  <c r="X32" i="26" a="1"/>
  <c r="X32" i="26" s="1"/>
  <c r="N32" i="26" a="1"/>
  <c r="N32" i="26" s="1"/>
  <c r="AW31" i="26" a="1"/>
  <c r="AW31" i="26" s="1"/>
  <c r="AG31" i="26" a="1"/>
  <c r="AG31" i="26" s="1"/>
  <c r="X31" i="26" a="1"/>
  <c r="X31" i="26" s="1"/>
  <c r="N31" i="26" a="1"/>
  <c r="N31" i="26" s="1"/>
  <c r="AW30" i="26" a="1"/>
  <c r="AW30" i="26" s="1"/>
  <c r="AG30" i="26" a="1"/>
  <c r="AG30" i="26" s="1"/>
  <c r="X30" i="26" a="1"/>
  <c r="X30" i="26" s="1"/>
  <c r="N30" i="26" a="1"/>
  <c r="N30" i="26" s="1"/>
  <c r="AW29" i="26" a="1"/>
  <c r="AW29" i="26" s="1"/>
  <c r="AG29" i="26" a="1"/>
  <c r="AG29" i="26" s="1"/>
  <c r="X29" i="26" a="1"/>
  <c r="X29" i="26" s="1"/>
  <c r="N29" i="26" a="1"/>
  <c r="N29" i="26" s="1"/>
  <c r="AW28" i="26" a="1"/>
  <c r="AW28" i="26" s="1"/>
  <c r="AG28" i="26" a="1"/>
  <c r="AG28" i="26" s="1"/>
  <c r="N28" i="26" a="1"/>
  <c r="N28" i="26" s="1"/>
  <c r="AW27" i="26" a="1"/>
  <c r="AW27" i="26" s="1"/>
  <c r="AG27" i="26" a="1"/>
  <c r="AG27" i="26" s="1"/>
  <c r="W27" i="26" a="1"/>
  <c r="W27" i="26" s="1"/>
  <c r="N27" i="26" a="1"/>
  <c r="N27" i="26" s="1"/>
  <c r="AW26" i="26" a="1"/>
  <c r="AW26" i="26" s="1"/>
  <c r="AG26" i="26" a="1"/>
  <c r="AG26" i="26" s="1"/>
  <c r="W26" i="26" a="1"/>
  <c r="W26" i="26" s="1"/>
  <c r="N26" i="26" a="1"/>
  <c r="N26" i="26" s="1"/>
  <c r="AW25" i="26" a="1"/>
  <c r="AW25" i="26" s="1"/>
  <c r="AG25" i="26" a="1"/>
  <c r="AG25" i="26" s="1"/>
  <c r="W25" i="26" a="1"/>
  <c r="W25" i="26" s="1"/>
  <c r="N25" i="26" a="1"/>
  <c r="N25" i="26" s="1"/>
  <c r="AW24" i="26" a="1"/>
  <c r="AW24" i="26" s="1"/>
  <c r="AG24" i="26" a="1"/>
  <c r="AG24" i="26" s="1"/>
  <c r="N24" i="26" a="1"/>
  <c r="N24" i="26" s="1"/>
  <c r="AW23" i="26" a="1"/>
  <c r="AW23" i="26" s="1"/>
  <c r="AN23" i="26" a="1"/>
  <c r="AN23" i="26" s="1"/>
  <c r="X23" i="26" a="1"/>
  <c r="X23" i="26" s="1"/>
  <c r="O23" i="26" a="1"/>
  <c r="O23" i="26" s="1"/>
  <c r="AX22" i="26" a="1"/>
  <c r="AX22" i="26" s="1"/>
  <c r="AN22" i="26" a="1"/>
  <c r="AN22" i="26" s="1"/>
  <c r="AE22" i="26" a="1"/>
  <c r="AE22" i="26" s="1"/>
  <c r="O22" i="26" a="1"/>
  <c r="O22" i="26" s="1"/>
  <c r="AX21" i="26" a="1"/>
  <c r="AX21" i="26" s="1"/>
  <c r="AN21" i="26" a="1"/>
  <c r="AN21" i="26" s="1"/>
  <c r="O21" i="26" a="1"/>
  <c r="O21" i="26" s="1"/>
  <c r="AX20" i="26" a="1"/>
  <c r="AX20" i="26" s="1"/>
  <c r="AO20" i="26" a="1"/>
  <c r="AO20" i="26" s="1"/>
  <c r="AE20" i="26" a="1"/>
  <c r="AE20" i="26" s="1"/>
  <c r="V20" i="26" a="1"/>
  <c r="V20" i="26" s="1"/>
  <c r="AY19" i="26" a="1"/>
  <c r="AY19" i="26" s="1"/>
  <c r="AP19" i="26" a="1"/>
  <c r="AP19" i="26" s="1"/>
  <c r="AF19" i="26" a="1"/>
  <c r="AF19" i="26" s="1"/>
  <c r="M19" i="26" a="1"/>
  <c r="M19" i="26" s="1"/>
  <c r="AP18" i="26" a="1"/>
  <c r="AP18" i="26" s="1"/>
  <c r="AG18" i="26" a="1"/>
  <c r="AG18" i="26" s="1"/>
  <c r="W18" i="26" a="1"/>
  <c r="W18" i="26" s="1"/>
  <c r="N18" i="26" a="1"/>
  <c r="N18" i="26" s="1"/>
  <c r="AW17" i="26" a="1"/>
  <c r="AW17" i="26" s="1"/>
  <c r="AN17" i="26" a="1"/>
  <c r="AN17" i="26" s="1"/>
  <c r="X17" i="26" a="1"/>
  <c r="X17" i="26" s="1"/>
  <c r="AX16" i="26" a="1"/>
  <c r="AX16" i="26" s="1"/>
  <c r="AN16" i="26" a="1"/>
  <c r="AN16" i="26" s="1"/>
  <c r="AE16" i="26" a="1"/>
  <c r="AE16" i="26" s="1"/>
  <c r="O16" i="26" a="1"/>
  <c r="O16" i="26" s="1"/>
  <c r="AW46" i="25" a="1"/>
  <c r="AW46" i="25" s="1"/>
  <c r="AP45" i="25" a="1"/>
  <c r="AP45" i="25" s="1"/>
  <c r="AO44" i="25" a="1"/>
  <c r="AO44" i="25" s="1"/>
  <c r="AW43" i="25" a="1"/>
  <c r="AW43" i="25" s="1"/>
  <c r="AP42" i="25" a="1"/>
  <c r="AP42" i="25" s="1"/>
  <c r="AO41" i="25" a="1"/>
  <c r="AO41" i="25" s="1"/>
  <c r="AN40" i="25" a="1"/>
  <c r="AN40" i="25" s="1"/>
  <c r="AG39" i="25" a="1"/>
  <c r="AG39" i="25" s="1"/>
  <c r="AF38" i="25" a="1"/>
  <c r="AF38" i="25" s="1"/>
  <c r="AE37" i="25" a="1"/>
  <c r="AE37" i="25" s="1"/>
  <c r="X36" i="25" a="1"/>
  <c r="X36" i="25" s="1"/>
  <c r="W35" i="25" a="1"/>
  <c r="W35" i="25" s="1"/>
  <c r="V34" i="25" a="1"/>
  <c r="V34" i="25" s="1"/>
  <c r="O33" i="25" a="1"/>
  <c r="O33" i="25" s="1"/>
  <c r="N32" i="25" a="1"/>
  <c r="N32" i="25" s="1"/>
  <c r="M31" i="25" a="1"/>
  <c r="M31" i="25" s="1"/>
  <c r="AY29" i="25" a="1"/>
  <c r="AY29" i="25" s="1"/>
  <c r="AX28" i="25" a="1"/>
  <c r="AX28" i="25" s="1"/>
  <c r="V28" i="25" a="1"/>
  <c r="V28" i="25" s="1"/>
  <c r="AX27" i="25" a="1"/>
  <c r="AX27" i="25" s="1"/>
  <c r="AN27" i="25" a="1"/>
  <c r="AN27" i="25" s="1"/>
  <c r="X27" i="25" a="1"/>
  <c r="X27" i="25" s="1"/>
  <c r="N27" i="25" a="1"/>
  <c r="N27" i="25" s="1"/>
  <c r="AW26" i="25" a="1"/>
  <c r="AW26" i="25" s="1"/>
  <c r="AG26" i="25" a="1"/>
  <c r="AG26" i="25" s="1"/>
  <c r="W26" i="25" a="1"/>
  <c r="W26" i="25" s="1"/>
  <c r="M26" i="25" a="1"/>
  <c r="M26" i="25" s="1"/>
  <c r="AP25" i="25" a="1"/>
  <c r="AP25" i="25" s="1"/>
  <c r="AF25" i="25" a="1"/>
  <c r="AF25" i="25" s="1"/>
  <c r="V25" i="25" a="1"/>
  <c r="V25" i="25" s="1"/>
  <c r="AY24" i="25" a="1"/>
  <c r="AY24" i="25" s="1"/>
  <c r="AO24" i="25" a="1"/>
  <c r="AO24" i="25" s="1"/>
  <c r="AE24" i="25" a="1"/>
  <c r="AE24" i="25" s="1"/>
  <c r="O24" i="25" a="1"/>
  <c r="O24" i="25" s="1"/>
  <c r="AX23" i="25" a="1"/>
  <c r="AX23" i="25" s="1"/>
  <c r="AN23" i="25" a="1"/>
  <c r="AN23" i="25" s="1"/>
  <c r="X23" i="25" a="1"/>
  <c r="X23" i="25" s="1"/>
  <c r="N23" i="25" a="1"/>
  <c r="N23" i="25" s="1"/>
  <c r="AW22" i="25" a="1"/>
  <c r="AW22" i="25" s="1"/>
  <c r="AG22" i="25" a="1"/>
  <c r="AG22" i="25" s="1"/>
  <c r="W22" i="25" a="1"/>
  <c r="W22" i="25" s="1"/>
  <c r="M22" i="25" a="1"/>
  <c r="M22" i="25" s="1"/>
  <c r="AP21" i="25" a="1"/>
  <c r="AP21" i="25" s="1"/>
  <c r="AF21" i="25" a="1"/>
  <c r="AF21" i="25" s="1"/>
  <c r="V21" i="25" a="1"/>
  <c r="V21" i="25" s="1"/>
  <c r="AG34" i="26" a="1"/>
  <c r="AG34" i="26" s="1"/>
  <c r="W34" i="26" a="1"/>
  <c r="W34" i="26" s="1"/>
  <c r="M34" i="26" a="1"/>
  <c r="M34" i="26" s="1"/>
  <c r="AP33" i="26" a="1"/>
  <c r="AP33" i="26" s="1"/>
  <c r="AG33" i="26" a="1"/>
  <c r="AG33" i="26" s="1"/>
  <c r="W33" i="26" a="1"/>
  <c r="W33" i="26" s="1"/>
  <c r="M33" i="26" a="1"/>
  <c r="M33" i="26" s="1"/>
  <c r="AP32" i="26" a="1"/>
  <c r="AP32" i="26" s="1"/>
  <c r="AG32" i="26" a="1"/>
  <c r="AG32" i="26" s="1"/>
  <c r="W32" i="26" a="1"/>
  <c r="W32" i="26" s="1"/>
  <c r="M32" i="26" a="1"/>
  <c r="M32" i="26" s="1"/>
  <c r="AP31" i="26" a="1"/>
  <c r="AP31" i="26" s="1"/>
  <c r="W31" i="26" a="1"/>
  <c r="W31" i="26" s="1"/>
  <c r="M31" i="26" a="1"/>
  <c r="M31" i="26" s="1"/>
  <c r="AP30" i="26" a="1"/>
  <c r="AP30" i="26" s="1"/>
  <c r="AF30" i="26" a="1"/>
  <c r="AF30" i="26" s="1"/>
  <c r="W30" i="26" a="1"/>
  <c r="W30" i="26" s="1"/>
  <c r="M30" i="26" a="1"/>
  <c r="M30" i="26" s="1"/>
  <c r="AP29" i="26" a="1"/>
  <c r="AP29" i="26" s="1"/>
  <c r="AF29" i="26" a="1"/>
  <c r="AF29" i="26" s="1"/>
  <c r="W29" i="26" a="1"/>
  <c r="W29" i="26" s="1"/>
  <c r="M29" i="26" a="1"/>
  <c r="M29" i="26" s="1"/>
  <c r="AP28" i="26" a="1"/>
  <c r="AP28" i="26" s="1"/>
  <c r="AF28" i="26" a="1"/>
  <c r="AF28" i="26" s="1"/>
  <c r="W28" i="26" a="1"/>
  <c r="W28" i="26" s="1"/>
  <c r="M28" i="26" a="1"/>
  <c r="M28" i="26" s="1"/>
  <c r="AP27" i="26" a="1"/>
  <c r="AP27" i="26" s="1"/>
  <c r="AF27" i="26" a="1"/>
  <c r="AF27" i="26" s="1"/>
  <c r="M27" i="26" a="1"/>
  <c r="M27" i="26" s="1"/>
  <c r="AP26" i="26" a="1"/>
  <c r="AP26" i="26" s="1"/>
  <c r="AF26" i="26" a="1"/>
  <c r="AF26" i="26" s="1"/>
  <c r="V26" i="26" a="1"/>
  <c r="V26" i="26" s="1"/>
  <c r="M26" i="26" a="1"/>
  <c r="M26" i="26" s="1"/>
  <c r="AP25" i="26" a="1"/>
  <c r="AP25" i="26" s="1"/>
  <c r="AF25" i="26" a="1"/>
  <c r="AF25" i="26" s="1"/>
  <c r="V25" i="26" a="1"/>
  <c r="V25" i="26" s="1"/>
  <c r="M25" i="26" a="1"/>
  <c r="M25" i="26" s="1"/>
  <c r="AP24" i="26" a="1"/>
  <c r="AP24" i="26" s="1"/>
  <c r="AF24" i="26" a="1"/>
  <c r="AF24" i="26" s="1"/>
  <c r="W24" i="26" a="1"/>
  <c r="W24" i="26" s="1"/>
  <c r="M24" i="26" a="1"/>
  <c r="M24" i="26" s="1"/>
  <c r="AG23" i="26" a="1"/>
  <c r="AG23" i="26" s="1"/>
  <c r="W23" i="26" a="1"/>
  <c r="W23" i="26" s="1"/>
  <c r="N23" i="26" a="1"/>
  <c r="N23" i="26" s="1"/>
  <c r="AW22" i="26" a="1"/>
  <c r="AW22" i="26" s="1"/>
  <c r="AG22" i="26" a="1"/>
  <c r="AG22" i="26" s="1"/>
  <c r="X22" i="26" a="1"/>
  <c r="X22" i="26" s="1"/>
  <c r="N22" i="26" a="1"/>
  <c r="N22" i="26" s="1"/>
  <c r="AW21" i="26" a="1"/>
  <c r="AW21" i="26" s="1"/>
  <c r="AG21" i="26" a="1"/>
  <c r="AG21" i="26" s="1"/>
  <c r="X21" i="26" a="1"/>
  <c r="X21" i="26" s="1"/>
  <c r="N21" i="26" a="1"/>
  <c r="N21" i="26" s="1"/>
  <c r="AN20" i="26" a="1"/>
  <c r="AN20" i="26" s="1"/>
  <c r="X20" i="26" a="1"/>
  <c r="X20" i="26" s="1"/>
  <c r="O20" i="26" a="1"/>
  <c r="O20" i="26" s="1"/>
  <c r="AX19" i="26" a="1"/>
  <c r="AX19" i="26" s="1"/>
  <c r="AO19" i="26" a="1"/>
  <c r="AO19" i="26" s="1"/>
  <c r="AE19" i="26" a="1"/>
  <c r="AE19" i="26" s="1"/>
  <c r="V19" i="26" a="1"/>
  <c r="V19" i="26" s="1"/>
  <c r="AY18" i="26" a="1"/>
  <c r="AY18" i="26" s="1"/>
  <c r="AF18" i="26" a="1"/>
  <c r="AF18" i="26" s="1"/>
  <c r="V18" i="26" a="1"/>
  <c r="V18" i="26" s="1"/>
  <c r="M18" i="26" a="1"/>
  <c r="M18" i="26" s="1"/>
  <c r="AP17" i="26" a="1"/>
  <c r="AP17" i="26" s="1"/>
  <c r="AG17" i="26" a="1"/>
  <c r="AG17" i="26" s="1"/>
  <c r="W17" i="26" a="1"/>
  <c r="W17" i="26" s="1"/>
  <c r="N17" i="26" a="1"/>
  <c r="N17" i="26" s="1"/>
  <c r="AW16" i="26" a="1"/>
  <c r="AW16" i="26" s="1"/>
  <c r="X16" i="26" a="1"/>
  <c r="X16" i="26" s="1"/>
  <c r="N16" i="26" a="1"/>
  <c r="N16" i="26" s="1"/>
  <c r="AN46" i="25" a="1"/>
  <c r="AN46" i="25" s="1"/>
  <c r="AG45" i="25" a="1"/>
  <c r="AG45" i="25" s="1"/>
  <c r="AF44" i="25" a="1"/>
  <c r="AF44" i="25" s="1"/>
  <c r="AG43" i="25" a="1"/>
  <c r="AG43" i="25" s="1"/>
  <c r="AF42" i="25" a="1"/>
  <c r="AF42" i="25" s="1"/>
  <c r="AE41" i="25" a="1"/>
  <c r="AE41" i="25" s="1"/>
  <c r="X40" i="25" a="1"/>
  <c r="X40" i="25" s="1"/>
  <c r="W39" i="25" a="1"/>
  <c r="W39" i="25" s="1"/>
  <c r="W38" i="25" a="1"/>
  <c r="W38" i="25" s="1"/>
  <c r="V37" i="25" a="1"/>
  <c r="V37" i="25" s="1"/>
  <c r="O36" i="25" a="1"/>
  <c r="O36" i="25" s="1"/>
  <c r="N35" i="25" a="1"/>
  <c r="N35" i="25" s="1"/>
  <c r="M34" i="25" a="1"/>
  <c r="M34" i="25" s="1"/>
  <c r="AY32" i="25" a="1"/>
  <c r="AY32" i="25" s="1"/>
  <c r="AX31" i="25" a="1"/>
  <c r="AX31" i="25" s="1"/>
  <c r="AW30" i="25" a="1"/>
  <c r="AW30" i="25" s="1"/>
  <c r="AP29" i="25" a="1"/>
  <c r="AP29" i="25" s="1"/>
  <c r="AO28" i="25" a="1"/>
  <c r="AO28" i="25" s="1"/>
  <c r="N28" i="25" a="1"/>
  <c r="N28" i="25" s="1"/>
  <c r="AW27" i="25" a="1"/>
  <c r="AW27" i="25" s="1"/>
  <c r="AG27" i="25" a="1"/>
  <c r="AG27" i="25" s="1"/>
  <c r="W27" i="25" a="1"/>
  <c r="W27" i="25" s="1"/>
  <c r="M27" i="25" a="1"/>
  <c r="M27" i="25" s="1"/>
  <c r="AP26" i="25" a="1"/>
  <c r="AP26" i="25" s="1"/>
  <c r="AF26" i="25" a="1"/>
  <c r="AF26" i="25" s="1"/>
  <c r="V26" i="25" a="1"/>
  <c r="V26" i="25" s="1"/>
  <c r="AY25" i="25" a="1"/>
  <c r="AY25" i="25" s="1"/>
  <c r="AO25" i="25" a="1"/>
  <c r="AO25" i="25" s="1"/>
  <c r="AE25" i="25" a="1"/>
  <c r="AE25" i="25" s="1"/>
  <c r="O25" i="25" a="1"/>
  <c r="O25" i="25" s="1"/>
  <c r="AX24" i="25" a="1"/>
  <c r="AX24" i="25" s="1"/>
  <c r="AN24" i="25" a="1"/>
  <c r="AN24" i="25" s="1"/>
  <c r="X24" i="25" a="1"/>
  <c r="X24" i="25" s="1"/>
  <c r="N24" i="25" a="1"/>
  <c r="N24" i="25" s="1"/>
  <c r="AW23" i="25" a="1"/>
  <c r="AW23" i="25" s="1"/>
  <c r="AG23" i="25" a="1"/>
  <c r="AG23" i="25" s="1"/>
  <c r="W23" i="25" a="1"/>
  <c r="W23" i="25" s="1"/>
  <c r="M23" i="25" a="1"/>
  <c r="M23" i="25" s="1"/>
  <c r="AP22" i="25" a="1"/>
  <c r="AP22" i="25" s="1"/>
  <c r="AF22" i="25" a="1"/>
  <c r="AF22" i="25" s="1"/>
  <c r="V22" i="25" a="1"/>
  <c r="V22" i="25" s="1"/>
  <c r="AY21" i="25" a="1"/>
  <c r="AY21" i="25" s="1"/>
  <c r="AO21" i="25" a="1"/>
  <c r="AO21" i="25" s="1"/>
  <c r="AE21" i="25" a="1"/>
  <c r="AE21" i="25" s="1"/>
  <c r="O21" i="25" a="1"/>
  <c r="O21" i="25" s="1"/>
  <c r="AF34" i="26" a="1"/>
  <c r="AF34" i="26" s="1"/>
  <c r="V34" i="26" a="1"/>
  <c r="V34" i="26" s="1"/>
  <c r="AY33" i="26" a="1"/>
  <c r="AY33" i="26" s="1"/>
  <c r="AO33" i="26" a="1"/>
  <c r="AO33" i="26" s="1"/>
  <c r="AF33" i="26" a="1"/>
  <c r="AF33" i="26" s="1"/>
  <c r="V33" i="26" a="1"/>
  <c r="V33" i="26" s="1"/>
  <c r="AY32" i="26" a="1"/>
  <c r="AY32" i="26" s="1"/>
  <c r="AO32" i="26" a="1"/>
  <c r="AO32" i="26" s="1"/>
  <c r="AF32" i="26" a="1"/>
  <c r="AF32" i="26" s="1"/>
  <c r="V32" i="26" a="1"/>
  <c r="V32" i="26" s="1"/>
  <c r="AY31" i="26" a="1"/>
  <c r="AY31" i="26" s="1"/>
  <c r="AO31" i="26" a="1"/>
  <c r="AO31" i="26" s="1"/>
  <c r="AF31" i="26" a="1"/>
  <c r="AF31" i="26" s="1"/>
  <c r="V31" i="26" a="1"/>
  <c r="V31" i="26" s="1"/>
  <c r="AY30" i="26" a="1"/>
  <c r="AY30" i="26" s="1"/>
  <c r="AO30" i="26" a="1"/>
  <c r="AO30" i="26" s="1"/>
  <c r="V30" i="26" a="1"/>
  <c r="V30" i="26" s="1"/>
  <c r="AY29" i="26" a="1"/>
  <c r="AY29" i="26" s="1"/>
  <c r="AO29" i="26" a="1"/>
  <c r="AO29" i="26" s="1"/>
  <c r="AE29" i="26" a="1"/>
  <c r="AE29" i="26" s="1"/>
  <c r="V29" i="26" a="1"/>
  <c r="V29" i="26" s="1"/>
  <c r="AY28" i="26" a="1"/>
  <c r="AY28" i="26" s="1"/>
  <c r="AO28" i="26" a="1"/>
  <c r="AO28" i="26" s="1"/>
  <c r="AE28" i="26" a="1"/>
  <c r="AE28" i="26" s="1"/>
  <c r="V28" i="26" a="1"/>
  <c r="V28" i="26" s="1"/>
  <c r="AY27" i="26" a="1"/>
  <c r="AY27" i="26" s="1"/>
  <c r="AO27" i="26" a="1"/>
  <c r="AO27" i="26" s="1"/>
  <c r="AE27" i="26" a="1"/>
  <c r="AE27" i="26" s="1"/>
  <c r="V27" i="26" a="1"/>
  <c r="V27" i="26" s="1"/>
  <c r="AY26" i="26" a="1"/>
  <c r="AY26" i="26" s="1"/>
  <c r="AO26" i="26" a="1"/>
  <c r="AO26" i="26" s="1"/>
  <c r="AE26" i="26" a="1"/>
  <c r="AE26" i="26" s="1"/>
  <c r="AY25" i="26" a="1"/>
  <c r="AY25" i="26" s="1"/>
  <c r="AO25" i="26" a="1"/>
  <c r="AO25" i="26" s="1"/>
  <c r="AE25" i="26" a="1"/>
  <c r="AE25" i="26" s="1"/>
  <c r="O25" i="26" a="1"/>
  <c r="O25" i="26" s="1"/>
  <c r="AY24" i="26" a="1"/>
  <c r="AY24" i="26" s="1"/>
  <c r="AO24" i="26" a="1"/>
  <c r="AO24" i="26" s="1"/>
  <c r="AE24" i="26" a="1"/>
  <c r="AE24" i="26" s="1"/>
  <c r="V24" i="26" a="1"/>
  <c r="V24" i="26" s="1"/>
  <c r="AY23" i="26" a="1"/>
  <c r="AY23" i="26" s="1"/>
  <c r="AP23" i="26" a="1"/>
  <c r="AP23" i="26" s="1"/>
  <c r="AF23" i="26" a="1"/>
  <c r="AF23" i="26" s="1"/>
  <c r="M23" i="26" a="1"/>
  <c r="M23" i="26" s="1"/>
  <c r="AP22" i="26" a="1"/>
  <c r="AP22" i="26" s="1"/>
  <c r="AF22" i="26" a="1"/>
  <c r="AF22" i="26" s="1"/>
  <c r="W22" i="26" a="1"/>
  <c r="W22" i="26" s="1"/>
  <c r="M22" i="26" a="1"/>
  <c r="M22" i="26" s="1"/>
  <c r="AP21" i="26" a="1"/>
  <c r="AP21" i="26" s="1"/>
  <c r="AF21" i="26" a="1"/>
  <c r="AF21" i="26" s="1"/>
  <c r="W21" i="26" a="1"/>
  <c r="W21" i="26" s="1"/>
  <c r="M21" i="26" a="1"/>
  <c r="M21" i="26" s="1"/>
  <c r="AW20" i="26" a="1"/>
  <c r="AW20" i="26" s="1"/>
  <c r="AG20" i="26" a="1"/>
  <c r="AG20" i="26" s="1"/>
  <c r="N20" i="26" a="1"/>
  <c r="N20" i="26" s="1"/>
  <c r="AW19" i="26" a="1"/>
  <c r="AW19" i="26" s="1"/>
  <c r="AN19" i="26" a="1"/>
  <c r="AN19" i="26" s="1"/>
  <c r="X19" i="26" a="1"/>
  <c r="X19" i="26" s="1"/>
  <c r="O19" i="26" a="1"/>
  <c r="O19" i="26" s="1"/>
  <c r="AX18" i="26" a="1"/>
  <c r="AX18" i="26" s="1"/>
  <c r="AO18" i="26" a="1"/>
  <c r="AO18" i="26" s="1"/>
  <c r="AE18" i="26" a="1"/>
  <c r="AE18" i="26" s="1"/>
  <c r="AY17" i="26" a="1"/>
  <c r="AY17" i="26" s="1"/>
  <c r="AO17" i="26" a="1"/>
  <c r="AO17" i="26" s="1"/>
  <c r="AF17" i="26" a="1"/>
  <c r="AF17" i="26" s="1"/>
  <c r="V17" i="26" a="1"/>
  <c r="V17" i="26" s="1"/>
  <c r="M17" i="26" a="1"/>
  <c r="M17" i="26" s="1"/>
  <c r="AP16" i="26" a="1"/>
  <c r="AP16" i="26" s="1"/>
  <c r="AG16" i="26" a="1"/>
  <c r="AG16" i="26" s="1"/>
  <c r="W16" i="26" a="1"/>
  <c r="W16" i="26" s="1"/>
  <c r="AE46" i="25" a="1"/>
  <c r="AE46" i="25" s="1"/>
  <c r="X45" i="25" a="1"/>
  <c r="X45" i="25" s="1"/>
  <c r="W44" i="25" a="1"/>
  <c r="W44" i="25" s="1"/>
  <c r="W43" i="25" a="1"/>
  <c r="W43" i="25" s="1"/>
  <c r="V42" i="25" a="1"/>
  <c r="V42" i="25" s="1"/>
  <c r="O41" i="25" a="1"/>
  <c r="O41" i="25" s="1"/>
  <c r="N40" i="25" a="1"/>
  <c r="N40" i="25" s="1"/>
  <c r="M39" i="25" a="1"/>
  <c r="M39" i="25" s="1"/>
  <c r="AW37" i="25" a="1"/>
  <c r="AW37" i="25" s="1"/>
  <c r="AE34" i="26" a="1"/>
  <c r="AE34" i="26" s="1"/>
  <c r="O34" i="26" a="1"/>
  <c r="O34" i="26" s="1"/>
  <c r="AX33" i="26" a="1"/>
  <c r="AX33" i="26" s="1"/>
  <c r="AE33" i="26" a="1"/>
  <c r="AE33" i="26" s="1"/>
  <c r="O33" i="26" a="1"/>
  <c r="O33" i="26" s="1"/>
  <c r="AX32" i="26" a="1"/>
  <c r="AX32" i="26" s="1"/>
  <c r="AN32" i="26" a="1"/>
  <c r="AN32" i="26" s="1"/>
  <c r="AE32" i="26" a="1"/>
  <c r="AE32" i="26" s="1"/>
  <c r="O32" i="26" a="1"/>
  <c r="O32" i="26" s="1"/>
  <c r="AX31" i="26" a="1"/>
  <c r="AX31" i="26" s="1"/>
  <c r="AN31" i="26" a="1"/>
  <c r="AN31" i="26" s="1"/>
  <c r="AE31" i="26" a="1"/>
  <c r="AE31" i="26" s="1"/>
  <c r="O31" i="26" a="1"/>
  <c r="O31" i="26" s="1"/>
  <c r="AX30" i="26" a="1"/>
  <c r="AX30" i="26" s="1"/>
  <c r="AN30" i="26" a="1"/>
  <c r="AN30" i="26" s="1"/>
  <c r="AE30" i="26" a="1"/>
  <c r="AE30" i="26" s="1"/>
  <c r="O30" i="26" a="1"/>
  <c r="O30" i="26" s="1"/>
  <c r="AX29" i="26" a="1"/>
  <c r="AX29" i="26" s="1"/>
  <c r="AN29" i="26" a="1"/>
  <c r="AN29" i="26" s="1"/>
  <c r="O29" i="26" a="1"/>
  <c r="O29" i="26" s="1"/>
  <c r="AX28" i="26" a="1"/>
  <c r="AX28" i="26" s="1"/>
  <c r="AN28" i="26" a="1"/>
  <c r="AN28" i="26" s="1"/>
  <c r="X28" i="26" a="1"/>
  <c r="X28" i="26" s="1"/>
  <c r="O28" i="26" a="1"/>
  <c r="O28" i="26" s="1"/>
  <c r="AX27" i="26" a="1"/>
  <c r="AX27" i="26" s="1"/>
  <c r="AN27" i="26" a="1"/>
  <c r="AN27" i="26" s="1"/>
  <c r="X27" i="26" a="1"/>
  <c r="X27" i="26" s="1"/>
  <c r="O27" i="26" a="1"/>
  <c r="O27" i="26" s="1"/>
  <c r="AX26" i="26" a="1"/>
  <c r="AX26" i="26" s="1"/>
  <c r="AN26" i="26" a="1"/>
  <c r="AN26" i="26" s="1"/>
  <c r="X26" i="26" a="1"/>
  <c r="X26" i="26" s="1"/>
  <c r="O26" i="26" a="1"/>
  <c r="O26" i="26" s="1"/>
  <c r="AX25" i="26" a="1"/>
  <c r="AX25" i="26" s="1"/>
  <c r="AN25" i="26" a="1"/>
  <c r="AN25" i="26" s="1"/>
  <c r="X25" i="26" a="1"/>
  <c r="X25" i="26" s="1"/>
  <c r="AX24" i="26" a="1"/>
  <c r="AX24" i="26" s="1"/>
  <c r="AN24" i="26" a="1"/>
  <c r="AN24" i="26" s="1"/>
  <c r="X24" i="26" a="1"/>
  <c r="X24" i="26" s="1"/>
  <c r="O24" i="26" a="1"/>
  <c r="O24" i="26" s="1"/>
  <c r="AX23" i="26" a="1"/>
  <c r="AX23" i="26" s="1"/>
  <c r="AO23" i="26" a="1"/>
  <c r="AO23" i="26" s="1"/>
  <c r="AE23" i="26" a="1"/>
  <c r="AE23" i="26" s="1"/>
  <c r="V23" i="26" a="1"/>
  <c r="V23" i="26" s="1"/>
  <c r="AY22" i="26" a="1"/>
  <c r="AY22" i="26" s="1"/>
  <c r="AO22" i="26" a="1"/>
  <c r="AO22" i="26" s="1"/>
  <c r="V22" i="26" a="1"/>
  <c r="V22" i="26" s="1"/>
  <c r="AY21" i="26" a="1"/>
  <c r="AY21" i="26" s="1"/>
  <c r="AO21" i="26" a="1"/>
  <c r="AO21" i="26" s="1"/>
  <c r="AE21" i="26" a="1"/>
  <c r="AE21" i="26" s="1"/>
  <c r="V21" i="26" a="1"/>
  <c r="V21" i="26" s="1"/>
  <c r="AY20" i="26" a="1"/>
  <c r="AY20" i="26" s="1"/>
  <c r="AP20" i="26" a="1"/>
  <c r="AP20" i="26" s="1"/>
  <c r="AF20" i="26" a="1"/>
  <c r="AF20" i="26" s="1"/>
  <c r="W20" i="26" a="1"/>
  <c r="W20" i="26" s="1"/>
  <c r="M20" i="26" a="1"/>
  <c r="M20" i="26" s="1"/>
  <c r="AG19" i="26" a="1"/>
  <c r="AG19" i="26" s="1"/>
  <c r="W19" i="26" a="1"/>
  <c r="W19" i="26" s="1"/>
  <c r="N19" i="26" a="1"/>
  <c r="N19" i="26" s="1"/>
  <c r="AW18" i="26" a="1"/>
  <c r="AW18" i="26" s="1"/>
  <c r="AN18" i="26" a="1"/>
  <c r="AN18" i="26" s="1"/>
  <c r="X18" i="26" a="1"/>
  <c r="X18" i="26" s="1"/>
  <c r="O18" i="26" a="1"/>
  <c r="O18" i="26" s="1"/>
  <c r="AX17" i="26" a="1"/>
  <c r="AX17" i="26" s="1"/>
  <c r="AE17" i="26" a="1"/>
  <c r="AE17" i="26" s="1"/>
  <c r="O17" i="26" a="1"/>
  <c r="O17" i="26" s="1"/>
  <c r="AY16" i="26" a="1"/>
  <c r="AY16" i="26" s="1"/>
  <c r="AO16" i="26" a="1"/>
  <c r="AO16" i="26" s="1"/>
  <c r="AF16" i="26" a="1"/>
  <c r="AF16" i="26" s="1"/>
  <c r="V16" i="26" a="1"/>
  <c r="V16" i="26" s="1"/>
  <c r="M16" i="26" a="1"/>
  <c r="M16" i="26" s="1"/>
  <c r="V46" i="25" a="1"/>
  <c r="V46" i="25" s="1"/>
  <c r="O45" i="25" a="1"/>
  <c r="O45" i="25" s="1"/>
  <c r="N44" i="25" a="1"/>
  <c r="N44" i="25" s="1"/>
  <c r="M43" i="25" a="1"/>
  <c r="M43" i="25" s="1"/>
  <c r="AY41" i="25" a="1"/>
  <c r="AY41" i="25" s="1"/>
  <c r="AX40" i="25" a="1"/>
  <c r="AX40" i="25" s="1"/>
  <c r="AW39" i="25" a="1"/>
  <c r="AW39" i="25" s="1"/>
  <c r="AP38" i="25" a="1"/>
  <c r="AP38" i="25" s="1"/>
  <c r="AN37" i="25" a="1"/>
  <c r="AN37" i="25" s="1"/>
  <c r="AG36" i="25" a="1"/>
  <c r="AG36" i="25" s="1"/>
  <c r="AF35" i="25" a="1"/>
  <c r="AF35" i="25" s="1"/>
  <c r="AE34" i="25" a="1"/>
  <c r="AE34" i="25" s="1"/>
  <c r="X33" i="25" a="1"/>
  <c r="X33" i="25" s="1"/>
  <c r="W32" i="25" a="1"/>
  <c r="W32" i="25" s="1"/>
  <c r="V31" i="25" a="1"/>
  <c r="V31" i="25" s="1"/>
  <c r="O30" i="25" a="1"/>
  <c r="O30" i="25" s="1"/>
  <c r="N29" i="25" a="1"/>
  <c r="N29" i="25" s="1"/>
  <c r="W28" i="25" a="1"/>
  <c r="W28" i="25" s="1"/>
  <c r="AY27" i="25" a="1"/>
  <c r="AY27" i="25" s="1"/>
  <c r="AO27" i="25" a="1"/>
  <c r="AO27" i="25" s="1"/>
  <c r="AE27" i="25" a="1"/>
  <c r="AE27" i="25" s="1"/>
  <c r="O27" i="25" a="1"/>
  <c r="O27" i="25" s="1"/>
  <c r="AX26" i="25" a="1"/>
  <c r="AX26" i="25" s="1"/>
  <c r="AN26" i="25" a="1"/>
  <c r="AN26" i="25" s="1"/>
  <c r="X26" i="25" a="1"/>
  <c r="X26" i="25" s="1"/>
  <c r="N26" i="25" a="1"/>
  <c r="N26" i="25" s="1"/>
  <c r="AW25" i="25" a="1"/>
  <c r="AW25" i="25" s="1"/>
  <c r="AG25" i="25" a="1"/>
  <c r="AG25" i="25" s="1"/>
  <c r="W25" i="25" a="1"/>
  <c r="W25" i="25" s="1"/>
  <c r="M25" i="25" a="1"/>
  <c r="M25" i="25" s="1"/>
  <c r="AP24" i="25" a="1"/>
  <c r="AP24" i="25" s="1"/>
  <c r="AF24" i="25" a="1"/>
  <c r="AF24" i="25" s="1"/>
  <c r="V24" i="25" a="1"/>
  <c r="V24" i="25" s="1"/>
  <c r="AY23" i="25" a="1"/>
  <c r="AY23" i="25" s="1"/>
  <c r="AO23" i="25" a="1"/>
  <c r="AO23" i="25" s="1"/>
  <c r="AE23" i="25" a="1"/>
  <c r="AE23" i="25" s="1"/>
  <c r="O23" i="25" a="1"/>
  <c r="O23" i="25" s="1"/>
  <c r="AX22" i="25" a="1"/>
  <c r="AX22" i="25" s="1"/>
  <c r="AN22" i="25" a="1"/>
  <c r="AN22" i="25" s="1"/>
  <c r="X22" i="25" a="1"/>
  <c r="X22" i="25" s="1"/>
  <c r="N22" i="25" a="1"/>
  <c r="N22" i="25" s="1"/>
  <c r="AW21" i="25" a="1"/>
  <c r="AW21" i="25" s="1"/>
  <c r="AG21" i="25" a="1"/>
  <c r="AG21" i="25" s="1"/>
  <c r="AP36" i="25" a="1"/>
  <c r="AP36" i="25" s="1"/>
  <c r="AF32" i="25" a="1"/>
  <c r="AF32" i="25" s="1"/>
  <c r="AF28" i="25" a="1"/>
  <c r="AF28" i="25" s="1"/>
  <c r="V27" i="25" a="1"/>
  <c r="V27" i="25" s="1"/>
  <c r="O26" i="25" a="1"/>
  <c r="O26" i="25" s="1"/>
  <c r="N25" i="25" a="1"/>
  <c r="N25" i="25" s="1"/>
  <c r="M24" i="25" a="1"/>
  <c r="M24" i="25" s="1"/>
  <c r="AY22" i="25" a="1"/>
  <c r="AY22" i="25" s="1"/>
  <c r="AX21" i="25" a="1"/>
  <c r="AX21" i="25" s="1"/>
  <c r="N21" i="25" a="1"/>
  <c r="N21" i="25" s="1"/>
  <c r="AW20" i="25" a="1"/>
  <c r="AW20" i="25" s="1"/>
  <c r="AG20" i="25" a="1"/>
  <c r="AG20" i="25" s="1"/>
  <c r="W20" i="25" a="1"/>
  <c r="W20" i="25" s="1"/>
  <c r="M20" i="25" a="1"/>
  <c r="M20" i="25" s="1"/>
  <c r="AP19" i="25" a="1"/>
  <c r="AP19" i="25" s="1"/>
  <c r="AF19" i="25" a="1"/>
  <c r="AF19" i="25" s="1"/>
  <c r="V19" i="25" a="1"/>
  <c r="V19" i="25" s="1"/>
  <c r="AY18" i="25" a="1"/>
  <c r="AY18" i="25" s="1"/>
  <c r="AO18" i="25" a="1"/>
  <c r="AO18" i="25" s="1"/>
  <c r="AE18" i="25" a="1"/>
  <c r="AE18" i="25" s="1"/>
  <c r="O18" i="25" a="1"/>
  <c r="O18" i="25" s="1"/>
  <c r="AX17" i="25" a="1"/>
  <c r="AX17" i="25" s="1"/>
  <c r="AN17" i="25" a="1"/>
  <c r="AN17" i="25" s="1"/>
  <c r="X17" i="25" a="1"/>
  <c r="X17" i="25" s="1"/>
  <c r="N17" i="25" a="1"/>
  <c r="N17" i="25" s="1"/>
  <c r="AW16" i="25" a="1"/>
  <c r="AW16" i="25" s="1"/>
  <c r="AG16" i="25" a="1"/>
  <c r="AG16" i="25" s="1"/>
  <c r="W16" i="25" a="1"/>
  <c r="W16" i="25" s="1"/>
  <c r="M16" i="25" a="1"/>
  <c r="M16" i="25" s="1"/>
  <c r="N88" i="27" a="1"/>
  <c r="N88" i="27" s="1"/>
  <c r="G87" i="27" a="1"/>
  <c r="G87" i="27" s="1"/>
  <c r="N86" i="27" a="1"/>
  <c r="N86" i="27" s="1"/>
  <c r="G84" i="27" a="1"/>
  <c r="G84" i="27" s="1"/>
  <c r="N83" i="27" a="1"/>
  <c r="N83" i="27" s="1"/>
  <c r="G81" i="27" a="1"/>
  <c r="G81" i="27" s="1"/>
  <c r="N80" i="27" a="1"/>
  <c r="N80" i="27" s="1"/>
  <c r="G79" i="27" a="1"/>
  <c r="G79" i="27" s="1"/>
  <c r="N78" i="27" a="1"/>
  <c r="N78" i="27" s="1"/>
  <c r="H77" i="27" a="1"/>
  <c r="H77" i="27" s="1"/>
  <c r="G76" i="27" a="1"/>
  <c r="G76" i="27" s="1"/>
  <c r="N75" i="27" a="1"/>
  <c r="N75" i="27" s="1"/>
  <c r="G73" i="27" a="1"/>
  <c r="G73" i="27" s="1"/>
  <c r="N72" i="27" a="1"/>
  <c r="N72" i="27" s="1"/>
  <c r="G71" i="27" a="1"/>
  <c r="G71" i="27" s="1"/>
  <c r="N70" i="27" a="1"/>
  <c r="N70" i="27" s="1"/>
  <c r="N69" i="27" a="1"/>
  <c r="N69" i="27" s="1"/>
  <c r="H67" i="27" a="1"/>
  <c r="H67" i="27" s="1"/>
  <c r="AO35" i="25" a="1"/>
  <c r="AO35" i="25" s="1"/>
  <c r="AE31" i="25" a="1"/>
  <c r="AE31" i="25" s="1"/>
  <c r="M28" i="25" a="1"/>
  <c r="M28" i="25" s="1"/>
  <c r="AY26" i="25" a="1"/>
  <c r="AY26" i="25" s="1"/>
  <c r="AX25" i="25" a="1"/>
  <c r="AX25" i="25" s="1"/>
  <c r="AW24" i="25" a="1"/>
  <c r="AW24" i="25" s="1"/>
  <c r="AP23" i="25" a="1"/>
  <c r="AP23" i="25" s="1"/>
  <c r="AO22" i="25" a="1"/>
  <c r="AO22" i="25" s="1"/>
  <c r="AN21" i="25" a="1"/>
  <c r="AN21" i="25" s="1"/>
  <c r="M21" i="25" a="1"/>
  <c r="M21" i="25" s="1"/>
  <c r="AP20" i="25" a="1"/>
  <c r="AP20" i="25" s="1"/>
  <c r="AF20" i="25" a="1"/>
  <c r="AF20" i="25" s="1"/>
  <c r="V20" i="25" a="1"/>
  <c r="V20" i="25" s="1"/>
  <c r="AY19" i="25" a="1"/>
  <c r="AY19" i="25" s="1"/>
  <c r="AO19" i="25" a="1"/>
  <c r="AO19" i="25" s="1"/>
  <c r="AE19" i="25" a="1"/>
  <c r="AE19" i="25" s="1"/>
  <c r="O19" i="25" a="1"/>
  <c r="O19" i="25" s="1"/>
  <c r="AX18" i="25" a="1"/>
  <c r="AX18" i="25" s="1"/>
  <c r="AN18" i="25" a="1"/>
  <c r="AN18" i="25" s="1"/>
  <c r="X18" i="25" a="1"/>
  <c r="X18" i="25" s="1"/>
  <c r="N18" i="25" a="1"/>
  <c r="N18" i="25" s="1"/>
  <c r="AW17" i="25" a="1"/>
  <c r="AW17" i="25" s="1"/>
  <c r="AG17" i="25" a="1"/>
  <c r="AG17" i="25" s="1"/>
  <c r="W17" i="25" a="1"/>
  <c r="W17" i="25" s="1"/>
  <c r="M17" i="25" a="1"/>
  <c r="M17" i="25" s="1"/>
  <c r="AP16" i="25" a="1"/>
  <c r="AP16" i="25" s="1"/>
  <c r="AF16" i="25" a="1"/>
  <c r="AF16" i="25" s="1"/>
  <c r="V16" i="25" a="1"/>
  <c r="V16" i="25" s="1"/>
  <c r="G90" i="27" a="1"/>
  <c r="G90" i="27" s="1"/>
  <c r="N89" i="27" a="1"/>
  <c r="N89" i="27" s="1"/>
  <c r="H88" i="27" a="1"/>
  <c r="H88" i="27" s="1"/>
  <c r="H86" i="27" a="1"/>
  <c r="H86" i="27" s="1"/>
  <c r="H83" i="27" a="1"/>
  <c r="H83" i="27" s="1"/>
  <c r="G82" i="27" a="1"/>
  <c r="G82" i="27" s="1"/>
  <c r="N81" i="27" a="1"/>
  <c r="N81" i="27" s="1"/>
  <c r="H80" i="27" a="1"/>
  <c r="H80" i="27" s="1"/>
  <c r="H78" i="27" a="1"/>
  <c r="H78" i="27" s="1"/>
  <c r="H75" i="27" a="1"/>
  <c r="H75" i="27" s="1"/>
  <c r="G74" i="27" a="1"/>
  <c r="G74" i="27" s="1"/>
  <c r="N73" i="27" a="1"/>
  <c r="N73" i="27" s="1"/>
  <c r="H72" i="27" a="1"/>
  <c r="H72" i="27" s="1"/>
  <c r="H70" i="27" a="1"/>
  <c r="H70" i="27" s="1"/>
  <c r="H69" i="27" a="1"/>
  <c r="H69" i="27" s="1"/>
  <c r="N68" i="27" a="1"/>
  <c r="N68" i="27" s="1"/>
  <c r="AN34" i="25" a="1"/>
  <c r="AN34" i="25" s="1"/>
  <c r="X30" i="25" a="1"/>
  <c r="X30" i="25" s="1"/>
  <c r="AP27" i="25" a="1"/>
  <c r="AP27" i="25" s="1"/>
  <c r="AO26" i="25" a="1"/>
  <c r="AO26" i="25" s="1"/>
  <c r="AN25" i="25" a="1"/>
  <c r="AN25" i="25" s="1"/>
  <c r="AG24" i="25" a="1"/>
  <c r="AG24" i="25" s="1"/>
  <c r="AF23" i="25" a="1"/>
  <c r="AF23" i="25" s="1"/>
  <c r="AE22" i="25" a="1"/>
  <c r="AE22" i="25" s="1"/>
  <c r="X21" i="25" a="1"/>
  <c r="X21" i="25" s="1"/>
  <c r="AY20" i="25" a="1"/>
  <c r="AY20" i="25" s="1"/>
  <c r="AO20" i="25" a="1"/>
  <c r="AO20" i="25" s="1"/>
  <c r="AE20" i="25" a="1"/>
  <c r="AE20" i="25" s="1"/>
  <c r="O20" i="25" a="1"/>
  <c r="O20" i="25" s="1"/>
  <c r="AX19" i="25" a="1"/>
  <c r="AX19" i="25" s="1"/>
  <c r="AN19" i="25" a="1"/>
  <c r="AN19" i="25" s="1"/>
  <c r="X19" i="25" a="1"/>
  <c r="X19" i="25" s="1"/>
  <c r="N19" i="25" a="1"/>
  <c r="N19" i="25" s="1"/>
  <c r="AW18" i="25" a="1"/>
  <c r="AW18" i="25" s="1"/>
  <c r="AG18" i="25" a="1"/>
  <c r="AG18" i="25" s="1"/>
  <c r="W18" i="25" a="1"/>
  <c r="W18" i="25" s="1"/>
  <c r="M18" i="25" a="1"/>
  <c r="M18" i="25" s="1"/>
  <c r="AP17" i="25" a="1"/>
  <c r="AP17" i="25" s="1"/>
  <c r="AF17" i="25" a="1"/>
  <c r="AF17" i="25" s="1"/>
  <c r="V17" i="25" a="1"/>
  <c r="V17" i="25" s="1"/>
  <c r="AY16" i="25" a="1"/>
  <c r="AY16" i="25" s="1"/>
  <c r="AO16" i="25" a="1"/>
  <c r="AO16" i="25" s="1"/>
  <c r="AE16" i="25" a="1"/>
  <c r="AE16" i="25" s="1"/>
  <c r="O16" i="25" a="1"/>
  <c r="O16" i="25" s="1"/>
  <c r="N90" i="27" a="1"/>
  <c r="N90" i="27" s="1"/>
  <c r="H89" i="27" a="1"/>
  <c r="H89" i="27" s="1"/>
  <c r="G88" i="27" a="1"/>
  <c r="G88" i="27" s="1"/>
  <c r="N87" i="27" a="1"/>
  <c r="N87" i="27" s="1"/>
  <c r="G85" i="27" a="1"/>
  <c r="G85" i="27" s="1"/>
  <c r="N84" i="27" a="1"/>
  <c r="N84" i="27" s="1"/>
  <c r="G83" i="27" a="1"/>
  <c r="G83" i="27" s="1"/>
  <c r="N82" i="27" a="1"/>
  <c r="N82" i="27" s="1"/>
  <c r="H81" i="27" a="1"/>
  <c r="H81" i="27" s="1"/>
  <c r="G80" i="27" a="1"/>
  <c r="G80" i="27" s="1"/>
  <c r="N79" i="27" a="1"/>
  <c r="N79" i="27" s="1"/>
  <c r="G77" i="27" a="1"/>
  <c r="G77" i="27" s="1"/>
  <c r="N76" i="27" a="1"/>
  <c r="N76" i="27" s="1"/>
  <c r="G75" i="27" a="1"/>
  <c r="G75" i="27" s="1"/>
  <c r="N74" i="27" a="1"/>
  <c r="N74" i="27" s="1"/>
  <c r="H73" i="27" a="1"/>
  <c r="H73" i="27" s="1"/>
  <c r="G72" i="27" a="1"/>
  <c r="G72" i="27" s="1"/>
  <c r="N71" i="27" a="1"/>
  <c r="N71" i="27" s="1"/>
  <c r="H68" i="27" a="1"/>
  <c r="H68" i="27" s="1"/>
  <c r="N67" i="27" a="1"/>
  <c r="N67" i="27" s="1"/>
  <c r="AG33" i="25" a="1"/>
  <c r="AG33" i="25" s="1"/>
  <c r="W29" i="25" a="1"/>
  <c r="W29" i="25" s="1"/>
  <c r="AF27" i="25" a="1"/>
  <c r="AF27" i="25" s="1"/>
  <c r="AE26" i="25" a="1"/>
  <c r="AE26" i="25" s="1"/>
  <c r="X25" i="25" a="1"/>
  <c r="X25" i="25" s="1"/>
  <c r="W24" i="25" a="1"/>
  <c r="W24" i="25" s="1"/>
  <c r="V23" i="25" a="1"/>
  <c r="V23" i="25" s="1"/>
  <c r="O22" i="25" a="1"/>
  <c r="O22" i="25" s="1"/>
  <c r="W21" i="25" a="1"/>
  <c r="W21" i="25" s="1"/>
  <c r="AX20" i="25" a="1"/>
  <c r="AX20" i="25" s="1"/>
  <c r="AN20" i="25" a="1"/>
  <c r="AN20" i="25" s="1"/>
  <c r="X20" i="25" a="1"/>
  <c r="X20" i="25" s="1"/>
  <c r="N20" i="25" a="1"/>
  <c r="N20" i="25" s="1"/>
  <c r="AW19" i="25" a="1"/>
  <c r="AW19" i="25" s="1"/>
  <c r="AG19" i="25" a="1"/>
  <c r="AG19" i="25" s="1"/>
  <c r="W19" i="25" a="1"/>
  <c r="W19" i="25" s="1"/>
  <c r="M19" i="25" a="1"/>
  <c r="M19" i="25" s="1"/>
  <c r="AP18" i="25" a="1"/>
  <c r="AP18" i="25" s="1"/>
  <c r="AF18" i="25" a="1"/>
  <c r="AF18" i="25" s="1"/>
  <c r="V18" i="25" a="1"/>
  <c r="V18" i="25" s="1"/>
  <c r="AY17" i="25" a="1"/>
  <c r="AY17" i="25" s="1"/>
  <c r="AO17" i="25" a="1"/>
  <c r="AO17" i="25" s="1"/>
  <c r="AE17" i="25" a="1"/>
  <c r="AE17" i="25" s="1"/>
  <c r="O17" i="25" a="1"/>
  <c r="O17" i="25" s="1"/>
  <c r="AX16" i="25" a="1"/>
  <c r="AX16" i="25" s="1"/>
  <c r="AN16" i="25" a="1"/>
  <c r="AN16" i="25" s="1"/>
  <c r="X16" i="25" a="1"/>
  <c r="X16" i="25" s="1"/>
  <c r="N16" i="25" a="1"/>
  <c r="N16" i="25" s="1"/>
  <c r="H90" i="27" a="1"/>
  <c r="H90" i="27" s="1"/>
  <c r="H87" i="27" a="1"/>
  <c r="H87" i="27" s="1"/>
  <c r="G86" i="27" a="1"/>
  <c r="G86" i="27" s="1"/>
  <c r="N85" i="27" a="1"/>
  <c r="N85" i="27" s="1"/>
  <c r="H84" i="27" a="1"/>
  <c r="H84" i="27" s="1"/>
  <c r="H82" i="27" a="1"/>
  <c r="H82" i="27" s="1"/>
  <c r="H79" i="27" a="1"/>
  <c r="H79" i="27" s="1"/>
  <c r="G78" i="27" a="1"/>
  <c r="G78" i="27" s="1"/>
  <c r="N77" i="27" a="1"/>
  <c r="N77" i="27" s="1"/>
  <c r="H76" i="27" a="1"/>
  <c r="H76" i="27" s="1"/>
  <c r="H74" i="27" a="1"/>
  <c r="H74" i="27" s="1"/>
  <c r="H71" i="27" a="1"/>
  <c r="H71" i="27" s="1"/>
  <c r="G70" i="27" a="1"/>
  <c r="G70" i="27" s="1"/>
  <c r="G69" i="27" a="1"/>
  <c r="G69" i="27" s="1"/>
  <c r="G68" i="27" a="1"/>
  <c r="G68" i="27" s="1"/>
  <c r="G67" i="27" a="1"/>
  <c r="G67" i="27" s="1"/>
  <c r="G65" i="27" a="1"/>
  <c r="G65" i="27" s="1"/>
  <c r="G64" i="27" a="1"/>
  <c r="G64" i="27" s="1"/>
  <c r="N62" i="27" a="1"/>
  <c r="N62" i="27" s="1"/>
  <c r="N60" i="27" a="1"/>
  <c r="N60" i="27" s="1"/>
  <c r="N47" i="27" a="1"/>
  <c r="N47" i="27" s="1"/>
  <c r="M45" i="27" a="1"/>
  <c r="M45" i="27" s="1"/>
  <c r="N44" i="27" a="1"/>
  <c r="N44" i="27" s="1"/>
  <c r="N43" i="27" a="1"/>
  <c r="N43" i="27" s="1"/>
  <c r="M41" i="27" a="1"/>
  <c r="M41" i="27" s="1"/>
  <c r="N40" i="27" a="1"/>
  <c r="N40" i="27" s="1"/>
  <c r="N39" i="27" a="1"/>
  <c r="N39" i="27" s="1"/>
  <c r="M37" i="27" a="1"/>
  <c r="M37" i="27" s="1"/>
  <c r="N36" i="27" a="1"/>
  <c r="N36" i="27" s="1"/>
  <c r="N35" i="27" a="1"/>
  <c r="N35" i="27" s="1"/>
  <c r="N33" i="27" a="1"/>
  <c r="N33" i="27" s="1"/>
  <c r="N32" i="27" a="1"/>
  <c r="N32" i="27" s="1"/>
  <c r="M29" i="27" a="1"/>
  <c r="M29" i="27" s="1"/>
  <c r="M28" i="27" a="1"/>
  <c r="M28" i="27" s="1"/>
  <c r="N27" i="27" a="1"/>
  <c r="N27" i="27" s="1"/>
  <c r="N24" i="27" a="1"/>
  <c r="N24" i="27" s="1"/>
  <c r="M21" i="27" a="1"/>
  <c r="M21" i="27" s="1"/>
  <c r="G66" i="27" a="1"/>
  <c r="G66" i="27" s="1"/>
  <c r="N65" i="27" a="1"/>
  <c r="N65" i="27" s="1"/>
  <c r="H63" i="27" a="1"/>
  <c r="H63" i="27" s="1"/>
  <c r="H62" i="27" a="1"/>
  <c r="H62" i="27" s="1"/>
  <c r="H61" i="27" a="1"/>
  <c r="H61" i="27" s="1"/>
  <c r="H60" i="27" a="1"/>
  <c r="H60" i="27" s="1"/>
  <c r="M47" i="27" a="1"/>
  <c r="M47" i="27" s="1"/>
  <c r="N46" i="27" a="1"/>
  <c r="N46" i="27" s="1"/>
  <c r="M44" i="27" a="1"/>
  <c r="M44" i="27" s="1"/>
  <c r="M43" i="27" a="1"/>
  <c r="M43" i="27" s="1"/>
  <c r="N42" i="27" a="1"/>
  <c r="N42" i="27" s="1"/>
  <c r="M40" i="27" a="1"/>
  <c r="M40" i="27" s="1"/>
  <c r="M39" i="27" a="1"/>
  <c r="M39" i="27" s="1"/>
  <c r="N38" i="27" a="1"/>
  <c r="N38" i="27" s="1"/>
  <c r="M36" i="27" a="1"/>
  <c r="M36" i="27" s="1"/>
  <c r="M35" i="27" a="1"/>
  <c r="M35" i="27" s="1"/>
  <c r="N34" i="27" a="1"/>
  <c r="N34" i="27" s="1"/>
  <c r="M33" i="27" a="1"/>
  <c r="M33" i="27" s="1"/>
  <c r="M32" i="27" a="1"/>
  <c r="M32" i="27" s="1"/>
  <c r="N31" i="27" a="1"/>
  <c r="N31" i="27" s="1"/>
  <c r="N30" i="27" a="1"/>
  <c r="N30" i="27" s="1"/>
  <c r="M27" i="27" a="1"/>
  <c r="M27" i="27" s="1"/>
  <c r="M26" i="27" a="1"/>
  <c r="M26" i="27" s="1"/>
  <c r="N25" i="27" a="1"/>
  <c r="N25" i="27" s="1"/>
  <c r="N66" i="27" a="1"/>
  <c r="N66" i="27" s="1"/>
  <c r="N64" i="27" a="1"/>
  <c r="N64" i="27" s="1"/>
  <c r="G63" i="27" a="1"/>
  <c r="G63" i="27" s="1"/>
  <c r="G61" i="27" a="1"/>
  <c r="G61" i="27" s="1"/>
  <c r="G60" i="27" a="1"/>
  <c r="G60" i="27" s="1"/>
  <c r="M31" i="27" a="1"/>
  <c r="M31" i="27" s="1"/>
  <c r="N28" i="27" a="1"/>
  <c r="N28" i="27" s="1"/>
  <c r="M25" i="27" a="1"/>
  <c r="M25" i="27" s="1"/>
  <c r="M24" i="27" a="1"/>
  <c r="M24" i="27" s="1"/>
  <c r="N23" i="27" a="1"/>
  <c r="N23" i="27" s="1"/>
  <c r="H66" i="27" a="1"/>
  <c r="H66" i="27" s="1"/>
  <c r="H65" i="27" a="1"/>
  <c r="H65" i="27" s="1"/>
  <c r="H64" i="27" a="1"/>
  <c r="H64" i="27" s="1"/>
  <c r="N63" i="27" a="1"/>
  <c r="N63" i="27" s="1"/>
  <c r="G62" i="27" a="1"/>
  <c r="G62" i="27" s="1"/>
  <c r="N61" i="27" a="1"/>
  <c r="N61" i="27" s="1"/>
  <c r="M46" i="27" a="1"/>
  <c r="M46" i="27" s="1"/>
  <c r="N45" i="27" a="1"/>
  <c r="N45" i="27" s="1"/>
  <c r="M42" i="27" a="1"/>
  <c r="M42" i="27" s="1"/>
  <c r="N41" i="27" a="1"/>
  <c r="N41" i="27" s="1"/>
  <c r="M38" i="27" a="1"/>
  <c r="M38" i="27" s="1"/>
  <c r="N37" i="27" a="1"/>
  <c r="N37" i="27" s="1"/>
  <c r="M34" i="27" a="1"/>
  <c r="M34" i="27" s="1"/>
  <c r="M30" i="27" a="1"/>
  <c r="M30" i="27" s="1"/>
  <c r="N29" i="27" a="1"/>
  <c r="N29" i="27" s="1"/>
  <c r="N26" i="27" a="1"/>
  <c r="N26" i="27" s="1"/>
  <c r="M23" i="27" a="1"/>
  <c r="M23" i="27" s="1"/>
  <c r="M22" i="27" a="1"/>
  <c r="M22" i="27" s="1"/>
  <c r="F13" i="27"/>
  <c r="F33" i="27" s="1" a="1"/>
  <c r="F33" i="27" s="1"/>
  <c r="C56" i="27"/>
  <c r="K56" i="27"/>
  <c r="N18" i="27" a="1"/>
  <c r="N18" i="27" s="1"/>
  <c r="J13" i="27"/>
  <c r="J25" i="27" s="1" a="1"/>
  <c r="J25" i="27" s="1"/>
  <c r="D56" i="27"/>
  <c r="L56" i="27"/>
  <c r="M17" i="27" a="1"/>
  <c r="M17" i="27" s="1"/>
  <c r="N20" i="27" a="1"/>
  <c r="N20" i="27" s="1"/>
  <c r="N22" i="27" a="1"/>
  <c r="N22" i="27" s="1"/>
  <c r="AU46" i="26"/>
  <c r="BC46" i="26" s="1"/>
  <c r="AU42" i="26"/>
  <c r="AU38" i="26"/>
  <c r="AU34" i="26"/>
  <c r="AU30" i="26"/>
  <c r="AU26" i="26"/>
  <c r="AU22" i="26"/>
  <c r="AU18" i="26"/>
  <c r="AU14" i="26"/>
  <c r="BB14" i="26" s="1"/>
  <c r="AU10" i="26"/>
  <c r="BC10" i="26" s="1"/>
  <c r="AU43" i="25"/>
  <c r="AU39" i="25"/>
  <c r="AU35" i="25"/>
  <c r="AU31" i="25"/>
  <c r="AU27" i="25"/>
  <c r="AU23" i="25"/>
  <c r="AU19" i="25"/>
  <c r="AU15" i="25"/>
  <c r="BB15" i="25" s="1"/>
  <c r="AU11" i="25"/>
  <c r="BB11" i="25" s="1"/>
  <c r="AU45" i="26"/>
  <c r="BC45" i="26" s="1"/>
  <c r="AU41" i="26"/>
  <c r="BB41" i="26" s="1"/>
  <c r="AU37" i="26"/>
  <c r="AU33" i="26"/>
  <c r="AU29" i="26"/>
  <c r="AU25" i="26"/>
  <c r="AU21" i="26"/>
  <c r="AU17" i="26"/>
  <c r="AU13" i="26"/>
  <c r="BC13" i="26" s="1"/>
  <c r="AU46" i="25"/>
  <c r="AU42" i="25"/>
  <c r="AU38" i="25"/>
  <c r="AU34" i="25"/>
  <c r="AU30" i="25"/>
  <c r="AU26" i="25"/>
  <c r="AU22" i="25"/>
  <c r="AU18" i="25"/>
  <c r="AU14" i="25"/>
  <c r="BC14" i="25" s="1"/>
  <c r="AU10" i="25"/>
  <c r="BC10" i="25" s="1"/>
  <c r="AU44" i="26"/>
  <c r="BB44" i="26" s="1"/>
  <c r="AU40" i="26"/>
  <c r="AU36" i="26"/>
  <c r="AU32" i="26"/>
  <c r="AU28" i="26"/>
  <c r="AU24" i="26"/>
  <c r="AU20" i="26"/>
  <c r="AU16" i="26"/>
  <c r="BB16" i="26" s="1"/>
  <c r="AU12" i="26"/>
  <c r="BC12" i="26" s="1"/>
  <c r="AU45" i="25"/>
  <c r="AU41" i="25"/>
  <c r="AU37" i="25"/>
  <c r="AU33" i="25"/>
  <c r="AU29" i="25"/>
  <c r="AU25" i="25"/>
  <c r="AU21" i="25"/>
  <c r="AU17" i="25"/>
  <c r="AU13" i="25"/>
  <c r="BB13" i="25" s="1"/>
  <c r="AU43" i="26"/>
  <c r="BC43" i="26" s="1"/>
  <c r="AU39" i="26"/>
  <c r="AU35" i="26"/>
  <c r="AU31" i="26"/>
  <c r="AU27" i="26"/>
  <c r="AU23" i="26"/>
  <c r="AU19" i="26"/>
  <c r="AU15" i="26"/>
  <c r="BB15" i="26" s="1"/>
  <c r="AU11" i="26"/>
  <c r="BC11" i="26" s="1"/>
  <c r="AU44" i="25"/>
  <c r="AU40" i="25"/>
  <c r="AU36" i="25"/>
  <c r="AU32" i="25"/>
  <c r="AU28" i="25"/>
  <c r="AU24" i="25"/>
  <c r="AU20" i="25"/>
  <c r="AU16" i="25"/>
  <c r="AU12" i="25"/>
  <c r="BC12" i="25" s="1"/>
  <c r="AL44" i="26"/>
  <c r="AL40" i="26"/>
  <c r="AL36" i="26"/>
  <c r="AL32" i="26"/>
  <c r="AL28" i="26"/>
  <c r="AL24" i="26"/>
  <c r="AL20" i="26"/>
  <c r="AL16" i="26"/>
  <c r="AL12" i="26"/>
  <c r="AT12" i="26" s="1"/>
  <c r="AL45" i="25"/>
  <c r="AL41" i="25"/>
  <c r="AL37" i="25"/>
  <c r="AL33" i="25"/>
  <c r="AL29" i="25"/>
  <c r="AL25" i="25"/>
  <c r="AL21" i="25"/>
  <c r="AL17" i="25"/>
  <c r="AT17" i="25" s="1"/>
  <c r="AL13" i="25"/>
  <c r="AS13" i="25" s="1"/>
  <c r="AL43" i="26"/>
  <c r="AS43" i="26" s="1"/>
  <c r="AL39" i="26"/>
  <c r="AL35" i="26"/>
  <c r="AL31" i="26"/>
  <c r="AL27" i="26"/>
  <c r="AL23" i="26"/>
  <c r="AL19" i="26"/>
  <c r="AL15" i="26"/>
  <c r="AS15" i="26" s="1"/>
  <c r="AL11" i="26"/>
  <c r="AS11" i="26" s="1"/>
  <c r="AL44" i="25"/>
  <c r="AL40" i="25"/>
  <c r="AL36" i="25"/>
  <c r="AL32" i="25"/>
  <c r="AL28" i="25"/>
  <c r="AL24" i="25"/>
  <c r="AL20" i="25"/>
  <c r="AL16" i="25"/>
  <c r="AL12" i="25"/>
  <c r="AS12" i="25" s="1"/>
  <c r="AL46" i="26"/>
  <c r="AT46" i="26" s="1"/>
  <c r="AL42" i="26"/>
  <c r="AT42" i="26" s="1"/>
  <c r="AL38" i="26"/>
  <c r="AL34" i="26"/>
  <c r="AL30" i="26"/>
  <c r="AL26" i="26"/>
  <c r="AL22" i="26"/>
  <c r="AL18" i="26"/>
  <c r="AL14" i="26"/>
  <c r="AT14" i="26" s="1"/>
  <c r="AL10" i="26"/>
  <c r="AS10" i="26" s="1"/>
  <c r="AL43" i="25"/>
  <c r="AL39" i="25"/>
  <c r="AL35" i="25"/>
  <c r="AL31" i="25"/>
  <c r="AL27" i="25"/>
  <c r="AL23" i="25"/>
  <c r="AL19" i="25"/>
  <c r="AS19" i="25" s="1"/>
  <c r="AL15" i="25"/>
  <c r="AS15" i="25" s="1"/>
  <c r="AL11" i="25"/>
  <c r="AS11" i="25" s="1"/>
  <c r="AL45" i="26"/>
  <c r="AL41" i="26"/>
  <c r="AT41" i="26" s="1"/>
  <c r="AL37" i="26"/>
  <c r="AL33" i="26"/>
  <c r="AL29" i="26"/>
  <c r="AL25" i="26"/>
  <c r="AL21" i="26"/>
  <c r="AL17" i="26"/>
  <c r="AL13" i="26"/>
  <c r="AT13" i="26" s="1"/>
  <c r="AL46" i="25"/>
  <c r="AL42" i="25"/>
  <c r="AL38" i="25"/>
  <c r="AL34" i="25"/>
  <c r="AL30" i="25"/>
  <c r="AL26" i="25"/>
  <c r="AL22" i="25"/>
  <c r="AL18" i="25"/>
  <c r="AL14" i="25"/>
  <c r="AS14" i="25" s="1"/>
  <c r="AL10" i="25"/>
  <c r="AS10" i="25" s="1"/>
  <c r="E77" i="1"/>
  <c r="G77" i="1" s="1"/>
  <c r="E79" i="1"/>
  <c r="G79" i="1" s="1"/>
  <c r="E78" i="1"/>
  <c r="G78" i="1" s="1"/>
  <c r="D112" i="1"/>
  <c r="AG46" i="25" a="1"/>
  <c r="AG46" i="25" s="1"/>
  <c r="X46" i="25" a="1"/>
  <c r="X46" i="25" s="1"/>
  <c r="O46" i="25" a="1"/>
  <c r="O46" i="25" s="1"/>
  <c r="AY45" i="25" a="1"/>
  <c r="AY45" i="25" s="1"/>
  <c r="AF45" i="25" a="1"/>
  <c r="AF45" i="25" s="1"/>
  <c r="W45" i="25" a="1"/>
  <c r="W45" i="25" s="1"/>
  <c r="N45" i="25" a="1"/>
  <c r="N45" i="25" s="1"/>
  <c r="AX44" i="25" a="1"/>
  <c r="AX44" i="25" s="1"/>
  <c r="AE44" i="25" a="1"/>
  <c r="AE44" i="25" s="1"/>
  <c r="V44" i="25" a="1"/>
  <c r="V44" i="25" s="1"/>
  <c r="M44" i="25" a="1"/>
  <c r="M44" i="25" s="1"/>
  <c r="AP43" i="25" a="1"/>
  <c r="AP43" i="25" s="1"/>
  <c r="AF43" i="25" a="1"/>
  <c r="AF43" i="25" s="1"/>
  <c r="V43" i="25" a="1"/>
  <c r="V43" i="25" s="1"/>
  <c r="AY42" i="25" a="1"/>
  <c r="AY42" i="25" s="1"/>
  <c r="AO42" i="25" a="1"/>
  <c r="AO42" i="25" s="1"/>
  <c r="AE42" i="25" a="1"/>
  <c r="AE42" i="25" s="1"/>
  <c r="O42" i="25" a="1"/>
  <c r="O42" i="25" s="1"/>
  <c r="AX41" i="25" a="1"/>
  <c r="AX41" i="25" s="1"/>
  <c r="AN41" i="25" a="1"/>
  <c r="AN41" i="25" s="1"/>
  <c r="X41" i="25" a="1"/>
  <c r="X41" i="25" s="1"/>
  <c r="N41" i="25" a="1"/>
  <c r="N41" i="25" s="1"/>
  <c r="AW40" i="25" a="1"/>
  <c r="AW40" i="25" s="1"/>
  <c r="AG40" i="25" a="1"/>
  <c r="AG40" i="25" s="1"/>
  <c r="W40" i="25" a="1"/>
  <c r="W40" i="25" s="1"/>
  <c r="M40" i="25" a="1"/>
  <c r="M40" i="25" s="1"/>
  <c r="AP39" i="25" a="1"/>
  <c r="AP39" i="25" s="1"/>
  <c r="AF39" i="25" a="1"/>
  <c r="AF39" i="25" s="1"/>
  <c r="V39" i="25" a="1"/>
  <c r="V39" i="25" s="1"/>
  <c r="AY38" i="25" a="1"/>
  <c r="AY38" i="25" s="1"/>
  <c r="AO38" i="25" a="1"/>
  <c r="AO38" i="25" s="1"/>
  <c r="AE38" i="25" a="1"/>
  <c r="AE38" i="25" s="1"/>
  <c r="V38" i="25" a="1"/>
  <c r="V38" i="25" s="1"/>
  <c r="M38" i="25" a="1"/>
  <c r="M38" i="25" s="1"/>
  <c r="AG37" i="25" a="1"/>
  <c r="AG37" i="25" s="1"/>
  <c r="X37" i="25" a="1"/>
  <c r="X37" i="25" s="1"/>
  <c r="O37" i="25" a="1"/>
  <c r="O37" i="25" s="1"/>
  <c r="AY36" i="25" a="1"/>
  <c r="AY36" i="25" s="1"/>
  <c r="AF36" i="25" a="1"/>
  <c r="AF36" i="25" s="1"/>
  <c r="W36" i="25" a="1"/>
  <c r="W36" i="25" s="1"/>
  <c r="N36" i="25" a="1"/>
  <c r="N36" i="25" s="1"/>
  <c r="AX35" i="25" a="1"/>
  <c r="AX35" i="25" s="1"/>
  <c r="AE35" i="25" a="1"/>
  <c r="AE35" i="25" s="1"/>
  <c r="V35" i="25" a="1"/>
  <c r="V35" i="25" s="1"/>
  <c r="M35" i="25" a="1"/>
  <c r="M35" i="25" s="1"/>
  <c r="AW34" i="25" a="1"/>
  <c r="AW34" i="25" s="1"/>
  <c r="X34" i="25" a="1"/>
  <c r="X34" i="25" s="1"/>
  <c r="O34" i="25" a="1"/>
  <c r="O34" i="25" s="1"/>
  <c r="AY33" i="25" a="1"/>
  <c r="AY33" i="25" s="1"/>
  <c r="AP33" i="25" a="1"/>
  <c r="AP33" i="25" s="1"/>
  <c r="W33" i="25" a="1"/>
  <c r="W33" i="25" s="1"/>
  <c r="N33" i="25" a="1"/>
  <c r="N33" i="25" s="1"/>
  <c r="AX32" i="25" a="1"/>
  <c r="AX32" i="25" s="1"/>
  <c r="AO32" i="25" a="1"/>
  <c r="AO32" i="25" s="1"/>
  <c r="V32" i="25" a="1"/>
  <c r="V32" i="25" s="1"/>
  <c r="M32" i="25" a="1"/>
  <c r="M32" i="25" s="1"/>
  <c r="AW31" i="25" a="1"/>
  <c r="AW31" i="25" s="1"/>
  <c r="AN31" i="25" a="1"/>
  <c r="AN31" i="25" s="1"/>
  <c r="O31" i="25" a="1"/>
  <c r="O31" i="25" s="1"/>
  <c r="AY30" i="25" a="1"/>
  <c r="AY30" i="25" s="1"/>
  <c r="AP30" i="25" a="1"/>
  <c r="AP30" i="25" s="1"/>
  <c r="AG30" i="25" a="1"/>
  <c r="AG30" i="25" s="1"/>
  <c r="N30" i="25" a="1"/>
  <c r="N30" i="25" s="1"/>
  <c r="AX29" i="25" a="1"/>
  <c r="AX29" i="25" s="1"/>
  <c r="AO29" i="25" a="1"/>
  <c r="AO29" i="25" s="1"/>
  <c r="AF29" i="25" a="1"/>
  <c r="AF29" i="25" s="1"/>
  <c r="M29" i="25" a="1"/>
  <c r="M29" i="25" s="1"/>
  <c r="AW28" i="25" a="1"/>
  <c r="AW28" i="25" s="1"/>
  <c r="AN28" i="25" a="1"/>
  <c r="AN28" i="25" s="1"/>
  <c r="AE28" i="25" a="1"/>
  <c r="AE28" i="25" s="1"/>
  <c r="AY46" i="25" a="1"/>
  <c r="AY46" i="25" s="1"/>
  <c r="AP46" i="25" a="1"/>
  <c r="AP46" i="25" s="1"/>
  <c r="W46" i="25" a="1"/>
  <c r="W46" i="25" s="1"/>
  <c r="N46" i="25" a="1"/>
  <c r="N46" i="25" s="1"/>
  <c r="AX45" i="25" a="1"/>
  <c r="AX45" i="25" s="1"/>
  <c r="AO45" i="25" a="1"/>
  <c r="AO45" i="25" s="1"/>
  <c r="V45" i="25" a="1"/>
  <c r="V45" i="25" s="1"/>
  <c r="M45" i="25" a="1"/>
  <c r="M45" i="25" s="1"/>
  <c r="AW44" i="25" a="1"/>
  <c r="AW44" i="25" s="1"/>
  <c r="AN44" i="25" a="1"/>
  <c r="AN44" i="25" s="1"/>
  <c r="O44" i="25" a="1"/>
  <c r="O44" i="25" s="1"/>
  <c r="AY43" i="25" a="1"/>
  <c r="AY43" i="25" s="1"/>
  <c r="AO43" i="25" a="1"/>
  <c r="AO43" i="25" s="1"/>
  <c r="AE43" i="25" a="1"/>
  <c r="AE43" i="25" s="1"/>
  <c r="O43" i="25" a="1"/>
  <c r="O43" i="25" s="1"/>
  <c r="AX42" i="25" a="1"/>
  <c r="AX42" i="25" s="1"/>
  <c r="AN42" i="25" a="1"/>
  <c r="AN42" i="25" s="1"/>
  <c r="X42" i="25" a="1"/>
  <c r="X42" i="25" s="1"/>
  <c r="N42" i="25" a="1"/>
  <c r="N42" i="25" s="1"/>
  <c r="AW41" i="25" a="1"/>
  <c r="AW41" i="25" s="1"/>
  <c r="AG41" i="25" a="1"/>
  <c r="AG41" i="25" s="1"/>
  <c r="W41" i="25" a="1"/>
  <c r="W41" i="25" s="1"/>
  <c r="M41" i="25" a="1"/>
  <c r="M41" i="25" s="1"/>
  <c r="AP40" i="25" a="1"/>
  <c r="AP40" i="25" s="1"/>
  <c r="AF40" i="25" a="1"/>
  <c r="AF40" i="25" s="1"/>
  <c r="V40" i="25" a="1"/>
  <c r="V40" i="25" s="1"/>
  <c r="AY39" i="25" a="1"/>
  <c r="AY39" i="25" s="1"/>
  <c r="AO39" i="25" a="1"/>
  <c r="AO39" i="25" s="1"/>
  <c r="AE39" i="25" a="1"/>
  <c r="AE39" i="25" s="1"/>
  <c r="O39" i="25" a="1"/>
  <c r="O39" i="25" s="1"/>
  <c r="AX38" i="25" a="1"/>
  <c r="AX38" i="25" s="1"/>
  <c r="AN38" i="25" a="1"/>
  <c r="AN38" i="25" s="1"/>
  <c r="X38" i="25" a="1"/>
  <c r="X38" i="25" s="1"/>
  <c r="O38" i="25" a="1"/>
  <c r="O38" i="25" s="1"/>
  <c r="AY37" i="25" a="1"/>
  <c r="AY37" i="25" s="1"/>
  <c r="AP37" i="25" a="1"/>
  <c r="AP37" i="25" s="1"/>
  <c r="W37" i="25" a="1"/>
  <c r="W37" i="25" s="1"/>
  <c r="N37" i="25" a="1"/>
  <c r="N37" i="25" s="1"/>
  <c r="AX36" i="25" a="1"/>
  <c r="AX36" i="25" s="1"/>
  <c r="AO36" i="25" a="1"/>
  <c r="AO36" i="25" s="1"/>
  <c r="V36" i="25" a="1"/>
  <c r="V36" i="25" s="1"/>
  <c r="M36" i="25" a="1"/>
  <c r="M36" i="25" s="1"/>
  <c r="AW35" i="25" a="1"/>
  <c r="AW35" i="25" s="1"/>
  <c r="AN35" i="25" a="1"/>
  <c r="AN35" i="25" s="1"/>
  <c r="O35" i="25" a="1"/>
  <c r="O35" i="25" s="1"/>
  <c r="AY34" i="25" a="1"/>
  <c r="AY34" i="25" s="1"/>
  <c r="AP34" i="25" a="1"/>
  <c r="AP34" i="25" s="1"/>
  <c r="AG34" i="25" a="1"/>
  <c r="AG34" i="25" s="1"/>
  <c r="N34" i="25" a="1"/>
  <c r="N34" i="25" s="1"/>
  <c r="AX33" i="25" a="1"/>
  <c r="AX33" i="25" s="1"/>
  <c r="AO33" i="25" a="1"/>
  <c r="AO33" i="25" s="1"/>
  <c r="AF33" i="25" a="1"/>
  <c r="AF33" i="25" s="1"/>
  <c r="M33" i="25" a="1"/>
  <c r="M33" i="25" s="1"/>
  <c r="AW32" i="25" a="1"/>
  <c r="AW32" i="25" s="1"/>
  <c r="AN32" i="25" a="1"/>
  <c r="AN32" i="25" s="1"/>
  <c r="AE32" i="25" a="1"/>
  <c r="AE32" i="25" s="1"/>
  <c r="AY31" i="25" a="1"/>
  <c r="AY31" i="25" s="1"/>
  <c r="AP31" i="25" a="1"/>
  <c r="AP31" i="25" s="1"/>
  <c r="AG31" i="25" a="1"/>
  <c r="AG31" i="25" s="1"/>
  <c r="X31" i="25" a="1"/>
  <c r="X31" i="25" s="1"/>
  <c r="AX30" i="25" a="1"/>
  <c r="AX30" i="25" s="1"/>
  <c r="AO30" i="25" a="1"/>
  <c r="AO30" i="25" s="1"/>
  <c r="AF30" i="25" a="1"/>
  <c r="AF30" i="25" s="1"/>
  <c r="W30" i="25" a="1"/>
  <c r="W30" i="25" s="1"/>
  <c r="AW29" i="25" a="1"/>
  <c r="AW29" i="25" s="1"/>
  <c r="AN29" i="25" a="1"/>
  <c r="AN29" i="25" s="1"/>
  <c r="AE29" i="25" a="1"/>
  <c r="AE29" i="25" s="1"/>
  <c r="V29" i="25" a="1"/>
  <c r="V29" i="25" s="1"/>
  <c r="AP28" i="25" a="1"/>
  <c r="AP28" i="25" s="1"/>
  <c r="AG28" i="25" a="1"/>
  <c r="AG28" i="25" s="1"/>
  <c r="X28" i="25" a="1"/>
  <c r="X28" i="25" s="1"/>
  <c r="O28" i="25" a="1"/>
  <c r="O28" i="25" s="1"/>
  <c r="AX46" i="25" a="1"/>
  <c r="AX46" i="25" s="1"/>
  <c r="AO46" i="25" a="1"/>
  <c r="AO46" i="25" s="1"/>
  <c r="AF46" i="25" a="1"/>
  <c r="AF46" i="25" s="1"/>
  <c r="M46" i="25" a="1"/>
  <c r="M46" i="25" s="1"/>
  <c r="AW45" i="25" a="1"/>
  <c r="AW45" i="25" s="1"/>
  <c r="AN45" i="25" a="1"/>
  <c r="AN45" i="25" s="1"/>
  <c r="AE45" i="25" a="1"/>
  <c r="AE45" i="25" s="1"/>
  <c r="AY44" i="25" a="1"/>
  <c r="AY44" i="25" s="1"/>
  <c r="AP44" i="25" a="1"/>
  <c r="AP44" i="25" s="1"/>
  <c r="AG44" i="25" a="1"/>
  <c r="AG44" i="25" s="1"/>
  <c r="X44" i="25" a="1"/>
  <c r="X44" i="25" s="1"/>
  <c r="AX43" i="25" a="1"/>
  <c r="AX43" i="25" s="1"/>
  <c r="AN43" i="25" a="1"/>
  <c r="AN43" i="25" s="1"/>
  <c r="X43" i="25" a="1"/>
  <c r="X43" i="25" s="1"/>
  <c r="N43" i="25" a="1"/>
  <c r="N43" i="25" s="1"/>
  <c r="AW42" i="25" a="1"/>
  <c r="AW42" i="25" s="1"/>
  <c r="AG42" i="25" a="1"/>
  <c r="AG42" i="25" s="1"/>
  <c r="W42" i="25" a="1"/>
  <c r="W42" i="25" s="1"/>
  <c r="M42" i="25" a="1"/>
  <c r="M42" i="25" s="1"/>
  <c r="AP41" i="25" a="1"/>
  <c r="AP41" i="25" s="1"/>
  <c r="AF41" i="25" a="1"/>
  <c r="AF41" i="25" s="1"/>
  <c r="V41" i="25" a="1"/>
  <c r="V41" i="25" s="1"/>
  <c r="AY40" i="25" a="1"/>
  <c r="AY40" i="25" s="1"/>
  <c r="AO40" i="25" a="1"/>
  <c r="AO40" i="25" s="1"/>
  <c r="AE40" i="25" a="1"/>
  <c r="AE40" i="25" s="1"/>
  <c r="O40" i="25" a="1"/>
  <c r="O40" i="25" s="1"/>
  <c r="AX39" i="25" a="1"/>
  <c r="AX39" i="25" s="1"/>
  <c r="AN39" i="25" a="1"/>
  <c r="AN39" i="25" s="1"/>
  <c r="X39" i="25" a="1"/>
  <c r="X39" i="25" s="1"/>
  <c r="N39" i="25" a="1"/>
  <c r="N39" i="25" s="1"/>
  <c r="AW38" i="25" a="1"/>
  <c r="AW38" i="25" s="1"/>
  <c r="AG38" i="25" a="1"/>
  <c r="AG38" i="25" s="1"/>
  <c r="N38" i="25" a="1"/>
  <c r="N38" i="25" s="1"/>
  <c r="AX37" i="25" a="1"/>
  <c r="AX37" i="25" s="1"/>
  <c r="AO37" i="25" a="1"/>
  <c r="AO37" i="25" s="1"/>
  <c r="AF37" i="25" a="1"/>
  <c r="AF37" i="25" s="1"/>
  <c r="M37" i="25" a="1"/>
  <c r="M37" i="25" s="1"/>
  <c r="AW36" i="25" a="1"/>
  <c r="AW36" i="25" s="1"/>
  <c r="AN36" i="25" a="1"/>
  <c r="AN36" i="25" s="1"/>
  <c r="AE36" i="25" a="1"/>
  <c r="AE36" i="25" s="1"/>
  <c r="AY35" i="25" a="1"/>
  <c r="AY35" i="25" s="1"/>
  <c r="AP35" i="25" a="1"/>
  <c r="AP35" i="25" s="1"/>
  <c r="AG35" i="25" a="1"/>
  <c r="AG35" i="25" s="1"/>
  <c r="X35" i="25" a="1"/>
  <c r="X35" i="25" s="1"/>
  <c r="AX34" i="25" a="1"/>
  <c r="AX34" i="25" s="1"/>
  <c r="AO34" i="25" a="1"/>
  <c r="AO34" i="25" s="1"/>
  <c r="AF34" i="25" a="1"/>
  <c r="AF34" i="25" s="1"/>
  <c r="W34" i="25" a="1"/>
  <c r="W34" i="25" s="1"/>
  <c r="AW33" i="25" a="1"/>
  <c r="AW33" i="25" s="1"/>
  <c r="AN33" i="25" a="1"/>
  <c r="AN33" i="25" s="1"/>
  <c r="AE33" i="25" a="1"/>
  <c r="AE33" i="25" s="1"/>
  <c r="V33" i="25" a="1"/>
  <c r="V33" i="25" s="1"/>
  <c r="AP32" i="25" a="1"/>
  <c r="AP32" i="25" s="1"/>
  <c r="AG32" i="25" a="1"/>
  <c r="AG32" i="25" s="1"/>
  <c r="X32" i="25" a="1"/>
  <c r="X32" i="25" s="1"/>
  <c r="O32" i="25" a="1"/>
  <c r="O32" i="25" s="1"/>
  <c r="AO31" i="25" a="1"/>
  <c r="AO31" i="25" s="1"/>
  <c r="AF31" i="25" a="1"/>
  <c r="AF31" i="25" s="1"/>
  <c r="W31" i="25" a="1"/>
  <c r="W31" i="25" s="1"/>
  <c r="N31" i="25" a="1"/>
  <c r="N31" i="25" s="1"/>
  <c r="AN30" i="25" a="1"/>
  <c r="AN30" i="25" s="1"/>
  <c r="AE30" i="25" a="1"/>
  <c r="AE30" i="25" s="1"/>
  <c r="V30" i="25" a="1"/>
  <c r="V30" i="25" s="1"/>
  <c r="M30" i="25" a="1"/>
  <c r="M30" i="25" s="1"/>
  <c r="AG29" i="25" a="1"/>
  <c r="AG29" i="25" s="1"/>
  <c r="X29" i="25" a="1"/>
  <c r="X29" i="25" s="1"/>
  <c r="O29" i="25" a="1"/>
  <c r="O29" i="25" s="1"/>
  <c r="AY28" i="25" a="1"/>
  <c r="AY28" i="25" s="1"/>
  <c r="Q13" i="27"/>
  <c r="P13" i="27"/>
  <c r="O13" i="27"/>
  <c r="G13" i="27"/>
  <c r="G31" i="27" s="1" a="1"/>
  <c r="G31" i="27" s="1"/>
  <c r="K13" i="27"/>
  <c r="K46" i="27" s="1" a="1"/>
  <c r="K46" i="27" s="1"/>
  <c r="C13" i="27"/>
  <c r="C46" i="27" s="1" a="1"/>
  <c r="C46" i="27" s="1"/>
  <c r="D13" i="27"/>
  <c r="H13" i="27"/>
  <c r="H45" i="27" s="1" a="1"/>
  <c r="H45" i="27" s="1"/>
  <c r="L13" i="27"/>
  <c r="L29" i="27" s="1" a="1"/>
  <c r="L29" i="27" s="1"/>
  <c r="E13" i="27"/>
  <c r="E39" i="27" s="1" a="1"/>
  <c r="E39" i="27" s="1"/>
  <c r="I13" i="27"/>
  <c r="E56" i="27"/>
  <c r="I56" i="27"/>
  <c r="M56" i="27"/>
  <c r="F56" i="27"/>
  <c r="J56" i="27"/>
  <c r="H45" i="26"/>
  <c r="H46" i="26"/>
  <c r="H44" i="26"/>
  <c r="H43" i="26"/>
  <c r="H40" i="26"/>
  <c r="H41" i="26"/>
  <c r="H39" i="26"/>
  <c r="H35" i="26"/>
  <c r="H42" i="26"/>
  <c r="H36" i="26"/>
  <c r="H37" i="26"/>
  <c r="H34" i="26"/>
  <c r="H30" i="26"/>
  <c r="H38" i="26"/>
  <c r="H31" i="26"/>
  <c r="H32" i="26"/>
  <c r="H26" i="26"/>
  <c r="H33" i="26"/>
  <c r="H27" i="26"/>
  <c r="H28" i="26"/>
  <c r="H25" i="26"/>
  <c r="H21" i="26"/>
  <c r="H17" i="26"/>
  <c r="H22" i="26"/>
  <c r="H18" i="26"/>
  <c r="H29" i="26"/>
  <c r="H23" i="26"/>
  <c r="H19" i="26"/>
  <c r="H16" i="26"/>
  <c r="J16" i="26" s="1"/>
  <c r="H20" i="26"/>
  <c r="I16" i="25"/>
  <c r="AQ16" i="25" a="1"/>
  <c r="AQ16" i="25" s="1"/>
  <c r="Y16" i="25" a="1"/>
  <c r="Y16" i="25" s="1"/>
  <c r="P16" i="25" a="1"/>
  <c r="P16" i="25" s="1"/>
  <c r="AZ16" i="25" a="1"/>
  <c r="AZ16" i="25" s="1"/>
  <c r="H46" i="25"/>
  <c r="H42" i="25"/>
  <c r="H43" i="25"/>
  <c r="H44" i="25"/>
  <c r="H45" i="25"/>
  <c r="H41" i="25"/>
  <c r="H37" i="25"/>
  <c r="H38" i="25"/>
  <c r="H39" i="25"/>
  <c r="H35" i="25"/>
  <c r="H40" i="25"/>
  <c r="H36" i="25"/>
  <c r="H31" i="25"/>
  <c r="H32" i="25"/>
  <c r="H34" i="25"/>
  <c r="H28" i="25"/>
  <c r="H33" i="25"/>
  <c r="H29" i="25"/>
  <c r="H23" i="25"/>
  <c r="H19" i="25"/>
  <c r="H27" i="25"/>
  <c r="H24" i="25"/>
  <c r="H25" i="25"/>
  <c r="H21" i="25"/>
  <c r="H17" i="25"/>
  <c r="H30" i="25"/>
  <c r="AH16" i="25" a="1"/>
  <c r="AH16" i="25" s="1"/>
  <c r="H18" i="25"/>
  <c r="D75" i="24"/>
  <c r="E75" i="24"/>
  <c r="R61" i="24" l="1"/>
  <c r="BB18" i="25"/>
  <c r="AT16" i="25"/>
  <c r="AT15" i="26"/>
  <c r="BC15" i="26"/>
  <c r="BC16" i="25"/>
  <c r="BC25" i="25"/>
  <c r="BC18" i="25"/>
  <c r="B141" i="1"/>
  <c r="E140" i="1"/>
  <c r="AT19" i="25"/>
  <c r="AS12" i="26"/>
  <c r="AT14" i="25"/>
  <c r="BC41" i="26"/>
  <c r="AT10" i="25"/>
  <c r="BB13" i="26"/>
  <c r="BC13" i="25"/>
  <c r="AT13" i="25"/>
  <c r="AT10" i="26"/>
  <c r="BC11" i="25"/>
  <c r="BB12" i="26"/>
  <c r="AS14" i="26"/>
  <c r="BB10" i="26"/>
  <c r="AT11" i="25"/>
  <c r="AT11" i="26"/>
  <c r="BC14" i="26"/>
  <c r="BB14" i="25"/>
  <c r="BB11" i="26"/>
  <c r="L43" i="24"/>
  <c r="M43" i="24" s="1"/>
  <c r="L45" i="24"/>
  <c r="M45" i="24" s="1"/>
  <c r="L46" i="24"/>
  <c r="M46" i="24" s="1"/>
  <c r="L47" i="24"/>
  <c r="M47" i="24" s="1"/>
  <c r="T46" i="31"/>
  <c r="T45" i="31"/>
  <c r="T44" i="31"/>
  <c r="T43" i="31"/>
  <c r="T42" i="31"/>
  <c r="T41" i="31"/>
  <c r="T40" i="31"/>
  <c r="T39" i="31"/>
  <c r="T38" i="31"/>
  <c r="T37" i="31"/>
  <c r="T36" i="31"/>
  <c r="T35" i="31"/>
  <c r="T34" i="31"/>
  <c r="T33" i="31"/>
  <c r="T32" i="31"/>
  <c r="T31" i="31"/>
  <c r="T30" i="31"/>
  <c r="T29" i="31"/>
  <c r="T28" i="31"/>
  <c r="T27" i="31"/>
  <c r="T26" i="31"/>
  <c r="T25" i="31"/>
  <c r="T24" i="31"/>
  <c r="T23" i="31"/>
  <c r="T22" i="31"/>
  <c r="T21" i="31"/>
  <c r="T20" i="31"/>
  <c r="T19" i="31"/>
  <c r="T18" i="31"/>
  <c r="T17" i="31"/>
  <c r="T16" i="31"/>
  <c r="T15" i="31"/>
  <c r="T14" i="31"/>
  <c r="T13" i="31"/>
  <c r="T12" i="31"/>
  <c r="T11" i="31"/>
  <c r="T10" i="31"/>
  <c r="AC46" i="31"/>
  <c r="AC45" i="31"/>
  <c r="AC44" i="31"/>
  <c r="AC43" i="31"/>
  <c r="AC42" i="31"/>
  <c r="AC41" i="31"/>
  <c r="AC40" i="31"/>
  <c r="AC39" i="31"/>
  <c r="AC38" i="31"/>
  <c r="AC37" i="31"/>
  <c r="AC36" i="31"/>
  <c r="AC35" i="31"/>
  <c r="AC34" i="31"/>
  <c r="AC33" i="31"/>
  <c r="AC32" i="31"/>
  <c r="AC31" i="31"/>
  <c r="AC30" i="31"/>
  <c r="AC29" i="31"/>
  <c r="AC28" i="31"/>
  <c r="AC27" i="31"/>
  <c r="AC26" i="31"/>
  <c r="AC25" i="31"/>
  <c r="AC24" i="31"/>
  <c r="AC23" i="31"/>
  <c r="AC22" i="31"/>
  <c r="AC21" i="31"/>
  <c r="AC20" i="31"/>
  <c r="AC19" i="31"/>
  <c r="AC18" i="31"/>
  <c r="AC17" i="31"/>
  <c r="AC16" i="31"/>
  <c r="AC15" i="31"/>
  <c r="AC14" i="31"/>
  <c r="AC13" i="31"/>
  <c r="AC12" i="31"/>
  <c r="AC11" i="31"/>
  <c r="AC10" i="31"/>
  <c r="AT10" i="31"/>
  <c r="AS10" i="31"/>
  <c r="AS11" i="31"/>
  <c r="AT11" i="31"/>
  <c r="AT12" i="31"/>
  <c r="AS12" i="31"/>
  <c r="AS13" i="31"/>
  <c r="AT13" i="31"/>
  <c r="AT14" i="31"/>
  <c r="AS14" i="31"/>
  <c r="AS15" i="31"/>
  <c r="AT15" i="31"/>
  <c r="AT16" i="31"/>
  <c r="AS16" i="31"/>
  <c r="AS17" i="31"/>
  <c r="AT17" i="31"/>
  <c r="AS18" i="31"/>
  <c r="AT18" i="31"/>
  <c r="AS19" i="31"/>
  <c r="AT19" i="31"/>
  <c r="AS20" i="31"/>
  <c r="AT20" i="31"/>
  <c r="AS21" i="31"/>
  <c r="AT21" i="31"/>
  <c r="AS22" i="31"/>
  <c r="AT22" i="31"/>
  <c r="AS23" i="31"/>
  <c r="AT23" i="31"/>
  <c r="AT24" i="31"/>
  <c r="AS24" i="31"/>
  <c r="AS25" i="31"/>
  <c r="AT25" i="31"/>
  <c r="AS26" i="31"/>
  <c r="AT26" i="31"/>
  <c r="AT27" i="31"/>
  <c r="AS27" i="31"/>
  <c r="AS28" i="31"/>
  <c r="AT28" i="31"/>
  <c r="AT29" i="31"/>
  <c r="AS29" i="31"/>
  <c r="AT30" i="31"/>
  <c r="AS30" i="31"/>
  <c r="AT31" i="31"/>
  <c r="AS31" i="31"/>
  <c r="AS32" i="31"/>
  <c r="AT32" i="31"/>
  <c r="AS33" i="31"/>
  <c r="AT33" i="31"/>
  <c r="AS34" i="31"/>
  <c r="AT34" i="31"/>
  <c r="AT35" i="31"/>
  <c r="AS35" i="31"/>
  <c r="AT36" i="31"/>
  <c r="AS36" i="31"/>
  <c r="AT37" i="31"/>
  <c r="AS37" i="31"/>
  <c r="AT38" i="31"/>
  <c r="AS38" i="31"/>
  <c r="AS39" i="31"/>
  <c r="AT39" i="31"/>
  <c r="AS40" i="31"/>
  <c r="AT40" i="31"/>
  <c r="AS41" i="31"/>
  <c r="AT41" i="31"/>
  <c r="AS42" i="31"/>
  <c r="AT42" i="31"/>
  <c r="AT43" i="31"/>
  <c r="AS43" i="31"/>
  <c r="AT44" i="31"/>
  <c r="AS44" i="31"/>
  <c r="AT45" i="31"/>
  <c r="AS45" i="31"/>
  <c r="AT46" i="31"/>
  <c r="AS46" i="31"/>
  <c r="BB10" i="31"/>
  <c r="BC10" i="31"/>
  <c r="BB11" i="31"/>
  <c r="BC11" i="31"/>
  <c r="BC12" i="31"/>
  <c r="BB12" i="31"/>
  <c r="BC13" i="31"/>
  <c r="BB13" i="31"/>
  <c r="BC14" i="31"/>
  <c r="BB14" i="31"/>
  <c r="BC15" i="31"/>
  <c r="BB15" i="31"/>
  <c r="BB16" i="31"/>
  <c r="BC16" i="31"/>
  <c r="BC17" i="31"/>
  <c r="BB17" i="31"/>
  <c r="BB18" i="31"/>
  <c r="BC18" i="31"/>
  <c r="BB19" i="31"/>
  <c r="BC19" i="31"/>
  <c r="BB20" i="31"/>
  <c r="BC20" i="31"/>
  <c r="BC21" i="31"/>
  <c r="BB21" i="31"/>
  <c r="BC22" i="31"/>
  <c r="BB22" i="31"/>
  <c r="BC23" i="31"/>
  <c r="BB23" i="31"/>
  <c r="BC24" i="31"/>
  <c r="BB24" i="31"/>
  <c r="BC25" i="31"/>
  <c r="BB25" i="31"/>
  <c r="BC26" i="31"/>
  <c r="BB26" i="31"/>
  <c r="BC27" i="31"/>
  <c r="BB27" i="31"/>
  <c r="BC28" i="31"/>
  <c r="BB28" i="31"/>
  <c r="BC29" i="31"/>
  <c r="BB29" i="31"/>
  <c r="BC30" i="31"/>
  <c r="BB30" i="31"/>
  <c r="BC31" i="31"/>
  <c r="BB31" i="31"/>
  <c r="BC32" i="31"/>
  <c r="BB32" i="31"/>
  <c r="BB33" i="31"/>
  <c r="BC33" i="31"/>
  <c r="BC34" i="31"/>
  <c r="BB34" i="31"/>
  <c r="BB35" i="31"/>
  <c r="BC35" i="31"/>
  <c r="BC36" i="31"/>
  <c r="BB36" i="31"/>
  <c r="BC37" i="31"/>
  <c r="BB37" i="31"/>
  <c r="BC38" i="31"/>
  <c r="BB38" i="31"/>
  <c r="BC39" i="31"/>
  <c r="BB39" i="31"/>
  <c r="BC40" i="31"/>
  <c r="BB40" i="31"/>
  <c r="BC41" i="31"/>
  <c r="BB41" i="31"/>
  <c r="BC42" i="31"/>
  <c r="BB42" i="31"/>
  <c r="BB43" i="31"/>
  <c r="BC43" i="31"/>
  <c r="BC44" i="31"/>
  <c r="BB44" i="31"/>
  <c r="BC45" i="31"/>
  <c r="BB45" i="31"/>
  <c r="BC46" i="31"/>
  <c r="BB46"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AS46" i="26"/>
  <c r="BB34" i="26"/>
  <c r="BC44" i="26"/>
  <c r="BB45" i="26"/>
  <c r="BB24" i="26"/>
  <c r="BC30" i="26"/>
  <c r="J61" i="27" a="1"/>
  <c r="J61" i="27" s="1"/>
  <c r="J132" i="27" a="1"/>
  <c r="J132" i="27" s="1"/>
  <c r="J127" i="27" a="1"/>
  <c r="J127" i="27" s="1"/>
  <c r="J124" i="27" a="1"/>
  <c r="J124" i="27" s="1"/>
  <c r="J123" i="27" a="1"/>
  <c r="J123" i="27" s="1"/>
  <c r="J121" i="27" a="1"/>
  <c r="J121" i="27" s="1"/>
  <c r="J114" i="27" a="1"/>
  <c r="J114" i="27" s="1"/>
  <c r="J133" i="27" a="1"/>
  <c r="J133" i="27" s="1"/>
  <c r="J130" i="27" a="1"/>
  <c r="J130" i="27" s="1"/>
  <c r="J128" i="27" a="1"/>
  <c r="J128" i="27" s="1"/>
  <c r="J118" i="27" a="1"/>
  <c r="J118" i="27" s="1"/>
  <c r="J116" i="27" a="1"/>
  <c r="J116" i="27" s="1"/>
  <c r="J112" i="27" a="1"/>
  <c r="J112" i="27" s="1"/>
  <c r="J126" i="27" a="1"/>
  <c r="J126" i="27" s="1"/>
  <c r="J125" i="27" a="1"/>
  <c r="J125" i="27" s="1"/>
  <c r="J122" i="27" a="1"/>
  <c r="J122" i="27" s="1"/>
  <c r="J120" i="27" a="1"/>
  <c r="J120" i="27" s="1"/>
  <c r="J115" i="27" a="1"/>
  <c r="J115" i="27" s="1"/>
  <c r="J131" i="27" a="1"/>
  <c r="J131" i="27" s="1"/>
  <c r="J129" i="27" a="1"/>
  <c r="J129" i="27" s="1"/>
  <c r="J119" i="27" a="1"/>
  <c r="J119" i="27" s="1"/>
  <c r="J117" i="27" a="1"/>
  <c r="J117" i="27" s="1"/>
  <c r="J111" i="27" a="1"/>
  <c r="J111" i="27" s="1"/>
  <c r="J108" i="27" a="1"/>
  <c r="J108" i="27" s="1"/>
  <c r="J107" i="27" a="1"/>
  <c r="J107" i="27" s="1"/>
  <c r="J103" i="27" a="1"/>
  <c r="J103" i="27" s="1"/>
  <c r="J109" i="27" a="1"/>
  <c r="J109" i="27" s="1"/>
  <c r="J113" i="27" a="1"/>
  <c r="J113" i="27" s="1"/>
  <c r="J104" i="27" a="1"/>
  <c r="J104" i="27" s="1"/>
  <c r="J110" i="27" a="1"/>
  <c r="J110" i="27" s="1"/>
  <c r="J106" i="27" a="1"/>
  <c r="J106" i="27" s="1"/>
  <c r="J105" i="27" a="1"/>
  <c r="J105" i="27" s="1"/>
  <c r="E60" i="27" a="1"/>
  <c r="E60" i="27" s="1"/>
  <c r="E131" i="27" a="1"/>
  <c r="E131" i="27" s="1"/>
  <c r="E129" i="27" a="1"/>
  <c r="E129" i="27" s="1"/>
  <c r="E126" i="27" a="1"/>
  <c r="E126" i="27" s="1"/>
  <c r="E120" i="27" a="1"/>
  <c r="E120" i="27" s="1"/>
  <c r="E119" i="27" a="1"/>
  <c r="E119" i="27" s="1"/>
  <c r="E117" i="27" a="1"/>
  <c r="E117" i="27" s="1"/>
  <c r="E113" i="27" a="1"/>
  <c r="E113" i="27" s="1"/>
  <c r="E132" i="27" a="1"/>
  <c r="E132" i="27" s="1"/>
  <c r="E127" i="27" a="1"/>
  <c r="E127" i="27" s="1"/>
  <c r="E123" i="27" a="1"/>
  <c r="E123" i="27" s="1"/>
  <c r="E121" i="27" a="1"/>
  <c r="E121" i="27" s="1"/>
  <c r="E114" i="27" a="1"/>
  <c r="E114" i="27" s="1"/>
  <c r="E133" i="27" a="1"/>
  <c r="E133" i="27" s="1"/>
  <c r="E130" i="27" a="1"/>
  <c r="E130" i="27" s="1"/>
  <c r="E128" i="27" a="1"/>
  <c r="E128" i="27" s="1"/>
  <c r="E124" i="27" a="1"/>
  <c r="E124" i="27" s="1"/>
  <c r="E118" i="27" a="1"/>
  <c r="E118" i="27" s="1"/>
  <c r="E112" i="27" a="1"/>
  <c r="E112" i="27" s="1"/>
  <c r="E125" i="27" a="1"/>
  <c r="E125" i="27" s="1"/>
  <c r="E122" i="27" a="1"/>
  <c r="E122" i="27" s="1"/>
  <c r="E116" i="27" a="1"/>
  <c r="E116" i="27" s="1"/>
  <c r="E115" i="27" a="1"/>
  <c r="E115" i="27" s="1"/>
  <c r="E111" i="27" a="1"/>
  <c r="E111" i="27" s="1"/>
  <c r="E110" i="27" a="1"/>
  <c r="E110" i="27" s="1"/>
  <c r="E105" i="27" a="1"/>
  <c r="E105" i="27" s="1"/>
  <c r="E107" i="27" a="1"/>
  <c r="E107" i="27" s="1"/>
  <c r="E106" i="27" a="1"/>
  <c r="E106" i="27" s="1"/>
  <c r="E104" i="27" a="1"/>
  <c r="E104" i="27" s="1"/>
  <c r="E109" i="27" a="1"/>
  <c r="E109" i="27" s="1"/>
  <c r="E108" i="27" a="1"/>
  <c r="E108" i="27" s="1"/>
  <c r="E103" i="27" a="1"/>
  <c r="E103" i="27" s="1"/>
  <c r="L125" i="27" a="1"/>
  <c r="L125" i="27" s="1"/>
  <c r="L124" i="27" a="1"/>
  <c r="L124" i="27" s="1"/>
  <c r="L122" i="27" a="1"/>
  <c r="L122" i="27" s="1"/>
  <c r="L115" i="27" a="1"/>
  <c r="L115" i="27" s="1"/>
  <c r="L131" i="27" a="1"/>
  <c r="L131" i="27" s="1"/>
  <c r="L129" i="27" a="1"/>
  <c r="L129" i="27" s="1"/>
  <c r="L119" i="27" a="1"/>
  <c r="L119" i="27" s="1"/>
  <c r="L117" i="27" a="1"/>
  <c r="L117" i="27" s="1"/>
  <c r="L116" i="27" a="1"/>
  <c r="L116" i="27" s="1"/>
  <c r="L113" i="27" a="1"/>
  <c r="L113" i="27" s="1"/>
  <c r="L111" i="27" a="1"/>
  <c r="L111" i="27" s="1"/>
  <c r="L132" i="27" a="1"/>
  <c r="L132" i="27" s="1"/>
  <c r="L127" i="27" a="1"/>
  <c r="L127" i="27" s="1"/>
  <c r="L126" i="27" a="1"/>
  <c r="L126" i="27" s="1"/>
  <c r="L123" i="27" a="1"/>
  <c r="L123" i="27" s="1"/>
  <c r="L121" i="27" a="1"/>
  <c r="L121" i="27" s="1"/>
  <c r="L120" i="27" a="1"/>
  <c r="L120" i="27" s="1"/>
  <c r="L114" i="27" a="1"/>
  <c r="L114" i="27" s="1"/>
  <c r="L133" i="27" a="1"/>
  <c r="L133" i="27" s="1"/>
  <c r="L130" i="27" a="1"/>
  <c r="L130" i="27" s="1"/>
  <c r="L128" i="27" a="1"/>
  <c r="L128" i="27" s="1"/>
  <c r="L118" i="27" a="1"/>
  <c r="L118" i="27" s="1"/>
  <c r="L104" i="27" a="1"/>
  <c r="L104" i="27" s="1"/>
  <c r="L103" i="27" a="1"/>
  <c r="L103" i="27" s="1"/>
  <c r="L106" i="27" a="1"/>
  <c r="L106" i="27" s="1"/>
  <c r="L105" i="27" a="1"/>
  <c r="L105" i="27" s="1"/>
  <c r="L112" i="27" a="1"/>
  <c r="L112" i="27" s="1"/>
  <c r="L110" i="27" a="1"/>
  <c r="L110" i="27" s="1"/>
  <c r="L108" i="27" a="1"/>
  <c r="L108" i="27" s="1"/>
  <c r="L107" i="27" a="1"/>
  <c r="L107" i="27" s="1"/>
  <c r="L109" i="27" a="1"/>
  <c r="L109" i="27" s="1"/>
  <c r="K133" i="27" a="1"/>
  <c r="K133" i="27" s="1"/>
  <c r="K130" i="27" a="1"/>
  <c r="K130" i="27" s="1"/>
  <c r="K128" i="27" a="1"/>
  <c r="K128" i="27" s="1"/>
  <c r="K126" i="27" a="1"/>
  <c r="K126" i="27" s="1"/>
  <c r="K120" i="27" a="1"/>
  <c r="K120" i="27" s="1"/>
  <c r="K118" i="27" a="1"/>
  <c r="K118" i="27" s="1"/>
  <c r="K112" i="27" a="1"/>
  <c r="K112" i="27" s="1"/>
  <c r="K125" i="27" a="1"/>
  <c r="K125" i="27" s="1"/>
  <c r="K122" i="27" a="1"/>
  <c r="K122" i="27" s="1"/>
  <c r="K115" i="27" a="1"/>
  <c r="K115" i="27" s="1"/>
  <c r="K110" i="27" a="1"/>
  <c r="K110" i="27" s="1"/>
  <c r="K131" i="27" a="1"/>
  <c r="K131" i="27" s="1"/>
  <c r="K129" i="27" a="1"/>
  <c r="K129" i="27" s="1"/>
  <c r="K124" i="27" a="1"/>
  <c r="K124" i="27" s="1"/>
  <c r="K119" i="27" a="1"/>
  <c r="K119" i="27" s="1"/>
  <c r="K117" i="27" a="1"/>
  <c r="K117" i="27" s="1"/>
  <c r="K113" i="27" a="1"/>
  <c r="K113" i="27" s="1"/>
  <c r="K132" i="27" a="1"/>
  <c r="K132" i="27" s="1"/>
  <c r="K127" i="27" a="1"/>
  <c r="K127" i="27" s="1"/>
  <c r="K123" i="27" a="1"/>
  <c r="K123" i="27" s="1"/>
  <c r="K121" i="27" a="1"/>
  <c r="K121" i="27" s="1"/>
  <c r="K116" i="27" a="1"/>
  <c r="K116" i="27" s="1"/>
  <c r="K114" i="27" a="1"/>
  <c r="K114" i="27" s="1"/>
  <c r="K109" i="27" a="1"/>
  <c r="K109" i="27" s="1"/>
  <c r="K104" i="27" a="1"/>
  <c r="K104" i="27" s="1"/>
  <c r="K103" i="27" a="1"/>
  <c r="K103" i="27" s="1"/>
  <c r="K106" i="27" a="1"/>
  <c r="K106" i="27" s="1"/>
  <c r="K105" i="27" a="1"/>
  <c r="K105" i="27" s="1"/>
  <c r="K111" i="27" a="1"/>
  <c r="K111" i="27" s="1"/>
  <c r="K108" i="27" a="1"/>
  <c r="K108" i="27" s="1"/>
  <c r="K107" i="27" a="1"/>
  <c r="K107" i="27" s="1"/>
  <c r="F132" i="27" a="1"/>
  <c r="F132" i="27" s="1"/>
  <c r="F127" i="27" a="1"/>
  <c r="F127" i="27" s="1"/>
  <c r="F124" i="27" a="1"/>
  <c r="F124" i="27" s="1"/>
  <c r="F123" i="27" a="1"/>
  <c r="F123" i="27" s="1"/>
  <c r="F121" i="27" a="1"/>
  <c r="F121" i="27" s="1"/>
  <c r="F114" i="27" a="1"/>
  <c r="F114" i="27" s="1"/>
  <c r="F133" i="27" a="1"/>
  <c r="F133" i="27" s="1"/>
  <c r="F130" i="27" a="1"/>
  <c r="F130" i="27" s="1"/>
  <c r="F128" i="27" a="1"/>
  <c r="F128" i="27" s="1"/>
  <c r="F118" i="27" a="1"/>
  <c r="F118" i="27" s="1"/>
  <c r="F116" i="27" a="1"/>
  <c r="F116" i="27" s="1"/>
  <c r="F112" i="27" a="1"/>
  <c r="F112" i="27" s="1"/>
  <c r="F126" i="27" a="1"/>
  <c r="F126" i="27" s="1"/>
  <c r="F125" i="27" a="1"/>
  <c r="F125" i="27" s="1"/>
  <c r="F122" i="27" a="1"/>
  <c r="F122" i="27" s="1"/>
  <c r="F120" i="27" a="1"/>
  <c r="F120" i="27" s="1"/>
  <c r="F115" i="27" a="1"/>
  <c r="F115" i="27" s="1"/>
  <c r="F131" i="27" a="1"/>
  <c r="F131" i="27" s="1"/>
  <c r="F129" i="27" a="1"/>
  <c r="F129" i="27" s="1"/>
  <c r="F119" i="27" a="1"/>
  <c r="F119" i="27" s="1"/>
  <c r="F117" i="27" a="1"/>
  <c r="F117" i="27" s="1"/>
  <c r="F107" i="27" a="1"/>
  <c r="F107" i="27" s="1"/>
  <c r="F106" i="27" a="1"/>
  <c r="F106" i="27" s="1"/>
  <c r="F109" i="27" a="1"/>
  <c r="F109" i="27" s="1"/>
  <c r="F108" i="27" a="1"/>
  <c r="F108" i="27" s="1"/>
  <c r="F103" i="27" a="1"/>
  <c r="F103" i="27" s="1"/>
  <c r="F113" i="27" a="1"/>
  <c r="F113" i="27" s="1"/>
  <c r="F111" i="27" a="1"/>
  <c r="F111" i="27" s="1"/>
  <c r="F110" i="27" a="1"/>
  <c r="F110" i="27" s="1"/>
  <c r="F105" i="27" a="1"/>
  <c r="F105" i="27" s="1"/>
  <c r="F104" i="27" a="1"/>
  <c r="F104" i="27" s="1"/>
  <c r="D61" i="27" a="1"/>
  <c r="D61" i="27" s="1"/>
  <c r="D125" i="27" a="1"/>
  <c r="D125" i="27" s="1"/>
  <c r="D122" i="27" a="1"/>
  <c r="D122" i="27" s="1"/>
  <c r="D115" i="27" a="1"/>
  <c r="D115" i="27" s="1"/>
  <c r="D131" i="27" a="1"/>
  <c r="D131" i="27" s="1"/>
  <c r="D129" i="27" a="1"/>
  <c r="D129" i="27" s="1"/>
  <c r="D119" i="27" a="1"/>
  <c r="D119" i="27" s="1"/>
  <c r="D117" i="27" a="1"/>
  <c r="D117" i="27" s="1"/>
  <c r="D116" i="27" a="1"/>
  <c r="D116" i="27" s="1"/>
  <c r="D113" i="27" a="1"/>
  <c r="D113" i="27" s="1"/>
  <c r="D111" i="27" a="1"/>
  <c r="D111" i="27" s="1"/>
  <c r="D110" i="27" a="1"/>
  <c r="D110" i="27" s="1"/>
  <c r="D132" i="27" a="1"/>
  <c r="D132" i="27" s="1"/>
  <c r="D127" i="27" a="1"/>
  <c r="D127" i="27" s="1"/>
  <c r="D126" i="27" a="1"/>
  <c r="D126" i="27" s="1"/>
  <c r="D123" i="27" a="1"/>
  <c r="D123" i="27" s="1"/>
  <c r="D121" i="27" a="1"/>
  <c r="D121" i="27" s="1"/>
  <c r="D120" i="27" a="1"/>
  <c r="D120" i="27" s="1"/>
  <c r="D114" i="27" a="1"/>
  <c r="D114" i="27" s="1"/>
  <c r="D133" i="27" a="1"/>
  <c r="D133" i="27" s="1"/>
  <c r="D130" i="27" a="1"/>
  <c r="D130" i="27" s="1"/>
  <c r="D128" i="27" a="1"/>
  <c r="D128" i="27" s="1"/>
  <c r="D124" i="27" a="1"/>
  <c r="D124" i="27" s="1"/>
  <c r="D118" i="27" a="1"/>
  <c r="D118" i="27" s="1"/>
  <c r="D108" i="27" a="1"/>
  <c r="D108" i="27" s="1"/>
  <c r="D103" i="27" a="1"/>
  <c r="D103" i="27" s="1"/>
  <c r="D112" i="27" a="1"/>
  <c r="D112" i="27" s="1"/>
  <c r="D105" i="27" a="1"/>
  <c r="D105" i="27" s="1"/>
  <c r="D107" i="27" a="1"/>
  <c r="D107" i="27" s="1"/>
  <c r="D106" i="27" a="1"/>
  <c r="D106" i="27" s="1"/>
  <c r="D104" i="27" a="1"/>
  <c r="D104" i="27" s="1"/>
  <c r="D109" i="27" a="1"/>
  <c r="D109" i="27" s="1"/>
  <c r="C67" i="27" a="1"/>
  <c r="C67" i="27" s="1"/>
  <c r="C133" i="27" a="1"/>
  <c r="C133" i="27" s="1"/>
  <c r="C130" i="27" a="1"/>
  <c r="C130" i="27" s="1"/>
  <c r="C124" i="27" a="1"/>
  <c r="C124" i="27" s="1"/>
  <c r="C120" i="27" a="1"/>
  <c r="C120" i="27" s="1"/>
  <c r="C118" i="27" a="1"/>
  <c r="C118" i="27" s="1"/>
  <c r="C114" i="27" a="1"/>
  <c r="C114" i="27" s="1"/>
  <c r="C128" i="27" a="1"/>
  <c r="C128" i="27" s="1"/>
  <c r="C125" i="27" a="1"/>
  <c r="C125" i="27" s="1"/>
  <c r="C122" i="27" a="1"/>
  <c r="C122" i="27" s="1"/>
  <c r="C115" i="27" a="1"/>
  <c r="C115" i="27" s="1"/>
  <c r="C131" i="27" a="1"/>
  <c r="C131" i="27" s="1"/>
  <c r="C129" i="27" a="1"/>
  <c r="C129" i="27" s="1"/>
  <c r="C119" i="27" a="1"/>
  <c r="C119" i="27" s="1"/>
  <c r="C117" i="27" a="1"/>
  <c r="C117" i="27" s="1"/>
  <c r="C113" i="27" a="1"/>
  <c r="C113" i="27" s="1"/>
  <c r="C132" i="27" a="1"/>
  <c r="C132" i="27" s="1"/>
  <c r="C127" i="27" a="1"/>
  <c r="C127" i="27" s="1"/>
  <c r="C126" i="27" a="1"/>
  <c r="C126" i="27" s="1"/>
  <c r="C123" i="27" a="1"/>
  <c r="C123" i="27" s="1"/>
  <c r="C121" i="27" a="1"/>
  <c r="C121" i="27" s="1"/>
  <c r="C116" i="27" a="1"/>
  <c r="C116" i="27" s="1"/>
  <c r="C109" i="27" a="1"/>
  <c r="C109" i="27" s="1"/>
  <c r="C111" i="27" a="1"/>
  <c r="C111" i="27" s="1"/>
  <c r="C110" i="27" a="1"/>
  <c r="C110" i="27" s="1"/>
  <c r="C108" i="27" a="1"/>
  <c r="C108" i="27" s="1"/>
  <c r="C103" i="27" a="1"/>
  <c r="C103" i="27" s="1"/>
  <c r="C112" i="27" a="1"/>
  <c r="C112" i="27" s="1"/>
  <c r="C105" i="27" a="1"/>
  <c r="C105" i="27" s="1"/>
  <c r="C107" i="27" a="1"/>
  <c r="C107" i="27" s="1"/>
  <c r="C106" i="27" a="1"/>
  <c r="C106" i="27" s="1"/>
  <c r="C104" i="27" a="1"/>
  <c r="C104" i="27" s="1"/>
  <c r="M131" i="27" a="1"/>
  <c r="M131" i="27" s="1"/>
  <c r="M129" i="27" a="1"/>
  <c r="M129" i="27" s="1"/>
  <c r="M126" i="27" a="1"/>
  <c r="M126" i="27" s="1"/>
  <c r="M120" i="27" a="1"/>
  <c r="M120" i="27" s="1"/>
  <c r="M119" i="27" a="1"/>
  <c r="M119" i="27" s="1"/>
  <c r="M117" i="27" a="1"/>
  <c r="M117" i="27" s="1"/>
  <c r="M113" i="27" a="1"/>
  <c r="M113" i="27" s="1"/>
  <c r="M132" i="27" a="1"/>
  <c r="M132" i="27" s="1"/>
  <c r="M127" i="27" a="1"/>
  <c r="M127" i="27" s="1"/>
  <c r="M123" i="27" a="1"/>
  <c r="M123" i="27" s="1"/>
  <c r="M121" i="27" a="1"/>
  <c r="M121" i="27" s="1"/>
  <c r="M114" i="27" a="1"/>
  <c r="M114" i="27" s="1"/>
  <c r="M133" i="27" a="1"/>
  <c r="M133" i="27" s="1"/>
  <c r="M130" i="27" a="1"/>
  <c r="M130" i="27" s="1"/>
  <c r="M128" i="27" a="1"/>
  <c r="M128" i="27" s="1"/>
  <c r="M124" i="27" a="1"/>
  <c r="M124" i="27" s="1"/>
  <c r="M118" i="27" a="1"/>
  <c r="M118" i="27" s="1"/>
  <c r="M112" i="27" a="1"/>
  <c r="M112" i="27" s="1"/>
  <c r="M125" i="27" a="1"/>
  <c r="M125" i="27" s="1"/>
  <c r="M122" i="27" a="1"/>
  <c r="M122" i="27" s="1"/>
  <c r="M116" i="27" a="1"/>
  <c r="M116" i="27" s="1"/>
  <c r="M115" i="27" a="1"/>
  <c r="M115" i="27" s="1"/>
  <c r="M110" i="27" a="1"/>
  <c r="M110" i="27" s="1"/>
  <c r="M105" i="27" a="1"/>
  <c r="M105" i="27" s="1"/>
  <c r="M108" i="27" a="1"/>
  <c r="M108" i="27" s="1"/>
  <c r="M107" i="27" a="1"/>
  <c r="M107" i="27" s="1"/>
  <c r="M111" i="27" a="1"/>
  <c r="M111" i="27" s="1"/>
  <c r="M109" i="27" a="1"/>
  <c r="M109" i="27" s="1"/>
  <c r="M106" i="27" a="1"/>
  <c r="M106" i="27" s="1"/>
  <c r="M104" i="27" a="1"/>
  <c r="M104" i="27" s="1"/>
  <c r="M103" i="27" a="1"/>
  <c r="M103" i="27" s="1"/>
  <c r="I65" i="27" a="1"/>
  <c r="I65" i="27" s="1"/>
  <c r="I131" i="27" a="1"/>
  <c r="I131" i="27" s="1"/>
  <c r="I129" i="27" a="1"/>
  <c r="I129" i="27" s="1"/>
  <c r="I126" i="27" a="1"/>
  <c r="I126" i="27" s="1"/>
  <c r="I120" i="27" a="1"/>
  <c r="I120" i="27" s="1"/>
  <c r="I119" i="27" a="1"/>
  <c r="I119" i="27" s="1"/>
  <c r="I117" i="27" a="1"/>
  <c r="I117" i="27" s="1"/>
  <c r="I113" i="27" a="1"/>
  <c r="I113" i="27" s="1"/>
  <c r="I132" i="27" a="1"/>
  <c r="I132" i="27" s="1"/>
  <c r="I127" i="27" a="1"/>
  <c r="I127" i="27" s="1"/>
  <c r="I123" i="27" a="1"/>
  <c r="I123" i="27" s="1"/>
  <c r="I121" i="27" a="1"/>
  <c r="I121" i="27" s="1"/>
  <c r="I114" i="27" a="1"/>
  <c r="I114" i="27" s="1"/>
  <c r="I133" i="27" a="1"/>
  <c r="I133" i="27" s="1"/>
  <c r="I130" i="27" a="1"/>
  <c r="I130" i="27" s="1"/>
  <c r="I128" i="27" a="1"/>
  <c r="I128" i="27" s="1"/>
  <c r="I124" i="27" a="1"/>
  <c r="I124" i="27" s="1"/>
  <c r="I118" i="27" a="1"/>
  <c r="I118" i="27" s="1"/>
  <c r="I112" i="27" a="1"/>
  <c r="I112" i="27" s="1"/>
  <c r="I125" i="27" a="1"/>
  <c r="I125" i="27" s="1"/>
  <c r="I122" i="27" a="1"/>
  <c r="I122" i="27" s="1"/>
  <c r="I116" i="27" a="1"/>
  <c r="I116" i="27" s="1"/>
  <c r="I115" i="27" a="1"/>
  <c r="I115" i="27" s="1"/>
  <c r="I110" i="27" a="1"/>
  <c r="I110" i="27" s="1"/>
  <c r="I106" i="27" a="1"/>
  <c r="I106" i="27" s="1"/>
  <c r="I105" i="27" a="1"/>
  <c r="I105" i="27" s="1"/>
  <c r="I104" i="27" a="1"/>
  <c r="I104" i="27" s="1"/>
  <c r="I111" i="27" a="1"/>
  <c r="I111" i="27" s="1"/>
  <c r="I107" i="27" a="1"/>
  <c r="I107" i="27" s="1"/>
  <c r="I109" i="27" a="1"/>
  <c r="I109" i="27" s="1"/>
  <c r="I108" i="27" a="1"/>
  <c r="I108" i="27" s="1"/>
  <c r="I103" i="27" a="1"/>
  <c r="I103" i="27" s="1"/>
  <c r="H125" i="27" a="1"/>
  <c r="H125" i="27" s="1"/>
  <c r="H124" i="27" a="1"/>
  <c r="H124" i="27" s="1"/>
  <c r="H122" i="27" a="1"/>
  <c r="H122" i="27" s="1"/>
  <c r="H115" i="27" a="1"/>
  <c r="H115" i="27" s="1"/>
  <c r="H131" i="27" a="1"/>
  <c r="H131" i="27" s="1"/>
  <c r="H129" i="27" a="1"/>
  <c r="H129" i="27" s="1"/>
  <c r="H119" i="27" a="1"/>
  <c r="H119" i="27" s="1"/>
  <c r="H117" i="27" a="1"/>
  <c r="H117" i="27" s="1"/>
  <c r="H116" i="27" a="1"/>
  <c r="H116" i="27" s="1"/>
  <c r="H113" i="27" a="1"/>
  <c r="H113" i="27" s="1"/>
  <c r="H111" i="27" a="1"/>
  <c r="H111" i="27" s="1"/>
  <c r="H110" i="27" a="1"/>
  <c r="H110" i="27" s="1"/>
  <c r="H132" i="27" a="1"/>
  <c r="H132" i="27" s="1"/>
  <c r="H127" i="27" a="1"/>
  <c r="H127" i="27" s="1"/>
  <c r="H126" i="27" a="1"/>
  <c r="H126" i="27" s="1"/>
  <c r="H123" i="27" a="1"/>
  <c r="H123" i="27" s="1"/>
  <c r="H121" i="27" a="1"/>
  <c r="H121" i="27" s="1"/>
  <c r="H120" i="27" a="1"/>
  <c r="H120" i="27" s="1"/>
  <c r="H114" i="27" a="1"/>
  <c r="H114" i="27" s="1"/>
  <c r="H133" i="27" a="1"/>
  <c r="H133" i="27" s="1"/>
  <c r="H130" i="27" a="1"/>
  <c r="H130" i="27" s="1"/>
  <c r="H128" i="27" a="1"/>
  <c r="H128" i="27" s="1"/>
  <c r="H118" i="27" a="1"/>
  <c r="H118" i="27" s="1"/>
  <c r="H103" i="27" a="1"/>
  <c r="H103" i="27" s="1"/>
  <c r="H105" i="27" a="1"/>
  <c r="H105" i="27" s="1"/>
  <c r="H104" i="27" a="1"/>
  <c r="H104" i="27" s="1"/>
  <c r="H107" i="27" a="1"/>
  <c r="H107" i="27" s="1"/>
  <c r="H106" i="27" a="1"/>
  <c r="H106" i="27" s="1"/>
  <c r="H112" i="27" a="1"/>
  <c r="H112" i="27" s="1"/>
  <c r="H109" i="27" a="1"/>
  <c r="H109" i="27" s="1"/>
  <c r="H108" i="27" a="1"/>
  <c r="H108" i="27" s="1"/>
  <c r="G133" i="27" a="1"/>
  <c r="G133" i="27" s="1"/>
  <c r="G130" i="27" a="1"/>
  <c r="G130" i="27" s="1"/>
  <c r="G128" i="27" a="1"/>
  <c r="G128" i="27" s="1"/>
  <c r="G126" i="27" a="1"/>
  <c r="G126" i="27" s="1"/>
  <c r="G120" i="27" a="1"/>
  <c r="G120" i="27" s="1"/>
  <c r="G118" i="27" a="1"/>
  <c r="G118" i="27" s="1"/>
  <c r="G125" i="27" a="1"/>
  <c r="G125" i="27" s="1"/>
  <c r="G122" i="27" a="1"/>
  <c r="G122" i="27" s="1"/>
  <c r="G115" i="27" a="1"/>
  <c r="G115" i="27" s="1"/>
  <c r="G131" i="27" a="1"/>
  <c r="G131" i="27" s="1"/>
  <c r="G129" i="27" a="1"/>
  <c r="G129" i="27" s="1"/>
  <c r="G124" i="27" a="1"/>
  <c r="G124" i="27" s="1"/>
  <c r="G119" i="27" a="1"/>
  <c r="G119" i="27" s="1"/>
  <c r="G117" i="27" a="1"/>
  <c r="G117" i="27" s="1"/>
  <c r="G113" i="27" a="1"/>
  <c r="G113" i="27" s="1"/>
  <c r="G132" i="27" a="1"/>
  <c r="G132" i="27" s="1"/>
  <c r="G127" i="27" a="1"/>
  <c r="G127" i="27" s="1"/>
  <c r="G123" i="27" a="1"/>
  <c r="G123" i="27" s="1"/>
  <c r="G121" i="27" a="1"/>
  <c r="G121" i="27" s="1"/>
  <c r="G116" i="27" a="1"/>
  <c r="G116" i="27" s="1"/>
  <c r="G114" i="27" a="1"/>
  <c r="G114" i="27" s="1"/>
  <c r="G112" i="27" a="1"/>
  <c r="G112" i="27" s="1"/>
  <c r="G109" i="27" a="1"/>
  <c r="G109" i="27" s="1"/>
  <c r="G108" i="27" a="1"/>
  <c r="G108" i="27" s="1"/>
  <c r="G103" i="27" a="1"/>
  <c r="G103" i="27" s="1"/>
  <c r="G111" i="27" a="1"/>
  <c r="G111" i="27" s="1"/>
  <c r="G110" i="27" a="1"/>
  <c r="G110" i="27" s="1"/>
  <c r="G105" i="27" a="1"/>
  <c r="G105" i="27" s="1"/>
  <c r="G104" i="27" a="1"/>
  <c r="G104" i="27" s="1"/>
  <c r="G107" i="27" a="1"/>
  <c r="G107" i="27" s="1"/>
  <c r="G106" i="27" a="1"/>
  <c r="G106" i="27" s="1"/>
  <c r="BB43" i="26"/>
  <c r="BC18" i="26"/>
  <c r="BC29" i="26"/>
  <c r="BB46" i="26"/>
  <c r="AS44" i="26"/>
  <c r="AT16" i="26"/>
  <c r="BC39" i="26"/>
  <c r="BC16" i="26"/>
  <c r="BB21" i="26"/>
  <c r="BC37" i="26"/>
  <c r="BC26" i="26"/>
  <c r="BC40" i="26"/>
  <c r="BC17" i="26"/>
  <c r="BC24" i="26"/>
  <c r="BC19" i="26"/>
  <c r="BB17" i="26"/>
  <c r="BB19" i="26"/>
  <c r="BB20" i="25"/>
  <c r="AS22" i="25"/>
  <c r="AT24" i="25"/>
  <c r="Y19" i="31" a="1"/>
  <c r="Y19" i="31" s="1"/>
  <c r="AZ19" i="31" a="1"/>
  <c r="AZ19" i="31" s="1"/>
  <c r="P19" i="31" a="1"/>
  <c r="P19" i="31" s="1"/>
  <c r="AQ19" i="31" a="1"/>
  <c r="AQ19" i="31" s="1"/>
  <c r="I19" i="31"/>
  <c r="AH19" i="31" a="1"/>
  <c r="AH19" i="31" s="1"/>
  <c r="J20" i="31"/>
  <c r="AS39" i="26"/>
  <c r="AS21" i="25"/>
  <c r="AS32" i="26"/>
  <c r="BB35" i="25"/>
  <c r="BB46" i="25"/>
  <c r="BB33" i="25"/>
  <c r="BC34" i="25"/>
  <c r="AS42" i="25"/>
  <c r="BB42" i="25"/>
  <c r="AT42" i="25"/>
  <c r="BB43" i="25"/>
  <c r="BC43" i="25"/>
  <c r="AS41" i="25"/>
  <c r="AS36" i="25"/>
  <c r="AS46" i="25"/>
  <c r="AT36" i="25"/>
  <c r="BC40" i="25"/>
  <c r="BC32" i="25"/>
  <c r="AT41" i="25"/>
  <c r="F18" i="27" a="1"/>
  <c r="F18" i="27" s="1"/>
  <c r="AT30" i="25"/>
  <c r="AT40" i="25"/>
  <c r="AT45" i="25"/>
  <c r="AS32" i="25"/>
  <c r="BC36" i="25"/>
  <c r="BB45" i="25"/>
  <c r="BB39" i="25"/>
  <c r="BC28" i="25"/>
  <c r="BC35" i="25"/>
  <c r="BC39" i="25"/>
  <c r="BC46" i="25"/>
  <c r="F20" i="27" a="1"/>
  <c r="F20" i="27" s="1"/>
  <c r="BC33" i="25"/>
  <c r="BC38" i="25"/>
  <c r="BB41" i="25"/>
  <c r="N21" i="27" a="1"/>
  <c r="N21" i="27" s="1"/>
  <c r="BC44" i="25"/>
  <c r="BC37" i="25"/>
  <c r="BB31" i="25"/>
  <c r="BB12" i="25"/>
  <c r="BC42" i="25"/>
  <c r="AT12" i="25"/>
  <c r="AS13" i="26"/>
  <c r="BB10" i="25"/>
  <c r="BC15" i="25"/>
  <c r="AS16" i="26"/>
  <c r="AS44" i="25"/>
  <c r="AT44" i="25"/>
  <c r="AT38" i="25"/>
  <c r="AT37" i="25"/>
  <c r="AS39" i="25"/>
  <c r="AT39" i="25"/>
  <c r="AS40" i="25"/>
  <c r="AS43" i="25"/>
  <c r="AT43" i="25"/>
  <c r="F88" i="27" a="1"/>
  <c r="F88" i="27" s="1"/>
  <c r="F80" i="27" a="1"/>
  <c r="F80" i="27" s="1"/>
  <c r="F72" i="27" a="1"/>
  <c r="F72" i="27" s="1"/>
  <c r="F90" i="27" a="1"/>
  <c r="F90" i="27" s="1"/>
  <c r="F87" i="27" a="1"/>
  <c r="F87" i="27" s="1"/>
  <c r="F82" i="27" a="1"/>
  <c r="F82" i="27" s="1"/>
  <c r="F79" i="27" a="1"/>
  <c r="F79" i="27" s="1"/>
  <c r="F74" i="27" a="1"/>
  <c r="F74" i="27" s="1"/>
  <c r="F71" i="27" a="1"/>
  <c r="F71" i="27" s="1"/>
  <c r="F89" i="27" a="1"/>
  <c r="F89" i="27" s="1"/>
  <c r="F81" i="27" a="1"/>
  <c r="F81" i="27" s="1"/>
  <c r="F73" i="27" a="1"/>
  <c r="F73" i="27" s="1"/>
  <c r="F86" i="27" a="1"/>
  <c r="F86" i="27" s="1"/>
  <c r="F83" i="27" a="1"/>
  <c r="F83" i="27" s="1"/>
  <c r="F78" i="27" a="1"/>
  <c r="F78" i="27" s="1"/>
  <c r="F75" i="27" a="1"/>
  <c r="F75" i="27" s="1"/>
  <c r="F70" i="27" a="1"/>
  <c r="F70" i="27" s="1"/>
  <c r="F69" i="27" a="1"/>
  <c r="F69" i="27" s="1"/>
  <c r="F84" i="27" a="1"/>
  <c r="F84" i="27" s="1"/>
  <c r="F76" i="27" a="1"/>
  <c r="F76" i="27" s="1"/>
  <c r="F85" i="27" a="1"/>
  <c r="F85" i="27" s="1"/>
  <c r="F77" i="27" a="1"/>
  <c r="F77" i="27" s="1"/>
  <c r="F62" i="27" a="1"/>
  <c r="F62" i="27" s="1"/>
  <c r="F67" i="27" a="1"/>
  <c r="F67" i="27" s="1"/>
  <c r="F68" i="27" a="1"/>
  <c r="F68" i="27" s="1"/>
  <c r="I19" i="27" a="1"/>
  <c r="I19" i="27" s="1"/>
  <c r="I45" i="27" a="1"/>
  <c r="I45" i="27" s="1"/>
  <c r="I29" i="27" a="1"/>
  <c r="I29" i="27" s="1"/>
  <c r="I28" i="27" a="1"/>
  <c r="I28" i="27" s="1"/>
  <c r="I21" i="27" a="1"/>
  <c r="I21" i="27" s="1"/>
  <c r="I47" i="27" a="1"/>
  <c r="I47" i="27" s="1"/>
  <c r="I43" i="27" a="1"/>
  <c r="I43" i="27" s="1"/>
  <c r="I39" i="27" a="1"/>
  <c r="I39" i="27" s="1"/>
  <c r="I35" i="27" a="1"/>
  <c r="I35" i="27" s="1"/>
  <c r="I18" i="27" a="1"/>
  <c r="I18" i="27" s="1"/>
  <c r="I20" i="27" a="1"/>
  <c r="I20" i="27" s="1"/>
  <c r="I41" i="27" a="1"/>
  <c r="I41" i="27" s="1"/>
  <c r="I37" i="27" a="1"/>
  <c r="I37" i="27" s="1"/>
  <c r="D38" i="27" a="1"/>
  <c r="D38" i="27" s="1"/>
  <c r="D22" i="27" a="1"/>
  <c r="D22" i="27" s="1"/>
  <c r="D34" i="27" a="1"/>
  <c r="D34" i="27" s="1"/>
  <c r="D21" i="27" a="1"/>
  <c r="D21" i="27" s="1"/>
  <c r="D46" i="27" a="1"/>
  <c r="D46" i="27" s="1"/>
  <c r="D31" i="27" a="1"/>
  <c r="D31" i="27" s="1"/>
  <c r="D23" i="27" a="1"/>
  <c r="D23" i="27" s="1"/>
  <c r="AC46" i="26"/>
  <c r="AC42" i="26"/>
  <c r="AK42" i="26" s="1"/>
  <c r="AC38" i="26"/>
  <c r="AJ38" i="26" s="1"/>
  <c r="AC34" i="26"/>
  <c r="AK34" i="26" s="1"/>
  <c r="AC30" i="26"/>
  <c r="AK30" i="26" s="1"/>
  <c r="AC26" i="26"/>
  <c r="AJ26" i="26" s="1"/>
  <c r="AC22" i="26"/>
  <c r="AK22" i="26" s="1"/>
  <c r="AC18" i="26"/>
  <c r="AJ18" i="26" s="1"/>
  <c r="AC14" i="26"/>
  <c r="AC10" i="26"/>
  <c r="AC43" i="25"/>
  <c r="AJ43" i="25" s="1"/>
  <c r="AC39" i="25"/>
  <c r="AJ39" i="25" s="1"/>
  <c r="AC35" i="25"/>
  <c r="AJ35" i="25" s="1"/>
  <c r="AC31" i="25"/>
  <c r="AK31" i="25" s="1"/>
  <c r="AC27" i="25"/>
  <c r="AK27" i="25" s="1"/>
  <c r="AC23" i="25"/>
  <c r="AK23" i="25" s="1"/>
  <c r="AC19" i="25"/>
  <c r="AK19" i="25" s="1"/>
  <c r="AC15" i="25"/>
  <c r="AC11" i="25"/>
  <c r="AC45" i="26"/>
  <c r="AC41" i="26"/>
  <c r="AK41" i="26" s="1"/>
  <c r="AC37" i="26"/>
  <c r="AC33" i="26"/>
  <c r="AJ33" i="26" s="1"/>
  <c r="AC29" i="26"/>
  <c r="AK29" i="26" s="1"/>
  <c r="AC25" i="26"/>
  <c r="AK25" i="26" s="1"/>
  <c r="AC21" i="26"/>
  <c r="AJ21" i="26" s="1"/>
  <c r="AC17" i="26"/>
  <c r="AJ17" i="26" s="1"/>
  <c r="AC13" i="26"/>
  <c r="AC46" i="25"/>
  <c r="AC42" i="25"/>
  <c r="AC38" i="25"/>
  <c r="AC34" i="25"/>
  <c r="AJ34" i="25" s="1"/>
  <c r="AC30" i="25"/>
  <c r="AJ30" i="25" s="1"/>
  <c r="AC26" i="25"/>
  <c r="AK26" i="25" s="1"/>
  <c r="AC22" i="25"/>
  <c r="AJ22" i="25" s="1"/>
  <c r="AC18" i="25"/>
  <c r="AK18" i="25" s="1"/>
  <c r="AC14" i="25"/>
  <c r="AC10" i="25"/>
  <c r="AC44" i="26"/>
  <c r="AC40" i="26"/>
  <c r="AK40" i="26" s="1"/>
  <c r="AC36" i="26"/>
  <c r="AJ36" i="26" s="1"/>
  <c r="AC32" i="26"/>
  <c r="AJ32" i="26" s="1"/>
  <c r="AC28" i="26"/>
  <c r="AK28" i="26" s="1"/>
  <c r="AC24" i="26"/>
  <c r="AJ24" i="26" s="1"/>
  <c r="AC20" i="26"/>
  <c r="AJ20" i="26" s="1"/>
  <c r="AC16" i="26"/>
  <c r="AJ16" i="26" s="1"/>
  <c r="AC12" i="26"/>
  <c r="AC45" i="25"/>
  <c r="AC41" i="25"/>
  <c r="AJ41" i="25" s="1"/>
  <c r="AC37" i="25"/>
  <c r="AJ37" i="25" s="1"/>
  <c r="AC33" i="25"/>
  <c r="AJ33" i="25" s="1"/>
  <c r="AC29" i="25"/>
  <c r="AJ29" i="25" s="1"/>
  <c r="AC25" i="25"/>
  <c r="AJ25" i="25" s="1"/>
  <c r="AC21" i="25"/>
  <c r="AC17" i="25"/>
  <c r="AK17" i="25" s="1"/>
  <c r="AC13" i="25"/>
  <c r="AC43" i="26"/>
  <c r="AJ43" i="26" s="1"/>
  <c r="AC39" i="26"/>
  <c r="AJ39" i="26" s="1"/>
  <c r="AC35" i="26"/>
  <c r="AJ35" i="26" s="1"/>
  <c r="AC31" i="26"/>
  <c r="AJ31" i="26" s="1"/>
  <c r="AC27" i="26"/>
  <c r="AJ27" i="26" s="1"/>
  <c r="AC23" i="26"/>
  <c r="AJ23" i="26" s="1"/>
  <c r="AC19" i="26"/>
  <c r="AJ19" i="26" s="1"/>
  <c r="AC15" i="26"/>
  <c r="AC11" i="26"/>
  <c r="AC44" i="25"/>
  <c r="AC40" i="25"/>
  <c r="AJ40" i="25" s="1"/>
  <c r="AC36" i="25"/>
  <c r="AJ36" i="25" s="1"/>
  <c r="AC32" i="25"/>
  <c r="AJ32" i="25" s="1"/>
  <c r="AC28" i="25"/>
  <c r="AJ28" i="25" s="1"/>
  <c r="AC24" i="25"/>
  <c r="AK24" i="25" s="1"/>
  <c r="AC20" i="25"/>
  <c r="AJ20" i="25" s="1"/>
  <c r="AC16" i="25"/>
  <c r="AJ16" i="25" s="1"/>
  <c r="AC12" i="25"/>
  <c r="G22" i="27" a="1"/>
  <c r="G22" i="27" s="1"/>
  <c r="C21" i="27" a="1"/>
  <c r="C21" i="27" s="1"/>
  <c r="J20" i="27" a="1"/>
  <c r="J20" i="27" s="1"/>
  <c r="L90" i="27" a="1"/>
  <c r="L90" i="27" s="1"/>
  <c r="L82" i="27" a="1"/>
  <c r="L82" i="27" s="1"/>
  <c r="L74" i="27" a="1"/>
  <c r="L74" i="27" s="1"/>
  <c r="L69" i="27" a="1"/>
  <c r="L69" i="27" s="1"/>
  <c r="L87" i="27" a="1"/>
  <c r="L87" i="27" s="1"/>
  <c r="L79" i="27" a="1"/>
  <c r="L79" i="27" s="1"/>
  <c r="L71" i="27" a="1"/>
  <c r="L71" i="27" s="1"/>
  <c r="L85" i="27" a="1"/>
  <c r="L85" i="27" s="1"/>
  <c r="L77" i="27" a="1"/>
  <c r="L77" i="27" s="1"/>
  <c r="L86" i="27" a="1"/>
  <c r="L86" i="27" s="1"/>
  <c r="L78" i="27" a="1"/>
  <c r="L78" i="27" s="1"/>
  <c r="L70" i="27" a="1"/>
  <c r="L70" i="27" s="1"/>
  <c r="L64" i="27" a="1"/>
  <c r="L64" i="27" s="1"/>
  <c r="L67" i="27" a="1"/>
  <c r="L67" i="27" s="1"/>
  <c r="L84" i="27" a="1"/>
  <c r="L84" i="27" s="1"/>
  <c r="L76" i="27" a="1"/>
  <c r="L76" i="27" s="1"/>
  <c r="L83" i="27" a="1"/>
  <c r="L83" i="27" s="1"/>
  <c r="L75" i="27" a="1"/>
  <c r="L75" i="27" s="1"/>
  <c r="L61" i="27" a="1"/>
  <c r="L61" i="27" s="1"/>
  <c r="L89" i="27" a="1"/>
  <c r="L89" i="27" s="1"/>
  <c r="L81" i="27" a="1"/>
  <c r="L81" i="27" s="1"/>
  <c r="L73" i="27" a="1"/>
  <c r="L73" i="27" s="1"/>
  <c r="L68" i="27" a="1"/>
  <c r="L68" i="27" s="1"/>
  <c r="L88" i="27" a="1"/>
  <c r="L88" i="27" s="1"/>
  <c r="L80" i="27" a="1"/>
  <c r="L80" i="27" s="1"/>
  <c r="L72" i="27" a="1"/>
  <c r="L72" i="27" s="1"/>
  <c r="L66" i="27" a="1"/>
  <c r="L66" i="27" s="1"/>
  <c r="L22" i="27" a="1"/>
  <c r="L22" i="27" s="1"/>
  <c r="F21" i="27" a="1"/>
  <c r="F21" i="27" s="1"/>
  <c r="C19" i="27" a="1"/>
  <c r="C19" i="27" s="1"/>
  <c r="J18" i="27" a="1"/>
  <c r="J18" i="27" s="1"/>
  <c r="K86" i="27" a="1"/>
  <c r="K86" i="27" s="1"/>
  <c r="K78" i="27" a="1"/>
  <c r="K78" i="27" s="1"/>
  <c r="K70" i="27" a="1"/>
  <c r="K70" i="27" s="1"/>
  <c r="K83" i="27" a="1"/>
  <c r="K83" i="27" s="1"/>
  <c r="K75" i="27" a="1"/>
  <c r="K75" i="27" s="1"/>
  <c r="K67" i="27" a="1"/>
  <c r="K67" i="27" s="1"/>
  <c r="K89" i="27" a="1"/>
  <c r="K89" i="27" s="1"/>
  <c r="K84" i="27" a="1"/>
  <c r="K84" i="27" s="1"/>
  <c r="K81" i="27" a="1"/>
  <c r="K81" i="27" s="1"/>
  <c r="K76" i="27" a="1"/>
  <c r="K76" i="27" s="1"/>
  <c r="K73" i="27" a="1"/>
  <c r="K73" i="27" s="1"/>
  <c r="K90" i="27" a="1"/>
  <c r="K90" i="27" s="1"/>
  <c r="K82" i="27" a="1"/>
  <c r="K82" i="27" s="1"/>
  <c r="K74" i="27" a="1"/>
  <c r="K74" i="27" s="1"/>
  <c r="K69" i="27" a="1"/>
  <c r="K69" i="27" s="1"/>
  <c r="K68" i="27" a="1"/>
  <c r="K68" i="27" s="1"/>
  <c r="K88" i="27" a="1"/>
  <c r="K88" i="27" s="1"/>
  <c r="K85" i="27" a="1"/>
  <c r="K85" i="27" s="1"/>
  <c r="K80" i="27" a="1"/>
  <c r="K80" i="27" s="1"/>
  <c r="K77" i="27" a="1"/>
  <c r="K77" i="27" s="1"/>
  <c r="K72" i="27" a="1"/>
  <c r="K72" i="27" s="1"/>
  <c r="K87" i="27" a="1"/>
  <c r="K87" i="27" s="1"/>
  <c r="K79" i="27" a="1"/>
  <c r="K79" i="27" s="1"/>
  <c r="K71" i="27" a="1"/>
  <c r="K71" i="27" s="1"/>
  <c r="K60" i="27" a="1"/>
  <c r="K60" i="27" s="1"/>
  <c r="I22" i="27" a="1"/>
  <c r="I22" i="27" s="1"/>
  <c r="I23" i="27" a="1"/>
  <c r="I23" i="27" s="1"/>
  <c r="L25" i="27" a="1"/>
  <c r="L25" i="27" s="1"/>
  <c r="J26" i="27" a="1"/>
  <c r="J26" i="27" s="1"/>
  <c r="G27" i="27" a="1"/>
  <c r="G27" i="27" s="1"/>
  <c r="I30" i="27" a="1"/>
  <c r="I30" i="27" s="1"/>
  <c r="I31" i="27" a="1"/>
  <c r="I31" i="27" s="1"/>
  <c r="L32" i="27" a="1"/>
  <c r="L32" i="27" s="1"/>
  <c r="J34" i="27" a="1"/>
  <c r="J34" i="27" s="1"/>
  <c r="K35" i="27" a="1"/>
  <c r="K35" i="27" s="1"/>
  <c r="F37" i="27" a="1"/>
  <c r="F37" i="27" s="1"/>
  <c r="J38" i="27" a="1"/>
  <c r="J38" i="27" s="1"/>
  <c r="K39" i="27" a="1"/>
  <c r="K39" i="27" s="1"/>
  <c r="F41" i="27" a="1"/>
  <c r="F41" i="27" s="1"/>
  <c r="J42" i="27" a="1"/>
  <c r="J42" i="27" s="1"/>
  <c r="K43" i="27" a="1"/>
  <c r="K43" i="27" s="1"/>
  <c r="F45" i="27" a="1"/>
  <c r="F45" i="27" s="1"/>
  <c r="J46" i="27" a="1"/>
  <c r="J46" i="27" s="1"/>
  <c r="K47" i="27" a="1"/>
  <c r="K47" i="27" s="1"/>
  <c r="F61" i="27" a="1"/>
  <c r="F61" i="27" s="1"/>
  <c r="D65" i="27" a="1"/>
  <c r="D65" i="27" s="1"/>
  <c r="J23" i="27" a="1"/>
  <c r="J23" i="27" s="1"/>
  <c r="G24" i="27" a="1"/>
  <c r="G24" i="27" s="1"/>
  <c r="E25" i="27" a="1"/>
  <c r="E25" i="27" s="1"/>
  <c r="H27" i="27" a="1"/>
  <c r="H27" i="27" s="1"/>
  <c r="H28" i="27" a="1"/>
  <c r="H28" i="27" s="1"/>
  <c r="C29" i="27" a="1"/>
  <c r="C29" i="27" s="1"/>
  <c r="J31" i="27" a="1"/>
  <c r="J31" i="27" s="1"/>
  <c r="C33" i="27" a="1"/>
  <c r="C33" i="27" s="1"/>
  <c r="H34" i="27" a="1"/>
  <c r="H34" i="27" s="1"/>
  <c r="L35" i="27" a="1"/>
  <c r="L35" i="27" s="1"/>
  <c r="G37" i="27" a="1"/>
  <c r="G37" i="27" s="1"/>
  <c r="K38" i="27" a="1"/>
  <c r="K38" i="27" s="1"/>
  <c r="G40" i="27" a="1"/>
  <c r="G40" i="27" s="1"/>
  <c r="K41" i="27" a="1"/>
  <c r="K41" i="27" s="1"/>
  <c r="D43" i="27" a="1"/>
  <c r="D43" i="27" s="1"/>
  <c r="J44" i="27" a="1"/>
  <c r="J44" i="27" s="1"/>
  <c r="H47" i="27" a="1"/>
  <c r="H47" i="27" s="1"/>
  <c r="C61" i="27" a="1"/>
  <c r="C61" i="27" s="1"/>
  <c r="J62" i="27" a="1"/>
  <c r="J62" i="27" s="1"/>
  <c r="K63" i="27" a="1"/>
  <c r="K63" i="27" s="1"/>
  <c r="F66" i="27" a="1"/>
  <c r="F66" i="27" s="1"/>
  <c r="F25" i="27" a="1"/>
  <c r="F25" i="27" s="1"/>
  <c r="E26" i="27" a="1"/>
  <c r="E26" i="27" s="1"/>
  <c r="D29" i="27" a="1"/>
  <c r="D29" i="27" s="1"/>
  <c r="F30" i="27" a="1"/>
  <c r="F30" i="27" s="1"/>
  <c r="D33" i="27" a="1"/>
  <c r="D33" i="27" s="1"/>
  <c r="I34" i="27" a="1"/>
  <c r="I34" i="27" s="1"/>
  <c r="E36" i="27" a="1"/>
  <c r="E36" i="27" s="1"/>
  <c r="H37" i="27" a="1"/>
  <c r="H37" i="27" s="1"/>
  <c r="I42" i="27" a="1"/>
  <c r="I42" i="27" s="1"/>
  <c r="K28" i="27" a="1"/>
  <c r="K28" i="27" s="1"/>
  <c r="K44" i="27" a="1"/>
  <c r="K44" i="27" s="1"/>
  <c r="M90" i="27" a="1"/>
  <c r="M90" i="27" s="1"/>
  <c r="M82" i="27" a="1"/>
  <c r="M82" i="27" s="1"/>
  <c r="M74" i="27" a="1"/>
  <c r="M74" i="27" s="1"/>
  <c r="M68" i="27" a="1"/>
  <c r="M68" i="27" s="1"/>
  <c r="M89" i="27" a="1"/>
  <c r="M89" i="27" s="1"/>
  <c r="M81" i="27" a="1"/>
  <c r="M81" i="27" s="1"/>
  <c r="M73" i="27" a="1"/>
  <c r="M73" i="27" s="1"/>
  <c r="M83" i="27" a="1"/>
  <c r="M83" i="27" s="1"/>
  <c r="M75" i="27" a="1"/>
  <c r="M75" i="27" s="1"/>
  <c r="M69" i="27" a="1"/>
  <c r="M69" i="27" s="1"/>
  <c r="M67" i="27" a="1"/>
  <c r="M67" i="27" s="1"/>
  <c r="M66" i="27" a="1"/>
  <c r="M66" i="27" s="1"/>
  <c r="M63" i="27" a="1"/>
  <c r="M63" i="27" s="1"/>
  <c r="M60" i="27" a="1"/>
  <c r="M60" i="27" s="1"/>
  <c r="M88" i="27" a="1"/>
  <c r="M88" i="27" s="1"/>
  <c r="M80" i="27" a="1"/>
  <c r="M80" i="27" s="1"/>
  <c r="M72" i="27" a="1"/>
  <c r="M72" i="27" s="1"/>
  <c r="M86" i="27" a="1"/>
  <c r="M86" i="27" s="1"/>
  <c r="M78" i="27" a="1"/>
  <c r="M78" i="27" s="1"/>
  <c r="M70" i="27" a="1"/>
  <c r="M70" i="27" s="1"/>
  <c r="M87" i="27" a="1"/>
  <c r="M87" i="27" s="1"/>
  <c r="M79" i="27" a="1"/>
  <c r="M79" i="27" s="1"/>
  <c r="M71" i="27" a="1"/>
  <c r="M71" i="27" s="1"/>
  <c r="M85" i="27" a="1"/>
  <c r="M85" i="27" s="1"/>
  <c r="M77" i="27" a="1"/>
  <c r="M77" i="27" s="1"/>
  <c r="M84" i="27" a="1"/>
  <c r="M84" i="27" s="1"/>
  <c r="M76" i="27" a="1"/>
  <c r="M76" i="27" s="1"/>
  <c r="M61" i="27" a="1"/>
  <c r="M61" i="27" s="1"/>
  <c r="E18" i="27" a="1"/>
  <c r="E18" i="27" s="1"/>
  <c r="E20" i="27" a="1"/>
  <c r="E20" i="27" s="1"/>
  <c r="E22" i="27" a="1"/>
  <c r="E22" i="27" s="1"/>
  <c r="E45" i="27" a="1"/>
  <c r="E45" i="27" s="1"/>
  <c r="E29" i="27" a="1"/>
  <c r="E29" i="27" s="1"/>
  <c r="E47" i="27" a="1"/>
  <c r="E47" i="27" s="1"/>
  <c r="E43" i="27" a="1"/>
  <c r="E43" i="27" s="1"/>
  <c r="E19" i="27" a="1"/>
  <c r="E19" i="27" s="1"/>
  <c r="E21" i="27" a="1"/>
  <c r="E21" i="27" s="1"/>
  <c r="E41" i="27" a="1"/>
  <c r="E41" i="27" s="1"/>
  <c r="E28" i="27" a="1"/>
  <c r="E28" i="27" s="1"/>
  <c r="C23" i="27" a="1"/>
  <c r="C23" i="27" s="1"/>
  <c r="C17" i="27" a="1"/>
  <c r="C17" i="27" s="1"/>
  <c r="C32" i="27" a="1"/>
  <c r="C32" i="27" s="1"/>
  <c r="C44" i="27" a="1"/>
  <c r="C44" i="27" s="1"/>
  <c r="C25" i="27" a="1"/>
  <c r="C25" i="27" s="1"/>
  <c r="C18" i="27" a="1"/>
  <c r="C18" i="27" s="1"/>
  <c r="C20" i="27" a="1"/>
  <c r="C20" i="27" s="1"/>
  <c r="C40" i="27" a="1"/>
  <c r="C40" i="27" s="1"/>
  <c r="AT15" i="25"/>
  <c r="K46" i="26"/>
  <c r="K42" i="26"/>
  <c r="S42" i="26" s="1"/>
  <c r="K38" i="26"/>
  <c r="S38" i="26" s="1"/>
  <c r="K34" i="26"/>
  <c r="S34" i="26" s="1"/>
  <c r="K30" i="26"/>
  <c r="S30" i="26" s="1"/>
  <c r="K26" i="26"/>
  <c r="S26" i="26" s="1"/>
  <c r="K22" i="26"/>
  <c r="S22" i="26" s="1"/>
  <c r="K18" i="26"/>
  <c r="R18" i="26" s="1"/>
  <c r="K14" i="26"/>
  <c r="K10" i="26"/>
  <c r="K43" i="25"/>
  <c r="R43" i="25" s="1"/>
  <c r="K45" i="26"/>
  <c r="S45" i="26" s="1"/>
  <c r="K41" i="26"/>
  <c r="S41" i="26" s="1"/>
  <c r="K37" i="26"/>
  <c r="R37" i="26" s="1"/>
  <c r="K33" i="26"/>
  <c r="S33" i="26" s="1"/>
  <c r="K29" i="26"/>
  <c r="R29" i="26" s="1"/>
  <c r="K25" i="26"/>
  <c r="S25" i="26" s="1"/>
  <c r="K21" i="26"/>
  <c r="R21" i="26" s="1"/>
  <c r="K17" i="26"/>
  <c r="R17" i="26" s="1"/>
  <c r="K13" i="26"/>
  <c r="K46" i="25"/>
  <c r="K42" i="25"/>
  <c r="R42" i="25" s="1"/>
  <c r="K44" i="26"/>
  <c r="S44" i="26" s="1"/>
  <c r="K40" i="26"/>
  <c r="R40" i="26" s="1"/>
  <c r="K36" i="26"/>
  <c r="S36" i="26" s="1"/>
  <c r="K32" i="26"/>
  <c r="S32" i="26" s="1"/>
  <c r="K28" i="26"/>
  <c r="S28" i="26" s="1"/>
  <c r="K24" i="26"/>
  <c r="R24" i="26" s="1"/>
  <c r="K20" i="26"/>
  <c r="K16" i="26"/>
  <c r="S16" i="26" s="1"/>
  <c r="K12" i="26"/>
  <c r="K45" i="25"/>
  <c r="K41" i="25"/>
  <c r="K43" i="26"/>
  <c r="S43" i="26" s="1"/>
  <c r="K39" i="26"/>
  <c r="S39" i="26" s="1"/>
  <c r="K35" i="26"/>
  <c r="S35" i="26" s="1"/>
  <c r="K31" i="26"/>
  <c r="R31" i="26" s="1"/>
  <c r="K27" i="26"/>
  <c r="S27" i="26" s="1"/>
  <c r="K23" i="26"/>
  <c r="S23" i="26" s="1"/>
  <c r="K19" i="26"/>
  <c r="R19" i="26" s="1"/>
  <c r="K15" i="26"/>
  <c r="K11" i="26"/>
  <c r="K44" i="25"/>
  <c r="K40" i="25"/>
  <c r="R40" i="25" s="1"/>
  <c r="K39" i="25"/>
  <c r="S39" i="25" s="1"/>
  <c r="K35" i="25"/>
  <c r="R35" i="25" s="1"/>
  <c r="K31" i="25"/>
  <c r="S31" i="25" s="1"/>
  <c r="K27" i="25"/>
  <c r="S27" i="25" s="1"/>
  <c r="K23" i="25"/>
  <c r="S23" i="25" s="1"/>
  <c r="K19" i="25"/>
  <c r="R19" i="25" s="1"/>
  <c r="K15" i="25"/>
  <c r="K11" i="25"/>
  <c r="K38" i="25"/>
  <c r="S38" i="25" s="1"/>
  <c r="K34" i="25"/>
  <c r="S34" i="25" s="1"/>
  <c r="K30" i="25"/>
  <c r="S30" i="25" s="1"/>
  <c r="K26" i="25"/>
  <c r="S26" i="25" s="1"/>
  <c r="K22" i="25"/>
  <c r="S22" i="25" s="1"/>
  <c r="K18" i="25"/>
  <c r="S18" i="25" s="1"/>
  <c r="K14" i="25"/>
  <c r="K10" i="25"/>
  <c r="K37" i="25"/>
  <c r="K33" i="25"/>
  <c r="S33" i="25" s="1"/>
  <c r="K29" i="25"/>
  <c r="R29" i="25" s="1"/>
  <c r="K25" i="25"/>
  <c r="R25" i="25" s="1"/>
  <c r="K21" i="25"/>
  <c r="S21" i="25" s="1"/>
  <c r="K17" i="25"/>
  <c r="R17" i="25" s="1"/>
  <c r="K13" i="25"/>
  <c r="K36" i="25"/>
  <c r="S36" i="25" s="1"/>
  <c r="K32" i="25"/>
  <c r="R32" i="25" s="1"/>
  <c r="K28" i="25"/>
  <c r="S28" i="25" s="1"/>
  <c r="K24" i="25"/>
  <c r="R24" i="25" s="1"/>
  <c r="K20" i="25"/>
  <c r="R20" i="25" s="1"/>
  <c r="K16" i="25"/>
  <c r="S16" i="25" s="1"/>
  <c r="K12" i="25"/>
  <c r="C22" i="27" a="1"/>
  <c r="C22" i="27" s="1"/>
  <c r="H20" i="27" a="1"/>
  <c r="H20" i="27" s="1"/>
  <c r="L19" i="27" a="1"/>
  <c r="L19" i="27" s="1"/>
  <c r="D84" i="27" a="1"/>
  <c r="D84" i="27" s="1"/>
  <c r="D76" i="27" a="1"/>
  <c r="D76" i="27" s="1"/>
  <c r="D83" i="27" a="1"/>
  <c r="D83" i="27" s="1"/>
  <c r="D75" i="27" a="1"/>
  <c r="D75" i="27" s="1"/>
  <c r="D89" i="27" a="1"/>
  <c r="D89" i="27" s="1"/>
  <c r="D81" i="27" a="1"/>
  <c r="D81" i="27" s="1"/>
  <c r="D73" i="27" a="1"/>
  <c r="D73" i="27" s="1"/>
  <c r="D68" i="27" a="1"/>
  <c r="D68" i="27" s="1"/>
  <c r="D88" i="27" a="1"/>
  <c r="D88" i="27" s="1"/>
  <c r="D80" i="27" a="1"/>
  <c r="D80" i="27" s="1"/>
  <c r="D72" i="27" a="1"/>
  <c r="D72" i="27" s="1"/>
  <c r="D66" i="27" a="1"/>
  <c r="D66" i="27" s="1"/>
  <c r="D90" i="27" a="1"/>
  <c r="D90" i="27" s="1"/>
  <c r="D82" i="27" a="1"/>
  <c r="D82" i="27" s="1"/>
  <c r="D74" i="27" a="1"/>
  <c r="D74" i="27" s="1"/>
  <c r="D69" i="27" a="1"/>
  <c r="D69" i="27" s="1"/>
  <c r="D63" i="27" a="1"/>
  <c r="D63" i="27" s="1"/>
  <c r="D87" i="27" a="1"/>
  <c r="D87" i="27" s="1"/>
  <c r="D79" i="27" a="1"/>
  <c r="D79" i="27" s="1"/>
  <c r="D71" i="27" a="1"/>
  <c r="D71" i="27" s="1"/>
  <c r="D85" i="27" a="1"/>
  <c r="D85" i="27" s="1"/>
  <c r="D77" i="27" a="1"/>
  <c r="D77" i="27" s="1"/>
  <c r="D86" i="27" a="1"/>
  <c r="D86" i="27" s="1"/>
  <c r="D78" i="27" a="1"/>
  <c r="D78" i="27" s="1"/>
  <c r="D70" i="27" a="1"/>
  <c r="D70" i="27" s="1"/>
  <c r="D64" i="27" a="1"/>
  <c r="D64" i="27" s="1"/>
  <c r="F22" i="27" a="1"/>
  <c r="F22" i="27" s="1"/>
  <c r="H18" i="27" a="1"/>
  <c r="H18" i="27" s="1"/>
  <c r="L17" i="27" a="1"/>
  <c r="L17" i="27" s="1"/>
  <c r="C69" i="27" a="1"/>
  <c r="C69" i="27" s="1"/>
  <c r="C68" i="27" a="1"/>
  <c r="C68" i="27" s="1"/>
  <c r="C88" i="27" a="1"/>
  <c r="C88" i="27" s="1"/>
  <c r="C85" i="27" a="1"/>
  <c r="C85" i="27" s="1"/>
  <c r="C80" i="27" a="1"/>
  <c r="C80" i="27" s="1"/>
  <c r="C77" i="27" a="1"/>
  <c r="C77" i="27" s="1"/>
  <c r="C72" i="27" a="1"/>
  <c r="C72" i="27" s="1"/>
  <c r="C87" i="27" a="1"/>
  <c r="C87" i="27" s="1"/>
  <c r="C79" i="27" a="1"/>
  <c r="C79" i="27" s="1"/>
  <c r="C71" i="27" a="1"/>
  <c r="C71" i="27" s="1"/>
  <c r="C60" i="27" a="1"/>
  <c r="C60" i="27" s="1"/>
  <c r="C62" i="27" a="1"/>
  <c r="C62" i="27" s="1"/>
  <c r="C86" i="27" a="1"/>
  <c r="C86" i="27" s="1"/>
  <c r="C78" i="27" a="1"/>
  <c r="C78" i="27" s="1"/>
  <c r="C65" i="27" a="1"/>
  <c r="C65" i="27" s="1"/>
  <c r="C83" i="27" a="1"/>
  <c r="C83" i="27" s="1"/>
  <c r="C75" i="27" a="1"/>
  <c r="C75" i="27" s="1"/>
  <c r="C70" i="27" a="1"/>
  <c r="C70" i="27" s="1"/>
  <c r="C89" i="27" a="1"/>
  <c r="C89" i="27" s="1"/>
  <c r="C84" i="27" a="1"/>
  <c r="C84" i="27" s="1"/>
  <c r="C81" i="27" a="1"/>
  <c r="C81" i="27" s="1"/>
  <c r="C76" i="27" a="1"/>
  <c r="C76" i="27" s="1"/>
  <c r="C73" i="27" a="1"/>
  <c r="C73" i="27" s="1"/>
  <c r="C90" i="27" a="1"/>
  <c r="C90" i="27" s="1"/>
  <c r="C82" i="27" a="1"/>
  <c r="C82" i="27" s="1"/>
  <c r="C74" i="27" a="1"/>
  <c r="C74" i="27" s="1"/>
  <c r="K22" i="27" a="1"/>
  <c r="K22" i="27" s="1"/>
  <c r="D26" i="27" a="1"/>
  <c r="D26" i="27" s="1"/>
  <c r="L26" i="27" a="1"/>
  <c r="L26" i="27" s="1"/>
  <c r="K27" i="27" a="1"/>
  <c r="K27" i="27" s="1"/>
  <c r="C30" i="27" a="1"/>
  <c r="C30" i="27" s="1"/>
  <c r="K30" i="27" a="1"/>
  <c r="K30" i="27" s="1"/>
  <c r="L31" i="27" a="1"/>
  <c r="L31" i="27" s="1"/>
  <c r="E33" i="27" a="1"/>
  <c r="E33" i="27" s="1"/>
  <c r="D36" i="27" a="1"/>
  <c r="D36" i="27" s="1"/>
  <c r="J37" i="27" a="1"/>
  <c r="J37" i="27" s="1"/>
  <c r="D40" i="27" a="1"/>
  <c r="D40" i="27" s="1"/>
  <c r="J41" i="27" a="1"/>
  <c r="J41" i="27" s="1"/>
  <c r="D44" i="27" a="1"/>
  <c r="D44" i="27" s="1"/>
  <c r="J45" i="27" a="1"/>
  <c r="J45" i="27" s="1"/>
  <c r="D60" i="27" a="1"/>
  <c r="D60" i="27" s="1"/>
  <c r="L62" i="27" a="1"/>
  <c r="L62" i="27" s="1"/>
  <c r="E64" i="27" a="1"/>
  <c r="E64" i="27" s="1"/>
  <c r="K66" i="27" a="1"/>
  <c r="K66" i="27" s="1"/>
  <c r="I24" i="27" a="1"/>
  <c r="I24" i="27" s="1"/>
  <c r="I25" i="27" a="1"/>
  <c r="I25" i="27" s="1"/>
  <c r="L27" i="27" a="1"/>
  <c r="L27" i="27" s="1"/>
  <c r="J28" i="27" a="1"/>
  <c r="J28" i="27" s="1"/>
  <c r="G29" i="27" a="1"/>
  <c r="G29" i="27" s="1"/>
  <c r="K34" i="27" a="1"/>
  <c r="K34" i="27" s="1"/>
  <c r="G36" i="27" a="1"/>
  <c r="G36" i="27" s="1"/>
  <c r="K37" i="27" a="1"/>
  <c r="K37" i="27" s="1"/>
  <c r="D39" i="27" a="1"/>
  <c r="D39" i="27" s="1"/>
  <c r="J40" i="27" a="1"/>
  <c r="J40" i="27" s="1"/>
  <c r="C42" i="27" a="1"/>
  <c r="C42" i="27" s="1"/>
  <c r="H43" i="27" a="1"/>
  <c r="H43" i="27" s="1"/>
  <c r="C45" i="27" a="1"/>
  <c r="C45" i="27" s="1"/>
  <c r="H46" i="27" a="1"/>
  <c r="H46" i="27" s="1"/>
  <c r="L47" i="27" a="1"/>
  <c r="L47" i="27" s="1"/>
  <c r="M62" i="27" a="1"/>
  <c r="M62" i="27" s="1"/>
  <c r="C64" i="27" a="1"/>
  <c r="C64" i="27" s="1"/>
  <c r="E65" i="27" a="1"/>
  <c r="E65" i="27" s="1"/>
  <c r="I66" i="27" a="1"/>
  <c r="I66" i="27" s="1"/>
  <c r="G26" i="27" a="1"/>
  <c r="G26" i="27" s="1"/>
  <c r="E27" i="27" a="1"/>
  <c r="E27" i="27" s="1"/>
  <c r="H29" i="27" a="1"/>
  <c r="H29" i="27" s="1"/>
  <c r="H30" i="27" a="1"/>
  <c r="H30" i="27" s="1"/>
  <c r="C31" i="27" a="1"/>
  <c r="C31" i="27" s="1"/>
  <c r="E32" i="27" a="1"/>
  <c r="E32" i="27" s="1"/>
  <c r="G33" i="27" a="1"/>
  <c r="G33" i="27" s="1"/>
  <c r="H36" i="27" a="1"/>
  <c r="H36" i="27" s="1"/>
  <c r="L37" i="27" a="1"/>
  <c r="L37" i="27" s="1"/>
  <c r="D41" i="27" a="1"/>
  <c r="D41" i="27" s="1"/>
  <c r="D45" i="27" a="1"/>
  <c r="D45" i="27" s="1"/>
  <c r="L63" i="27" a="1"/>
  <c r="L63" i="27" s="1"/>
  <c r="K25" i="27" a="1"/>
  <c r="K25" i="27" s="1"/>
  <c r="K33" i="27" a="1"/>
  <c r="K33" i="27" s="1"/>
  <c r="C36" i="27" a="1"/>
  <c r="C36" i="27" s="1"/>
  <c r="G38" i="27" a="1"/>
  <c r="G38" i="27" s="1"/>
  <c r="D42" i="27" a="1"/>
  <c r="D42" i="27" s="1"/>
  <c r="F60" i="27" a="1"/>
  <c r="F60" i="27" s="1"/>
  <c r="T44" i="26"/>
  <c r="AB44" i="26" s="1"/>
  <c r="T40" i="26"/>
  <c r="AB40" i="26" s="1"/>
  <c r="T36" i="26"/>
  <c r="AB36" i="26" s="1"/>
  <c r="T32" i="26"/>
  <c r="AB32" i="26" s="1"/>
  <c r="T28" i="26"/>
  <c r="AA28" i="26" s="1"/>
  <c r="T24" i="26"/>
  <c r="AB24" i="26" s="1"/>
  <c r="T20" i="26"/>
  <c r="AB20" i="26" s="1"/>
  <c r="T16" i="26"/>
  <c r="AB16" i="26" s="1"/>
  <c r="T12" i="26"/>
  <c r="T45" i="25"/>
  <c r="AB45" i="25" s="1"/>
  <c r="T41" i="25"/>
  <c r="T37" i="25"/>
  <c r="AB37" i="25" s="1"/>
  <c r="T33" i="25"/>
  <c r="T29" i="25"/>
  <c r="AA29" i="25" s="1"/>
  <c r="T25" i="25"/>
  <c r="AB25" i="25" s="1"/>
  <c r="T21" i="25"/>
  <c r="AA21" i="25" s="1"/>
  <c r="T17" i="25"/>
  <c r="AA17" i="25" s="1"/>
  <c r="T13" i="25"/>
  <c r="T43" i="26"/>
  <c r="T39" i="26"/>
  <c r="AA39" i="26" s="1"/>
  <c r="T35" i="26"/>
  <c r="AB35" i="26" s="1"/>
  <c r="T31" i="26"/>
  <c r="AB31" i="26" s="1"/>
  <c r="T27" i="26"/>
  <c r="AA27" i="26" s="1"/>
  <c r="T23" i="26"/>
  <c r="T19" i="26"/>
  <c r="AA19" i="26" s="1"/>
  <c r="T15" i="26"/>
  <c r="T11" i="26"/>
  <c r="T44" i="25"/>
  <c r="T40" i="25"/>
  <c r="AB40" i="25" s="1"/>
  <c r="T36" i="25"/>
  <c r="T32" i="25"/>
  <c r="AB32" i="25" s="1"/>
  <c r="T28" i="25"/>
  <c r="AB28" i="25" s="1"/>
  <c r="T24" i="25"/>
  <c r="AB24" i="25" s="1"/>
  <c r="T20" i="25"/>
  <c r="AB20" i="25" s="1"/>
  <c r="T16" i="25"/>
  <c r="T12" i="25"/>
  <c r="T46" i="26"/>
  <c r="AB46" i="26" s="1"/>
  <c r="T42" i="26"/>
  <c r="AB42" i="26" s="1"/>
  <c r="T38" i="26"/>
  <c r="AA38" i="26" s="1"/>
  <c r="T34" i="26"/>
  <c r="AA34" i="26" s="1"/>
  <c r="T30" i="26"/>
  <c r="AB30" i="26" s="1"/>
  <c r="T26" i="26"/>
  <c r="AB26" i="26" s="1"/>
  <c r="T22" i="26"/>
  <c r="AB22" i="26" s="1"/>
  <c r="T18" i="26"/>
  <c r="T14" i="26"/>
  <c r="T10" i="26"/>
  <c r="T43" i="25"/>
  <c r="T39" i="25"/>
  <c r="AB39" i="25" s="1"/>
  <c r="T35" i="25"/>
  <c r="AB35" i="25" s="1"/>
  <c r="T31" i="25"/>
  <c r="AA31" i="25" s="1"/>
  <c r="T27" i="25"/>
  <c r="AA27" i="25" s="1"/>
  <c r="T23" i="25"/>
  <c r="AA23" i="25" s="1"/>
  <c r="T19" i="25"/>
  <c r="AA19" i="25" s="1"/>
  <c r="T15" i="25"/>
  <c r="T11" i="25"/>
  <c r="T45" i="26"/>
  <c r="AB45" i="26" s="1"/>
  <c r="T41" i="26"/>
  <c r="AB41" i="26" s="1"/>
  <c r="T37" i="26"/>
  <c r="AA37" i="26" s="1"/>
  <c r="T33" i="26"/>
  <c r="AB33" i="26" s="1"/>
  <c r="T29" i="26"/>
  <c r="AA29" i="26" s="1"/>
  <c r="T25" i="26"/>
  <c r="AA25" i="26" s="1"/>
  <c r="T21" i="26"/>
  <c r="AA21" i="26" s="1"/>
  <c r="T17" i="26"/>
  <c r="AB17" i="26" s="1"/>
  <c r="T13" i="26"/>
  <c r="T46" i="25"/>
  <c r="AA46" i="25" s="1"/>
  <c r="T42" i="25"/>
  <c r="T38" i="25"/>
  <c r="T34" i="25"/>
  <c r="AB34" i="25" s="1"/>
  <c r="T30" i="25"/>
  <c r="AB30" i="25" s="1"/>
  <c r="T26" i="25"/>
  <c r="AB26" i="25" s="1"/>
  <c r="T22" i="25"/>
  <c r="AA22" i="25" s="1"/>
  <c r="T18" i="25"/>
  <c r="AA18" i="25" s="1"/>
  <c r="T14" i="25"/>
  <c r="T10" i="25"/>
  <c r="K23" i="27" a="1"/>
  <c r="K23" i="27" s="1"/>
  <c r="L21" i="27" a="1"/>
  <c r="L21" i="27" s="1"/>
  <c r="H19" i="27" a="1"/>
  <c r="H19" i="27" s="1"/>
  <c r="I17" i="27" a="1"/>
  <c r="I17" i="27" s="1"/>
  <c r="J21" i="27" a="1"/>
  <c r="J21" i="27" s="1"/>
  <c r="J17" i="27" a="1"/>
  <c r="J17" i="27" s="1"/>
  <c r="J19" i="27" a="1"/>
  <c r="J19" i="27" s="1"/>
  <c r="J39" i="27" a="1"/>
  <c r="J39" i="27" s="1"/>
  <c r="J24" i="27" a="1"/>
  <c r="J24" i="27" s="1"/>
  <c r="J35" i="27" a="1"/>
  <c r="J35" i="27" s="1"/>
  <c r="J27" i="27" a="1"/>
  <c r="J27" i="27" s="1"/>
  <c r="J22" i="27" a="1"/>
  <c r="J22" i="27" s="1"/>
  <c r="J47" i="27" a="1"/>
  <c r="J47" i="27" s="1"/>
  <c r="K19" i="27" a="1"/>
  <c r="K19" i="27" s="1"/>
  <c r="H17" i="27" a="1"/>
  <c r="H17" i="27" s="1"/>
  <c r="F17" i="27" a="1"/>
  <c r="F17" i="27" s="1"/>
  <c r="F19" i="27" a="1"/>
  <c r="F19" i="27" s="1"/>
  <c r="F44" i="27" a="1"/>
  <c r="F44" i="27" s="1"/>
  <c r="F43" i="27" a="1"/>
  <c r="F43" i="27" s="1"/>
  <c r="F46" i="27" a="1"/>
  <c r="F46" i="27" s="1"/>
  <c r="F42" i="27" a="1"/>
  <c r="F42" i="27" s="1"/>
  <c r="F38" i="27" a="1"/>
  <c r="F38" i="27" s="1"/>
  <c r="F34" i="27" a="1"/>
  <c r="F34" i="27" s="1"/>
  <c r="F40" i="27" a="1"/>
  <c r="F40" i="27" s="1"/>
  <c r="F39" i="27" a="1"/>
  <c r="F39" i="27" s="1"/>
  <c r="F36" i="27" a="1"/>
  <c r="F36" i="27" s="1"/>
  <c r="F35" i="27" a="1"/>
  <c r="F35" i="27" s="1"/>
  <c r="F27" i="27" a="1"/>
  <c r="F27" i="27" s="1"/>
  <c r="F24" i="27" a="1"/>
  <c r="F24" i="27" s="1"/>
  <c r="D25" i="27" a="1"/>
  <c r="D25" i="27" s="1"/>
  <c r="F26" i="27" a="1"/>
  <c r="F26" i="27" s="1"/>
  <c r="F29" i="27" a="1"/>
  <c r="F29" i="27" s="1"/>
  <c r="E30" i="27" a="1"/>
  <c r="E30" i="27" s="1"/>
  <c r="D32" i="27" a="1"/>
  <c r="D32" i="27" s="1"/>
  <c r="L33" i="27" a="1"/>
  <c r="L33" i="27" s="1"/>
  <c r="C35" i="27" a="1"/>
  <c r="C35" i="27" s="1"/>
  <c r="I36" i="27" a="1"/>
  <c r="I36" i="27" s="1"/>
  <c r="C39" i="27" a="1"/>
  <c r="C39" i="27" s="1"/>
  <c r="I40" i="27" a="1"/>
  <c r="I40" i="27" s="1"/>
  <c r="C43" i="27" a="1"/>
  <c r="C43" i="27" s="1"/>
  <c r="I44" i="27" a="1"/>
  <c r="I44" i="27" s="1"/>
  <c r="C47" i="27" a="1"/>
  <c r="C47" i="27" s="1"/>
  <c r="I60" i="27" a="1"/>
  <c r="I60" i="27" s="1"/>
  <c r="F63" i="27" a="1"/>
  <c r="F63" i="27" s="1"/>
  <c r="L65" i="27" a="1"/>
  <c r="L65" i="27" s="1"/>
  <c r="D67" i="27" a="1"/>
  <c r="D67" i="27" s="1"/>
  <c r="C24" i="27" a="1"/>
  <c r="C24" i="27" s="1"/>
  <c r="K24" i="27" a="1"/>
  <c r="K24" i="27" s="1"/>
  <c r="D28" i="27" a="1"/>
  <c r="D28" i="27" s="1"/>
  <c r="L28" i="27" a="1"/>
  <c r="L28" i="27" s="1"/>
  <c r="K29" i="27" a="1"/>
  <c r="K29" i="27" s="1"/>
  <c r="G32" i="27" a="1"/>
  <c r="G32" i="27" s="1"/>
  <c r="I33" i="27" a="1"/>
  <c r="I33" i="27" s="1"/>
  <c r="D35" i="27" a="1"/>
  <c r="D35" i="27" s="1"/>
  <c r="J36" i="27" a="1"/>
  <c r="J36" i="27" s="1"/>
  <c r="C38" i="27" a="1"/>
  <c r="C38" i="27" s="1"/>
  <c r="H39" i="27" a="1"/>
  <c r="H39" i="27" s="1"/>
  <c r="C41" i="27" a="1"/>
  <c r="C41" i="27" s="1"/>
  <c r="H42" i="27" a="1"/>
  <c r="H42" i="27" s="1"/>
  <c r="L43" i="27" a="1"/>
  <c r="L43" i="27" s="1"/>
  <c r="G45" i="27" a="1"/>
  <c r="G45" i="27" s="1"/>
  <c r="K61" i="27" a="1"/>
  <c r="K61" i="27" s="1"/>
  <c r="C63" i="27" a="1"/>
  <c r="C63" i="27" s="1"/>
  <c r="F64" i="27" a="1"/>
  <c r="F64" i="27" s="1"/>
  <c r="I26" i="27" a="1"/>
  <c r="I26" i="27" s="1"/>
  <c r="I27" i="27" a="1"/>
  <c r="I27" i="27" s="1"/>
  <c r="J30" i="27" a="1"/>
  <c r="J30" i="27" s="1"/>
  <c r="H32" i="27" a="1"/>
  <c r="H32" i="27" s="1"/>
  <c r="J33" i="27" a="1"/>
  <c r="J33" i="27" s="1"/>
  <c r="E35" i="27" a="1"/>
  <c r="E35" i="27" s="1"/>
  <c r="I38" i="27" a="1"/>
  <c r="I38" i="27" s="1"/>
  <c r="E40" i="27" a="1"/>
  <c r="E40" i="27" s="1"/>
  <c r="H41" i="27" a="1"/>
  <c r="H41" i="27" s="1"/>
  <c r="F65" i="27" a="1"/>
  <c r="F65" i="27" s="1"/>
  <c r="D24" i="27" a="1"/>
  <c r="D24" i="27" s="1"/>
  <c r="J43" i="27" a="1"/>
  <c r="J43" i="27" s="1"/>
  <c r="I68" i="27" a="1"/>
  <c r="I68" i="27" s="1"/>
  <c r="I89" i="27" a="1"/>
  <c r="I89" i="27" s="1"/>
  <c r="I81" i="27" a="1"/>
  <c r="I81" i="27" s="1"/>
  <c r="I73" i="27" a="1"/>
  <c r="I73" i="27" s="1"/>
  <c r="I88" i="27" a="1"/>
  <c r="I88" i="27" s="1"/>
  <c r="I80" i="27" a="1"/>
  <c r="I80" i="27" s="1"/>
  <c r="I72" i="27" a="1"/>
  <c r="I72" i="27" s="1"/>
  <c r="I86" i="27" a="1"/>
  <c r="I86" i="27" s="1"/>
  <c r="I78" i="27" a="1"/>
  <c r="I78" i="27" s="1"/>
  <c r="I70" i="27" a="1"/>
  <c r="I70" i="27" s="1"/>
  <c r="I69" i="27" a="1"/>
  <c r="I69" i="27" s="1"/>
  <c r="I85" i="27" a="1"/>
  <c r="I85" i="27" s="1"/>
  <c r="I77" i="27" a="1"/>
  <c r="I77" i="27" s="1"/>
  <c r="I62" i="27" a="1"/>
  <c r="I62" i="27" s="1"/>
  <c r="I87" i="27" a="1"/>
  <c r="I87" i="27" s="1"/>
  <c r="I79" i="27" a="1"/>
  <c r="I79" i="27" s="1"/>
  <c r="I71" i="27" a="1"/>
  <c r="I71" i="27" s="1"/>
  <c r="I67" i="27" a="1"/>
  <c r="I67" i="27" s="1"/>
  <c r="I63" i="27" a="1"/>
  <c r="I63" i="27" s="1"/>
  <c r="I64" i="27" a="1"/>
  <c r="I64" i="27" s="1"/>
  <c r="I84" i="27" a="1"/>
  <c r="I84" i="27" s="1"/>
  <c r="I76" i="27" a="1"/>
  <c r="I76" i="27" s="1"/>
  <c r="I90" i="27" a="1"/>
  <c r="I90" i="27" s="1"/>
  <c r="I82" i="27" a="1"/>
  <c r="I82" i="27" s="1"/>
  <c r="I74" i="27" a="1"/>
  <c r="I74" i="27" s="1"/>
  <c r="I83" i="27" a="1"/>
  <c r="I83" i="27" s="1"/>
  <c r="I75" i="27" a="1"/>
  <c r="I75" i="27" s="1"/>
  <c r="L46" i="27" a="1"/>
  <c r="L46" i="27" s="1"/>
  <c r="L23" i="27" a="1"/>
  <c r="L23" i="27" s="1"/>
  <c r="L42" i="27" a="1"/>
  <c r="L42" i="27" s="1"/>
  <c r="L45" i="27" a="1"/>
  <c r="L45" i="27" s="1"/>
  <c r="L38" i="27" a="1"/>
  <c r="L38" i="27" s="1"/>
  <c r="K40" i="27" a="1"/>
  <c r="K40" i="27" s="1"/>
  <c r="K17" i="27" a="1"/>
  <c r="K17" i="27" s="1"/>
  <c r="K36" i="27" a="1"/>
  <c r="K36" i="27" s="1"/>
  <c r="K18" i="27" a="1"/>
  <c r="K18" i="27" s="1"/>
  <c r="K20" i="27" a="1"/>
  <c r="K20" i="27" s="1"/>
  <c r="K32" i="27" a="1"/>
  <c r="K32" i="27" s="1"/>
  <c r="BB40" i="25"/>
  <c r="J85" i="27" a="1"/>
  <c r="J85" i="27" s="1"/>
  <c r="J77" i="27" a="1"/>
  <c r="J77" i="27" s="1"/>
  <c r="J88" i="27" a="1"/>
  <c r="J88" i="27" s="1"/>
  <c r="J83" i="27" a="1"/>
  <c r="J83" i="27" s="1"/>
  <c r="J80" i="27" a="1"/>
  <c r="J80" i="27" s="1"/>
  <c r="J75" i="27" a="1"/>
  <c r="J75" i="27" s="1"/>
  <c r="J72" i="27" a="1"/>
  <c r="J72" i="27" s="1"/>
  <c r="J67" i="27" a="1"/>
  <c r="J67" i="27" s="1"/>
  <c r="J90" i="27" a="1"/>
  <c r="J90" i="27" s="1"/>
  <c r="J82" i="27" a="1"/>
  <c r="J82" i="27" s="1"/>
  <c r="J74" i="27" a="1"/>
  <c r="J74" i="27" s="1"/>
  <c r="J89" i="27" a="1"/>
  <c r="J89" i="27" s="1"/>
  <c r="J81" i="27" a="1"/>
  <c r="J81" i="27" s="1"/>
  <c r="J73" i="27" a="1"/>
  <c r="J73" i="27" s="1"/>
  <c r="J87" i="27" a="1"/>
  <c r="J87" i="27" s="1"/>
  <c r="J84" i="27" a="1"/>
  <c r="J84" i="27" s="1"/>
  <c r="J79" i="27" a="1"/>
  <c r="J79" i="27" s="1"/>
  <c r="J76" i="27" a="1"/>
  <c r="J76" i="27" s="1"/>
  <c r="J71" i="27" a="1"/>
  <c r="J71" i="27" s="1"/>
  <c r="J69" i="27" a="1"/>
  <c r="J69" i="27" s="1"/>
  <c r="J66" i="27" a="1"/>
  <c r="J66" i="27" s="1"/>
  <c r="J86" i="27" a="1"/>
  <c r="J86" i="27" s="1"/>
  <c r="J78" i="27" a="1"/>
  <c r="J78" i="27" s="1"/>
  <c r="J70" i="27" a="1"/>
  <c r="J70" i="27" s="1"/>
  <c r="J68" i="27" a="1"/>
  <c r="J68" i="27" s="1"/>
  <c r="J64" i="27" a="1"/>
  <c r="J64" i="27" s="1"/>
  <c r="J65" i="27" a="1"/>
  <c r="J65" i="27" s="1"/>
  <c r="E88" i="27" a="1"/>
  <c r="E88" i="27" s="1"/>
  <c r="E80" i="27" a="1"/>
  <c r="E80" i="27" s="1"/>
  <c r="E72" i="27" a="1"/>
  <c r="E72" i="27" s="1"/>
  <c r="E86" i="27" a="1"/>
  <c r="E86" i="27" s="1"/>
  <c r="E78" i="27" a="1"/>
  <c r="E78" i="27" s="1"/>
  <c r="E70" i="27" a="1"/>
  <c r="E70" i="27" s="1"/>
  <c r="E87" i="27" a="1"/>
  <c r="E87" i="27" s="1"/>
  <c r="E79" i="27" a="1"/>
  <c r="E79" i="27" s="1"/>
  <c r="E71" i="27" a="1"/>
  <c r="E71" i="27" s="1"/>
  <c r="E85" i="27" a="1"/>
  <c r="E85" i="27" s="1"/>
  <c r="E77" i="27" a="1"/>
  <c r="E77" i="27" s="1"/>
  <c r="E84" i="27" a="1"/>
  <c r="E84" i="27" s="1"/>
  <c r="E76" i="27" a="1"/>
  <c r="E76" i="27" s="1"/>
  <c r="E61" i="27" a="1"/>
  <c r="E61" i="27" s="1"/>
  <c r="E90" i="27" a="1"/>
  <c r="E90" i="27" s="1"/>
  <c r="E82" i="27" a="1"/>
  <c r="E82" i="27" s="1"/>
  <c r="E74" i="27" a="1"/>
  <c r="E74" i="27" s="1"/>
  <c r="E68" i="27" a="1"/>
  <c r="E68" i="27" s="1"/>
  <c r="E89" i="27" a="1"/>
  <c r="E89" i="27" s="1"/>
  <c r="E81" i="27" a="1"/>
  <c r="E81" i="27" s="1"/>
  <c r="E73" i="27" a="1"/>
  <c r="E73" i="27" s="1"/>
  <c r="E83" i="27" a="1"/>
  <c r="E83" i="27" s="1"/>
  <c r="E75" i="27" a="1"/>
  <c r="E75" i="27" s="1"/>
  <c r="E69" i="27" a="1"/>
  <c r="E69" i="27" s="1"/>
  <c r="E66" i="27" a="1"/>
  <c r="E66" i="27" s="1"/>
  <c r="E63" i="27" a="1"/>
  <c r="E63" i="27" s="1"/>
  <c r="H21" i="27" a="1"/>
  <c r="H21" i="27" s="1"/>
  <c r="H33" i="27" a="1"/>
  <c r="H33" i="27" s="1"/>
  <c r="H31" i="27" a="1"/>
  <c r="H31" i="27" s="1"/>
  <c r="H24" i="27" a="1"/>
  <c r="H24" i="27" s="1"/>
  <c r="H23" i="27" a="1"/>
  <c r="H23" i="27" s="1"/>
  <c r="H44" i="27" a="1"/>
  <c r="H44" i="27" s="1"/>
  <c r="H22" i="27" a="1"/>
  <c r="H22" i="27" s="1"/>
  <c r="G18" i="27" a="1"/>
  <c r="G18" i="27" s="1"/>
  <c r="G17" i="27" a="1"/>
  <c r="G17" i="27" s="1"/>
  <c r="G20" i="27" a="1"/>
  <c r="G20" i="27" s="1"/>
  <c r="G34" i="27" a="1"/>
  <c r="G34" i="27" s="1"/>
  <c r="G25" i="27" a="1"/>
  <c r="G25" i="27" s="1"/>
  <c r="G46" i="27" a="1"/>
  <c r="G46" i="27" s="1"/>
  <c r="G28" i="27" a="1"/>
  <c r="G28" i="27" s="1"/>
  <c r="G42" i="27" a="1"/>
  <c r="G42" i="27" s="1"/>
  <c r="AK43" i="25"/>
  <c r="AS45" i="25"/>
  <c r="AT46" i="25"/>
  <c r="G21" i="27" a="1"/>
  <c r="G21" i="27" s="1"/>
  <c r="L20" i="27" a="1"/>
  <c r="L20" i="27" s="1"/>
  <c r="D20" i="27" a="1"/>
  <c r="D20" i="27" s="1"/>
  <c r="D19" i="27" a="1"/>
  <c r="D19" i="27" s="1"/>
  <c r="E17" i="27" a="1"/>
  <c r="E17" i="27" s="1"/>
  <c r="G23" i="27" a="1"/>
  <c r="G23" i="27" s="1"/>
  <c r="K21" i="27" a="1"/>
  <c r="K21" i="27" s="1"/>
  <c r="G19" i="27" a="1"/>
  <c r="G19" i="27" s="1"/>
  <c r="L18" i="27" a="1"/>
  <c r="L18" i="27" s="1"/>
  <c r="D18" i="27" a="1"/>
  <c r="D18" i="27" s="1"/>
  <c r="D17" i="27" a="1"/>
  <c r="D17" i="27" s="1"/>
  <c r="E23" i="27" a="1"/>
  <c r="E23" i="27" s="1"/>
  <c r="H25" i="27" a="1"/>
  <c r="H25" i="27" s="1"/>
  <c r="H26" i="27" a="1"/>
  <c r="H26" i="27" s="1"/>
  <c r="C27" i="27" a="1"/>
  <c r="C27" i="27" s="1"/>
  <c r="J29" i="27" a="1"/>
  <c r="J29" i="27" s="1"/>
  <c r="G30" i="27" a="1"/>
  <c r="G30" i="27" s="1"/>
  <c r="E31" i="27" a="1"/>
  <c r="E31" i="27" s="1"/>
  <c r="I32" i="27" a="1"/>
  <c r="I32" i="27" s="1"/>
  <c r="E34" i="27" a="1"/>
  <c r="E34" i="27" s="1"/>
  <c r="G35" i="27" a="1"/>
  <c r="G35" i="27" s="1"/>
  <c r="L36" i="27" a="1"/>
  <c r="L36" i="27" s="1"/>
  <c r="E38" i="27" a="1"/>
  <c r="E38" i="27" s="1"/>
  <c r="G39" i="27" a="1"/>
  <c r="G39" i="27" s="1"/>
  <c r="L40" i="27" a="1"/>
  <c r="L40" i="27" s="1"/>
  <c r="E42" i="27" a="1"/>
  <c r="E42" i="27" s="1"/>
  <c r="G43" i="27" a="1"/>
  <c r="G43" i="27" s="1"/>
  <c r="L44" i="27" a="1"/>
  <c r="L44" i="27" s="1"/>
  <c r="E46" i="27" a="1"/>
  <c r="E46" i="27" s="1"/>
  <c r="G47" i="27" a="1"/>
  <c r="G47" i="27" s="1"/>
  <c r="L60" i="27" a="1"/>
  <c r="L60" i="27" s="1"/>
  <c r="D62" i="27" a="1"/>
  <c r="D62" i="27" s="1"/>
  <c r="J63" i="27" a="1"/>
  <c r="J63" i="27" s="1"/>
  <c r="M64" i="27" a="1"/>
  <c r="M64" i="27" s="1"/>
  <c r="C66" i="27" a="1"/>
  <c r="C66" i="27" s="1"/>
  <c r="F23" i="27" a="1"/>
  <c r="F23" i="27" s="1"/>
  <c r="E24" i="27" a="1"/>
  <c r="E24" i="27" s="1"/>
  <c r="D27" i="27" a="1"/>
  <c r="D27" i="27" s="1"/>
  <c r="F28" i="27" a="1"/>
  <c r="F28" i="27" s="1"/>
  <c r="F31" i="27" a="1"/>
  <c r="F31" i="27" s="1"/>
  <c r="J32" i="27" a="1"/>
  <c r="J32" i="27" s="1"/>
  <c r="C34" i="27" a="1"/>
  <c r="C34" i="27" s="1"/>
  <c r="H35" i="27" a="1"/>
  <c r="H35" i="27" s="1"/>
  <c r="C37" i="27" a="1"/>
  <c r="C37" i="27" s="1"/>
  <c r="H38" i="27" a="1"/>
  <c r="H38" i="27" s="1"/>
  <c r="L39" i="27" a="1"/>
  <c r="L39" i="27" s="1"/>
  <c r="G41" i="27" a="1"/>
  <c r="G41" i="27" s="1"/>
  <c r="K42" i="27" a="1"/>
  <c r="K42" i="27" s="1"/>
  <c r="G44" i="27" a="1"/>
  <c r="G44" i="27" s="1"/>
  <c r="K45" i="27" a="1"/>
  <c r="K45" i="27" s="1"/>
  <c r="D47" i="27" a="1"/>
  <c r="D47" i="27" s="1"/>
  <c r="J60" i="27" a="1"/>
  <c r="J60" i="27" s="1"/>
  <c r="E62" i="27" a="1"/>
  <c r="E62" i="27" s="1"/>
  <c r="K64" i="27" a="1"/>
  <c r="K64" i="27" s="1"/>
  <c r="M65" i="27" a="1"/>
  <c r="M65" i="27" s="1"/>
  <c r="E67" i="27" a="1"/>
  <c r="E67" i="27" s="1"/>
  <c r="C26" i="27" a="1"/>
  <c r="C26" i="27" s="1"/>
  <c r="K26" i="27" a="1"/>
  <c r="K26" i="27" s="1"/>
  <c r="D30" i="27" a="1"/>
  <c r="D30" i="27" s="1"/>
  <c r="L30" i="27" a="1"/>
  <c r="L30" i="27" s="1"/>
  <c r="K31" i="27" a="1"/>
  <c r="K31" i="27" s="1"/>
  <c r="D37" i="27" a="1"/>
  <c r="D37" i="27" s="1"/>
  <c r="H40" i="27" a="1"/>
  <c r="H40" i="27" s="1"/>
  <c r="L41" i="27" a="1"/>
  <c r="L41" i="27" s="1"/>
  <c r="E44" i="27" a="1"/>
  <c r="E44" i="27" s="1"/>
  <c r="I46" i="27" a="1"/>
  <c r="I46" i="27" s="1"/>
  <c r="K62" i="27" a="1"/>
  <c r="K62" i="27" s="1"/>
  <c r="L24" i="27" a="1"/>
  <c r="L24" i="27" s="1"/>
  <c r="C28" i="27" a="1"/>
  <c r="C28" i="27" s="1"/>
  <c r="F32" i="27" a="1"/>
  <c r="F32" i="27" s="1"/>
  <c r="L34" i="27" a="1"/>
  <c r="L34" i="27" s="1"/>
  <c r="E37" i="27" a="1"/>
  <c r="E37" i="27" s="1"/>
  <c r="F47" i="27" a="1"/>
  <c r="F47" i="27" s="1"/>
  <c r="I61" i="27" a="1"/>
  <c r="I61" i="27" s="1"/>
  <c r="K65" i="27" a="1"/>
  <c r="K65" i="27" s="1"/>
  <c r="N19" i="27" a="1"/>
  <c r="N19" i="27" s="1"/>
  <c r="BC41" i="25"/>
  <c r="BC30" i="25"/>
  <c r="BB44" i="25"/>
  <c r="BC45" i="25"/>
  <c r="AT27" i="26"/>
  <c r="AT23" i="26"/>
  <c r="AT25" i="26"/>
  <c r="AT40" i="26"/>
  <c r="AS41" i="26"/>
  <c r="AZ16" i="26" a="1"/>
  <c r="AZ16" i="26" s="1"/>
  <c r="P16" i="26" a="1"/>
  <c r="P16" i="26" s="1"/>
  <c r="AQ16" i="26" a="1"/>
  <c r="AQ16" i="26" s="1"/>
  <c r="J17" i="26"/>
  <c r="AH16" i="26" a="1"/>
  <c r="AH16" i="26" s="1"/>
  <c r="I16" i="26"/>
  <c r="Y16" i="26" a="1"/>
  <c r="Y16" i="26" s="1"/>
  <c r="AT22" i="26"/>
  <c r="AS18" i="26"/>
  <c r="AT28" i="26"/>
  <c r="AS31" i="26"/>
  <c r="AT39" i="26"/>
  <c r="AS17" i="26"/>
  <c r="AT17" i="26"/>
  <c r="AS20" i="26"/>
  <c r="BC28" i="26"/>
  <c r="AT20" i="26"/>
  <c r="BC21" i="26"/>
  <c r="AS23" i="26"/>
  <c r="BB27" i="26"/>
  <c r="BB23" i="26"/>
  <c r="AT26" i="26"/>
  <c r="BC27" i="26"/>
  <c r="BB25" i="26"/>
  <c r="BB28" i="26"/>
  <c r="AS30" i="26"/>
  <c r="BB29" i="26"/>
  <c r="AS35" i="26"/>
  <c r="AS42" i="26"/>
  <c r="BB38" i="26"/>
  <c r="BB39" i="26"/>
  <c r="AT37" i="26"/>
  <c r="BC38" i="26"/>
  <c r="BB40" i="26"/>
  <c r="AS40" i="26"/>
  <c r="BB42" i="26"/>
  <c r="AT18" i="26"/>
  <c r="AS21" i="26"/>
  <c r="BB18" i="26"/>
  <c r="AS25" i="26"/>
  <c r="BB20" i="26"/>
  <c r="AT30" i="26"/>
  <c r="AT19" i="26"/>
  <c r="BC20" i="26"/>
  <c r="AS22" i="26"/>
  <c r="BB26" i="26"/>
  <c r="BC25" i="26"/>
  <c r="AS27" i="26"/>
  <c r="BB30" i="26"/>
  <c r="AS33" i="26"/>
  <c r="AT33" i="26"/>
  <c r="AT32" i="26"/>
  <c r="BC33" i="26"/>
  <c r="AT36" i="26"/>
  <c r="AT35" i="26"/>
  <c r="BC36" i="26"/>
  <c r="AS38" i="26"/>
  <c r="AT34" i="26"/>
  <c r="BC35" i="26"/>
  <c r="AS37" i="26"/>
  <c r="BB37" i="26"/>
  <c r="AT45" i="26"/>
  <c r="AT43" i="26"/>
  <c r="R45" i="26"/>
  <c r="AT44" i="26"/>
  <c r="BC23" i="26"/>
  <c r="BB31" i="26"/>
  <c r="AS28" i="26"/>
  <c r="AT31" i="26"/>
  <c r="AT29" i="26"/>
  <c r="AT38" i="26"/>
  <c r="BB22" i="26"/>
  <c r="AT21" i="26"/>
  <c r="BC22" i="26"/>
  <c r="AS24" i="26"/>
  <c r="AS19" i="26"/>
  <c r="AT24" i="26"/>
  <c r="AS26" i="26"/>
  <c r="BC31" i="26"/>
  <c r="AS29" i="26"/>
  <c r="BC32" i="26"/>
  <c r="BB33" i="26"/>
  <c r="AS34" i="26"/>
  <c r="BB32" i="26"/>
  <c r="BB36" i="26"/>
  <c r="BB35" i="26"/>
  <c r="BC34" i="26"/>
  <c r="AS36" i="26"/>
  <c r="BC42" i="26"/>
  <c r="AS45" i="26"/>
  <c r="AQ17" i="25" a="1"/>
  <c r="AQ17" i="25" s="1"/>
  <c r="Y17" i="25" a="1"/>
  <c r="Y17" i="25" s="1"/>
  <c r="J18" i="25"/>
  <c r="AZ17" i="25" a="1"/>
  <c r="AZ17" i="25" s="1"/>
  <c r="P17" i="25" a="1"/>
  <c r="P17" i="25" s="1"/>
  <c r="I17" i="25"/>
  <c r="AH17" i="25" a="1"/>
  <c r="AH17" i="25" s="1"/>
  <c r="AS23" i="25"/>
  <c r="BB16" i="25"/>
  <c r="BB28" i="25"/>
  <c r="BC20" i="25"/>
  <c r="AT32" i="25"/>
  <c r="AT26" i="25"/>
  <c r="AT28" i="25"/>
  <c r="BB21" i="25"/>
  <c r="BB26" i="25"/>
  <c r="AT29" i="25"/>
  <c r="AT34" i="25"/>
  <c r="AS35" i="25"/>
  <c r="AT35" i="25"/>
  <c r="AS38" i="25"/>
  <c r="AT18" i="25"/>
  <c r="AT20" i="25"/>
  <c r="AT27" i="25"/>
  <c r="AS37" i="25"/>
  <c r="BB19" i="25"/>
  <c r="AS20" i="25"/>
  <c r="AT25" i="25"/>
  <c r="AS27" i="25"/>
  <c r="BB34" i="25"/>
  <c r="AS30" i="25"/>
  <c r="BB32" i="25"/>
  <c r="BB29" i="25"/>
  <c r="BB38" i="25"/>
  <c r="AT33" i="25"/>
  <c r="AS34" i="25"/>
  <c r="BB37" i="25"/>
  <c r="AS16" i="25"/>
  <c r="AS17" i="25"/>
  <c r="AS18" i="25"/>
  <c r="AT23" i="25"/>
  <c r="BC24" i="25"/>
  <c r="AS26" i="25"/>
  <c r="AT22" i="25"/>
  <c r="BC23" i="25"/>
  <c r="AS25" i="25"/>
  <c r="BC29" i="25"/>
  <c r="BB17" i="25"/>
  <c r="BB25" i="25"/>
  <c r="AT31" i="25"/>
  <c r="AS28" i="25"/>
  <c r="BC31" i="25"/>
  <c r="AS33" i="25"/>
  <c r="BC26" i="25"/>
  <c r="BB23" i="25"/>
  <c r="BB22" i="25"/>
  <c r="BB27" i="25"/>
  <c r="AT21" i="25"/>
  <c r="BC22" i="25"/>
  <c r="AS24" i="25"/>
  <c r="AS31" i="25"/>
  <c r="BC27" i="25"/>
  <c r="AS29" i="25"/>
  <c r="BB30" i="25"/>
  <c r="BB36" i="25"/>
  <c r="BC19" i="25"/>
  <c r="BC17" i="25"/>
  <c r="BC21" i="25"/>
  <c r="BB24" i="25"/>
  <c r="AJ34" i="26" l="1"/>
  <c r="AB28" i="26"/>
  <c r="BI28" i="26" s="1"/>
  <c r="K37" i="24"/>
  <c r="AB37" i="24" s="1"/>
  <c r="AB36" i="24" s="1"/>
  <c r="AB35" i="24" s="1"/>
  <c r="AB34" i="24" s="1"/>
  <c r="AB33" i="24" s="1"/>
  <c r="AB32" i="24" s="1"/>
  <c r="AB31" i="24" s="1"/>
  <c r="AB30" i="24" s="1"/>
  <c r="AB29" i="24" s="1"/>
  <c r="AB28" i="24" s="1"/>
  <c r="AB27" i="24" s="1"/>
  <c r="AB26" i="24" s="1"/>
  <c r="AB25" i="24" s="1"/>
  <c r="AB24" i="24" s="1"/>
  <c r="AB23" i="24" s="1"/>
  <c r="AB22" i="24" s="1"/>
  <c r="AB21" i="24" s="1"/>
  <c r="AB20" i="24" s="1"/>
  <c r="AB19" i="24" s="1"/>
  <c r="AB18" i="24" s="1"/>
  <c r="AB17" i="24" s="1"/>
  <c r="AB16" i="24" s="1"/>
  <c r="AB15" i="24" s="1"/>
  <c r="AB14" i="24" s="1"/>
  <c r="AB13" i="24" s="1"/>
  <c r="AB12" i="24" s="1"/>
  <c r="AB11" i="24" s="1"/>
  <c r="AB10" i="24" s="1"/>
  <c r="AB9" i="24" s="1"/>
  <c r="AB8" i="24" s="1"/>
  <c r="N47" i="24"/>
  <c r="H37" i="24"/>
  <c r="N46" i="24"/>
  <c r="E37" i="24"/>
  <c r="V37" i="24" s="1"/>
  <c r="V36" i="24" s="1"/>
  <c r="V35" i="24" s="1"/>
  <c r="V34" i="24" s="1"/>
  <c r="V33" i="24" s="1"/>
  <c r="V32" i="24" s="1"/>
  <c r="V31" i="24" s="1"/>
  <c r="V30" i="24" s="1"/>
  <c r="V29" i="24" s="1"/>
  <c r="V28" i="24" s="1"/>
  <c r="V27" i="24" s="1"/>
  <c r="V26" i="24" s="1"/>
  <c r="V25" i="24" s="1"/>
  <c r="V24" i="24" s="1"/>
  <c r="V23" i="24" s="1"/>
  <c r="V22" i="24" s="1"/>
  <c r="V21" i="24" s="1"/>
  <c r="V20" i="24" s="1"/>
  <c r="V19" i="24" s="1"/>
  <c r="V18" i="24" s="1"/>
  <c r="V17" i="24" s="1"/>
  <c r="V16" i="24" s="1"/>
  <c r="V15" i="24" s="1"/>
  <c r="V14" i="24" s="1"/>
  <c r="V13" i="24" s="1"/>
  <c r="V12" i="24" s="1"/>
  <c r="V11" i="24" s="1"/>
  <c r="V10" i="24" s="1"/>
  <c r="V9" i="24" s="1"/>
  <c r="V8" i="24" s="1"/>
  <c r="N45" i="24"/>
  <c r="N37" i="24"/>
  <c r="AE37" i="24" s="1"/>
  <c r="AE36" i="24" s="1"/>
  <c r="AE35" i="24" s="1"/>
  <c r="AE34" i="24" s="1"/>
  <c r="AE33" i="24" s="1"/>
  <c r="AE32" i="24" s="1"/>
  <c r="AE31" i="24" s="1"/>
  <c r="AE30" i="24" s="1"/>
  <c r="AE29" i="24" s="1"/>
  <c r="AE28" i="24" s="1"/>
  <c r="AE27" i="24" s="1"/>
  <c r="AE26" i="24" s="1"/>
  <c r="AE25" i="24" s="1"/>
  <c r="AE24" i="24" s="1"/>
  <c r="AE23" i="24" s="1"/>
  <c r="AE22" i="24" s="1"/>
  <c r="AE21" i="24" s="1"/>
  <c r="AE20" i="24" s="1"/>
  <c r="AE19" i="24" s="1"/>
  <c r="AE18" i="24" s="1"/>
  <c r="AE17" i="24" s="1"/>
  <c r="AE16" i="24" s="1"/>
  <c r="AE15" i="24" s="1"/>
  <c r="AE14" i="24" s="1"/>
  <c r="AE13" i="24" s="1"/>
  <c r="AE12" i="24" s="1"/>
  <c r="AE11" i="24" s="1"/>
  <c r="AE10" i="24" s="1"/>
  <c r="AE9" i="24" s="1"/>
  <c r="AE8" i="24" s="1"/>
  <c r="N43" i="24"/>
  <c r="AK20" i="25"/>
  <c r="R32" i="26"/>
  <c r="AJ18" i="25"/>
  <c r="AJ29" i="26"/>
  <c r="BH29" i="26" s="1"/>
  <c r="AJ23" i="25"/>
  <c r="S19" i="25"/>
  <c r="R42" i="26"/>
  <c r="AK34" i="25"/>
  <c r="BI34" i="25" s="1"/>
  <c r="R18" i="25"/>
  <c r="AA25" i="25"/>
  <c r="BH25" i="25" s="1"/>
  <c r="AK36" i="25"/>
  <c r="AK24" i="26"/>
  <c r="AK29" i="25"/>
  <c r="S37" i="26"/>
  <c r="AA22" i="26"/>
  <c r="B142" i="1"/>
  <c r="E141" i="1"/>
  <c r="D141" i="1"/>
  <c r="AJ26" i="25"/>
  <c r="R26" i="25"/>
  <c r="AK37" i="25"/>
  <c r="AJ31" i="25"/>
  <c r="R27" i="25"/>
  <c r="AJ42" i="26"/>
  <c r="AK28" i="25"/>
  <c r="BI28" i="25" s="1"/>
  <c r="AK32" i="26"/>
  <c r="BI32" i="26" s="1"/>
  <c r="AB19" i="25"/>
  <c r="AB17" i="25"/>
  <c r="S20" i="25"/>
  <c r="BI20" i="25" s="1"/>
  <c r="S25" i="25"/>
  <c r="AA35" i="25"/>
  <c r="BH35" i="25" s="1"/>
  <c r="AK30" i="25"/>
  <c r="BI30" i="25" s="1"/>
  <c r="R34" i="25"/>
  <c r="AA30" i="25"/>
  <c r="S17" i="25"/>
  <c r="AA17" i="26"/>
  <c r="BH17" i="26" s="1"/>
  <c r="S19" i="26"/>
  <c r="AK32" i="25"/>
  <c r="S24" i="25"/>
  <c r="BI24" i="25" s="1"/>
  <c r="S35" i="25"/>
  <c r="R27" i="26"/>
  <c r="R16" i="26"/>
  <c r="AJ30" i="26"/>
  <c r="R33" i="25"/>
  <c r="AB27" i="25"/>
  <c r="BI27" i="25" s="1"/>
  <c r="AA36" i="26"/>
  <c r="S29" i="25"/>
  <c r="AB39" i="26"/>
  <c r="AA45" i="26"/>
  <c r="S17" i="26"/>
  <c r="AK35" i="25"/>
  <c r="AJ19" i="25"/>
  <c r="BH19" i="25" s="1"/>
  <c r="AB23" i="25"/>
  <c r="BI23" i="25" s="1"/>
  <c r="R33" i="26"/>
  <c r="AK27" i="26"/>
  <c r="AA28" i="25"/>
  <c r="AA37" i="25"/>
  <c r="R22" i="26"/>
  <c r="AB21" i="25"/>
  <c r="R28" i="26"/>
  <c r="AA32" i="26"/>
  <c r="R44" i="26"/>
  <c r="AK43" i="26"/>
  <c r="R31" i="25"/>
  <c r="AK16" i="25"/>
  <c r="R30" i="25"/>
  <c r="BH30" i="25" s="1"/>
  <c r="AK25" i="25"/>
  <c r="AB18" i="25"/>
  <c r="BI18" i="25" s="1"/>
  <c r="R38" i="26"/>
  <c r="BH38" i="26" s="1"/>
  <c r="AB34" i="26"/>
  <c r="BI34" i="26" s="1"/>
  <c r="R23" i="26"/>
  <c r="AK36" i="26"/>
  <c r="BI36" i="26" s="1"/>
  <c r="AB29" i="26"/>
  <c r="AJ25" i="26"/>
  <c r="S42" i="25"/>
  <c r="AK41" i="25"/>
  <c r="AA34" i="25"/>
  <c r="AA39" i="25"/>
  <c r="R39" i="26"/>
  <c r="BH39" i="26" s="1"/>
  <c r="AA16" i="26"/>
  <c r="AJ41" i="26"/>
  <c r="AK20" i="26"/>
  <c r="R16" i="25"/>
  <c r="R38" i="25"/>
  <c r="AK38" i="26"/>
  <c r="R22" i="25"/>
  <c r="BH22" i="25" s="1"/>
  <c r="AK22" i="25"/>
  <c r="R23" i="25"/>
  <c r="AJ17" i="25"/>
  <c r="BH17" i="25" s="1"/>
  <c r="AA26" i="26"/>
  <c r="S18" i="26"/>
  <c r="R35" i="26"/>
  <c r="AJ27" i="25"/>
  <c r="AA20" i="25"/>
  <c r="BH20" i="25" s="1"/>
  <c r="R21" i="25"/>
  <c r="AB29" i="25"/>
  <c r="R39" i="25"/>
  <c r="AB38" i="26"/>
  <c r="AA20" i="26"/>
  <c r="AB22" i="25"/>
  <c r="R28" i="25"/>
  <c r="AK39" i="25"/>
  <c r="BI39" i="25" s="1"/>
  <c r="AA32" i="25"/>
  <c r="BH32" i="25" s="1"/>
  <c r="AB37" i="26"/>
  <c r="AK18" i="26"/>
  <c r="S21" i="26"/>
  <c r="R41" i="26"/>
  <c r="AA31" i="26"/>
  <c r="BH31" i="26" s="1"/>
  <c r="R43" i="26"/>
  <c r="AB27" i="26"/>
  <c r="AK31" i="26"/>
  <c r="AK35" i="26"/>
  <c r="BI35" i="26" s="1"/>
  <c r="R26" i="26"/>
  <c r="AJ40" i="26"/>
  <c r="AA33" i="26"/>
  <c r="AA24" i="25"/>
  <c r="AA41" i="26"/>
  <c r="S40" i="26"/>
  <c r="BI40" i="26" s="1"/>
  <c r="AA46" i="26"/>
  <c r="S24" i="26"/>
  <c r="BI24" i="26" s="1"/>
  <c r="S40" i="25"/>
  <c r="AA40" i="25"/>
  <c r="BH40" i="25" s="1"/>
  <c r="R36" i="25"/>
  <c r="AA30" i="26"/>
  <c r="AK23" i="26"/>
  <c r="S29" i="26"/>
  <c r="AB19" i="26"/>
  <c r="AK21" i="26"/>
  <c r="R34" i="26"/>
  <c r="AK39" i="26"/>
  <c r="AA44" i="26"/>
  <c r="AK26" i="26"/>
  <c r="BI26" i="26" s="1"/>
  <c r="AK16" i="26"/>
  <c r="BI16" i="26" s="1"/>
  <c r="AB25" i="26"/>
  <c r="BI25" i="26" s="1"/>
  <c r="AA40" i="26"/>
  <c r="AA24" i="26"/>
  <c r="BH24" i="26" s="1"/>
  <c r="AJ22" i="26"/>
  <c r="S31" i="26"/>
  <c r="AK33" i="26"/>
  <c r="BI33" i="26" s="1"/>
  <c r="R30" i="26"/>
  <c r="AA26" i="25"/>
  <c r="AB31" i="25"/>
  <c r="BI31" i="25" s="1"/>
  <c r="S32" i="25"/>
  <c r="AJ24" i="25"/>
  <c r="AJ28" i="26"/>
  <c r="R25" i="26"/>
  <c r="BH25" i="26" s="1"/>
  <c r="AK19" i="26"/>
  <c r="AK17" i="26"/>
  <c r="AA35" i="26"/>
  <c r="AK40" i="25"/>
  <c r="AK33" i="25"/>
  <c r="AB21" i="26"/>
  <c r="AA42" i="26"/>
  <c r="R36" i="26"/>
  <c r="BH36" i="26" s="1"/>
  <c r="AK10" i="31"/>
  <c r="AJ10" i="31"/>
  <c r="AK11" i="31"/>
  <c r="AJ11" i="31"/>
  <c r="AK12" i="31"/>
  <c r="AJ12" i="31"/>
  <c r="AK13" i="31"/>
  <c r="AJ13" i="31"/>
  <c r="AK14" i="31"/>
  <c r="AJ14" i="31"/>
  <c r="AK15" i="31"/>
  <c r="AJ15" i="31"/>
  <c r="AJ16" i="31"/>
  <c r="AK16" i="31"/>
  <c r="AJ17" i="31"/>
  <c r="AK17" i="31"/>
  <c r="AJ18" i="31"/>
  <c r="AK18" i="31"/>
  <c r="AK19" i="31"/>
  <c r="AJ19" i="31"/>
  <c r="AJ20" i="31"/>
  <c r="AK20" i="31"/>
  <c r="AK21" i="31"/>
  <c r="AJ21" i="31"/>
  <c r="AK22" i="31"/>
  <c r="AJ22" i="31"/>
  <c r="AK23" i="31"/>
  <c r="AJ23" i="31"/>
  <c r="AK24" i="31"/>
  <c r="AJ24" i="31"/>
  <c r="AJ25" i="31"/>
  <c r="AK25" i="31"/>
  <c r="AK26" i="31"/>
  <c r="AJ26" i="31"/>
  <c r="AJ27" i="31"/>
  <c r="AK27" i="31"/>
  <c r="AK28" i="31"/>
  <c r="AJ28" i="31"/>
  <c r="AK29" i="31"/>
  <c r="AJ29" i="31"/>
  <c r="AK30" i="31"/>
  <c r="AJ30" i="31"/>
  <c r="AJ31" i="31"/>
  <c r="AK31" i="31"/>
  <c r="AK32" i="31"/>
  <c r="AJ32" i="31"/>
  <c r="AK33" i="31"/>
  <c r="AJ33" i="31"/>
  <c r="AK34" i="31"/>
  <c r="AJ34" i="31"/>
  <c r="AJ35" i="31"/>
  <c r="AK35" i="31"/>
  <c r="AK36" i="31"/>
  <c r="AJ36" i="31"/>
  <c r="AJ37" i="31"/>
  <c r="AK37" i="31"/>
  <c r="AJ38" i="31"/>
  <c r="AK38" i="31"/>
  <c r="AJ39" i="31"/>
  <c r="AK39" i="31"/>
  <c r="AJ40" i="31"/>
  <c r="AK40" i="31"/>
  <c r="AJ41" i="31"/>
  <c r="AK41" i="31"/>
  <c r="AJ42" i="31"/>
  <c r="AK42" i="31"/>
  <c r="AK43" i="31"/>
  <c r="AJ43" i="31"/>
  <c r="AK44" i="31"/>
  <c r="AJ44" i="31"/>
  <c r="AJ45" i="31"/>
  <c r="AK45" i="31"/>
  <c r="AK46" i="31"/>
  <c r="AJ46" i="31"/>
  <c r="AB10" i="31"/>
  <c r="AA10" i="31"/>
  <c r="AA11" i="31"/>
  <c r="AB11" i="31"/>
  <c r="AA12" i="31"/>
  <c r="AB12" i="31"/>
  <c r="AB13" i="31"/>
  <c r="AA13" i="31"/>
  <c r="AA14" i="31"/>
  <c r="AB14" i="31"/>
  <c r="AB15" i="31"/>
  <c r="AA15" i="31"/>
  <c r="AA16" i="31"/>
  <c r="AB16" i="31"/>
  <c r="AB17" i="31"/>
  <c r="AA17" i="31"/>
  <c r="AA18" i="31"/>
  <c r="AB18" i="31"/>
  <c r="AA19" i="31"/>
  <c r="AB19" i="31"/>
  <c r="AA20" i="31"/>
  <c r="AB20" i="31"/>
  <c r="AA21" i="31"/>
  <c r="AB21" i="31"/>
  <c r="AA22" i="31"/>
  <c r="AB22" i="31"/>
  <c r="AA23" i="31"/>
  <c r="AB23" i="31"/>
  <c r="AA24" i="31"/>
  <c r="AB24" i="31"/>
  <c r="AA25" i="31"/>
  <c r="AB25" i="31"/>
  <c r="AA26" i="31"/>
  <c r="AB26" i="31"/>
  <c r="AA27" i="31"/>
  <c r="AB27" i="31"/>
  <c r="AB28" i="31"/>
  <c r="AA28" i="31"/>
  <c r="AA29" i="31"/>
  <c r="AB29" i="31"/>
  <c r="AA30" i="31"/>
  <c r="AB30" i="31"/>
  <c r="AB31" i="31"/>
  <c r="AA31" i="31"/>
  <c r="AB32" i="31"/>
  <c r="AA32" i="31"/>
  <c r="AA33" i="31"/>
  <c r="AB33" i="31"/>
  <c r="AB34" i="31"/>
  <c r="AA34" i="31"/>
  <c r="AB35" i="31"/>
  <c r="AA35" i="31"/>
  <c r="AB36" i="31"/>
  <c r="AA36" i="31"/>
  <c r="AB37" i="31"/>
  <c r="AA37" i="31"/>
  <c r="AB38" i="31"/>
  <c r="AA38" i="31"/>
  <c r="AB39" i="31"/>
  <c r="AA39" i="31"/>
  <c r="AB40" i="31"/>
  <c r="AA40" i="31"/>
  <c r="AB41" i="31"/>
  <c r="AA41" i="31"/>
  <c r="AB42" i="31"/>
  <c r="AA42" i="31"/>
  <c r="AA43" i="31"/>
  <c r="AB43" i="31"/>
  <c r="AA44" i="31"/>
  <c r="AB44" i="31"/>
  <c r="AA45" i="31"/>
  <c r="AB45" i="31"/>
  <c r="AA46" i="31"/>
  <c r="AB46" i="31"/>
  <c r="S10" i="31"/>
  <c r="R10" i="31"/>
  <c r="R11" i="31"/>
  <c r="S11" i="31"/>
  <c r="S12" i="31"/>
  <c r="R12" i="31"/>
  <c r="S13" i="31"/>
  <c r="R13" i="31"/>
  <c r="S14" i="31"/>
  <c r="R14" i="31"/>
  <c r="S15" i="31"/>
  <c r="R15" i="31"/>
  <c r="R16" i="31"/>
  <c r="S16" i="31"/>
  <c r="S17" i="31"/>
  <c r="R17" i="31"/>
  <c r="R18" i="31"/>
  <c r="S18" i="31"/>
  <c r="S19" i="31"/>
  <c r="R19" i="31"/>
  <c r="S20" i="31"/>
  <c r="R20" i="31"/>
  <c r="R21" i="31"/>
  <c r="S21" i="31"/>
  <c r="R22" i="31"/>
  <c r="S22" i="31"/>
  <c r="R23" i="31"/>
  <c r="S23" i="31"/>
  <c r="R24" i="31"/>
  <c r="S24" i="31"/>
  <c r="R25" i="31"/>
  <c r="S25" i="31"/>
  <c r="S26" i="31"/>
  <c r="R26" i="31"/>
  <c r="R27" i="31"/>
  <c r="S27" i="31"/>
  <c r="R28" i="31"/>
  <c r="S28" i="31"/>
  <c r="R29" i="31"/>
  <c r="S29" i="31"/>
  <c r="R30" i="31"/>
  <c r="S30" i="31"/>
  <c r="R31" i="31"/>
  <c r="S31" i="31"/>
  <c r="R32" i="31"/>
  <c r="S32" i="31"/>
  <c r="R33" i="31"/>
  <c r="S33" i="31"/>
  <c r="R34" i="31"/>
  <c r="S34" i="31"/>
  <c r="R35" i="31"/>
  <c r="S35" i="31"/>
  <c r="R36" i="31"/>
  <c r="S36" i="31"/>
  <c r="R37" i="31"/>
  <c r="S37" i="31"/>
  <c r="S38" i="31"/>
  <c r="R38" i="31"/>
  <c r="R39" i="31"/>
  <c r="S39" i="31"/>
  <c r="S40" i="31"/>
  <c r="R40" i="31"/>
  <c r="S41" i="31"/>
  <c r="R41" i="31"/>
  <c r="R42" i="31"/>
  <c r="S42" i="31"/>
  <c r="R43" i="31"/>
  <c r="S43" i="31"/>
  <c r="S44" i="31"/>
  <c r="R44" i="31"/>
  <c r="R45" i="31"/>
  <c r="S45" i="31"/>
  <c r="S46" i="31"/>
  <c r="R46" i="31"/>
  <c r="J21" i="31"/>
  <c r="AH20" i="31" a="1"/>
  <c r="AH20" i="31" s="1"/>
  <c r="I20" i="31"/>
  <c r="Y20" i="31" a="1"/>
  <c r="Y20" i="31" s="1"/>
  <c r="AZ20" i="31" a="1"/>
  <c r="AZ20" i="31" s="1"/>
  <c r="P20" i="31" a="1"/>
  <c r="P20" i="31" s="1"/>
  <c r="AQ20" i="31" a="1"/>
  <c r="AQ20" i="31" s="1"/>
  <c r="BH21" i="26"/>
  <c r="S43" i="25"/>
  <c r="AA10" i="25"/>
  <c r="AB10" i="25"/>
  <c r="AB42" i="25"/>
  <c r="AA42" i="25"/>
  <c r="AB15" i="25"/>
  <c r="AA15" i="25"/>
  <c r="AB10" i="26"/>
  <c r="AA10" i="26"/>
  <c r="AA36" i="25"/>
  <c r="AB36" i="25"/>
  <c r="AA15" i="26"/>
  <c r="AB15" i="26"/>
  <c r="AA13" i="25"/>
  <c r="AB13" i="25"/>
  <c r="S10" i="25"/>
  <c r="R10" i="25"/>
  <c r="R11" i="25"/>
  <c r="S11" i="25"/>
  <c r="S45" i="25"/>
  <c r="R45" i="25"/>
  <c r="R13" i="26"/>
  <c r="S13" i="26"/>
  <c r="AK15" i="26"/>
  <c r="AJ15" i="26"/>
  <c r="AK13" i="25"/>
  <c r="AJ13" i="25"/>
  <c r="AK45" i="25"/>
  <c r="AJ45" i="25"/>
  <c r="AK13" i="26"/>
  <c r="AJ13" i="26"/>
  <c r="AK45" i="26"/>
  <c r="BI45" i="26" s="1"/>
  <c r="AJ45" i="26"/>
  <c r="BI41" i="26"/>
  <c r="AA14" i="25"/>
  <c r="AB14" i="25"/>
  <c r="AA14" i="26"/>
  <c r="AB14" i="26"/>
  <c r="AA33" i="25"/>
  <c r="AB33" i="25"/>
  <c r="AA12" i="26"/>
  <c r="AB12" i="26"/>
  <c r="R13" i="25"/>
  <c r="S13" i="25"/>
  <c r="S14" i="25"/>
  <c r="R14" i="25"/>
  <c r="R15" i="25"/>
  <c r="S15" i="25"/>
  <c r="R44" i="25"/>
  <c r="S44" i="25"/>
  <c r="S12" i="26"/>
  <c r="R12" i="26"/>
  <c r="AB46" i="25"/>
  <c r="AK12" i="26"/>
  <c r="AJ12" i="26"/>
  <c r="AK44" i="26"/>
  <c r="BI44" i="26" s="1"/>
  <c r="AJ44" i="26"/>
  <c r="AJ38" i="25"/>
  <c r="AK38" i="25"/>
  <c r="AK11" i="25"/>
  <c r="AJ11" i="25"/>
  <c r="AA13" i="26"/>
  <c r="AB13" i="26"/>
  <c r="AB18" i="26"/>
  <c r="AA18" i="26"/>
  <c r="BH18" i="26" s="1"/>
  <c r="AA12" i="25"/>
  <c r="AB12" i="25"/>
  <c r="AB44" i="25"/>
  <c r="AA44" i="25"/>
  <c r="AA23" i="26"/>
  <c r="AB23" i="26"/>
  <c r="R12" i="25"/>
  <c r="S12" i="25"/>
  <c r="R11" i="26"/>
  <c r="S11" i="26"/>
  <c r="R10" i="26"/>
  <c r="S10" i="26"/>
  <c r="AA45" i="25"/>
  <c r="AJ12" i="25"/>
  <c r="AK12" i="25"/>
  <c r="AJ44" i="25"/>
  <c r="AK44" i="25"/>
  <c r="AK21" i="25"/>
  <c r="AJ21" i="25"/>
  <c r="AJ10" i="25"/>
  <c r="AK10" i="25"/>
  <c r="AJ42" i="25"/>
  <c r="AK42" i="25"/>
  <c r="AJ37" i="26"/>
  <c r="BH37" i="26" s="1"/>
  <c r="AK37" i="26"/>
  <c r="AK15" i="25"/>
  <c r="AJ15" i="25"/>
  <c r="AJ10" i="26"/>
  <c r="AK10" i="26"/>
  <c r="AB38" i="25"/>
  <c r="AA38" i="25"/>
  <c r="AB11" i="25"/>
  <c r="AA11" i="25"/>
  <c r="AA43" i="25"/>
  <c r="BH43" i="25" s="1"/>
  <c r="AB43" i="25"/>
  <c r="AA16" i="25"/>
  <c r="AB16" i="25"/>
  <c r="AA11" i="26"/>
  <c r="AB11" i="26"/>
  <c r="AA43" i="26"/>
  <c r="AB43" i="26"/>
  <c r="AB41" i="25"/>
  <c r="AA41" i="25"/>
  <c r="R37" i="25"/>
  <c r="S37" i="25"/>
  <c r="R15" i="26"/>
  <c r="S15" i="26"/>
  <c r="R41" i="25"/>
  <c r="S41" i="25"/>
  <c r="S20" i="26"/>
  <c r="R20" i="26"/>
  <c r="S46" i="25"/>
  <c r="R46" i="25"/>
  <c r="S14" i="26"/>
  <c r="R14" i="26"/>
  <c r="R46" i="26"/>
  <c r="S46" i="26"/>
  <c r="AK11" i="26"/>
  <c r="AJ11" i="26"/>
  <c r="AJ14" i="25"/>
  <c r="AK14" i="25"/>
  <c r="AJ46" i="25"/>
  <c r="AK46" i="25"/>
  <c r="AK14" i="26"/>
  <c r="AJ14" i="26"/>
  <c r="AJ46" i="26"/>
  <c r="AK46" i="26"/>
  <c r="BH34" i="25"/>
  <c r="BI26" i="25"/>
  <c r="BH19" i="26"/>
  <c r="BH27" i="26"/>
  <c r="Y17" i="26" a="1"/>
  <c r="Y17" i="26" s="1"/>
  <c r="AZ17" i="26" a="1"/>
  <c r="AZ17" i="26" s="1"/>
  <c r="P17" i="26" a="1"/>
  <c r="P17" i="26" s="1"/>
  <c r="AQ17" i="26" a="1"/>
  <c r="AQ17" i="26" s="1"/>
  <c r="I17" i="26"/>
  <c r="AH17" i="26" a="1"/>
  <c r="AH17" i="26" s="1"/>
  <c r="J18" i="26"/>
  <c r="BI42" i="26"/>
  <c r="BI22" i="26"/>
  <c r="BI30" i="26"/>
  <c r="BH29" i="25"/>
  <c r="AZ18" i="25" a="1"/>
  <c r="AZ18" i="25" s="1"/>
  <c r="P18" i="25" a="1"/>
  <c r="P18" i="25" s="1"/>
  <c r="J19" i="25"/>
  <c r="AH18" i="25" a="1"/>
  <c r="AH18" i="25" s="1"/>
  <c r="I18" i="25"/>
  <c r="Y18" i="25" a="1"/>
  <c r="Y18" i="25" s="1"/>
  <c r="AQ18" i="25" a="1"/>
  <c r="AQ18" i="25" s="1"/>
  <c r="BH33" i="25" l="1"/>
  <c r="E36" i="24"/>
  <c r="E35" i="24" s="1"/>
  <c r="BH34" i="26"/>
  <c r="BH24" i="25"/>
  <c r="BI37" i="25"/>
  <c r="BI16" i="25"/>
  <c r="BI37" i="26"/>
  <c r="N36" i="24"/>
  <c r="N35" i="24" s="1"/>
  <c r="N34" i="24" s="1"/>
  <c r="N33" i="24" s="1"/>
  <c r="N32" i="24" s="1"/>
  <c r="N31" i="24" s="1"/>
  <c r="N30" i="24" s="1"/>
  <c r="N29" i="24" s="1"/>
  <c r="N28" i="24" s="1"/>
  <c r="N27" i="24" s="1"/>
  <c r="N26" i="24" s="1"/>
  <c r="N25" i="24" s="1"/>
  <c r="N24" i="24" s="1"/>
  <c r="N23" i="24" s="1"/>
  <c r="N22" i="24" s="1"/>
  <c r="N21" i="24" s="1"/>
  <c r="N20" i="24" s="1"/>
  <c r="N19" i="24" s="1"/>
  <c r="N18" i="24" s="1"/>
  <c r="N17" i="24" s="1"/>
  <c r="N16" i="24" s="1"/>
  <c r="N15" i="24" s="1"/>
  <c r="N14" i="24" s="1"/>
  <c r="N13" i="24" s="1"/>
  <c r="N12" i="24" s="1"/>
  <c r="N11" i="24" s="1"/>
  <c r="N10" i="24" s="1"/>
  <c r="N9" i="24" s="1"/>
  <c r="N8" i="24" s="1"/>
  <c r="BH23" i="25"/>
  <c r="K36" i="24"/>
  <c r="K35" i="24" s="1"/>
  <c r="K34" i="24" s="1"/>
  <c r="K33" i="24" s="1"/>
  <c r="K32" i="24" s="1"/>
  <c r="K31" i="24" s="1"/>
  <c r="K30" i="24" s="1"/>
  <c r="K29" i="24" s="1"/>
  <c r="K28" i="24" s="1"/>
  <c r="K27" i="24" s="1"/>
  <c r="K26" i="24" s="1"/>
  <c r="K25" i="24" s="1"/>
  <c r="K24" i="24" s="1"/>
  <c r="K23" i="24" s="1"/>
  <c r="K22" i="24" s="1"/>
  <c r="K21" i="24" s="1"/>
  <c r="K20" i="24" s="1"/>
  <c r="K19" i="24" s="1"/>
  <c r="K18" i="24" s="1"/>
  <c r="K17" i="24" s="1"/>
  <c r="K16" i="24" s="1"/>
  <c r="K15" i="24" s="1"/>
  <c r="K14" i="24" s="1"/>
  <c r="K13" i="24" s="1"/>
  <c r="K12" i="24" s="1"/>
  <c r="K11" i="24" s="1"/>
  <c r="K10" i="24" s="1"/>
  <c r="K9" i="24" s="1"/>
  <c r="K8" i="24" s="1"/>
  <c r="BH18" i="25"/>
  <c r="BI19" i="25"/>
  <c r="C37" i="24"/>
  <c r="BH32" i="26"/>
  <c r="BI20" i="26"/>
  <c r="BH31" i="25"/>
  <c r="BH20" i="26"/>
  <c r="BI33" i="25"/>
  <c r="Y37" i="24"/>
  <c r="Y36" i="24" s="1"/>
  <c r="Y35" i="24" s="1"/>
  <c r="Y34" i="24" s="1"/>
  <c r="Y33" i="24" s="1"/>
  <c r="Y32" i="24" s="1"/>
  <c r="Y31" i="24" s="1"/>
  <c r="Y30" i="24" s="1"/>
  <c r="Y29" i="24" s="1"/>
  <c r="Y28" i="24" s="1"/>
  <c r="Y27" i="24" s="1"/>
  <c r="Y26" i="24" s="1"/>
  <c r="Y25" i="24" s="1"/>
  <c r="Y24" i="24" s="1"/>
  <c r="Y23" i="24" s="1"/>
  <c r="Y22" i="24" s="1"/>
  <c r="Y21" i="24" s="1"/>
  <c r="Y20" i="24" s="1"/>
  <c r="Y19" i="24" s="1"/>
  <c r="Y18" i="24" s="1"/>
  <c r="Y17" i="24" s="1"/>
  <c r="Y16" i="24" s="1"/>
  <c r="Y15" i="24" s="1"/>
  <c r="Y14" i="24" s="1"/>
  <c r="Y13" i="24" s="1"/>
  <c r="Y12" i="24" s="1"/>
  <c r="Y11" i="24" s="1"/>
  <c r="Y10" i="24" s="1"/>
  <c r="Y9" i="24" s="1"/>
  <c r="Y8" i="24" s="1"/>
  <c r="B37" i="24"/>
  <c r="H36" i="24"/>
  <c r="H35" i="24" s="1"/>
  <c r="H34" i="24" s="1"/>
  <c r="H33" i="24" s="1"/>
  <c r="H32" i="24" s="1"/>
  <c r="H31" i="24" s="1"/>
  <c r="H30" i="24" s="1"/>
  <c r="H29" i="24" s="1"/>
  <c r="H28" i="24" s="1"/>
  <c r="H27" i="24" s="1"/>
  <c r="H26" i="24" s="1"/>
  <c r="H25" i="24" s="1"/>
  <c r="H24" i="24" s="1"/>
  <c r="H23" i="24" s="1"/>
  <c r="H22" i="24" s="1"/>
  <c r="H21" i="24" s="1"/>
  <c r="H20" i="24" s="1"/>
  <c r="H19" i="24" s="1"/>
  <c r="H18" i="24" s="1"/>
  <c r="H17" i="24" s="1"/>
  <c r="H16" i="24" s="1"/>
  <c r="H15" i="24" s="1"/>
  <c r="H14" i="24" s="1"/>
  <c r="H13" i="24" s="1"/>
  <c r="H12" i="24" s="1"/>
  <c r="H11" i="24" s="1"/>
  <c r="H10" i="24" s="1"/>
  <c r="H9" i="24" s="1"/>
  <c r="H8" i="24" s="1"/>
  <c r="BI36" i="25"/>
  <c r="BH21" i="25"/>
  <c r="BH27" i="25"/>
  <c r="BI39" i="26"/>
  <c r="BH42" i="26"/>
  <c r="BH28" i="26"/>
  <c r="BH26" i="25"/>
  <c r="B143" i="1"/>
  <c r="E142" i="1"/>
  <c r="D142" i="1"/>
  <c r="BI17" i="25"/>
  <c r="BI17" i="26"/>
  <c r="BH16" i="26"/>
  <c r="BI32" i="25"/>
  <c r="BH33" i="26"/>
  <c r="BI25" i="25"/>
  <c r="BI35" i="25"/>
  <c r="BH39" i="25"/>
  <c r="BH30" i="26"/>
  <c r="BH37" i="25"/>
  <c r="BH45" i="26"/>
  <c r="BI29" i="26"/>
  <c r="BI38" i="26"/>
  <c r="BI19" i="26"/>
  <c r="BH41" i="26"/>
  <c r="BI22" i="25"/>
  <c r="BI29" i="25"/>
  <c r="BI21" i="25"/>
  <c r="BI27" i="26"/>
  <c r="BI43" i="26"/>
  <c r="BH23" i="26"/>
  <c r="BH16" i="25"/>
  <c r="BH36" i="25"/>
  <c r="BH35" i="26"/>
  <c r="BH28" i="25"/>
  <c r="BH22" i="26"/>
  <c r="BI18" i="26"/>
  <c r="BH44" i="26"/>
  <c r="BH40" i="26"/>
  <c r="BI21" i="26"/>
  <c r="BH26" i="26"/>
  <c r="BI40" i="25"/>
  <c r="BI33" i="31"/>
  <c r="BI29" i="31"/>
  <c r="BI27" i="31"/>
  <c r="BI25" i="31"/>
  <c r="BI23" i="31"/>
  <c r="BI21" i="31"/>
  <c r="BH17" i="31"/>
  <c r="BH15" i="31"/>
  <c r="BH13" i="31"/>
  <c r="BI11" i="31"/>
  <c r="BH39" i="31"/>
  <c r="BH37" i="31"/>
  <c r="BH35" i="31"/>
  <c r="BH31" i="31"/>
  <c r="BI19" i="31"/>
  <c r="BI23" i="26"/>
  <c r="BH43" i="26"/>
  <c r="BH46" i="31"/>
  <c r="BH44" i="31"/>
  <c r="BI42" i="31"/>
  <c r="BI18" i="31"/>
  <c r="BI16" i="31"/>
  <c r="BH10" i="31"/>
  <c r="BI46" i="31"/>
  <c r="BI44" i="31"/>
  <c r="BH42" i="31"/>
  <c r="BI40" i="31"/>
  <c r="BI38" i="31"/>
  <c r="BH36" i="31"/>
  <c r="BH34" i="31"/>
  <c r="BH32" i="31"/>
  <c r="BH30" i="31"/>
  <c r="BH28" i="31"/>
  <c r="BI26" i="31"/>
  <c r="BH24" i="31"/>
  <c r="BH22" i="31"/>
  <c r="BI20" i="31"/>
  <c r="BH18" i="31"/>
  <c r="BH16" i="31"/>
  <c r="BI14" i="31"/>
  <c r="BI12" i="31"/>
  <c r="BI10" i="31"/>
  <c r="BI31" i="26"/>
  <c r="BI45" i="31"/>
  <c r="BI43" i="31"/>
  <c r="BH41" i="31"/>
  <c r="BI39" i="31"/>
  <c r="BI37" i="31"/>
  <c r="BI35" i="31"/>
  <c r="BI31" i="31"/>
  <c r="BH19" i="31"/>
  <c r="BH45" i="31"/>
  <c r="BH43" i="31"/>
  <c r="BI41" i="31"/>
  <c r="BH33" i="31"/>
  <c r="BH29" i="31"/>
  <c r="BH27" i="31"/>
  <c r="BH25" i="31"/>
  <c r="BH23" i="31"/>
  <c r="BH21" i="31"/>
  <c r="BI17" i="31"/>
  <c r="BI15" i="31"/>
  <c r="BI13" i="31"/>
  <c r="BH11" i="31"/>
  <c r="BH40" i="31"/>
  <c r="BH38" i="31"/>
  <c r="BI36" i="31"/>
  <c r="BI34" i="31"/>
  <c r="BI32" i="31"/>
  <c r="BI30" i="31"/>
  <c r="BI28" i="31"/>
  <c r="BH26" i="31"/>
  <c r="BI24" i="31"/>
  <c r="BI22" i="31"/>
  <c r="BH20" i="31"/>
  <c r="BH14" i="31"/>
  <c r="BH12" i="31"/>
  <c r="BH44" i="25"/>
  <c r="AQ21" i="31" a="1"/>
  <c r="AQ21" i="31" s="1"/>
  <c r="J22" i="31"/>
  <c r="AH21" i="31" a="1"/>
  <c r="AH21" i="31" s="1"/>
  <c r="I21" i="31"/>
  <c r="Y21" i="31" a="1"/>
  <c r="Y21" i="31" s="1"/>
  <c r="AZ21" i="31" a="1"/>
  <c r="AZ21" i="31" s="1"/>
  <c r="P21" i="31" a="1"/>
  <c r="P21" i="31" s="1"/>
  <c r="BI12" i="26"/>
  <c r="BH13" i="25"/>
  <c r="BI43" i="25"/>
  <c r="BH38" i="25"/>
  <c r="BI15" i="26"/>
  <c r="BH15" i="26"/>
  <c r="BI41" i="25"/>
  <c r="BH46" i="26"/>
  <c r="BH15" i="25"/>
  <c r="BI45" i="25"/>
  <c r="BH14" i="26"/>
  <c r="BI10" i="26"/>
  <c r="BH13" i="26"/>
  <c r="BH46" i="25"/>
  <c r="BI46" i="26"/>
  <c r="BI46" i="25"/>
  <c r="BH41" i="25"/>
  <c r="BH10" i="26"/>
  <c r="BH12" i="25"/>
  <c r="BH12" i="26"/>
  <c r="BI15" i="25"/>
  <c r="BI13" i="25"/>
  <c r="BI13" i="26"/>
  <c r="BI11" i="25"/>
  <c r="BI11" i="26"/>
  <c r="BH11" i="25"/>
  <c r="BI14" i="26"/>
  <c r="BI38" i="25"/>
  <c r="BH11" i="26"/>
  <c r="BI44" i="25"/>
  <c r="BH14" i="25"/>
  <c r="BH45" i="25"/>
  <c r="BH10" i="25"/>
  <c r="BH42" i="25"/>
  <c r="BI12" i="25"/>
  <c r="BI14" i="25"/>
  <c r="BI10" i="25"/>
  <c r="BI42" i="25"/>
  <c r="J19" i="26"/>
  <c r="AH18" i="26" a="1"/>
  <c r="AH18" i="26" s="1"/>
  <c r="I18" i="26"/>
  <c r="Y18" i="26" a="1"/>
  <c r="Y18" i="26" s="1"/>
  <c r="AZ18" i="26" a="1"/>
  <c r="AZ18" i="26" s="1"/>
  <c r="P18" i="26" a="1"/>
  <c r="P18" i="26" s="1"/>
  <c r="AQ18" i="26" a="1"/>
  <c r="AQ18" i="26" s="1"/>
  <c r="Y19" i="25" a="1"/>
  <c r="Y19" i="25" s="1"/>
  <c r="AQ19" i="25" a="1"/>
  <c r="AQ19" i="25" s="1"/>
  <c r="AZ19" i="25" a="1"/>
  <c r="AZ19" i="25" s="1"/>
  <c r="P19" i="25" a="1"/>
  <c r="P19" i="25" s="1"/>
  <c r="I19" i="25"/>
  <c r="J20" i="25"/>
  <c r="AH19" i="25" a="1"/>
  <c r="AH19" i="25" s="1"/>
  <c r="B36" i="24" l="1"/>
  <c r="S37" i="24"/>
  <c r="C36" i="24"/>
  <c r="T37" i="24"/>
  <c r="B144" i="1"/>
  <c r="E143" i="1"/>
  <c r="D143" i="1"/>
  <c r="E34" i="24"/>
  <c r="B35" i="24"/>
  <c r="C35" i="24"/>
  <c r="S36" i="24"/>
  <c r="T36" i="24"/>
  <c r="AZ22" i="31" a="1"/>
  <c r="AZ22" i="31" s="1"/>
  <c r="P22" i="31" a="1"/>
  <c r="P22" i="31" s="1"/>
  <c r="AQ22" i="31" a="1"/>
  <c r="AQ22" i="31" s="1"/>
  <c r="J23" i="31"/>
  <c r="AH22" i="31" a="1"/>
  <c r="AH22" i="31" s="1"/>
  <c r="I22" i="31"/>
  <c r="Y22" i="31" a="1"/>
  <c r="Y22" i="31" s="1"/>
  <c r="AQ19" i="26" a="1"/>
  <c r="AQ19" i="26" s="1"/>
  <c r="J20" i="26"/>
  <c r="AH19" i="26" a="1"/>
  <c r="AH19" i="26" s="1"/>
  <c r="I19" i="26"/>
  <c r="Y19" i="26" a="1"/>
  <c r="Y19" i="26" s="1"/>
  <c r="AZ19" i="26" a="1"/>
  <c r="AZ19" i="26" s="1"/>
  <c r="P19" i="26" a="1"/>
  <c r="P19" i="26" s="1"/>
  <c r="J21" i="25"/>
  <c r="AH20" i="25" a="1"/>
  <c r="AH20" i="25" s="1"/>
  <c r="I20" i="25"/>
  <c r="AZ20" i="25" a="1"/>
  <c r="AZ20" i="25" s="1"/>
  <c r="P20" i="25" a="1"/>
  <c r="P20" i="25" s="1"/>
  <c r="AQ20" i="25" a="1"/>
  <c r="AQ20" i="25" s="1"/>
  <c r="Y20" i="25" a="1"/>
  <c r="Y20" i="25" s="1"/>
  <c r="B145" i="1" l="1"/>
  <c r="E144" i="1"/>
  <c r="D144" i="1"/>
  <c r="S35" i="24"/>
  <c r="T35" i="24"/>
  <c r="E33" i="24"/>
  <c r="B34" i="24"/>
  <c r="C34" i="24"/>
  <c r="Y23" i="31" a="1"/>
  <c r="Y23" i="31" s="1"/>
  <c r="AZ23" i="31" a="1"/>
  <c r="AZ23" i="31" s="1"/>
  <c r="P23" i="31" a="1"/>
  <c r="P23" i="31" s="1"/>
  <c r="AQ23" i="31" a="1"/>
  <c r="AQ23" i="31" s="1"/>
  <c r="AH23" i="31" a="1"/>
  <c r="AH23" i="31" s="1"/>
  <c r="J24" i="31"/>
  <c r="I23" i="31"/>
  <c r="AZ20" i="26" a="1"/>
  <c r="AZ20" i="26" s="1"/>
  <c r="P20" i="26" a="1"/>
  <c r="P20" i="26" s="1"/>
  <c r="AQ20" i="26" a="1"/>
  <c r="AQ20" i="26" s="1"/>
  <c r="J21" i="26"/>
  <c r="AH20" i="26" a="1"/>
  <c r="AH20" i="26" s="1"/>
  <c r="I20" i="26"/>
  <c r="Y20" i="26" a="1"/>
  <c r="Y20" i="26" s="1"/>
  <c r="AQ21" i="25" a="1"/>
  <c r="AQ21" i="25" s="1"/>
  <c r="J22" i="25"/>
  <c r="Y21" i="25" a="1"/>
  <c r="Y21" i="25" s="1"/>
  <c r="AZ21" i="25" a="1"/>
  <c r="AZ21" i="25" s="1"/>
  <c r="I21" i="25"/>
  <c r="AH21" i="25" a="1"/>
  <c r="AH21" i="25" s="1"/>
  <c r="P21" i="25" a="1"/>
  <c r="P21" i="25" s="1"/>
  <c r="B146" i="1" l="1"/>
  <c r="E145" i="1"/>
  <c r="D145" i="1"/>
  <c r="E32" i="24"/>
  <c r="B33" i="24"/>
  <c r="C33" i="24"/>
  <c r="S34" i="24"/>
  <c r="T34" i="24"/>
  <c r="J25" i="31"/>
  <c r="AH24" i="31" a="1"/>
  <c r="AH24" i="31" s="1"/>
  <c r="I24" i="31"/>
  <c r="Y24" i="31" a="1"/>
  <c r="Y24" i="31" s="1"/>
  <c r="AZ24" i="31" a="1"/>
  <c r="AZ24" i="31" s="1"/>
  <c r="P24" i="31" a="1"/>
  <c r="P24" i="31" s="1"/>
  <c r="AQ24" i="31" a="1"/>
  <c r="AQ24" i="31" s="1"/>
  <c r="Y21" i="26" a="1"/>
  <c r="Y21" i="26" s="1"/>
  <c r="AZ21" i="26" a="1"/>
  <c r="AZ21" i="26" s="1"/>
  <c r="P21" i="26" a="1"/>
  <c r="P21" i="26" s="1"/>
  <c r="AQ21" i="26" a="1"/>
  <c r="AQ21" i="26" s="1"/>
  <c r="AH21" i="26" a="1"/>
  <c r="AH21" i="26" s="1"/>
  <c r="J22" i="26"/>
  <c r="I21" i="26"/>
  <c r="AZ22" i="25" a="1"/>
  <c r="AZ22" i="25" s="1"/>
  <c r="P22" i="25" a="1"/>
  <c r="P22" i="25" s="1"/>
  <c r="AQ22" i="25" a="1"/>
  <c r="AQ22" i="25" s="1"/>
  <c r="J23" i="25"/>
  <c r="AH22" i="25" a="1"/>
  <c r="AH22" i="25" s="1"/>
  <c r="I22" i="25"/>
  <c r="Y22" i="25" a="1"/>
  <c r="Y22" i="25" s="1"/>
  <c r="B147" i="1" l="1"/>
  <c r="E146" i="1"/>
  <c r="D146" i="1"/>
  <c r="S33" i="24"/>
  <c r="T33" i="24"/>
  <c r="E31" i="24"/>
  <c r="B32" i="24"/>
  <c r="C32" i="24"/>
  <c r="Y25" i="31" a="1"/>
  <c r="Y25" i="31" s="1"/>
  <c r="AQ25" i="31" a="1"/>
  <c r="AQ25" i="31" s="1"/>
  <c r="AZ25" i="31" a="1"/>
  <c r="AZ25" i="31" s="1"/>
  <c r="I25" i="31"/>
  <c r="P25" i="31" a="1"/>
  <c r="P25" i="31" s="1"/>
  <c r="J26" i="31"/>
  <c r="AH25" i="31" a="1"/>
  <c r="AH25" i="31" s="1"/>
  <c r="J23" i="26"/>
  <c r="AH22" i="26" a="1"/>
  <c r="AH22" i="26" s="1"/>
  <c r="I22" i="26"/>
  <c r="Y22" i="26" a="1"/>
  <c r="Y22" i="26" s="1"/>
  <c r="AZ22" i="26" a="1"/>
  <c r="AZ22" i="26" s="1"/>
  <c r="P22" i="26" a="1"/>
  <c r="P22" i="26" s="1"/>
  <c r="AQ22" i="26" a="1"/>
  <c r="AQ22" i="26" s="1"/>
  <c r="Y23" i="25" a="1"/>
  <c r="Y23" i="25" s="1"/>
  <c r="AZ23" i="25" a="1"/>
  <c r="AZ23" i="25" s="1"/>
  <c r="P23" i="25" a="1"/>
  <c r="P23" i="25" s="1"/>
  <c r="AQ23" i="25" a="1"/>
  <c r="AQ23" i="25" s="1"/>
  <c r="I23" i="25"/>
  <c r="J24" i="25"/>
  <c r="AH23" i="25" a="1"/>
  <c r="AH23" i="25" s="1"/>
  <c r="B148" i="1" l="1"/>
  <c r="E147" i="1"/>
  <c r="D147" i="1"/>
  <c r="E30" i="24"/>
  <c r="B31" i="24"/>
  <c r="C31" i="24"/>
  <c r="S32" i="24"/>
  <c r="T32" i="24"/>
  <c r="J27" i="31"/>
  <c r="AH26" i="31" a="1"/>
  <c r="AH26" i="31" s="1"/>
  <c r="I26" i="31"/>
  <c r="Y26" i="31" a="1"/>
  <c r="Y26" i="31" s="1"/>
  <c r="AZ26" i="31" a="1"/>
  <c r="AZ26" i="31" s="1"/>
  <c r="P26" i="31" a="1"/>
  <c r="P26" i="31" s="1"/>
  <c r="AQ26" i="31" a="1"/>
  <c r="AQ26" i="31" s="1"/>
  <c r="AQ23" i="26" a="1"/>
  <c r="AQ23" i="26" s="1"/>
  <c r="J24" i="26"/>
  <c r="AH23" i="26" a="1"/>
  <c r="AH23" i="26" s="1"/>
  <c r="I23" i="26"/>
  <c r="Y23" i="26" a="1"/>
  <c r="Y23" i="26" s="1"/>
  <c r="AZ23" i="26" a="1"/>
  <c r="AZ23" i="26" s="1"/>
  <c r="P23" i="26" a="1"/>
  <c r="P23" i="26" s="1"/>
  <c r="J25" i="25"/>
  <c r="AH24" i="25" a="1"/>
  <c r="AH24" i="25" s="1"/>
  <c r="I24" i="25"/>
  <c r="Y24" i="25" a="1"/>
  <c r="Y24" i="25" s="1"/>
  <c r="AZ24" i="25" a="1"/>
  <c r="AZ24" i="25" s="1"/>
  <c r="P24" i="25" a="1"/>
  <c r="P24" i="25" s="1"/>
  <c r="AQ24" i="25" a="1"/>
  <c r="AQ24" i="25" s="1"/>
  <c r="B149" i="1" l="1"/>
  <c r="E148" i="1"/>
  <c r="D148" i="1"/>
  <c r="S31" i="24"/>
  <c r="T31" i="24"/>
  <c r="E29" i="24"/>
  <c r="B30" i="24"/>
  <c r="C30" i="24"/>
  <c r="AQ27" i="31" a="1"/>
  <c r="AQ27" i="31" s="1"/>
  <c r="J28" i="31"/>
  <c r="AH27" i="31" a="1"/>
  <c r="AH27" i="31" s="1"/>
  <c r="I27" i="31"/>
  <c r="Y27" i="31" a="1"/>
  <c r="Y27" i="31" s="1"/>
  <c r="AZ27" i="31" a="1"/>
  <c r="AZ27" i="31" s="1"/>
  <c r="P27" i="31" a="1"/>
  <c r="P27" i="31" s="1"/>
  <c r="AZ24" i="26" a="1"/>
  <c r="AZ24" i="26" s="1"/>
  <c r="P24" i="26" a="1"/>
  <c r="P24" i="26" s="1"/>
  <c r="AQ24" i="26" a="1"/>
  <c r="AQ24" i="26" s="1"/>
  <c r="J25" i="26"/>
  <c r="AH24" i="26" a="1"/>
  <c r="AH24" i="26" s="1"/>
  <c r="I24" i="26"/>
  <c r="Y24" i="26" a="1"/>
  <c r="Y24" i="26" s="1"/>
  <c r="AQ25" i="25" a="1"/>
  <c r="AQ25" i="25" s="1"/>
  <c r="J26" i="25"/>
  <c r="AH25" i="25" a="1"/>
  <c r="AH25" i="25" s="1"/>
  <c r="I25" i="25"/>
  <c r="Y25" i="25" a="1"/>
  <c r="Y25" i="25" s="1"/>
  <c r="AZ25" i="25" a="1"/>
  <c r="AZ25" i="25" s="1"/>
  <c r="P25" i="25" a="1"/>
  <c r="P25" i="25" s="1"/>
  <c r="B150" i="1" l="1"/>
  <c r="E149" i="1"/>
  <c r="D149" i="1"/>
  <c r="E28" i="24"/>
  <c r="B29" i="24"/>
  <c r="C29" i="24"/>
  <c r="S30" i="24"/>
  <c r="T30" i="24"/>
  <c r="AZ28" i="31" a="1"/>
  <c r="AZ28" i="31" s="1"/>
  <c r="P28" i="31" a="1"/>
  <c r="P28" i="31" s="1"/>
  <c r="AQ28" i="31" a="1"/>
  <c r="AQ28" i="31" s="1"/>
  <c r="J29" i="31"/>
  <c r="AH28" i="31" a="1"/>
  <c r="AH28" i="31" s="1"/>
  <c r="I28" i="31"/>
  <c r="Y28" i="31" a="1"/>
  <c r="Y28" i="31" s="1"/>
  <c r="AZ25" i="26" a="1"/>
  <c r="AZ25" i="26" s="1"/>
  <c r="AQ25" i="26" a="1"/>
  <c r="AQ25" i="26" s="1"/>
  <c r="J26" i="26"/>
  <c r="Y25" i="26" a="1"/>
  <c r="Y25" i="26" s="1"/>
  <c r="P25" i="26" a="1"/>
  <c r="P25" i="26" s="1"/>
  <c r="I25" i="26"/>
  <c r="AH25" i="26" a="1"/>
  <c r="AH25" i="26" s="1"/>
  <c r="P26" i="25" a="1"/>
  <c r="P26" i="25" s="1"/>
  <c r="AQ26" i="25" a="1"/>
  <c r="AQ26" i="25" s="1"/>
  <c r="AZ26" i="25" a="1"/>
  <c r="AZ26" i="25" s="1"/>
  <c r="AH26" i="25" a="1"/>
  <c r="AH26" i="25" s="1"/>
  <c r="I26" i="25"/>
  <c r="J27" i="25"/>
  <c r="Y26" i="25" a="1"/>
  <c r="Y26" i="25" s="1"/>
  <c r="B151" i="1" l="1"/>
  <c r="E150" i="1"/>
  <c r="D150" i="1"/>
  <c r="S29" i="24"/>
  <c r="T29" i="24"/>
  <c r="E27" i="24"/>
  <c r="B28" i="24"/>
  <c r="C28" i="24"/>
  <c r="AQ29" i="31" a="1"/>
  <c r="AQ29" i="31" s="1"/>
  <c r="J30" i="31"/>
  <c r="AH29" i="31" a="1"/>
  <c r="AH29" i="31" s="1"/>
  <c r="AZ29" i="31" a="1"/>
  <c r="AZ29" i="31" s="1"/>
  <c r="Y29" i="31" a="1"/>
  <c r="Y29" i="31" s="1"/>
  <c r="P29" i="31" a="1"/>
  <c r="P29" i="31" s="1"/>
  <c r="I29" i="31"/>
  <c r="Y26" i="26" a="1"/>
  <c r="Y26" i="26" s="1"/>
  <c r="AZ26" i="26" a="1"/>
  <c r="AZ26" i="26" s="1"/>
  <c r="P26" i="26" a="1"/>
  <c r="P26" i="26" s="1"/>
  <c r="AQ26" i="26" a="1"/>
  <c r="AQ26" i="26" s="1"/>
  <c r="I26" i="26"/>
  <c r="J27" i="26"/>
  <c r="AH26" i="26" a="1"/>
  <c r="AH26" i="26" s="1"/>
  <c r="AZ27" i="25" a="1"/>
  <c r="AZ27" i="25" s="1"/>
  <c r="P27" i="25" a="1"/>
  <c r="P27" i="25" s="1"/>
  <c r="AH27" i="25" a="1"/>
  <c r="AH27" i="25" s="1"/>
  <c r="I27" i="25"/>
  <c r="J28" i="25"/>
  <c r="AQ27" i="25" a="1"/>
  <c r="AQ27" i="25" s="1"/>
  <c r="Y27" i="25" a="1"/>
  <c r="Y27" i="25" s="1"/>
  <c r="B152" i="1" l="1"/>
  <c r="E151" i="1"/>
  <c r="D151" i="1"/>
  <c r="E26" i="24"/>
  <c r="B27" i="24"/>
  <c r="C27" i="24"/>
  <c r="S28" i="24"/>
  <c r="T28" i="24"/>
  <c r="AZ30" i="31" a="1"/>
  <c r="AZ30" i="31" s="1"/>
  <c r="P30" i="31" a="1"/>
  <c r="P30" i="31" s="1"/>
  <c r="AQ30" i="31" a="1"/>
  <c r="AQ30" i="31" s="1"/>
  <c r="J31" i="31"/>
  <c r="AH30" i="31" a="1"/>
  <c r="AH30" i="31" s="1"/>
  <c r="I30" i="31"/>
  <c r="Y30" i="31" a="1"/>
  <c r="Y30" i="31" s="1"/>
  <c r="J28" i="26"/>
  <c r="AH27" i="26" a="1"/>
  <c r="AH27" i="26" s="1"/>
  <c r="I27" i="26"/>
  <c r="Y27" i="26" a="1"/>
  <c r="Y27" i="26" s="1"/>
  <c r="AZ27" i="26" a="1"/>
  <c r="AZ27" i="26" s="1"/>
  <c r="P27" i="26" a="1"/>
  <c r="P27" i="26" s="1"/>
  <c r="AQ27" i="26" a="1"/>
  <c r="AQ27" i="26" s="1"/>
  <c r="J29" i="25"/>
  <c r="AH28" i="25" a="1"/>
  <c r="AH28" i="25" s="1"/>
  <c r="Y28" i="25" a="1"/>
  <c r="Y28" i="25" s="1"/>
  <c r="AZ28" i="25" a="1"/>
  <c r="AZ28" i="25" s="1"/>
  <c r="P28" i="25" a="1"/>
  <c r="P28" i="25" s="1"/>
  <c r="AQ28" i="25" a="1"/>
  <c r="AQ28" i="25" s="1"/>
  <c r="I28" i="25"/>
  <c r="B153" i="1" l="1"/>
  <c r="E152" i="1"/>
  <c r="D152" i="1"/>
  <c r="S27" i="24"/>
  <c r="T27" i="24"/>
  <c r="E25" i="24"/>
  <c r="B26" i="24"/>
  <c r="C26" i="24"/>
  <c r="Y31" i="31" a="1"/>
  <c r="Y31" i="31" s="1"/>
  <c r="AZ31" i="31" a="1"/>
  <c r="AZ31" i="31" s="1"/>
  <c r="P31" i="31" a="1"/>
  <c r="P31" i="31" s="1"/>
  <c r="AQ31" i="31" a="1"/>
  <c r="AQ31" i="31" s="1"/>
  <c r="AH31" i="31" a="1"/>
  <c r="AH31" i="31" s="1"/>
  <c r="J32" i="31"/>
  <c r="I31" i="31"/>
  <c r="AQ28" i="26" a="1"/>
  <c r="AQ28" i="26" s="1"/>
  <c r="J29" i="26"/>
  <c r="AH28" i="26" a="1"/>
  <c r="AH28" i="26" s="1"/>
  <c r="I28" i="26"/>
  <c r="Y28" i="26" a="1"/>
  <c r="Y28" i="26" s="1"/>
  <c r="AZ28" i="26" a="1"/>
  <c r="AZ28" i="26" s="1"/>
  <c r="P28" i="26" a="1"/>
  <c r="P28" i="26" s="1"/>
  <c r="AQ29" i="25" a="1"/>
  <c r="AQ29" i="25" s="1"/>
  <c r="J30" i="25"/>
  <c r="AH29" i="25" a="1"/>
  <c r="AH29" i="25" s="1"/>
  <c r="I29" i="25"/>
  <c r="Y29" i="25" a="1"/>
  <c r="Y29" i="25" s="1"/>
  <c r="AZ29" i="25" a="1"/>
  <c r="AZ29" i="25" s="1"/>
  <c r="P29" i="25" a="1"/>
  <c r="P29" i="25" s="1"/>
  <c r="B154" i="1" l="1"/>
  <c r="E153" i="1"/>
  <c r="D153" i="1"/>
  <c r="E24" i="24"/>
  <c r="B25" i="24"/>
  <c r="C25" i="24"/>
  <c r="S26" i="24"/>
  <c r="T26" i="24"/>
  <c r="J33" i="31"/>
  <c r="I32" i="31"/>
  <c r="AH32" i="31" s="1" a="1"/>
  <c r="AH32" i="31" s="1"/>
  <c r="AZ29" i="26" a="1"/>
  <c r="AZ29" i="26" s="1"/>
  <c r="AQ29" i="26" a="1"/>
  <c r="AQ29" i="26" s="1"/>
  <c r="Y29" i="26" a="1"/>
  <c r="Y29" i="26" s="1"/>
  <c r="P29" i="26" a="1"/>
  <c r="P29" i="26" s="1"/>
  <c r="AH29" i="26" a="1"/>
  <c r="AH29" i="26" s="1"/>
  <c r="I29" i="26"/>
  <c r="J30" i="26"/>
  <c r="J31" i="25"/>
  <c r="I30" i="25"/>
  <c r="P30" i="25" s="1" a="1"/>
  <c r="P30" i="25" s="1"/>
  <c r="B155" i="1" l="1"/>
  <c r="E154" i="1"/>
  <c r="D154" i="1"/>
  <c r="S25" i="24"/>
  <c r="T25" i="24"/>
  <c r="E23" i="24"/>
  <c r="B24" i="24"/>
  <c r="C24" i="24"/>
  <c r="AQ32" i="31" a="1"/>
  <c r="AQ32" i="31" s="1"/>
  <c r="Y32" i="31" a="1"/>
  <c r="Y32" i="31" s="1"/>
  <c r="AZ32" i="31" a="1"/>
  <c r="AZ32" i="31" s="1"/>
  <c r="J34" i="31"/>
  <c r="I33" i="31"/>
  <c r="AH33" i="31" s="1" a="1"/>
  <c r="AH33" i="31" s="1"/>
  <c r="P32" i="31" a="1"/>
  <c r="P32" i="31" s="1"/>
  <c r="AZ30" i="25" a="1"/>
  <c r="AZ30" i="25" s="1"/>
  <c r="Y30" i="25" a="1"/>
  <c r="Y30" i="25" s="1"/>
  <c r="AQ30" i="25" a="1"/>
  <c r="AQ30" i="25" s="1"/>
  <c r="AH30" i="25" a="1"/>
  <c r="AH30" i="25" s="1"/>
  <c r="Y30" i="26" a="1"/>
  <c r="Y30" i="26" s="1"/>
  <c r="AZ30" i="26" a="1"/>
  <c r="AZ30" i="26" s="1"/>
  <c r="P30" i="26" a="1"/>
  <c r="P30" i="26" s="1"/>
  <c r="AH30" i="26" a="1"/>
  <c r="AH30" i="26" s="1"/>
  <c r="I30" i="26"/>
  <c r="J31" i="26"/>
  <c r="AQ30" i="26" a="1"/>
  <c r="AQ30" i="26" s="1"/>
  <c r="I31" i="25"/>
  <c r="J32" i="25"/>
  <c r="B156" i="1" l="1"/>
  <c r="E155" i="1"/>
  <c r="D155" i="1"/>
  <c r="E22" i="24"/>
  <c r="B23" i="24"/>
  <c r="C23" i="24"/>
  <c r="S24" i="24"/>
  <c r="T24" i="24"/>
  <c r="AZ31" i="25" a="1"/>
  <c r="AZ31" i="25" s="1"/>
  <c r="AZ33" i="31" a="1"/>
  <c r="AZ33" i="31" s="1"/>
  <c r="AQ33" i="31" a="1"/>
  <c r="AQ33" i="31" s="1"/>
  <c r="Y33" i="31" a="1"/>
  <c r="Y33" i="31" s="1"/>
  <c r="J35" i="31"/>
  <c r="I34" i="31"/>
  <c r="Y34" i="31" s="1" a="1"/>
  <c r="Y34" i="31" s="1"/>
  <c r="P33" i="31" a="1"/>
  <c r="P33" i="31" s="1"/>
  <c r="AH31" i="25" a="1"/>
  <c r="AH31" i="25" s="1"/>
  <c r="P31" i="25" a="1"/>
  <c r="P31" i="25" s="1"/>
  <c r="Y31" i="25" a="1"/>
  <c r="Y31" i="25" s="1"/>
  <c r="AQ31" i="25" a="1"/>
  <c r="AQ31" i="25" s="1"/>
  <c r="J32" i="26"/>
  <c r="AH31" i="26" a="1"/>
  <c r="AH31" i="26" s="1"/>
  <c r="I31" i="26"/>
  <c r="Y31" i="26" a="1"/>
  <c r="Y31" i="26" s="1"/>
  <c r="AZ31" i="26" a="1"/>
  <c r="AZ31" i="26" s="1"/>
  <c r="P31" i="26" a="1"/>
  <c r="P31" i="26" s="1"/>
  <c r="AQ31" i="26" a="1"/>
  <c r="AQ31" i="26" s="1"/>
  <c r="J33" i="25"/>
  <c r="I32" i="25"/>
  <c r="AH32" i="25" s="1" a="1"/>
  <c r="AH32" i="25" s="1"/>
  <c r="E156" i="1" l="1"/>
  <c r="B157" i="1"/>
  <c r="D156" i="1"/>
  <c r="S23" i="24"/>
  <c r="T23" i="24"/>
  <c r="E21" i="24"/>
  <c r="B22" i="24"/>
  <c r="C22" i="24"/>
  <c r="P34" i="31" a="1"/>
  <c r="P34" i="31" s="1"/>
  <c r="AH34" i="31" a="1"/>
  <c r="AH34" i="31" s="1"/>
  <c r="AQ34" i="31" a="1"/>
  <c r="AQ34" i="31" s="1"/>
  <c r="AZ34" i="31" a="1"/>
  <c r="AZ34" i="31" s="1"/>
  <c r="J36" i="31"/>
  <c r="I35" i="31"/>
  <c r="AZ35" i="31" s="1" a="1"/>
  <c r="AZ35" i="31" s="1"/>
  <c r="P32" i="25" a="1"/>
  <c r="P32" i="25" s="1"/>
  <c r="AZ32" i="25" a="1"/>
  <c r="AZ32" i="25" s="1"/>
  <c r="AQ32" i="26" a="1"/>
  <c r="AQ32" i="26" s="1"/>
  <c r="J33" i="26"/>
  <c r="AH32" i="26" a="1"/>
  <c r="AH32" i="26" s="1"/>
  <c r="I32" i="26"/>
  <c r="Y32" i="26" a="1"/>
  <c r="Y32" i="26" s="1"/>
  <c r="AZ32" i="26" a="1"/>
  <c r="AZ32" i="26" s="1"/>
  <c r="P32" i="26" a="1"/>
  <c r="P32" i="26" s="1"/>
  <c r="AQ32" i="25" a="1"/>
  <c r="AQ32" i="25" s="1"/>
  <c r="J34" i="25"/>
  <c r="I33" i="25"/>
  <c r="Y32" i="25" a="1"/>
  <c r="Y32" i="25" s="1"/>
  <c r="E157" i="1" l="1"/>
  <c r="D157" i="1"/>
  <c r="B158" i="1"/>
  <c r="E20" i="24"/>
  <c r="C21" i="24"/>
  <c r="B21" i="24"/>
  <c r="S22" i="24"/>
  <c r="T22" i="24"/>
  <c r="P35" i="31" a="1"/>
  <c r="P35" i="31" s="1"/>
  <c r="Y35" i="31" a="1"/>
  <c r="Y35" i="31" s="1"/>
  <c r="AQ35" i="31" a="1"/>
  <c r="AQ35" i="31" s="1"/>
  <c r="AH35" i="31" a="1"/>
  <c r="AH35" i="31" s="1"/>
  <c r="J37" i="31"/>
  <c r="I36" i="31"/>
  <c r="P36" i="31" s="1" a="1"/>
  <c r="P36" i="31" s="1"/>
  <c r="P33" i="25" a="1"/>
  <c r="P33" i="25" s="1"/>
  <c r="J34" i="26"/>
  <c r="I33" i="26"/>
  <c r="AH33" i="26" s="1" a="1"/>
  <c r="AH33" i="26" s="1"/>
  <c r="AZ33" i="25" a="1"/>
  <c r="AZ33" i="25" s="1"/>
  <c r="AQ33" i="25" a="1"/>
  <c r="AQ33" i="25" s="1"/>
  <c r="Y33" i="25" a="1"/>
  <c r="Y33" i="25" s="1"/>
  <c r="AH33" i="25" a="1"/>
  <c r="AH33" i="25" s="1"/>
  <c r="J35" i="25"/>
  <c r="I34" i="25"/>
  <c r="P34" i="25" s="1" a="1"/>
  <c r="P34" i="25" s="1"/>
  <c r="B159" i="1" l="1"/>
  <c r="D158" i="1"/>
  <c r="E158" i="1"/>
  <c r="S21" i="24"/>
  <c r="T21" i="24"/>
  <c r="E19" i="24"/>
  <c r="B20" i="24"/>
  <c r="C20" i="24"/>
  <c r="AQ36" i="31" a="1"/>
  <c r="AQ36" i="31" s="1"/>
  <c r="Y36" i="31" a="1"/>
  <c r="Y36" i="31" s="1"/>
  <c r="P33" i="26" a="1"/>
  <c r="P33" i="26" s="1"/>
  <c r="P34" i="26" s="1" a="1"/>
  <c r="P34" i="26" s="1"/>
  <c r="AQ33" i="26" a="1"/>
  <c r="AQ33" i="26" s="1"/>
  <c r="AQ34" i="26" s="1" a="1"/>
  <c r="AQ34" i="26" s="1"/>
  <c r="AZ33" i="26" a="1"/>
  <c r="AZ33" i="26" s="1"/>
  <c r="Y33" i="26" a="1"/>
  <c r="Y33" i="26" s="1"/>
  <c r="AH36" i="31" a="1"/>
  <c r="AH36" i="31" s="1"/>
  <c r="AZ36" i="31" a="1"/>
  <c r="AZ36" i="31" s="1"/>
  <c r="J38" i="31"/>
  <c r="I37" i="31"/>
  <c r="P37" i="31" s="1" a="1"/>
  <c r="P37" i="31" s="1"/>
  <c r="J35" i="26"/>
  <c r="AH34" i="26" a="1"/>
  <c r="AH34" i="26" s="1"/>
  <c r="I34" i="26"/>
  <c r="AH34" i="25" a="1"/>
  <c r="AH34" i="25" s="1"/>
  <c r="Y34" i="25" a="1"/>
  <c r="Y34" i="25" s="1"/>
  <c r="AZ34" i="25" a="1"/>
  <c r="AZ34" i="25" s="1"/>
  <c r="AQ34" i="25" a="1"/>
  <c r="AQ34" i="25" s="1"/>
  <c r="J36" i="25"/>
  <c r="I35" i="25"/>
  <c r="B160" i="1" l="1"/>
  <c r="D159" i="1"/>
  <c r="E159" i="1"/>
  <c r="E18" i="24"/>
  <c r="B19" i="24"/>
  <c r="C19" i="24"/>
  <c r="S20" i="24"/>
  <c r="T20" i="24"/>
  <c r="Y34" i="26" a="1"/>
  <c r="Y34" i="26" s="1"/>
  <c r="AZ34" i="26" a="1"/>
  <c r="AZ34" i="26" s="1"/>
  <c r="AQ37" i="31" a="1"/>
  <c r="AQ37" i="31" s="1"/>
  <c r="AZ37" i="31" a="1"/>
  <c r="AZ37" i="31" s="1"/>
  <c r="J39" i="31"/>
  <c r="I38" i="31"/>
  <c r="AZ38" i="31" s="1" a="1"/>
  <c r="AZ38" i="31" s="1"/>
  <c r="Y37" i="31" a="1"/>
  <c r="Y37" i="31" s="1"/>
  <c r="AH37" i="31" a="1"/>
  <c r="AH37" i="31" s="1"/>
  <c r="AQ35" i="25" a="1"/>
  <c r="AQ35" i="25" s="1"/>
  <c r="AH35" i="25" a="1"/>
  <c r="AH35" i="25" s="1"/>
  <c r="P35" i="25" a="1"/>
  <c r="P35" i="25" s="1"/>
  <c r="P35" i="26" a="1"/>
  <c r="P35" i="26" s="1"/>
  <c r="AQ35" i="26" a="1"/>
  <c r="AQ35" i="26" s="1"/>
  <c r="J36" i="26"/>
  <c r="I35" i="26"/>
  <c r="AH35" i="26" a="1"/>
  <c r="AH35" i="26" s="1"/>
  <c r="AZ35" i="25" a="1"/>
  <c r="AZ35" i="25" s="1"/>
  <c r="J37" i="25"/>
  <c r="I36" i="25"/>
  <c r="Y35" i="25" a="1"/>
  <c r="Y35" i="25" s="1"/>
  <c r="B161" i="1" l="1"/>
  <c r="D160" i="1"/>
  <c r="E160" i="1"/>
  <c r="T19" i="24"/>
  <c r="S19" i="24"/>
  <c r="E17" i="24"/>
  <c r="B18" i="24"/>
  <c r="C18" i="24"/>
  <c r="Y35" i="26" a="1"/>
  <c r="Y35" i="26" s="1"/>
  <c r="AZ35" i="26" a="1"/>
  <c r="AZ35" i="26" s="1"/>
  <c r="AQ38" i="31" a="1"/>
  <c r="AQ38" i="31" s="1"/>
  <c r="P38" i="31" a="1"/>
  <c r="P38" i="31" s="1"/>
  <c r="Y38" i="31" a="1"/>
  <c r="Y38" i="31" s="1"/>
  <c r="AH38" i="31" a="1"/>
  <c r="AH38" i="31" s="1"/>
  <c r="J40" i="31"/>
  <c r="I39" i="31"/>
  <c r="AH39" i="31" s="1" a="1"/>
  <c r="AH39" i="31" s="1"/>
  <c r="P36" i="25" a="1"/>
  <c r="P36" i="25" s="1"/>
  <c r="J37" i="26"/>
  <c r="I36" i="26"/>
  <c r="AH36" i="25" a="1"/>
  <c r="AH36" i="25" s="1"/>
  <c r="AZ36" i="25" a="1"/>
  <c r="AZ36" i="25" s="1"/>
  <c r="J38" i="25"/>
  <c r="I37" i="25"/>
  <c r="Y36" i="25" a="1"/>
  <c r="Y36" i="25" s="1"/>
  <c r="AQ36" i="25" a="1"/>
  <c r="AQ36" i="25" s="1"/>
  <c r="B162" i="1" l="1"/>
  <c r="E161" i="1"/>
  <c r="D161" i="1"/>
  <c r="E16" i="24"/>
  <c r="C17" i="24"/>
  <c r="B17" i="24"/>
  <c r="S18" i="24"/>
  <c r="T18" i="24"/>
  <c r="Y36" i="26" a="1"/>
  <c r="Y36" i="26" s="1"/>
  <c r="Y37" i="26" s="1" a="1"/>
  <c r="Y37" i="26" s="1"/>
  <c r="P36" i="26" a="1"/>
  <c r="P36" i="26" s="1"/>
  <c r="P37" i="26" s="1" a="1"/>
  <c r="P37" i="26" s="1"/>
  <c r="AZ36" i="26" a="1"/>
  <c r="AZ36" i="26" s="1"/>
  <c r="AQ36" i="26" a="1"/>
  <c r="AQ36" i="26" s="1"/>
  <c r="AH36" i="26" a="1"/>
  <c r="AH36" i="26" s="1"/>
  <c r="AH37" i="26" s="1" a="1"/>
  <c r="AH37" i="26" s="1"/>
  <c r="P39" i="31" a="1"/>
  <c r="P39" i="31" s="1"/>
  <c r="J41" i="31"/>
  <c r="I40" i="31"/>
  <c r="P40" i="31" s="1" a="1"/>
  <c r="P40" i="31" s="1"/>
  <c r="Y39" i="31" a="1"/>
  <c r="Y39" i="31" s="1"/>
  <c r="AQ39" i="31" a="1"/>
  <c r="AQ39" i="31" s="1"/>
  <c r="AZ39" i="31" a="1"/>
  <c r="AZ39" i="31" s="1"/>
  <c r="AQ37" i="25" a="1"/>
  <c r="AQ37" i="25" s="1"/>
  <c r="J38" i="26"/>
  <c r="I37" i="26"/>
  <c r="P37" i="25" a="1"/>
  <c r="P37" i="25" s="1"/>
  <c r="AH37" i="25" a="1"/>
  <c r="AH37" i="25" s="1"/>
  <c r="AZ37" i="25" a="1"/>
  <c r="AZ37" i="25" s="1"/>
  <c r="J39" i="25"/>
  <c r="I38" i="25"/>
  <c r="P38" i="25" s="1" a="1"/>
  <c r="P38" i="25" s="1"/>
  <c r="Y37" i="25" a="1"/>
  <c r="Y37" i="25" s="1"/>
  <c r="D162" i="1" l="1"/>
  <c r="E162" i="1"/>
  <c r="T17" i="24"/>
  <c r="S17" i="24"/>
  <c r="E15" i="24"/>
  <c r="C16" i="24"/>
  <c r="B16" i="24"/>
  <c r="AQ37" i="26" a="1"/>
  <c r="AQ37" i="26" s="1"/>
  <c r="AQ38" i="26" s="1" a="1"/>
  <c r="AQ38" i="26" s="1"/>
  <c r="AZ37" i="26" a="1"/>
  <c r="AZ37" i="26" s="1"/>
  <c r="AH40" i="31" a="1"/>
  <c r="AH40" i="31" s="1"/>
  <c r="AZ40" i="31" a="1"/>
  <c r="AZ40" i="31" s="1"/>
  <c r="Y40" i="31" a="1"/>
  <c r="Y40" i="31" s="1"/>
  <c r="AQ40" i="31" a="1"/>
  <c r="AQ40" i="31" s="1"/>
  <c r="J42" i="31"/>
  <c r="I41" i="31"/>
  <c r="AQ41" i="31" s="1" a="1"/>
  <c r="AQ41" i="31" s="1"/>
  <c r="J39" i="26"/>
  <c r="I38" i="26"/>
  <c r="Y38" i="26" a="1"/>
  <c r="Y38" i="26" s="1"/>
  <c r="AQ38" i="25" a="1"/>
  <c r="AQ38" i="25" s="1"/>
  <c r="AH38" i="25" a="1"/>
  <c r="AH38" i="25" s="1"/>
  <c r="AZ38" i="25" a="1"/>
  <c r="AZ38" i="25" s="1"/>
  <c r="I39" i="25"/>
  <c r="J40" i="25"/>
  <c r="Y38" i="25" a="1"/>
  <c r="Y38" i="25" s="1"/>
  <c r="E14" i="24" l="1"/>
  <c r="B15" i="24"/>
  <c r="C15" i="24"/>
  <c r="S16" i="24"/>
  <c r="T16" i="24"/>
  <c r="AZ38" i="26" a="1"/>
  <c r="AZ38" i="26" s="1"/>
  <c r="AZ39" i="26" s="1" a="1"/>
  <c r="AZ39" i="26" s="1"/>
  <c r="P38" i="26" a="1"/>
  <c r="P38" i="26" s="1"/>
  <c r="P39" i="26" s="1" a="1"/>
  <c r="P39" i="26" s="1"/>
  <c r="AH38" i="26" a="1"/>
  <c r="AH38" i="26" s="1"/>
  <c r="P41" i="31" a="1"/>
  <c r="P41" i="31" s="1"/>
  <c r="AZ41" i="31" a="1"/>
  <c r="AZ41" i="31" s="1"/>
  <c r="Y41" i="31" a="1"/>
  <c r="Y41" i="31" s="1"/>
  <c r="AH41" i="31" a="1"/>
  <c r="AH41" i="31" s="1"/>
  <c r="J43" i="31"/>
  <c r="I42" i="31"/>
  <c r="AZ42" i="31" s="1" a="1"/>
  <c r="AZ42" i="31" s="1"/>
  <c r="Y39" i="25" a="1"/>
  <c r="Y39" i="25" s="1"/>
  <c r="J40" i="26"/>
  <c r="I39" i="26"/>
  <c r="AZ39" i="25" a="1"/>
  <c r="AZ39" i="25" s="1"/>
  <c r="AH39" i="25" a="1"/>
  <c r="AH39" i="25" s="1"/>
  <c r="P39" i="25" a="1"/>
  <c r="P39" i="25" s="1"/>
  <c r="AQ39" i="25" a="1"/>
  <c r="AQ39" i="25" s="1"/>
  <c r="J41" i="25"/>
  <c r="I40" i="25"/>
  <c r="Y40" i="25" s="1" a="1"/>
  <c r="Y40" i="25" s="1"/>
  <c r="T15" i="24" l="1"/>
  <c r="S15" i="24"/>
  <c r="E13" i="24"/>
  <c r="C14" i="24"/>
  <c r="B14" i="24"/>
  <c r="AH39" i="26" a="1"/>
  <c r="AH39" i="26" s="1"/>
  <c r="Y39" i="26" a="1"/>
  <c r="Y39" i="26" s="1"/>
  <c r="AQ39" i="26" a="1"/>
  <c r="AQ39" i="26" s="1"/>
  <c r="AH42" i="31" a="1"/>
  <c r="AH42" i="31" s="1"/>
  <c r="Y42" i="31" a="1"/>
  <c r="Y42" i="31" s="1"/>
  <c r="AQ42" i="31" a="1"/>
  <c r="AQ42" i="31" s="1"/>
  <c r="P42" i="31" a="1"/>
  <c r="P42" i="31" s="1"/>
  <c r="J44" i="31"/>
  <c r="I43" i="31"/>
  <c r="AH43" i="31" s="1" a="1"/>
  <c r="AH43" i="31" s="1"/>
  <c r="AQ40" i="25" a="1"/>
  <c r="AQ40" i="25" s="1"/>
  <c r="P40" i="25" a="1"/>
  <c r="P40" i="25" s="1"/>
  <c r="J41" i="26"/>
  <c r="I40" i="26"/>
  <c r="P40" i="26" s="1" a="1"/>
  <c r="P40" i="26" s="1"/>
  <c r="AH40" i="25" a="1"/>
  <c r="AH40" i="25" s="1"/>
  <c r="AZ40" i="25" a="1"/>
  <c r="AZ40" i="25" s="1"/>
  <c r="J42" i="25"/>
  <c r="I41" i="25"/>
  <c r="AQ41" i="25" s="1" a="1"/>
  <c r="AQ41" i="25" s="1"/>
  <c r="E12" i="24" l="1"/>
  <c r="B13" i="24"/>
  <c r="C13" i="24"/>
  <c r="T14" i="24"/>
  <c r="S14" i="24"/>
  <c r="AQ43" i="31" a="1"/>
  <c r="AQ43" i="31" s="1"/>
  <c r="P43" i="31" a="1"/>
  <c r="P43" i="31" s="1"/>
  <c r="AZ43" i="31" a="1"/>
  <c r="AZ43" i="31" s="1"/>
  <c r="J45" i="31"/>
  <c r="I44" i="31"/>
  <c r="P44" i="31" s="1" a="1"/>
  <c r="P44" i="31" s="1"/>
  <c r="Y43" i="31" a="1"/>
  <c r="Y43" i="31" s="1"/>
  <c r="AQ40" i="26" a="1"/>
  <c r="AQ40" i="26" s="1"/>
  <c r="AH40" i="26" a="1"/>
  <c r="AH40" i="26" s="1"/>
  <c r="AZ40" i="26" a="1"/>
  <c r="AZ40" i="26" s="1"/>
  <c r="Y40" i="26" a="1"/>
  <c r="Y40" i="26" s="1"/>
  <c r="J42" i="26"/>
  <c r="I41" i="26"/>
  <c r="AH41" i="26" s="1" a="1"/>
  <c r="AH41" i="26" s="1"/>
  <c r="P41" i="25" a="1"/>
  <c r="P41" i="25" s="1"/>
  <c r="AH41" i="25" a="1"/>
  <c r="AH41" i="25" s="1"/>
  <c r="AZ41" i="25" a="1"/>
  <c r="AZ41" i="25" s="1"/>
  <c r="J43" i="25"/>
  <c r="I42" i="25"/>
  <c r="AH42" i="25" s="1" a="1"/>
  <c r="AH42" i="25" s="1"/>
  <c r="Y41" i="25" a="1"/>
  <c r="Y41" i="25" s="1"/>
  <c r="T13" i="24" l="1"/>
  <c r="S13" i="24"/>
  <c r="E11" i="24"/>
  <c r="C12" i="24"/>
  <c r="B12" i="24"/>
  <c r="AZ44" i="31" a="1"/>
  <c r="AZ44" i="31" s="1"/>
  <c r="AH44" i="31" a="1"/>
  <c r="AH44" i="31" s="1"/>
  <c r="AQ44" i="31" a="1"/>
  <c r="AQ44" i="31" s="1"/>
  <c r="J46" i="31"/>
  <c r="I45" i="31"/>
  <c r="Y45" i="31" s="1" a="1"/>
  <c r="Y45" i="31" s="1"/>
  <c r="Y44" i="31" a="1"/>
  <c r="Y44" i="31" s="1"/>
  <c r="AZ41" i="26" a="1"/>
  <c r="AZ41" i="26" s="1"/>
  <c r="Y41" i="26" a="1"/>
  <c r="Y41" i="26" s="1"/>
  <c r="AQ41" i="26" a="1"/>
  <c r="AQ41" i="26" s="1"/>
  <c r="P41" i="26" a="1"/>
  <c r="P41" i="26" s="1"/>
  <c r="P42" i="25" a="1"/>
  <c r="P42" i="25" s="1"/>
  <c r="AZ42" i="25" a="1"/>
  <c r="AZ42" i="25" s="1"/>
  <c r="J43" i="26"/>
  <c r="I42" i="26"/>
  <c r="Y42" i="26" s="1" a="1"/>
  <c r="Y42" i="26" s="1"/>
  <c r="J44" i="25"/>
  <c r="I43" i="25"/>
  <c r="Y43" i="25" s="1" a="1"/>
  <c r="Y43" i="25" s="1"/>
  <c r="Y42" i="25" a="1"/>
  <c r="Y42" i="25" s="1"/>
  <c r="AQ42" i="25" a="1"/>
  <c r="AQ42" i="25" s="1"/>
  <c r="E10" i="24" l="1"/>
  <c r="B11" i="24"/>
  <c r="C11" i="24"/>
  <c r="T12" i="24"/>
  <c r="S12" i="24"/>
  <c r="AZ45" i="31" a="1"/>
  <c r="AZ45" i="31" s="1"/>
  <c r="AQ45" i="31" a="1"/>
  <c r="AQ45" i="31" s="1"/>
  <c r="AH45" i="31" a="1"/>
  <c r="AH45" i="31" s="1"/>
  <c r="P45" i="31" a="1"/>
  <c r="P45" i="31" s="1"/>
  <c r="I46" i="31"/>
  <c r="AZ46" i="31" s="1" a="1"/>
  <c r="AZ46" i="31" s="1"/>
  <c r="AH43" i="25" a="1"/>
  <c r="AH43" i="25" s="1"/>
  <c r="P43" i="25" a="1"/>
  <c r="P43" i="25" s="1"/>
  <c r="AZ43" i="25" a="1"/>
  <c r="AZ43" i="25" s="1"/>
  <c r="AQ42" i="26" a="1"/>
  <c r="AQ42" i="26" s="1"/>
  <c r="P42" i="26" a="1"/>
  <c r="P42" i="26" s="1"/>
  <c r="AZ42" i="26" a="1"/>
  <c r="AZ42" i="26" s="1"/>
  <c r="AH42" i="26" a="1"/>
  <c r="AH42" i="26" s="1"/>
  <c r="J44" i="26"/>
  <c r="I43" i="26"/>
  <c r="P43" i="26" s="1" a="1"/>
  <c r="P43" i="26" s="1"/>
  <c r="AQ43" i="25" a="1"/>
  <c r="AQ43" i="25" s="1"/>
  <c r="J45" i="25"/>
  <c r="I44" i="25"/>
  <c r="AH44" i="25" s="1" a="1"/>
  <c r="AH44" i="25" s="1"/>
  <c r="T11" i="24" l="1"/>
  <c r="S11" i="24"/>
  <c r="E9" i="24"/>
  <c r="C10" i="24"/>
  <c r="B10" i="24"/>
  <c r="AH46" i="31" a="1"/>
  <c r="AH46" i="31" s="1"/>
  <c r="AQ46" i="31" a="1"/>
  <c r="AQ46" i="31" s="1"/>
  <c r="P46" i="31" a="1"/>
  <c r="P46" i="31" s="1"/>
  <c r="Y46" i="31" a="1"/>
  <c r="Y46" i="31" s="1"/>
  <c r="AZ44" i="25" a="1"/>
  <c r="AZ44" i="25" s="1"/>
  <c r="AZ43" i="26" a="1"/>
  <c r="AZ43" i="26" s="1"/>
  <c r="Y44" i="25" a="1"/>
  <c r="Y44" i="25" s="1"/>
  <c r="AQ44" i="25" a="1"/>
  <c r="AQ44" i="25" s="1"/>
  <c r="AH43" i="26" a="1"/>
  <c r="AH43" i="26" s="1"/>
  <c r="Y43" i="26" a="1"/>
  <c r="Y43" i="26" s="1"/>
  <c r="AQ43" i="26" a="1"/>
  <c r="AQ43" i="26" s="1"/>
  <c r="J45" i="26"/>
  <c r="I44" i="26"/>
  <c r="AH44" i="26" s="1" a="1"/>
  <c r="AH44" i="26" s="1"/>
  <c r="P44" i="25" a="1"/>
  <c r="P44" i="25" s="1"/>
  <c r="J46" i="25"/>
  <c r="I45" i="25"/>
  <c r="P45" i="25" s="1" a="1"/>
  <c r="P45" i="25" s="1"/>
  <c r="E8" i="24" l="1"/>
  <c r="B9" i="24"/>
  <c r="C9" i="24"/>
  <c r="T10" i="24"/>
  <c r="S10" i="24"/>
  <c r="AQ44" i="26" a="1"/>
  <c r="AQ44" i="26" s="1"/>
  <c r="Y44" i="26" a="1"/>
  <c r="Y44" i="26" s="1"/>
  <c r="P44" i="26" a="1"/>
  <c r="P44" i="26" s="1"/>
  <c r="I45" i="26"/>
  <c r="AH45" i="26" s="1" a="1"/>
  <c r="AH45" i="26" s="1"/>
  <c r="J46" i="26"/>
  <c r="AZ44" i="26" a="1"/>
  <c r="AZ44" i="26" s="1"/>
  <c r="AH45" i="25" a="1"/>
  <c r="AH45" i="25" s="1"/>
  <c r="AZ45" i="25" a="1"/>
  <c r="AZ45" i="25" s="1"/>
  <c r="I46" i="25"/>
  <c r="AZ46" i="25" s="1" a="1"/>
  <c r="AZ46" i="25" s="1"/>
  <c r="Y45" i="25" a="1"/>
  <c r="Y45" i="25" s="1"/>
  <c r="AQ45" i="25" a="1"/>
  <c r="AQ45" i="25" s="1"/>
  <c r="T9" i="24" l="1"/>
  <c r="S9" i="24"/>
  <c r="C8" i="24"/>
  <c r="B8" i="24"/>
  <c r="B7" i="24" s="1"/>
  <c r="AQ45" i="26" a="1"/>
  <c r="AQ45" i="26" s="1"/>
  <c r="AZ45" i="26" a="1"/>
  <c r="AZ45" i="26" s="1"/>
  <c r="P45" i="26" a="1"/>
  <c r="P45" i="26" s="1"/>
  <c r="AQ46" i="25" a="1"/>
  <c r="AQ46" i="25" s="1"/>
  <c r="P46" i="25" a="1"/>
  <c r="P46" i="25" s="1"/>
  <c r="I46" i="26"/>
  <c r="Y46" i="26" s="1" a="1"/>
  <c r="Y46" i="26" s="1"/>
  <c r="Y45" i="26" a="1"/>
  <c r="Y45" i="26" s="1"/>
  <c r="Y46" i="25" a="1"/>
  <c r="Y46" i="25" s="1"/>
  <c r="AH46" i="25" a="1"/>
  <c r="AH46" i="25" s="1"/>
  <c r="T8" i="24" l="1"/>
  <c r="S8" i="24"/>
  <c r="P46" i="26" a="1"/>
  <c r="P46" i="26" s="1"/>
  <c r="AH46" i="26" a="1"/>
  <c r="AH46" i="26" s="1"/>
  <c r="AZ46" i="26" a="1"/>
  <c r="AZ46" i="26" s="1"/>
  <c r="AQ46" i="26" a="1"/>
  <c r="AQ46" i="26" s="1"/>
  <c r="B4" i="1" l="1"/>
  <c r="C26" i="1"/>
  <c r="B26" i="1"/>
  <c r="C24" i="1"/>
  <c r="B24" i="1"/>
  <c r="B28" i="1" s="1"/>
  <c r="D23" i="1"/>
  <c r="C128" i="1" l="1"/>
  <c r="H158" i="1"/>
  <c r="G158" i="1"/>
  <c r="C157" i="1"/>
  <c r="C158" i="1"/>
  <c r="C159" i="1"/>
  <c r="C160" i="1"/>
  <c r="C161" i="1"/>
  <c r="C162" i="1"/>
  <c r="C143" i="1"/>
  <c r="C144" i="1"/>
  <c r="C145" i="1"/>
  <c r="C146" i="1"/>
  <c r="C147" i="1"/>
  <c r="C148" i="1"/>
  <c r="C149" i="1"/>
  <c r="C150" i="1"/>
  <c r="C151" i="1"/>
  <c r="C152" i="1"/>
  <c r="C153" i="1"/>
  <c r="C154" i="1"/>
  <c r="C155" i="1"/>
  <c r="C156" i="1"/>
  <c r="P61" i="24"/>
  <c r="C129" i="1"/>
  <c r="C142" i="1"/>
  <c r="C138" i="1"/>
  <c r="C134" i="1"/>
  <c r="C130" i="1"/>
  <c r="C141" i="1"/>
  <c r="C137" i="1"/>
  <c r="C133" i="1"/>
  <c r="C140" i="1"/>
  <c r="C136" i="1"/>
  <c r="C132" i="1"/>
  <c r="C139" i="1"/>
  <c r="C135" i="1"/>
  <c r="C131" i="1"/>
  <c r="G19" i="1"/>
  <c r="G18" i="1"/>
  <c r="D24" i="1"/>
  <c r="C50" i="1"/>
  <c r="C48" i="1"/>
  <c r="G89" i="1"/>
  <c r="G87" i="1"/>
  <c r="G88" i="1"/>
  <c r="G86" i="1"/>
  <c r="B49" i="1"/>
  <c r="C49" i="1" l="1"/>
  <c r="J49" i="1" s="1"/>
  <c r="I49" i="1"/>
  <c r="B11" i="20"/>
  <c r="R11" i="20" s="1"/>
  <c r="B9" i="20"/>
  <c r="B8" i="20" s="1"/>
  <c r="B7" i="20" s="1"/>
  <c r="B6" i="20" s="1"/>
  <c r="B54" i="1"/>
  <c r="B53" i="1"/>
  <c r="B52" i="1"/>
  <c r="C52" i="1" l="1"/>
  <c r="J52" i="1" s="1"/>
  <c r="I52" i="1"/>
  <c r="C53" i="1"/>
  <c r="J53" i="1" s="1"/>
  <c r="I53" i="1"/>
  <c r="C54" i="1"/>
  <c r="J54" i="1" s="1"/>
  <c r="I54" i="1"/>
  <c r="B12" i="20"/>
  <c r="R12" i="20" s="1"/>
  <c r="O9" i="18"/>
  <c r="O10" i="18"/>
  <c r="O11" i="18"/>
  <c r="O12" i="18"/>
  <c r="O8" i="18"/>
  <c r="N9" i="18"/>
  <c r="N10" i="18"/>
  <c r="N11" i="18"/>
  <c r="N12" i="18"/>
  <c r="N8" i="18"/>
  <c r="B13" i="20" l="1"/>
  <c r="R13" i="20" s="1"/>
  <c r="C9" i="19"/>
  <c r="I2" i="2"/>
  <c r="D4" i="19"/>
  <c r="D5" i="19"/>
  <c r="D3" i="19"/>
  <c r="B9" i="19" s="1"/>
  <c r="C2" i="2"/>
  <c r="H30" i="14"/>
  <c r="H41" i="14"/>
  <c r="H50" i="14"/>
  <c r="H60" i="14"/>
  <c r="H85" i="14"/>
  <c r="H87" i="14"/>
  <c r="H89" i="14"/>
  <c r="H98" i="14"/>
  <c r="H99" i="14"/>
  <c r="H100" i="14"/>
  <c r="H101" i="14"/>
  <c r="H103" i="14"/>
  <c r="H104" i="14"/>
  <c r="H105" i="14"/>
  <c r="H106" i="14"/>
  <c r="H107" i="14"/>
  <c r="H108" i="14"/>
  <c r="H109" i="14"/>
  <c r="H110" i="14"/>
  <c r="H111" i="14"/>
  <c r="H112" i="14"/>
  <c r="H113" i="14"/>
  <c r="H114" i="14"/>
  <c r="H115" i="14"/>
  <c r="H116" i="14"/>
  <c r="H117" i="14"/>
  <c r="H118" i="14"/>
  <c r="H120" i="14"/>
  <c r="H121" i="14"/>
  <c r="H122" i="14"/>
  <c r="H123" i="14"/>
  <c r="H124" i="14"/>
  <c r="H125" i="14"/>
  <c r="H126" i="14"/>
  <c r="H127" i="14"/>
  <c r="H128" i="14"/>
  <c r="H129" i="14"/>
  <c r="H131" i="14"/>
  <c r="H132" i="14"/>
  <c r="H133" i="14"/>
  <c r="H134" i="14"/>
  <c r="H135" i="14"/>
  <c r="H136" i="14"/>
  <c r="H137" i="14"/>
  <c r="H138" i="14"/>
  <c r="H139" i="14"/>
  <c r="H140" i="14"/>
  <c r="H141" i="14"/>
  <c r="H142" i="14"/>
  <c r="H144" i="14"/>
  <c r="H145" i="14"/>
  <c r="G30" i="14"/>
  <c r="G41" i="14"/>
  <c r="G50" i="14"/>
  <c r="G60" i="14"/>
  <c r="G85" i="14"/>
  <c r="G87" i="14"/>
  <c r="G89" i="14"/>
  <c r="G98" i="14"/>
  <c r="G99" i="14"/>
  <c r="G100" i="14"/>
  <c r="G101" i="14"/>
  <c r="G103" i="14"/>
  <c r="G104" i="14"/>
  <c r="G105" i="14"/>
  <c r="G106" i="14"/>
  <c r="G107" i="14"/>
  <c r="G108" i="14"/>
  <c r="G109" i="14"/>
  <c r="G110" i="14"/>
  <c r="G111" i="14"/>
  <c r="G112" i="14"/>
  <c r="G113" i="14"/>
  <c r="G114" i="14"/>
  <c r="G115" i="14"/>
  <c r="G116" i="14"/>
  <c r="G117" i="14"/>
  <c r="G118" i="14"/>
  <c r="G120" i="14"/>
  <c r="G121" i="14"/>
  <c r="G122" i="14"/>
  <c r="G123" i="14"/>
  <c r="G124" i="14"/>
  <c r="G125" i="14"/>
  <c r="G126" i="14"/>
  <c r="G127" i="14"/>
  <c r="G128" i="14"/>
  <c r="G129" i="14"/>
  <c r="G131" i="14"/>
  <c r="G132" i="14"/>
  <c r="G133" i="14"/>
  <c r="G134" i="14"/>
  <c r="G135" i="14"/>
  <c r="G136" i="14"/>
  <c r="G137" i="14"/>
  <c r="G138" i="14"/>
  <c r="G139" i="14"/>
  <c r="G140" i="14"/>
  <c r="G141" i="14"/>
  <c r="G142" i="14"/>
  <c r="G144" i="14"/>
  <c r="G145" i="14"/>
  <c r="F41" i="14"/>
  <c r="F50" i="14"/>
  <c r="F60" i="14"/>
  <c r="F85" i="14"/>
  <c r="F87" i="14"/>
  <c r="F89" i="14"/>
  <c r="F98" i="14"/>
  <c r="F99" i="14"/>
  <c r="F100" i="14"/>
  <c r="F101" i="14"/>
  <c r="F103" i="14"/>
  <c r="F104" i="14"/>
  <c r="F105" i="14"/>
  <c r="F106" i="14"/>
  <c r="F107" i="14"/>
  <c r="F108" i="14"/>
  <c r="F109" i="14"/>
  <c r="F110" i="14"/>
  <c r="F111" i="14"/>
  <c r="F112" i="14"/>
  <c r="F113" i="14"/>
  <c r="F114" i="14"/>
  <c r="F115" i="14"/>
  <c r="F116" i="14"/>
  <c r="F117" i="14"/>
  <c r="F118" i="14"/>
  <c r="F120" i="14"/>
  <c r="F121" i="14"/>
  <c r="F122" i="14"/>
  <c r="F123" i="14"/>
  <c r="F124" i="14"/>
  <c r="F125" i="14"/>
  <c r="F126" i="14"/>
  <c r="F127" i="14"/>
  <c r="F128" i="14"/>
  <c r="F129" i="14"/>
  <c r="F131" i="14"/>
  <c r="F132" i="14"/>
  <c r="F133" i="14"/>
  <c r="F134" i="14"/>
  <c r="F135" i="14"/>
  <c r="F136" i="14"/>
  <c r="F137" i="14"/>
  <c r="F138" i="14"/>
  <c r="F139" i="14"/>
  <c r="F140" i="14"/>
  <c r="F141" i="14"/>
  <c r="F142" i="14"/>
  <c r="F144" i="14"/>
  <c r="F145" i="14"/>
  <c r="F30" i="14"/>
  <c r="C14" i="14"/>
  <c r="D15" i="14" s="1"/>
  <c r="L13" i="14"/>
  <c r="K13" i="14"/>
  <c r="J13" i="14"/>
  <c r="I13" i="14"/>
  <c r="L12" i="14"/>
  <c r="K12" i="14"/>
  <c r="J12" i="14"/>
  <c r="I12" i="14"/>
  <c r="L11" i="14"/>
  <c r="K11" i="14"/>
  <c r="J11" i="14"/>
  <c r="I11" i="14"/>
  <c r="L10" i="14"/>
  <c r="K10" i="14"/>
  <c r="J10" i="14"/>
  <c r="I10" i="14"/>
  <c r="L9" i="14"/>
  <c r="K9" i="14"/>
  <c r="J9" i="14"/>
  <c r="I9" i="14"/>
  <c r="L8" i="14"/>
  <c r="K8" i="14"/>
  <c r="J8" i="14"/>
  <c r="I8" i="14"/>
  <c r="L7" i="14"/>
  <c r="K7" i="14"/>
  <c r="J7" i="14"/>
  <c r="I7" i="14"/>
  <c r="L6" i="14"/>
  <c r="K6" i="14"/>
  <c r="J6" i="14"/>
  <c r="I6" i="14"/>
  <c r="L5" i="14"/>
  <c r="K5" i="14"/>
  <c r="J5" i="14"/>
  <c r="I5" i="14"/>
  <c r="L4" i="14"/>
  <c r="K4" i="14"/>
  <c r="J4" i="14"/>
  <c r="I4" i="14"/>
  <c r="C3" i="10"/>
  <c r="B6" i="7"/>
  <c r="B14" i="20" l="1"/>
  <c r="R14" i="20" s="1"/>
  <c r="D22" i="14"/>
  <c r="J22" i="14" s="1"/>
  <c r="I15" i="14"/>
  <c r="E15" i="14" s="1"/>
  <c r="J15" i="14"/>
  <c r="K15" i="14"/>
  <c r="G15" i="14" s="1"/>
  <c r="L15" i="14"/>
  <c r="H15" i="14" s="1"/>
  <c r="H37" i="18"/>
  <c r="I37" i="18" s="1"/>
  <c r="H36" i="18"/>
  <c r="I36" i="18" s="1"/>
  <c r="B107" i="1"/>
  <c r="E105" i="1"/>
  <c r="D105" i="1"/>
  <c r="C105" i="1"/>
  <c r="F2" i="2"/>
  <c r="B15" i="20" l="1"/>
  <c r="R15" i="20" s="1"/>
  <c r="I22" i="14"/>
  <c r="K22" i="14"/>
  <c r="G21" i="14"/>
  <c r="F15" i="14"/>
  <c r="F21" i="14" s="1"/>
  <c r="H33" i="14"/>
  <c r="H37" i="14"/>
  <c r="H45" i="14"/>
  <c r="H49" i="14"/>
  <c r="H53" i="14"/>
  <c r="H57" i="14"/>
  <c r="H61" i="14"/>
  <c r="H65" i="14"/>
  <c r="H69" i="14"/>
  <c r="H73" i="14"/>
  <c r="H77" i="14"/>
  <c r="H81" i="14"/>
  <c r="H93" i="14"/>
  <c r="H97" i="14"/>
  <c r="H34" i="14"/>
  <c r="H38" i="14"/>
  <c r="H42" i="14"/>
  <c r="H46" i="14"/>
  <c r="H54" i="14"/>
  <c r="H58" i="14"/>
  <c r="H62" i="14"/>
  <c r="H66" i="14"/>
  <c r="H70" i="14"/>
  <c r="H74" i="14"/>
  <c r="H78" i="14"/>
  <c r="H82" i="14"/>
  <c r="H86" i="14"/>
  <c r="H90" i="14"/>
  <c r="H94" i="14"/>
  <c r="H102" i="14"/>
  <c r="H130" i="14"/>
  <c r="H29" i="14"/>
  <c r="H36" i="14"/>
  <c r="H40" i="14"/>
  <c r="H48" i="14"/>
  <c r="H68" i="14"/>
  <c r="H76" i="14"/>
  <c r="H84" i="14"/>
  <c r="H92" i="14"/>
  <c r="H31" i="14"/>
  <c r="H35" i="14"/>
  <c r="H39" i="14"/>
  <c r="H43" i="14"/>
  <c r="H47" i="14"/>
  <c r="H51" i="14"/>
  <c r="H55" i="14"/>
  <c r="H59" i="14"/>
  <c r="H63" i="14"/>
  <c r="H67" i="14"/>
  <c r="H71" i="14"/>
  <c r="H75" i="14"/>
  <c r="H79" i="14"/>
  <c r="H83" i="14"/>
  <c r="H91" i="14"/>
  <c r="H95" i="14"/>
  <c r="H119" i="14"/>
  <c r="H143" i="14"/>
  <c r="H32" i="14"/>
  <c r="H44" i="14"/>
  <c r="H52" i="14"/>
  <c r="H56" i="14"/>
  <c r="H64" i="14"/>
  <c r="H72" i="14"/>
  <c r="H80" i="14"/>
  <c r="H88" i="14"/>
  <c r="H96" i="14"/>
  <c r="B9" i="18"/>
  <c r="B10" i="18"/>
  <c r="B11" i="18"/>
  <c r="B12" i="18"/>
  <c r="B8" i="18"/>
  <c r="F8" i="18"/>
  <c r="G8" i="18" s="1"/>
  <c r="J8" i="18"/>
  <c r="K8" i="18"/>
  <c r="F9" i="18"/>
  <c r="H9" i="18" s="1"/>
  <c r="J9" i="18"/>
  <c r="K9" i="18"/>
  <c r="F10" i="18"/>
  <c r="G10" i="18" s="1"/>
  <c r="J10" i="18"/>
  <c r="K10" i="18"/>
  <c r="P10" i="18"/>
  <c r="Q10" i="18"/>
  <c r="K11" i="18"/>
  <c r="F11" i="18"/>
  <c r="G11" i="18" s="1"/>
  <c r="J11" i="18"/>
  <c r="P11" i="18"/>
  <c r="Q11" i="18"/>
  <c r="F12" i="18"/>
  <c r="G12" i="18" s="1"/>
  <c r="J12" i="18"/>
  <c r="K12" i="18"/>
  <c r="Q12" i="18"/>
  <c r="P12" i="18"/>
  <c r="B34" i="1"/>
  <c r="G33" i="1"/>
  <c r="G32" i="1"/>
  <c r="C12" i="10"/>
  <c r="C6" i="10"/>
  <c r="D17" i="10" s="1"/>
  <c r="B19" i="9"/>
  <c r="B20" i="9" s="1"/>
  <c r="H12" i="9"/>
  <c r="L11" i="9"/>
  <c r="L10" i="9"/>
  <c r="L9" i="9"/>
  <c r="L8" i="9"/>
  <c r="L7" i="9"/>
  <c r="J54" i="8"/>
  <c r="K54" i="8" s="1"/>
  <c r="E54" i="8"/>
  <c r="G54" i="8" s="1"/>
  <c r="J53" i="8"/>
  <c r="K53" i="8" s="1"/>
  <c r="E53" i="8"/>
  <c r="G53" i="8" s="1"/>
  <c r="J52" i="8"/>
  <c r="K52" i="8" s="1"/>
  <c r="E52" i="8"/>
  <c r="G52" i="8" s="1"/>
  <c r="J51" i="8"/>
  <c r="K51" i="8" s="1"/>
  <c r="E51" i="8"/>
  <c r="G51" i="8" s="1"/>
  <c r="J50" i="8"/>
  <c r="D50" i="8"/>
  <c r="D55" i="8" s="1"/>
  <c r="J49" i="8"/>
  <c r="K49" i="8" s="1"/>
  <c r="E49" i="8"/>
  <c r="G49" i="8" s="1"/>
  <c r="J48" i="8"/>
  <c r="K48" i="8" s="1"/>
  <c r="E48" i="8"/>
  <c r="G48" i="8" s="1"/>
  <c r="J47" i="8"/>
  <c r="K47" i="8" s="1"/>
  <c r="E47" i="8"/>
  <c r="G47" i="8" s="1"/>
  <c r="J46" i="8"/>
  <c r="K46" i="8" s="1"/>
  <c r="E46" i="8"/>
  <c r="G46" i="8" s="1"/>
  <c r="J45" i="8"/>
  <c r="K45" i="8" s="1"/>
  <c r="E45" i="8"/>
  <c r="G45" i="8" s="1"/>
  <c r="K44" i="8"/>
  <c r="E44" i="8"/>
  <c r="G44" i="8" s="1"/>
  <c r="D43" i="8"/>
  <c r="J42" i="8"/>
  <c r="F42" i="8"/>
  <c r="G42" i="8" s="1"/>
  <c r="E42" i="8"/>
  <c r="J41" i="8"/>
  <c r="F41" i="8"/>
  <c r="E41" i="8"/>
  <c r="E43" i="8" s="1"/>
  <c r="J40" i="8"/>
  <c r="F40" i="8"/>
  <c r="E40" i="8"/>
  <c r="J39" i="8"/>
  <c r="E39" i="8"/>
  <c r="G39" i="8" s="1"/>
  <c r="J38" i="8"/>
  <c r="E38" i="8"/>
  <c r="G38" i="8" s="1"/>
  <c r="J37" i="8"/>
  <c r="E37" i="8"/>
  <c r="G37" i="8" s="1"/>
  <c r="J36" i="8"/>
  <c r="E36" i="8"/>
  <c r="G36" i="8" s="1"/>
  <c r="J35" i="8"/>
  <c r="E35" i="8"/>
  <c r="G35" i="8" s="1"/>
  <c r="J34" i="8"/>
  <c r="F34" i="8"/>
  <c r="E34" i="8"/>
  <c r="J33" i="8"/>
  <c r="F33" i="8"/>
  <c r="E33" i="8"/>
  <c r="K33" i="8" s="1"/>
  <c r="J32" i="8"/>
  <c r="E32" i="8"/>
  <c r="G32" i="8" s="1"/>
  <c r="J31" i="8"/>
  <c r="E31" i="8"/>
  <c r="G31" i="8" s="1"/>
  <c r="J30" i="8"/>
  <c r="E30" i="8"/>
  <c r="G30" i="8" s="1"/>
  <c r="J29" i="8"/>
  <c r="E29" i="8"/>
  <c r="G29" i="8" s="1"/>
  <c r="D28" i="8"/>
  <c r="J27" i="8"/>
  <c r="F27" i="8"/>
  <c r="E27" i="8"/>
  <c r="J26" i="8"/>
  <c r="K26" i="8" s="1"/>
  <c r="E26" i="8"/>
  <c r="G26" i="8" s="1"/>
  <c r="J25" i="8"/>
  <c r="E25" i="8"/>
  <c r="G25" i="8" s="1"/>
  <c r="J24" i="8"/>
  <c r="K24" i="8" s="1"/>
  <c r="E24" i="8"/>
  <c r="G24" i="8" s="1"/>
  <c r="J23" i="8"/>
  <c r="E23" i="8"/>
  <c r="G23" i="8" s="1"/>
  <c r="J22" i="8"/>
  <c r="K22" i="8" s="1"/>
  <c r="E22" i="8"/>
  <c r="G22" i="8" s="1"/>
  <c r="J21" i="8"/>
  <c r="F21" i="8"/>
  <c r="E21" i="8"/>
  <c r="G21" i="8" s="1"/>
  <c r="J20" i="8"/>
  <c r="F20" i="8"/>
  <c r="E20" i="8"/>
  <c r="J19" i="8"/>
  <c r="K19" i="8" s="1"/>
  <c r="E19" i="8"/>
  <c r="G19" i="8" s="1"/>
  <c r="J18" i="8"/>
  <c r="E18" i="8"/>
  <c r="G18" i="8" s="1"/>
  <c r="J17" i="8"/>
  <c r="K17" i="8" s="1"/>
  <c r="E17" i="8"/>
  <c r="G17" i="8" s="1"/>
  <c r="J16" i="8"/>
  <c r="E16" i="8"/>
  <c r="G16" i="8" s="1"/>
  <c r="J15" i="8"/>
  <c r="K15" i="8" s="1"/>
  <c r="E15" i="8"/>
  <c r="G15" i="8" s="1"/>
  <c r="J14" i="8"/>
  <c r="E14" i="8"/>
  <c r="G14" i="8" s="1"/>
  <c r="J13" i="8"/>
  <c r="K13" i="8" s="1"/>
  <c r="E13" i="8"/>
  <c r="G13" i="8" s="1"/>
  <c r="J12" i="8"/>
  <c r="E12" i="8"/>
  <c r="G12" i="8" s="1"/>
  <c r="D11" i="8"/>
  <c r="J10" i="8"/>
  <c r="F10" i="8"/>
  <c r="E10" i="8"/>
  <c r="K10" i="8" s="1"/>
  <c r="J9" i="8"/>
  <c r="E9" i="8"/>
  <c r="G9" i="8" s="1"/>
  <c r="D8" i="8"/>
  <c r="J7" i="8"/>
  <c r="E7" i="8"/>
  <c r="G7" i="8" s="1"/>
  <c r="J6" i="8"/>
  <c r="E6" i="8"/>
  <c r="G6" i="8" s="1"/>
  <c r="J5" i="8"/>
  <c r="E5" i="8"/>
  <c r="G5" i="8" s="1"/>
  <c r="J4" i="8"/>
  <c r="E4" i="8"/>
  <c r="R58" i="6"/>
  <c r="Q58" i="6"/>
  <c r="P58" i="6"/>
  <c r="O58" i="6"/>
  <c r="N58" i="6"/>
  <c r="R57" i="6"/>
  <c r="Q57" i="6"/>
  <c r="P57" i="6"/>
  <c r="O57" i="6"/>
  <c r="N57" i="6"/>
  <c r="S54" i="6"/>
  <c r="S55" i="6" s="1"/>
  <c r="R54" i="6"/>
  <c r="R55" i="6" s="1"/>
  <c r="Q54" i="6"/>
  <c r="Q55" i="6" s="1"/>
  <c r="P54" i="6"/>
  <c r="P55" i="6" s="1"/>
  <c r="O54" i="6"/>
  <c r="O55" i="6" s="1"/>
  <c r="N54" i="6"/>
  <c r="N55" i="6" s="1"/>
  <c r="Q47" i="6"/>
  <c r="P47" i="6"/>
  <c r="O47" i="6"/>
  <c r="N47" i="6"/>
  <c r="Q46" i="6"/>
  <c r="P46" i="6"/>
  <c r="O46" i="6"/>
  <c r="N46" i="6"/>
  <c r="S43" i="6"/>
  <c r="S44" i="6" s="1"/>
  <c r="Q43" i="6"/>
  <c r="Q44" i="6" s="1"/>
  <c r="P43" i="6"/>
  <c r="P44" i="6" s="1"/>
  <c r="O43" i="6"/>
  <c r="O44" i="6" s="1"/>
  <c r="N43" i="6"/>
  <c r="R36" i="6"/>
  <c r="Q36" i="6"/>
  <c r="P36" i="6"/>
  <c r="O36" i="6"/>
  <c r="N36" i="6"/>
  <c r="R35" i="6"/>
  <c r="Q35" i="6"/>
  <c r="P35" i="6"/>
  <c r="O35" i="6"/>
  <c r="N35" i="6"/>
  <c r="S32" i="6"/>
  <c r="S33" i="6" s="1"/>
  <c r="R32" i="6"/>
  <c r="R33" i="6" s="1"/>
  <c r="Q32" i="6"/>
  <c r="Q33" i="6" s="1"/>
  <c r="P32" i="6"/>
  <c r="P33" i="6" s="1"/>
  <c r="O32" i="6"/>
  <c r="O33" i="6" s="1"/>
  <c r="N32" i="6"/>
  <c r="N33" i="6" s="1"/>
  <c r="Q25" i="6"/>
  <c r="P25" i="6"/>
  <c r="O25" i="6"/>
  <c r="N25" i="6"/>
  <c r="Q24" i="6"/>
  <c r="P24" i="6"/>
  <c r="O24" i="6"/>
  <c r="N24" i="6"/>
  <c r="S21" i="6"/>
  <c r="S22" i="6" s="1"/>
  <c r="R21" i="6"/>
  <c r="R22" i="6" s="1"/>
  <c r="Q21" i="6"/>
  <c r="Q22" i="6" s="1"/>
  <c r="P21" i="6"/>
  <c r="P22" i="6" s="1"/>
  <c r="O21" i="6"/>
  <c r="O22" i="6" s="1"/>
  <c r="N21" i="6"/>
  <c r="N22" i="6" s="1"/>
  <c r="I18" i="6"/>
  <c r="T43" i="6" s="1"/>
  <c r="T44" i="6" s="1"/>
  <c r="G18" i="6"/>
  <c r="R43" i="6" s="1"/>
  <c r="R44" i="6" s="1"/>
  <c r="T16" i="6"/>
  <c r="S16" i="6"/>
  <c r="R16" i="6"/>
  <c r="Q16" i="6"/>
  <c r="P16" i="6"/>
  <c r="O16" i="6"/>
  <c r="N16" i="6"/>
  <c r="I16" i="6"/>
  <c r="U15" i="6"/>
  <c r="T13" i="6"/>
  <c r="S13" i="6"/>
  <c r="R13" i="6"/>
  <c r="Q13" i="6"/>
  <c r="P13" i="6"/>
  <c r="O13" i="6"/>
  <c r="N13" i="6"/>
  <c r="T6" i="6"/>
  <c r="T7" i="6" s="1"/>
  <c r="S6" i="6"/>
  <c r="S7" i="6" s="1"/>
  <c r="R6" i="6"/>
  <c r="R7" i="6" s="1"/>
  <c r="Q6" i="6"/>
  <c r="Q7" i="6" s="1"/>
  <c r="P6" i="6"/>
  <c r="P7" i="6" s="1"/>
  <c r="O6" i="6"/>
  <c r="O7" i="6" s="1"/>
  <c r="N6" i="6"/>
  <c r="N7" i="6" s="1"/>
  <c r="D4" i="6"/>
  <c r="D3" i="6"/>
  <c r="H2" i="2"/>
  <c r="G2" i="2"/>
  <c r="B16" i="20" l="1"/>
  <c r="R16" i="20" s="1"/>
  <c r="K12" i="8"/>
  <c r="K16" i="8"/>
  <c r="K25" i="8"/>
  <c r="G33" i="8"/>
  <c r="K5" i="8"/>
  <c r="K7" i="8"/>
  <c r="E8" i="8"/>
  <c r="G10" i="8"/>
  <c r="G11" i="8" s="1"/>
  <c r="K14" i="8"/>
  <c r="K18" i="8"/>
  <c r="K23" i="8"/>
  <c r="K20" i="8"/>
  <c r="E21" i="14"/>
  <c r="D21" i="14" s="1"/>
  <c r="E11" i="8"/>
  <c r="G27" i="8"/>
  <c r="K29" i="8"/>
  <c r="K31" i="8"/>
  <c r="G34" i="8"/>
  <c r="G41" i="8"/>
  <c r="K4" i="8"/>
  <c r="K8" i="8" s="1"/>
  <c r="K6" i="8"/>
  <c r="K27" i="8"/>
  <c r="K34" i="8"/>
  <c r="K41" i="8"/>
  <c r="K9" i="8"/>
  <c r="K11" i="8" s="1"/>
  <c r="G20" i="8"/>
  <c r="K30" i="8"/>
  <c r="K32" i="8"/>
  <c r="K42" i="8"/>
  <c r="E20" i="14"/>
  <c r="D20" i="14" s="1"/>
  <c r="G9" i="18"/>
  <c r="G14" i="18" s="1"/>
  <c r="E21" i="18" s="1"/>
  <c r="C13" i="18"/>
  <c r="D21" i="18" s="1"/>
  <c r="D13" i="18"/>
  <c r="D22" i="18" s="1"/>
  <c r="F13" i="18"/>
  <c r="N13" i="18"/>
  <c r="O13" i="18"/>
  <c r="I21" i="14"/>
  <c r="K21" i="14"/>
  <c r="J21" i="14"/>
  <c r="D10" i="10"/>
  <c r="D12" i="10"/>
  <c r="D13" i="10"/>
  <c r="U6" i="6"/>
  <c r="U16" i="6"/>
  <c r="I19" i="6"/>
  <c r="T54" i="6" s="1"/>
  <c r="T55" i="6" s="1"/>
  <c r="U55" i="6" s="1"/>
  <c r="U43" i="6"/>
  <c r="N44" i="6"/>
  <c r="U44" i="6" s="1"/>
  <c r="H10" i="18"/>
  <c r="Q14" i="18"/>
  <c r="E25" i="1"/>
  <c r="P14" i="18"/>
  <c r="P15" i="18" s="1"/>
  <c r="P16" i="18" s="1"/>
  <c r="K14" i="18"/>
  <c r="K15" i="18" s="1"/>
  <c r="K16" i="18" s="1"/>
  <c r="J14" i="18"/>
  <c r="J15" i="18" s="1"/>
  <c r="J16" i="18" s="1"/>
  <c r="H8" i="18"/>
  <c r="H12" i="18"/>
  <c r="H11" i="18"/>
  <c r="D26" i="1"/>
  <c r="E23" i="1"/>
  <c r="E24" i="1"/>
  <c r="E26" i="1"/>
  <c r="U7" i="6"/>
  <c r="Q8" i="6" s="1"/>
  <c r="Q14" i="6" s="1"/>
  <c r="G40" i="8"/>
  <c r="K40" i="8"/>
  <c r="K21" i="8"/>
  <c r="K36" i="8"/>
  <c r="K38" i="8"/>
  <c r="I17" i="6"/>
  <c r="T32" i="6" s="1"/>
  <c r="T33" i="6" s="1"/>
  <c r="T21" i="6"/>
  <c r="I10" i="9"/>
  <c r="I8" i="9"/>
  <c r="I11" i="9"/>
  <c r="I9" i="9"/>
  <c r="I7" i="9"/>
  <c r="E28" i="8"/>
  <c r="G43" i="8"/>
  <c r="K35" i="8"/>
  <c r="K37" i="8"/>
  <c r="K39" i="8"/>
  <c r="U54" i="6"/>
  <c r="D11" i="10"/>
  <c r="C14" i="10"/>
  <c r="K50" i="8"/>
  <c r="K55" i="8" s="1"/>
  <c r="G4" i="8"/>
  <c r="G8" i="8" s="1"/>
  <c r="E50" i="8"/>
  <c r="D9" i="10"/>
  <c r="D14" i="10" s="1"/>
  <c r="G59" i="1" l="1"/>
  <c r="H59" i="1" s="1"/>
  <c r="D59" i="1"/>
  <c r="K59" i="1" s="1"/>
  <c r="G51" i="1"/>
  <c r="H51" i="1" s="1"/>
  <c r="D56" i="1"/>
  <c r="G56" i="1"/>
  <c r="D55" i="1"/>
  <c r="G55" i="1"/>
  <c r="B17" i="20"/>
  <c r="R17" i="20" s="1"/>
  <c r="G54" i="1"/>
  <c r="H54" i="1" s="1"/>
  <c r="G53" i="1"/>
  <c r="H53" i="1" s="1"/>
  <c r="G52" i="1"/>
  <c r="H52" i="1" s="1"/>
  <c r="G49" i="1"/>
  <c r="H49" i="1" s="1"/>
  <c r="F148" i="14"/>
  <c r="G148" i="14"/>
  <c r="H148" i="14"/>
  <c r="H149" i="14" s="1"/>
  <c r="E148" i="14"/>
  <c r="E149" i="14" s="1"/>
  <c r="O8" i="6"/>
  <c r="K28" i="8"/>
  <c r="G28" i="8"/>
  <c r="D48" i="1"/>
  <c r="D50" i="1"/>
  <c r="D49" i="1"/>
  <c r="G61" i="8"/>
  <c r="D52" i="1"/>
  <c r="S8" i="6"/>
  <c r="I12" i="9"/>
  <c r="D53" i="1"/>
  <c r="K20" i="14"/>
  <c r="I20" i="14"/>
  <c r="J20" i="14"/>
  <c r="D54" i="1"/>
  <c r="K43" i="8"/>
  <c r="K61" i="8" s="1"/>
  <c r="D25" i="1"/>
  <c r="B6" i="9"/>
  <c r="D5" i="6"/>
  <c r="S13" i="18"/>
  <c r="B3" i="9"/>
  <c r="B7" i="7"/>
  <c r="C12" i="19"/>
  <c r="I3" i="2" s="1"/>
  <c r="I4" i="2" s="1"/>
  <c r="Q15" i="18"/>
  <c r="Q16" i="18" s="1"/>
  <c r="P17" i="18" s="1"/>
  <c r="G32" i="14"/>
  <c r="G36" i="14"/>
  <c r="G40" i="14"/>
  <c r="G44" i="14"/>
  <c r="G48" i="14"/>
  <c r="G52" i="14"/>
  <c r="G56" i="14"/>
  <c r="G64" i="14"/>
  <c r="G68" i="14"/>
  <c r="G72" i="14"/>
  <c r="G76" i="14"/>
  <c r="G80" i="14"/>
  <c r="G84" i="14"/>
  <c r="G88" i="14"/>
  <c r="G92" i="14"/>
  <c r="G96" i="14"/>
  <c r="G59" i="14"/>
  <c r="G91" i="14"/>
  <c r="G119" i="14"/>
  <c r="G33" i="14"/>
  <c r="G37" i="14"/>
  <c r="G45" i="14"/>
  <c r="G49" i="14"/>
  <c r="G53" i="14"/>
  <c r="G57" i="14"/>
  <c r="G61" i="14"/>
  <c r="G65" i="14"/>
  <c r="G69" i="14"/>
  <c r="G73" i="14"/>
  <c r="G77" i="14"/>
  <c r="G81" i="14"/>
  <c r="G93" i="14"/>
  <c r="G97" i="14"/>
  <c r="G31" i="14"/>
  <c r="G39" i="14"/>
  <c r="G47" i="14"/>
  <c r="G55" i="14"/>
  <c r="G67" i="14"/>
  <c r="G75" i="14"/>
  <c r="G83" i="14"/>
  <c r="G95" i="14"/>
  <c r="G34" i="14"/>
  <c r="G38" i="14"/>
  <c r="G42" i="14"/>
  <c r="G46" i="14"/>
  <c r="G54" i="14"/>
  <c r="G58" i="14"/>
  <c r="G62" i="14"/>
  <c r="G66" i="14"/>
  <c r="G70" i="14"/>
  <c r="G74" i="14"/>
  <c r="G78" i="14"/>
  <c r="G82" i="14"/>
  <c r="G86" i="14"/>
  <c r="G90" i="14"/>
  <c r="G94" i="14"/>
  <c r="G102" i="14"/>
  <c r="G130" i="14"/>
  <c r="G29" i="14"/>
  <c r="G35" i="14"/>
  <c r="G43" i="14"/>
  <c r="G51" i="14"/>
  <c r="G63" i="14"/>
  <c r="G71" i="14"/>
  <c r="G79" i="14"/>
  <c r="G143" i="14"/>
  <c r="D20" i="10"/>
  <c r="E3" i="2" s="1"/>
  <c r="E4" i="2" s="1"/>
  <c r="E5" i="2" s="1"/>
  <c r="Q11" i="20" s="1"/>
  <c r="R8" i="6"/>
  <c r="R14" i="6" s="1"/>
  <c r="R45" i="6" s="1"/>
  <c r="T8" i="6"/>
  <c r="T14" i="6" s="1"/>
  <c r="T18" i="6" s="1"/>
  <c r="P8" i="6"/>
  <c r="P14" i="6" s="1"/>
  <c r="N8" i="6"/>
  <c r="N10" i="6" s="1"/>
  <c r="J17" i="18"/>
  <c r="F21" i="18"/>
  <c r="D106" i="1"/>
  <c r="C15" i="18"/>
  <c r="H14" i="18"/>
  <c r="E26" i="18" s="1"/>
  <c r="E28" i="18" s="1"/>
  <c r="E30" i="18" s="1"/>
  <c r="G15" i="18"/>
  <c r="G16" i="18" s="1"/>
  <c r="G50" i="8"/>
  <c r="G55" i="8" s="1"/>
  <c r="E55" i="8"/>
  <c r="Q17" i="6"/>
  <c r="Q18" i="6"/>
  <c r="Q9" i="6"/>
  <c r="Q10" i="6"/>
  <c r="P9" i="6"/>
  <c r="O10" i="6"/>
  <c r="O9" i="6"/>
  <c r="O14" i="6"/>
  <c r="B12" i="9"/>
  <c r="R23" i="6"/>
  <c r="S10" i="6"/>
  <c r="S9" i="6"/>
  <c r="S14" i="6"/>
  <c r="U32" i="6"/>
  <c r="U33" i="6"/>
  <c r="R10" i="6"/>
  <c r="T22" i="6"/>
  <c r="U21" i="6"/>
  <c r="T10" i="6"/>
  <c r="D11" i="20" l="1"/>
  <c r="G11" i="20"/>
  <c r="AS11" i="20"/>
  <c r="AL11" i="20"/>
  <c r="AE11" i="20"/>
  <c r="T11" i="20"/>
  <c r="I11" i="20"/>
  <c r="AR11" i="20"/>
  <c r="AK11" i="20"/>
  <c r="AA11" i="20"/>
  <c r="S11" i="20"/>
  <c r="N11" i="20"/>
  <c r="H11" i="20"/>
  <c r="M11" i="20"/>
  <c r="J11" i="20"/>
  <c r="AQ11" i="20"/>
  <c r="AG11" i="20"/>
  <c r="Y11" i="20"/>
  <c r="F11" i="20"/>
  <c r="AM11" i="20"/>
  <c r="AF11" i="20"/>
  <c r="I5" i="2"/>
  <c r="H86" i="1"/>
  <c r="H56" i="1"/>
  <c r="H87" i="1"/>
  <c r="C74" i="1"/>
  <c r="H88" i="1"/>
  <c r="B74" i="1"/>
  <c r="H89" i="1"/>
  <c r="K56" i="1"/>
  <c r="G10" i="20" s="1"/>
  <c r="I86" i="1"/>
  <c r="I87" i="1"/>
  <c r="I88" i="1"/>
  <c r="I89" i="1"/>
  <c r="K55" i="1"/>
  <c r="H55" i="1"/>
  <c r="K49" i="1"/>
  <c r="E13" i="20" s="1"/>
  <c r="K52" i="1"/>
  <c r="K53" i="1"/>
  <c r="K54" i="1"/>
  <c r="B18" i="20"/>
  <c r="R18" i="20" s="1"/>
  <c r="R9" i="6"/>
  <c r="R18" i="6"/>
  <c r="R17" i="6"/>
  <c r="U8" i="6"/>
  <c r="T12" i="6"/>
  <c r="R11" i="6"/>
  <c r="S11" i="6"/>
  <c r="R20" i="6"/>
  <c r="P11" i="6"/>
  <c r="Q12" i="6"/>
  <c r="T20" i="6"/>
  <c r="R12" i="6"/>
  <c r="O12" i="6"/>
  <c r="Q19" i="6"/>
  <c r="F32" i="14"/>
  <c r="F48" i="14"/>
  <c r="F68" i="14"/>
  <c r="F84" i="14"/>
  <c r="F31" i="14"/>
  <c r="F29" i="14"/>
  <c r="F49" i="14"/>
  <c r="F65" i="14"/>
  <c r="F81" i="14"/>
  <c r="F51" i="14"/>
  <c r="F95" i="14"/>
  <c r="F38" i="14"/>
  <c r="F58" i="14"/>
  <c r="F74" i="14"/>
  <c r="F90" i="14"/>
  <c r="F35" i="14"/>
  <c r="F79" i="14"/>
  <c r="F36" i="14"/>
  <c r="F52" i="14"/>
  <c r="F72" i="14"/>
  <c r="F88" i="14"/>
  <c r="F43" i="14"/>
  <c r="F33" i="14"/>
  <c r="F53" i="14"/>
  <c r="F69" i="14"/>
  <c r="F93" i="14"/>
  <c r="F63" i="14"/>
  <c r="F119" i="14"/>
  <c r="F42" i="14"/>
  <c r="F62" i="14"/>
  <c r="F78" i="14"/>
  <c r="F94" i="14"/>
  <c r="F47" i="14"/>
  <c r="F91" i="14"/>
  <c r="F40" i="14"/>
  <c r="F56" i="14"/>
  <c r="F76" i="14"/>
  <c r="F92" i="14"/>
  <c r="F59" i="14"/>
  <c r="F37" i="14"/>
  <c r="F57" i="14"/>
  <c r="F73" i="14"/>
  <c r="F97" i="14"/>
  <c r="F75" i="14"/>
  <c r="F143" i="14"/>
  <c r="F46" i="14"/>
  <c r="F66" i="14"/>
  <c r="F82" i="14"/>
  <c r="F102" i="14"/>
  <c r="F55" i="14"/>
  <c r="F44" i="14"/>
  <c r="F64" i="14"/>
  <c r="F80" i="14"/>
  <c r="F96" i="14"/>
  <c r="F71" i="14"/>
  <c r="F45" i="14"/>
  <c r="F61" i="14"/>
  <c r="F77" i="14"/>
  <c r="F39" i="14"/>
  <c r="F83" i="14"/>
  <c r="F34" i="14"/>
  <c r="F54" i="14"/>
  <c r="F70" i="14"/>
  <c r="F86" i="14"/>
  <c r="F130" i="14"/>
  <c r="F67" i="14"/>
  <c r="K57" i="8"/>
  <c r="T9" i="6"/>
  <c r="T11" i="6" s="1"/>
  <c r="T17" i="6"/>
  <c r="T19" i="6" s="1"/>
  <c r="G62" i="8"/>
  <c r="G63" i="8" s="1"/>
  <c r="G65" i="8" s="1"/>
  <c r="D3" i="2" s="1"/>
  <c r="D4" i="2" s="1"/>
  <c r="D5" i="2" s="1"/>
  <c r="P11" i="20" s="1"/>
  <c r="S12" i="6"/>
  <c r="R19" i="6"/>
  <c r="Q11" i="6"/>
  <c r="O11" i="6"/>
  <c r="Q20" i="6"/>
  <c r="Q59" i="6"/>
  <c r="P38" i="6"/>
  <c r="O26" i="6"/>
  <c r="R37" i="6"/>
  <c r="Q60" i="6"/>
  <c r="O27" i="6"/>
  <c r="P37" i="6"/>
  <c r="N38" i="6"/>
  <c r="O38" i="6"/>
  <c r="R59" i="6"/>
  <c r="Q37" i="6"/>
  <c r="N60" i="6"/>
  <c r="P60" i="6"/>
  <c r="N49" i="6"/>
  <c r="O49" i="6"/>
  <c r="P48" i="6"/>
  <c r="O48" i="6"/>
  <c r="Q48" i="6"/>
  <c r="R60" i="6"/>
  <c r="N26" i="6"/>
  <c r="P59" i="6"/>
  <c r="N59" i="6"/>
  <c r="O59" i="6"/>
  <c r="Q38" i="6"/>
  <c r="N48" i="6"/>
  <c r="P26" i="6"/>
  <c r="P49" i="6"/>
  <c r="Q26" i="6"/>
  <c r="Q49" i="6"/>
  <c r="O37" i="6"/>
  <c r="N27" i="6"/>
  <c r="O60" i="6"/>
  <c r="P27" i="6"/>
  <c r="Q27" i="6"/>
  <c r="R38" i="6"/>
  <c r="N37" i="6"/>
  <c r="B10" i="7"/>
  <c r="B12" i="7" s="1"/>
  <c r="B13" i="7" s="1"/>
  <c r="C16" i="7"/>
  <c r="G3" i="2" s="1"/>
  <c r="G4" i="2" s="1"/>
  <c r="G5" i="2" s="1"/>
  <c r="W42" i="20" s="1"/>
  <c r="H150" i="14"/>
  <c r="E24" i="18"/>
  <c r="G149" i="14"/>
  <c r="G150" i="14" s="1"/>
  <c r="T34" i="6"/>
  <c r="P10" i="6"/>
  <c r="P12" i="6" s="1"/>
  <c r="N9" i="6"/>
  <c r="N14" i="6"/>
  <c r="T45" i="6" s="1"/>
  <c r="S34" i="6"/>
  <c r="E22" i="18"/>
  <c r="F22" i="18" s="1"/>
  <c r="B13" i="9"/>
  <c r="G21" i="18"/>
  <c r="H21" i="18" s="1"/>
  <c r="I21" i="18" s="1"/>
  <c r="H15" i="18"/>
  <c r="H16" i="18" s="1"/>
  <c r="G17" i="18" s="1"/>
  <c r="R47" i="6"/>
  <c r="R46" i="6"/>
  <c r="T23" i="6"/>
  <c r="U22" i="6"/>
  <c r="P17" i="6"/>
  <c r="P19" i="6" s="1"/>
  <c r="P18" i="6"/>
  <c r="P20" i="6" s="1"/>
  <c r="R25" i="6"/>
  <c r="R24" i="6"/>
  <c r="O18" i="6"/>
  <c r="O20" i="6" s="1"/>
  <c r="O17" i="6"/>
  <c r="O19" i="6" s="1"/>
  <c r="T35" i="6"/>
  <c r="T37" i="6" s="1"/>
  <c r="T36" i="6"/>
  <c r="T38" i="6" s="1"/>
  <c r="S18" i="6"/>
  <c r="S20" i="6" s="1"/>
  <c r="S17" i="6"/>
  <c r="S19" i="6" s="1"/>
  <c r="S36" i="6"/>
  <c r="S35" i="6"/>
  <c r="U34" i="6"/>
  <c r="S23" i="6"/>
  <c r="N12" i="6"/>
  <c r="G57" i="8"/>
  <c r="G58" i="8" s="1"/>
  <c r="G59" i="8" s="1"/>
  <c r="AA8" i="20" l="1"/>
  <c r="G8" i="20"/>
  <c r="AA7" i="20"/>
  <c r="G7" i="20"/>
  <c r="AA9" i="20"/>
  <c r="G9" i="20"/>
  <c r="AA6" i="20"/>
  <c r="G6" i="20"/>
  <c r="G12" i="20"/>
  <c r="G13" i="20"/>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H9" i="20"/>
  <c r="C9" i="29" s="1"/>
  <c r="E9" i="29" s="1"/>
  <c r="I9" i="29" s="1"/>
  <c r="F9" i="20"/>
  <c r="C9" i="28" s="1"/>
  <c r="E9" i="28" s="1"/>
  <c r="I9" i="28" s="1"/>
  <c r="AB9" i="28" s="1"/>
  <c r="AS9" i="20"/>
  <c r="AL9" i="20"/>
  <c r="AE9" i="20"/>
  <c r="N9" i="20"/>
  <c r="E38" i="20"/>
  <c r="E17" i="20"/>
  <c r="E42" i="20"/>
  <c r="E33" i="20"/>
  <c r="E34" i="20"/>
  <c r="E12" i="20"/>
  <c r="E11" i="20"/>
  <c r="E39" i="20"/>
  <c r="E29" i="20"/>
  <c r="AM7" i="20"/>
  <c r="S7" i="20"/>
  <c r="C9" i="20"/>
  <c r="AM9" i="20"/>
  <c r="AF9" i="20"/>
  <c r="S9" i="20"/>
  <c r="I9" i="20"/>
  <c r="AQ7" i="20"/>
  <c r="AG7" i="20"/>
  <c r="T7" i="20"/>
  <c r="J7" i="20"/>
  <c r="C7" i="20"/>
  <c r="AR9" i="20"/>
  <c r="AK9" i="20"/>
  <c r="Y9" i="20"/>
  <c r="M9" i="20"/>
  <c r="AS7" i="20"/>
  <c r="AL7" i="20"/>
  <c r="AE7" i="20"/>
  <c r="N7" i="20"/>
  <c r="H7" i="20"/>
  <c r="C7" i="29" s="1"/>
  <c r="E7" i="29" s="1"/>
  <c r="I7" i="29" s="1"/>
  <c r="H7" i="29" s="1"/>
  <c r="F7" i="20"/>
  <c r="C7" i="28" s="1"/>
  <c r="E7" i="28" s="1"/>
  <c r="I7" i="28" s="1"/>
  <c r="AB7" i="28" s="1"/>
  <c r="AF7" i="20"/>
  <c r="I7" i="20"/>
  <c r="D9" i="20"/>
  <c r="AQ9" i="20"/>
  <c r="AG9" i="20"/>
  <c r="T9" i="20"/>
  <c r="J9" i="20"/>
  <c r="AR7" i="20"/>
  <c r="AK7" i="20"/>
  <c r="Y7" i="20"/>
  <c r="M7" i="20"/>
  <c r="D7" i="20"/>
  <c r="AL8" i="20"/>
  <c r="F8" i="20"/>
  <c r="C8" i="28" s="1"/>
  <c r="E8" i="28" s="1"/>
  <c r="I8" i="28" s="1"/>
  <c r="AB8" i="28" s="1"/>
  <c r="I8" i="20"/>
  <c r="Y8" i="20"/>
  <c r="AR8" i="20"/>
  <c r="N8" i="20"/>
  <c r="E27" i="20"/>
  <c r="E23" i="20"/>
  <c r="E22" i="20"/>
  <c r="AF6" i="20"/>
  <c r="E18" i="20"/>
  <c r="D42" i="20"/>
  <c r="E37" i="20"/>
  <c r="E31" i="20"/>
  <c r="E26" i="20"/>
  <c r="E21" i="20"/>
  <c r="E15" i="20"/>
  <c r="E10" i="20"/>
  <c r="AF8" i="20"/>
  <c r="E41" i="20"/>
  <c r="E35" i="20"/>
  <c r="E30" i="20"/>
  <c r="E25" i="20"/>
  <c r="E19" i="20"/>
  <c r="E14" i="20"/>
  <c r="AM8" i="20"/>
  <c r="AE8" i="20"/>
  <c r="M8" i="20"/>
  <c r="S6" i="20"/>
  <c r="I6" i="20"/>
  <c r="H12" i="20"/>
  <c r="H13" i="20" s="1"/>
  <c r="H14" i="20" s="1"/>
  <c r="H15" i="20" s="1"/>
  <c r="H16" i="20" s="1"/>
  <c r="H17" i="20" s="1"/>
  <c r="H18" i="20" s="1"/>
  <c r="H19" i="20" s="1"/>
  <c r="H20" i="20" s="1"/>
  <c r="H21" i="20" s="1"/>
  <c r="H22" i="20" s="1"/>
  <c r="H23" i="20" s="1"/>
  <c r="H24" i="20" s="1"/>
  <c r="H25" i="20" s="1"/>
  <c r="H26" i="20" s="1"/>
  <c r="H27" i="20" s="1"/>
  <c r="H28" i="20" s="1"/>
  <c r="H29" i="20" s="1"/>
  <c r="H30" i="20" s="1"/>
  <c r="H31" i="20" s="1"/>
  <c r="H32" i="20" s="1"/>
  <c r="H33" i="20" s="1"/>
  <c r="H34" i="20" s="1"/>
  <c r="H35" i="20" s="1"/>
  <c r="H36" i="20" s="1"/>
  <c r="H37" i="20" s="1"/>
  <c r="H38" i="20" s="1"/>
  <c r="H39" i="20" s="1"/>
  <c r="H40" i="20" s="1"/>
  <c r="H41" i="20" s="1"/>
  <c r="H42" i="20" s="1"/>
  <c r="AS8" i="20"/>
  <c r="AK8" i="20"/>
  <c r="S8" i="20"/>
  <c r="H8" i="20"/>
  <c r="C8" i="29" s="1"/>
  <c r="E8" i="29" s="1"/>
  <c r="I8" i="29" s="1"/>
  <c r="AB8" i="29" s="1"/>
  <c r="D8" i="20"/>
  <c r="AM6" i="20"/>
  <c r="AM10" i="20"/>
  <c r="AF10" i="20"/>
  <c r="T10" i="20"/>
  <c r="I10" i="20"/>
  <c r="C10" i="20"/>
  <c r="AS10" i="20"/>
  <c r="BR10" i="20" s="1"/>
  <c r="AL10" i="20"/>
  <c r="AE10" i="20"/>
  <c r="N10" i="20"/>
  <c r="H10" i="20"/>
  <c r="C10" i="29" s="1"/>
  <c r="E10" i="29" s="1"/>
  <c r="I10" i="29" s="1"/>
  <c r="AB10" i="29" s="1"/>
  <c r="AR10" i="20"/>
  <c r="AK10" i="20"/>
  <c r="AA10" i="20"/>
  <c r="BK10" i="20" s="1"/>
  <c r="M10" i="20"/>
  <c r="F10" i="20"/>
  <c r="C10" i="28" s="1"/>
  <c r="E10" i="28" s="1"/>
  <c r="I10" i="28" s="1"/>
  <c r="AB10" i="28" s="1"/>
  <c r="AQ10" i="20"/>
  <c r="AG10" i="20"/>
  <c r="Y10" i="20"/>
  <c r="J10" i="20"/>
  <c r="D10" i="20"/>
  <c r="AZ10" i="20" s="1"/>
  <c r="AQ8" i="20"/>
  <c r="AG8" i="20"/>
  <c r="T8" i="20"/>
  <c r="J8" i="20"/>
  <c r="C8" i="20"/>
  <c r="AS6" i="20"/>
  <c r="AL6" i="20"/>
  <c r="AE6" i="20"/>
  <c r="N6" i="20"/>
  <c r="H6" i="20"/>
  <c r="C6" i="29" s="1"/>
  <c r="E6" i="29" s="1"/>
  <c r="I6" i="29" s="1"/>
  <c r="H6" i="29" s="1"/>
  <c r="F6" i="20"/>
  <c r="C6" i="28" s="1"/>
  <c r="E6" i="28" s="1"/>
  <c r="I6" i="28" s="1"/>
  <c r="H6" i="28" s="1"/>
  <c r="C11" i="28"/>
  <c r="E11" i="28" s="1"/>
  <c r="I11" i="28" s="1"/>
  <c r="H11" i="28" s="1"/>
  <c r="AR6" i="20"/>
  <c r="AK6" i="20"/>
  <c r="Y6" i="20"/>
  <c r="M6" i="20"/>
  <c r="D6" i="20"/>
  <c r="AQ6" i="20"/>
  <c r="AG6" i="20"/>
  <c r="T6" i="20"/>
  <c r="J6" i="20"/>
  <c r="C6" i="20"/>
  <c r="E40" i="20"/>
  <c r="E36" i="20"/>
  <c r="E32" i="20"/>
  <c r="E28" i="20"/>
  <c r="E24" i="20"/>
  <c r="E20" i="20"/>
  <c r="E16" i="20"/>
  <c r="J89" i="1"/>
  <c r="J88" i="1"/>
  <c r="J87" i="1"/>
  <c r="AU37" i="20" s="1"/>
  <c r="J86" i="1"/>
  <c r="W40" i="20"/>
  <c r="W38" i="20"/>
  <c r="W36" i="20"/>
  <c r="W34" i="20"/>
  <c r="W32" i="20"/>
  <c r="W30" i="20"/>
  <c r="W28" i="20"/>
  <c r="W26" i="20"/>
  <c r="W24" i="20"/>
  <c r="W22" i="20"/>
  <c r="W20" i="20"/>
  <c r="W18" i="20"/>
  <c r="W16" i="20"/>
  <c r="W14" i="20"/>
  <c r="W12" i="20"/>
  <c r="W10" i="20"/>
  <c r="W39" i="20"/>
  <c r="W35" i="20"/>
  <c r="W41" i="20"/>
  <c r="W37" i="20"/>
  <c r="W33" i="20"/>
  <c r="W31" i="20"/>
  <c r="W27" i="20"/>
  <c r="W29" i="20"/>
  <c r="W19" i="20"/>
  <c r="W11" i="20"/>
  <c r="W13" i="20"/>
  <c r="W25" i="20"/>
  <c r="W17" i="20"/>
  <c r="W23" i="20"/>
  <c r="W15" i="20"/>
  <c r="W21" i="20"/>
  <c r="X41" i="20"/>
  <c r="X37" i="20"/>
  <c r="X33" i="20"/>
  <c r="X29" i="20"/>
  <c r="X25" i="20"/>
  <c r="X21" i="20"/>
  <c r="X17" i="20"/>
  <c r="X13" i="20"/>
  <c r="X40" i="20"/>
  <c r="X36" i="20"/>
  <c r="X32" i="20"/>
  <c r="X28" i="20"/>
  <c r="X24" i="20"/>
  <c r="X20" i="20"/>
  <c r="X16" i="20"/>
  <c r="X12" i="20"/>
  <c r="X31" i="20"/>
  <c r="X23" i="20"/>
  <c r="X11" i="20"/>
  <c r="X39" i="20"/>
  <c r="X35" i="20"/>
  <c r="X27" i="20"/>
  <c r="X19" i="20"/>
  <c r="X15" i="20"/>
  <c r="X30" i="20"/>
  <c r="X14" i="20"/>
  <c r="X42" i="20"/>
  <c r="X26" i="20"/>
  <c r="X10" i="20"/>
  <c r="X18" i="20"/>
  <c r="X38" i="20"/>
  <c r="X22" i="20"/>
  <c r="X34" i="20"/>
  <c r="B19" i="20"/>
  <c r="R19" i="20" s="1"/>
  <c r="C13" i="25"/>
  <c r="C13" i="31"/>
  <c r="D13" i="31" s="1"/>
  <c r="C13" i="26"/>
  <c r="C12" i="25"/>
  <c r="C12" i="31"/>
  <c r="D12" i="31" s="1"/>
  <c r="C12" i="26"/>
  <c r="C11" i="25"/>
  <c r="C11" i="31"/>
  <c r="D11" i="31" s="1"/>
  <c r="C11" i="26"/>
  <c r="C10" i="31"/>
  <c r="D10" i="31" s="1"/>
  <c r="C10" i="26"/>
  <c r="C10" i="25"/>
  <c r="G155" i="14"/>
  <c r="C3" i="2" s="1"/>
  <c r="C4" i="2" s="1"/>
  <c r="C5" i="2" s="1"/>
  <c r="O11" i="20" s="1"/>
  <c r="G151" i="14"/>
  <c r="G153" i="14" s="1"/>
  <c r="H151" i="14"/>
  <c r="H153" i="14" s="1"/>
  <c r="U10" i="6"/>
  <c r="H9" i="29"/>
  <c r="AB9" i="29"/>
  <c r="H9" i="28"/>
  <c r="P42" i="20"/>
  <c r="P38" i="20"/>
  <c r="P34" i="20"/>
  <c r="P30" i="20"/>
  <c r="P26" i="20"/>
  <c r="P22" i="20"/>
  <c r="P18" i="20"/>
  <c r="P14" i="20"/>
  <c r="P10" i="20"/>
  <c r="P41" i="20"/>
  <c r="P37" i="20"/>
  <c r="P33" i="20"/>
  <c r="P29" i="20"/>
  <c r="P25" i="20"/>
  <c r="P21" i="20"/>
  <c r="P17" i="20"/>
  <c r="P13" i="20"/>
  <c r="P40" i="20"/>
  <c r="P36" i="20"/>
  <c r="P32" i="20"/>
  <c r="P28" i="20"/>
  <c r="P24" i="20"/>
  <c r="P20" i="20"/>
  <c r="P16" i="20"/>
  <c r="P12" i="20"/>
  <c r="P31" i="20"/>
  <c r="P15" i="20"/>
  <c r="P35" i="20"/>
  <c r="P23" i="20"/>
  <c r="P39" i="20"/>
  <c r="P27" i="20"/>
  <c r="P19" i="20"/>
  <c r="Q41" i="20"/>
  <c r="Q37" i="20"/>
  <c r="Q33" i="20"/>
  <c r="Q29" i="20"/>
  <c r="Q25" i="20"/>
  <c r="Q21" i="20"/>
  <c r="Q17" i="20"/>
  <c r="Q13" i="20"/>
  <c r="Q40" i="20"/>
  <c r="Q36" i="20"/>
  <c r="Q32" i="20"/>
  <c r="Q28" i="20"/>
  <c r="Q24" i="20"/>
  <c r="Q20" i="20"/>
  <c r="Q16" i="20"/>
  <c r="Q12" i="20"/>
  <c r="Q39" i="20"/>
  <c r="Q35" i="20"/>
  <c r="Q31" i="20"/>
  <c r="Q27" i="20"/>
  <c r="Q23" i="20"/>
  <c r="Q19" i="20"/>
  <c r="Q15" i="20"/>
  <c r="Q42" i="20"/>
  <c r="Q30" i="20"/>
  <c r="Q22" i="20"/>
  <c r="Q10" i="20"/>
  <c r="Q34" i="20"/>
  <c r="Q14" i="20"/>
  <c r="Q38" i="20"/>
  <c r="Q26" i="20"/>
  <c r="Q18" i="20"/>
  <c r="C87" i="1"/>
  <c r="D87" i="1" s="1"/>
  <c r="C88" i="1"/>
  <c r="D88" i="1" s="1"/>
  <c r="C89" i="1"/>
  <c r="D89" i="1" s="1"/>
  <c r="C86" i="1"/>
  <c r="D86" i="1" s="1"/>
  <c r="T56" i="6"/>
  <c r="U9" i="6"/>
  <c r="F149" i="14"/>
  <c r="F150" i="14" s="1"/>
  <c r="U14" i="6"/>
  <c r="H152" i="14"/>
  <c r="U12" i="6"/>
  <c r="F24" i="18"/>
  <c r="F25" i="18" s="1"/>
  <c r="G152" i="14"/>
  <c r="S56" i="6"/>
  <c r="U56" i="6" s="1"/>
  <c r="N17" i="6"/>
  <c r="N11" i="6"/>
  <c r="U11" i="6" s="1"/>
  <c r="S45" i="6"/>
  <c r="S47" i="6" s="1"/>
  <c r="S49" i="6" s="1"/>
  <c r="N18" i="6"/>
  <c r="U18" i="6" s="1"/>
  <c r="U23" i="6"/>
  <c r="F26" i="18"/>
  <c r="F27" i="18" s="1"/>
  <c r="G22" i="18"/>
  <c r="H22" i="18" s="1"/>
  <c r="I22" i="18" s="1"/>
  <c r="F23" i="18"/>
  <c r="G23" i="18" s="1"/>
  <c r="H23" i="18" s="1"/>
  <c r="I23" i="18" s="1"/>
  <c r="T58" i="6"/>
  <c r="T60" i="6" s="1"/>
  <c r="T57" i="6"/>
  <c r="T59" i="6" s="1"/>
  <c r="S25" i="6"/>
  <c r="S27" i="6" s="1"/>
  <c r="S24" i="6"/>
  <c r="S26" i="6" s="1"/>
  <c r="R26" i="6"/>
  <c r="S58" i="6"/>
  <c r="S57" i="6"/>
  <c r="R48" i="6"/>
  <c r="S37" i="6"/>
  <c r="U37" i="6" s="1"/>
  <c r="U35" i="6"/>
  <c r="R27" i="6"/>
  <c r="N20" i="6"/>
  <c r="U20" i="6" s="1"/>
  <c r="F29" i="6" s="1"/>
  <c r="S38" i="6"/>
  <c r="U38" i="6" s="1"/>
  <c r="U36" i="6"/>
  <c r="U41" i="6" s="1"/>
  <c r="U42" i="6" s="1"/>
  <c r="T47" i="6"/>
  <c r="T49" i="6" s="1"/>
  <c r="T46" i="6"/>
  <c r="T48" i="6" s="1"/>
  <c r="T25" i="6"/>
  <c r="T27" i="6" s="1"/>
  <c r="T24" i="6"/>
  <c r="T26" i="6" s="1"/>
  <c r="R49" i="6"/>
  <c r="H10" i="28" l="1"/>
  <c r="AB7" i="29"/>
  <c r="AK7" i="29" s="1"/>
  <c r="C11" i="20"/>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H8" i="28"/>
  <c r="H7" i="28"/>
  <c r="H10" i="29"/>
  <c r="H8" i="29"/>
  <c r="AB6" i="29"/>
  <c r="AJ6" i="29" s="1"/>
  <c r="C11" i="29"/>
  <c r="E11" i="29" s="1"/>
  <c r="I11" i="29" s="1"/>
  <c r="H11" i="29" s="1"/>
  <c r="AU42" i="20"/>
  <c r="AU30" i="20"/>
  <c r="AU27" i="20"/>
  <c r="AU25" i="20"/>
  <c r="AU10" i="20"/>
  <c r="AU38" i="20"/>
  <c r="AU39" i="20"/>
  <c r="AU28" i="20"/>
  <c r="AU29" i="20"/>
  <c r="AB6" i="28"/>
  <c r="AK6" i="28" s="1"/>
  <c r="AU14" i="20"/>
  <c r="AU15" i="20"/>
  <c r="AU40" i="20"/>
  <c r="AU36" i="20"/>
  <c r="AU41" i="20"/>
  <c r="AU24" i="20"/>
  <c r="AU26" i="20"/>
  <c r="AU23" i="20"/>
  <c r="AU12" i="20"/>
  <c r="AU17" i="20"/>
  <c r="AT42" i="20"/>
  <c r="AT17" i="20"/>
  <c r="AU22" i="20"/>
  <c r="AU11" i="20"/>
  <c r="AU31" i="20"/>
  <c r="AU20" i="20"/>
  <c r="AU13" i="20"/>
  <c r="AU33" i="20"/>
  <c r="AT13" i="20"/>
  <c r="AT22" i="20"/>
  <c r="F13" i="20"/>
  <c r="F14" i="20" s="1"/>
  <c r="AB11" i="28"/>
  <c r="AJ11" i="28" s="1"/>
  <c r="AM12" i="28" s="1"/>
  <c r="AT24" i="20"/>
  <c r="AT28" i="20"/>
  <c r="AT41" i="20"/>
  <c r="AT14" i="20"/>
  <c r="AT12" i="20"/>
  <c r="AT11" i="20"/>
  <c r="AT15" i="20"/>
  <c r="AT33" i="20"/>
  <c r="AT19" i="20"/>
  <c r="AT20" i="20"/>
  <c r="F12" i="20"/>
  <c r="C12" i="28" s="1"/>
  <c r="E12" i="28" s="1"/>
  <c r="AT29" i="20"/>
  <c r="AT30" i="20"/>
  <c r="AT25" i="20"/>
  <c r="AT32" i="20"/>
  <c r="AT10" i="20"/>
  <c r="AT27" i="20"/>
  <c r="AT18" i="20"/>
  <c r="AT34" i="20"/>
  <c r="AT31" i="20"/>
  <c r="AT36" i="20"/>
  <c r="AT21" i="20"/>
  <c r="AT37" i="20"/>
  <c r="AT23" i="20"/>
  <c r="AT38" i="20"/>
  <c r="AT35" i="20"/>
  <c r="AT39" i="20"/>
  <c r="AT26" i="20"/>
  <c r="AT40" i="20"/>
  <c r="AT16" i="20"/>
  <c r="AY10" i="20"/>
  <c r="AU18" i="20"/>
  <c r="AU34" i="20"/>
  <c r="AU19" i="20"/>
  <c r="AU35" i="20"/>
  <c r="AU16" i="20"/>
  <c r="AU32" i="20"/>
  <c r="AU21" i="20"/>
  <c r="C14" i="25"/>
  <c r="D14" i="25" s="1"/>
  <c r="B20" i="20"/>
  <c r="R20" i="20" s="1"/>
  <c r="E87" i="1"/>
  <c r="E89" i="1"/>
  <c r="E88" i="1"/>
  <c r="E86" i="1"/>
  <c r="O16" i="20"/>
  <c r="C23" i="6"/>
  <c r="V12" i="6"/>
  <c r="C25" i="6"/>
  <c r="V37" i="6"/>
  <c r="W38" i="6"/>
  <c r="C31" i="6"/>
  <c r="V38" i="6"/>
  <c r="S10" i="20"/>
  <c r="F152" i="14"/>
  <c r="F151" i="14"/>
  <c r="F153" i="14" s="1"/>
  <c r="T12" i="20"/>
  <c r="S12" i="20"/>
  <c r="E12" i="31"/>
  <c r="G12" i="31"/>
  <c r="F12" i="31"/>
  <c r="G10" i="31"/>
  <c r="E10" i="31"/>
  <c r="F10" i="31"/>
  <c r="E13" i="31"/>
  <c r="G13" i="31"/>
  <c r="F13" i="31"/>
  <c r="F11" i="31"/>
  <c r="G11" i="31"/>
  <c r="E11" i="31"/>
  <c r="D12" i="26"/>
  <c r="D10" i="25"/>
  <c r="D11" i="26"/>
  <c r="X11" i="6"/>
  <c r="AJ8" i="28"/>
  <c r="AK8" i="28"/>
  <c r="AK9" i="29"/>
  <c r="AJ9" i="29"/>
  <c r="AJ8" i="29"/>
  <c r="AK8" i="29"/>
  <c r="AJ7" i="28"/>
  <c r="AK7" i="28"/>
  <c r="D13" i="26"/>
  <c r="S46" i="6"/>
  <c r="S48" i="6" s="1"/>
  <c r="U48" i="6" s="1"/>
  <c r="U39" i="6"/>
  <c r="U40" i="6" s="1"/>
  <c r="C12" i="29"/>
  <c r="AJ10" i="28"/>
  <c r="AK10" i="28"/>
  <c r="D13" i="25"/>
  <c r="C29" i="6"/>
  <c r="X12" i="6"/>
  <c r="D12" i="25"/>
  <c r="AJ9" i="28"/>
  <c r="AK9" i="28"/>
  <c r="D10" i="26"/>
  <c r="D11" i="25"/>
  <c r="AJ10" i="29"/>
  <c r="AK10" i="29"/>
  <c r="U17" i="6"/>
  <c r="N19" i="6"/>
  <c r="U19" i="6" s="1"/>
  <c r="BA10" i="20"/>
  <c r="BA11" i="20" s="1"/>
  <c r="U45" i="6"/>
  <c r="U47" i="6"/>
  <c r="U52" i="6" s="1"/>
  <c r="U53" i="6" s="1"/>
  <c r="G24" i="18"/>
  <c r="H24" i="18" s="1"/>
  <c r="I24" i="18" s="1"/>
  <c r="F30" i="18"/>
  <c r="F28" i="18"/>
  <c r="G26" i="18"/>
  <c r="H26" i="18" s="1"/>
  <c r="I26" i="18" s="1"/>
  <c r="G27" i="18"/>
  <c r="H27" i="18" s="1"/>
  <c r="G25" i="18"/>
  <c r="H25" i="18" s="1"/>
  <c r="I25" i="18" s="1"/>
  <c r="S59" i="6"/>
  <c r="U59" i="6" s="1"/>
  <c r="U57" i="6"/>
  <c r="U26" i="6"/>
  <c r="S60" i="6"/>
  <c r="U60" i="6" s="1"/>
  <c r="U58" i="6"/>
  <c r="U63" i="6" s="1"/>
  <c r="U64" i="6" s="1"/>
  <c r="U49" i="6"/>
  <c r="U25" i="6"/>
  <c r="U30" i="6" s="1"/>
  <c r="U31" i="6" s="1"/>
  <c r="U27" i="6"/>
  <c r="U24" i="6"/>
  <c r="U28" i="6" s="1"/>
  <c r="U29" i="6" s="1"/>
  <c r="AJ7" i="29" l="1"/>
  <c r="AB11" i="29"/>
  <c r="AJ11" i="29" s="1"/>
  <c r="AY11" i="20"/>
  <c r="AY12" i="20" s="1"/>
  <c r="AY13" i="20" s="1"/>
  <c r="BA12" i="20"/>
  <c r="BA13" i="20" s="1"/>
  <c r="BA14" i="20" s="1"/>
  <c r="C42" i="20"/>
  <c r="C13" i="28"/>
  <c r="E13" i="28" s="1"/>
  <c r="I13" i="28" s="1"/>
  <c r="H13" i="28" s="1"/>
  <c r="AJ6" i="28"/>
  <c r="AK6" i="29"/>
  <c r="AK11" i="28"/>
  <c r="W2" i="20"/>
  <c r="T5" i="20" s="1"/>
  <c r="D12" i="28"/>
  <c r="D43" i="18"/>
  <c r="F43" i="18" s="1"/>
  <c r="I27" i="18"/>
  <c r="C14" i="31"/>
  <c r="D14" i="31" s="1"/>
  <c r="G14" i="31" s="1"/>
  <c r="C14" i="26"/>
  <c r="D14" i="26" s="1"/>
  <c r="E14" i="26" s="1"/>
  <c r="B21" i="20"/>
  <c r="R21" i="20" s="1"/>
  <c r="O35" i="20"/>
  <c r="O38" i="20"/>
  <c r="O15" i="20"/>
  <c r="O30" i="20"/>
  <c r="O19" i="20"/>
  <c r="E31" i="6"/>
  <c r="O13" i="20"/>
  <c r="O34" i="20"/>
  <c r="O24" i="20"/>
  <c r="O31" i="20"/>
  <c r="O28" i="20"/>
  <c r="O14" i="20"/>
  <c r="O36" i="20"/>
  <c r="O10" i="20"/>
  <c r="E25" i="6"/>
  <c r="O25" i="20"/>
  <c r="O12" i="20"/>
  <c r="AV10" i="20"/>
  <c r="AV39" i="20"/>
  <c r="AV19" i="20"/>
  <c r="AV37" i="20"/>
  <c r="AV21" i="20"/>
  <c r="AV40" i="20"/>
  <c r="AV24" i="20"/>
  <c r="AV34" i="20"/>
  <c r="AV18" i="20"/>
  <c r="AV35" i="20"/>
  <c r="AV15" i="20"/>
  <c r="AV33" i="20"/>
  <c r="AV17" i="20"/>
  <c r="AV36" i="20"/>
  <c r="AV20" i="20"/>
  <c r="AV23" i="20"/>
  <c r="AV30" i="20"/>
  <c r="AV14" i="20"/>
  <c r="AV25" i="20"/>
  <c r="AV12" i="20"/>
  <c r="AV22" i="20"/>
  <c r="AV31" i="20"/>
  <c r="AV11" i="20"/>
  <c r="AV29" i="20"/>
  <c r="AV13" i="20"/>
  <c r="AV32" i="20"/>
  <c r="AV16" i="20"/>
  <c r="AV42" i="20"/>
  <c r="AV26" i="20"/>
  <c r="AV27" i="20"/>
  <c r="AV41" i="20"/>
  <c r="AV28" i="20"/>
  <c r="AV38" i="20"/>
  <c r="AX12" i="20"/>
  <c r="AX33" i="20"/>
  <c r="AX39" i="20"/>
  <c r="AX23" i="20"/>
  <c r="AX42" i="20"/>
  <c r="AX26" i="20"/>
  <c r="AX10" i="20"/>
  <c r="AX28" i="20"/>
  <c r="AX41" i="20"/>
  <c r="AX13" i="20"/>
  <c r="AX25" i="20"/>
  <c r="AX35" i="20"/>
  <c r="AX19" i="20"/>
  <c r="AX38" i="20"/>
  <c r="AX22" i="20"/>
  <c r="AX40" i="20"/>
  <c r="AX24" i="20"/>
  <c r="AX11" i="20"/>
  <c r="AX14" i="20"/>
  <c r="AX16" i="20"/>
  <c r="AX17" i="20"/>
  <c r="AX37" i="20"/>
  <c r="AX31" i="20"/>
  <c r="AX15" i="20"/>
  <c r="AX34" i="20"/>
  <c r="AX18" i="20"/>
  <c r="AX36" i="20"/>
  <c r="AX20" i="20"/>
  <c r="AX29" i="20"/>
  <c r="AX21" i="20"/>
  <c r="AX27" i="20"/>
  <c r="AX30" i="20"/>
  <c r="AX32" i="20"/>
  <c r="AW11" i="20"/>
  <c r="AW32" i="20"/>
  <c r="AW12" i="20"/>
  <c r="AW36" i="20"/>
  <c r="AW38" i="20"/>
  <c r="AW22" i="20"/>
  <c r="AW41" i="20"/>
  <c r="AW25" i="20"/>
  <c r="AW31" i="20"/>
  <c r="AW15" i="20"/>
  <c r="AW20" i="20"/>
  <c r="AW34" i="20"/>
  <c r="AW18" i="20"/>
  <c r="AW37" i="20"/>
  <c r="AW21" i="20"/>
  <c r="AW27" i="20"/>
  <c r="AW13" i="20"/>
  <c r="AW19" i="20"/>
  <c r="AW16" i="20"/>
  <c r="AW40" i="20"/>
  <c r="AW30" i="20"/>
  <c r="AW14" i="20"/>
  <c r="AW33" i="20"/>
  <c r="AW17" i="20"/>
  <c r="AW39" i="20"/>
  <c r="AW23" i="20"/>
  <c r="AW28" i="20"/>
  <c r="AW24" i="20"/>
  <c r="AW42" i="20"/>
  <c r="AW26" i="20"/>
  <c r="AW10" i="20"/>
  <c r="AW29" i="20"/>
  <c r="AW35" i="20"/>
  <c r="X38" i="6"/>
  <c r="O23" i="20"/>
  <c r="O42" i="20"/>
  <c r="O29" i="20"/>
  <c r="O26" i="20"/>
  <c r="O27" i="20"/>
  <c r="O22" i="20"/>
  <c r="O18" i="20"/>
  <c r="O37" i="20"/>
  <c r="O33" i="20"/>
  <c r="O21" i="20"/>
  <c r="O17" i="20"/>
  <c r="O20" i="20"/>
  <c r="O40" i="20"/>
  <c r="O41" i="20"/>
  <c r="O32" i="20"/>
  <c r="O39" i="20"/>
  <c r="T13" i="20"/>
  <c r="S13" i="20"/>
  <c r="F24" i="6"/>
  <c r="W49" i="6"/>
  <c r="V48" i="6"/>
  <c r="F23" i="6"/>
  <c r="V20" i="6"/>
  <c r="C30" i="6"/>
  <c r="E30" i="6" s="1"/>
  <c r="V27" i="6"/>
  <c r="F31" i="6"/>
  <c r="H31" i="6" s="1"/>
  <c r="V60" i="6"/>
  <c r="F25" i="6"/>
  <c r="V59" i="6"/>
  <c r="W60" i="6"/>
  <c r="C24" i="6"/>
  <c r="E24" i="6" s="1"/>
  <c r="W27" i="6"/>
  <c r="X27" i="6" s="1"/>
  <c r="V26" i="6"/>
  <c r="F30" i="6"/>
  <c r="H30" i="6" s="1"/>
  <c r="V49" i="6"/>
  <c r="L13" i="31"/>
  <c r="Q13" i="31" s="1"/>
  <c r="U13" i="31"/>
  <c r="Z13" i="31" s="1"/>
  <c r="AV13" i="31"/>
  <c r="BA13" i="31" s="1"/>
  <c r="AD13" i="31"/>
  <c r="AI13" i="31" s="1"/>
  <c r="AM13" i="31"/>
  <c r="AR13" i="31" s="1"/>
  <c r="AV11" i="31"/>
  <c r="BA11" i="31" s="1"/>
  <c r="AM11" i="31"/>
  <c r="AR11" i="31" s="1"/>
  <c r="U11" i="31"/>
  <c r="Z11" i="31" s="1"/>
  <c r="AD11" i="31"/>
  <c r="AI11" i="31" s="1"/>
  <c r="L11" i="31"/>
  <c r="Q11" i="31" s="1"/>
  <c r="AV10" i="31"/>
  <c r="BA10" i="31" s="1"/>
  <c r="L10" i="31"/>
  <c r="Q10" i="31" s="1"/>
  <c r="AD10" i="31"/>
  <c r="AI10" i="31" s="1"/>
  <c r="AM10" i="31"/>
  <c r="AR10" i="31" s="1"/>
  <c r="U10" i="31"/>
  <c r="Z10" i="31" s="1"/>
  <c r="U12" i="31"/>
  <c r="Z12" i="31" s="1"/>
  <c r="AV12" i="31"/>
  <c r="BA12" i="31" s="1"/>
  <c r="AM12" i="31"/>
  <c r="AR12" i="31" s="1"/>
  <c r="AD12" i="31"/>
  <c r="AI12" i="31" s="1"/>
  <c r="L12" i="31"/>
  <c r="Q12" i="31" s="1"/>
  <c r="E11" i="26"/>
  <c r="F11" i="26"/>
  <c r="G11" i="26"/>
  <c r="C13" i="29"/>
  <c r="E13" i="29" s="1"/>
  <c r="I13" i="29" s="1"/>
  <c r="U46" i="6"/>
  <c r="U50" i="6" s="1"/>
  <c r="U51" i="6" s="1"/>
  <c r="U61" i="6"/>
  <c r="U62" i="6" s="1"/>
  <c r="C72" i="6" s="1"/>
  <c r="H3" i="2" s="1"/>
  <c r="H4" i="2" s="1"/>
  <c r="H5" i="2" s="1"/>
  <c r="E10" i="26"/>
  <c r="F10" i="26"/>
  <c r="G10" i="26"/>
  <c r="E12" i="25"/>
  <c r="G12" i="25"/>
  <c r="F12" i="25"/>
  <c r="F15" i="20"/>
  <c r="C14" i="28"/>
  <c r="E14" i="28" s="1"/>
  <c r="I14" i="28" s="1"/>
  <c r="F14" i="25"/>
  <c r="G14" i="25"/>
  <c r="E14" i="25"/>
  <c r="E11" i="25"/>
  <c r="G11" i="25"/>
  <c r="F11" i="25"/>
  <c r="I12" i="28"/>
  <c r="F12" i="28"/>
  <c r="F13" i="25"/>
  <c r="E13" i="25"/>
  <c r="G13" i="25"/>
  <c r="E12" i="29"/>
  <c r="D12" i="29"/>
  <c r="F13" i="26"/>
  <c r="E13" i="26"/>
  <c r="G13" i="26"/>
  <c r="E10" i="25"/>
  <c r="F10" i="25"/>
  <c r="G10" i="25"/>
  <c r="F12" i="26"/>
  <c r="E12" i="26"/>
  <c r="G12" i="26"/>
  <c r="BH10" i="20"/>
  <c r="BH11" i="20" s="1"/>
  <c r="BH12" i="20" s="1"/>
  <c r="BI10" i="20"/>
  <c r="BI11" i="20" s="1"/>
  <c r="BG10" i="20"/>
  <c r="BG11" i="20" s="1"/>
  <c r="BG12" i="20" s="1"/>
  <c r="BG13" i="20" s="1"/>
  <c r="F29" i="18"/>
  <c r="G29" i="18" s="1"/>
  <c r="H29" i="18" s="1"/>
  <c r="I29" i="18" s="1"/>
  <c r="G28" i="18"/>
  <c r="H28" i="18" s="1"/>
  <c r="I28" i="18" s="1"/>
  <c r="F31" i="18"/>
  <c r="G31" i="18" s="1"/>
  <c r="H31" i="18" s="1"/>
  <c r="I31" i="18" s="1"/>
  <c r="G30" i="18"/>
  <c r="H30" i="18" s="1"/>
  <c r="I30" i="18" s="1"/>
  <c r="AK11" i="29" l="1"/>
  <c r="F13" i="28"/>
  <c r="D13" i="28"/>
  <c r="BG14" i="20"/>
  <c r="F14" i="26"/>
  <c r="V41" i="20"/>
  <c r="V39" i="20"/>
  <c r="V37" i="20"/>
  <c r="V35" i="20"/>
  <c r="V33" i="20"/>
  <c r="V31" i="20"/>
  <c r="V29" i="20"/>
  <c r="V27" i="20"/>
  <c r="V25" i="20"/>
  <c r="V23" i="20"/>
  <c r="V21" i="20"/>
  <c r="V19" i="20"/>
  <c r="V17" i="20"/>
  <c r="V15" i="20"/>
  <c r="V13" i="20"/>
  <c r="V11" i="20"/>
  <c r="V42" i="20"/>
  <c r="V38" i="20"/>
  <c r="V34" i="20"/>
  <c r="V30" i="20"/>
  <c r="V24" i="20"/>
  <c r="V20" i="20"/>
  <c r="V14" i="20"/>
  <c r="V10" i="20"/>
  <c r="V40" i="20"/>
  <c r="V36" i="20"/>
  <c r="V32" i="20"/>
  <c r="V28" i="20"/>
  <c r="V26" i="20"/>
  <c r="V22" i="20"/>
  <c r="V18" i="20"/>
  <c r="V16" i="20"/>
  <c r="V12" i="20"/>
  <c r="G14" i="26"/>
  <c r="F14" i="31"/>
  <c r="E14" i="31"/>
  <c r="B22" i="20"/>
  <c r="R22" i="20" s="1"/>
  <c r="H25" i="6"/>
  <c r="X60" i="6"/>
  <c r="H24" i="6"/>
  <c r="BH13" i="20"/>
  <c r="X49" i="6"/>
  <c r="BD10" i="31"/>
  <c r="BG10" i="31" s="1"/>
  <c r="BD13" i="31"/>
  <c r="D13" i="29"/>
  <c r="BD12" i="31"/>
  <c r="BD11" i="31"/>
  <c r="D14" i="28"/>
  <c r="F14" i="28"/>
  <c r="F16" i="20"/>
  <c r="F17" i="20" s="1"/>
  <c r="F18" i="20" s="1"/>
  <c r="F19" i="20" s="1"/>
  <c r="F20" i="20" s="1"/>
  <c r="F21" i="20" s="1"/>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C15" i="28"/>
  <c r="E15" i="28" s="1"/>
  <c r="I15" i="28" s="1"/>
  <c r="AV14" i="26"/>
  <c r="BA14" i="26" s="1"/>
  <c r="AD14" i="26"/>
  <c r="AI14" i="26" s="1"/>
  <c r="AM14" i="26"/>
  <c r="AR14" i="26" s="1"/>
  <c r="U14" i="26"/>
  <c r="Z14" i="26" s="1"/>
  <c r="L14" i="26"/>
  <c r="Q14" i="26" s="1"/>
  <c r="AV13" i="25"/>
  <c r="BA13" i="25" s="1"/>
  <c r="AD13" i="25"/>
  <c r="AI13" i="25" s="1"/>
  <c r="L13" i="25"/>
  <c r="Q13" i="25" s="1"/>
  <c r="AM13" i="25"/>
  <c r="AR13" i="25" s="1"/>
  <c r="U13" i="25"/>
  <c r="Z13" i="25" s="1"/>
  <c r="AD14" i="25"/>
  <c r="AI14" i="25" s="1"/>
  <c r="AM14" i="25"/>
  <c r="AR14" i="25" s="1"/>
  <c r="U14" i="25"/>
  <c r="Z14" i="25" s="1"/>
  <c r="L14" i="25"/>
  <c r="Q14" i="25" s="1"/>
  <c r="AV14" i="25"/>
  <c r="BA14" i="25" s="1"/>
  <c r="C14" i="29"/>
  <c r="E14" i="29" s="1"/>
  <c r="I14" i="29" s="1"/>
  <c r="H14" i="29" s="1"/>
  <c r="AD12" i="26"/>
  <c r="AI12" i="26" s="1"/>
  <c r="AM12" i="26"/>
  <c r="AR12" i="26" s="1"/>
  <c r="L12" i="26"/>
  <c r="Q12" i="26" s="1"/>
  <c r="U12" i="26"/>
  <c r="Z12" i="26" s="1"/>
  <c r="AV12" i="26"/>
  <c r="BA12" i="26" s="1"/>
  <c r="F12" i="29"/>
  <c r="F13" i="29" s="1"/>
  <c r="I12" i="29"/>
  <c r="J12" i="29" s="1"/>
  <c r="J13" i="29" s="1"/>
  <c r="J14" i="29" s="1"/>
  <c r="J15" i="29" s="1"/>
  <c r="J16" i="29" s="1"/>
  <c r="AD11" i="25"/>
  <c r="AI11" i="25" s="1"/>
  <c r="U11" i="25"/>
  <c r="Z11" i="25" s="1"/>
  <c r="AV11" i="25"/>
  <c r="BA11" i="25" s="1"/>
  <c r="AM11" i="25"/>
  <c r="AR11" i="25" s="1"/>
  <c r="L11" i="25"/>
  <c r="Q11" i="25" s="1"/>
  <c r="AV10" i="26"/>
  <c r="BA10" i="26" s="1"/>
  <c r="AM10" i="26"/>
  <c r="AR10" i="26" s="1"/>
  <c r="L10" i="26"/>
  <c r="Q10" i="26" s="1"/>
  <c r="AD10" i="26"/>
  <c r="AI10" i="26" s="1"/>
  <c r="U10" i="26"/>
  <c r="Z10" i="26" s="1"/>
  <c r="AM10" i="25"/>
  <c r="AR10" i="25" s="1"/>
  <c r="U10" i="25"/>
  <c r="Z10" i="25" s="1"/>
  <c r="AD10" i="25"/>
  <c r="AI10" i="25" s="1"/>
  <c r="L10" i="25"/>
  <c r="Q10" i="25" s="1"/>
  <c r="AV10" i="25"/>
  <c r="BA10" i="25" s="1"/>
  <c r="AD13" i="26"/>
  <c r="AI13" i="26" s="1"/>
  <c r="L13" i="26"/>
  <c r="Q13" i="26" s="1"/>
  <c r="AV13" i="26"/>
  <c r="BA13" i="26" s="1"/>
  <c r="U13" i="26"/>
  <c r="Z13" i="26" s="1"/>
  <c r="AM13" i="26"/>
  <c r="AR13" i="26" s="1"/>
  <c r="H12" i="28"/>
  <c r="J12" i="28"/>
  <c r="H14" i="28"/>
  <c r="AD12" i="25"/>
  <c r="AI12" i="25" s="1"/>
  <c r="AV12" i="25"/>
  <c r="BA12" i="25" s="1"/>
  <c r="AM12" i="25"/>
  <c r="AR12" i="25" s="1"/>
  <c r="U12" i="25"/>
  <c r="Z12" i="25" s="1"/>
  <c r="L12" i="25"/>
  <c r="Q12" i="25" s="1"/>
  <c r="L11" i="26"/>
  <c r="Q11" i="26" s="1"/>
  <c r="AV11" i="26"/>
  <c r="BA11" i="26" s="1"/>
  <c r="AD11" i="26"/>
  <c r="AI11" i="26" s="1"/>
  <c r="U11" i="26"/>
  <c r="Z11" i="26" s="1"/>
  <c r="AM11" i="26"/>
  <c r="AR11" i="26" s="1"/>
  <c r="BA15" i="20"/>
  <c r="H13" i="29"/>
  <c r="BI12" i="20"/>
  <c r="BI13" i="20" s="1"/>
  <c r="AY14" i="20"/>
  <c r="D44" i="18"/>
  <c r="F44" i="18" s="1"/>
  <c r="D45" i="18"/>
  <c r="F45" i="18" s="1"/>
  <c r="F3" i="2"/>
  <c r="F4" i="2" s="1"/>
  <c r="F5" i="2" s="1"/>
  <c r="S14" i="20" l="1"/>
  <c r="BH14" i="20" s="1"/>
  <c r="T14" i="20"/>
  <c r="BI14" i="20" s="1"/>
  <c r="U14" i="20"/>
  <c r="U10" i="20"/>
  <c r="U17" i="20"/>
  <c r="U13" i="20"/>
  <c r="Y13" i="20" s="1"/>
  <c r="U16" i="20"/>
  <c r="U12" i="20"/>
  <c r="Y12" i="20" s="1"/>
  <c r="U15" i="20"/>
  <c r="U11" i="20"/>
  <c r="L14" i="31"/>
  <c r="Q14" i="31" s="1"/>
  <c r="AM14" i="31"/>
  <c r="AR14" i="31" s="1"/>
  <c r="U14" i="31"/>
  <c r="Z14" i="31" s="1"/>
  <c r="AD14" i="31"/>
  <c r="AI14" i="31" s="1"/>
  <c r="AV14" i="31"/>
  <c r="BA14" i="31" s="1"/>
  <c r="B23" i="20"/>
  <c r="R23" i="20" s="1"/>
  <c r="BG15" i="20"/>
  <c r="T15" i="20"/>
  <c r="S15" i="20"/>
  <c r="BE10" i="31"/>
  <c r="BF10" i="31" s="1"/>
  <c r="CA10" i="31"/>
  <c r="BJ10" i="31"/>
  <c r="BG11" i="31"/>
  <c r="BE11" i="31"/>
  <c r="BG12" i="31"/>
  <c r="BE12" i="31"/>
  <c r="BE13" i="31"/>
  <c r="BG13" i="31"/>
  <c r="BA16" i="20"/>
  <c r="D15" i="28"/>
  <c r="F15" i="28"/>
  <c r="BD10" i="26"/>
  <c r="BE10" i="26" s="1"/>
  <c r="BD14" i="26"/>
  <c r="BG14" i="26" s="1"/>
  <c r="H12" i="29"/>
  <c r="BD12" i="26"/>
  <c r="C15" i="29"/>
  <c r="E15" i="29" s="1"/>
  <c r="I15" i="29" s="1"/>
  <c r="H15" i="29" s="1"/>
  <c r="BD13" i="25"/>
  <c r="H15" i="28"/>
  <c r="BD11" i="26"/>
  <c r="N12" i="28"/>
  <c r="K12" i="28"/>
  <c r="U12" i="28" s="1"/>
  <c r="T12" i="28" s="1"/>
  <c r="L12" i="28"/>
  <c r="BD10" i="25"/>
  <c r="F14" i="29"/>
  <c r="C16" i="28"/>
  <c r="E16" i="28" s="1"/>
  <c r="I16" i="28" s="1"/>
  <c r="BD12" i="25"/>
  <c r="BD13" i="26"/>
  <c r="BD11" i="25"/>
  <c r="BD14" i="25"/>
  <c r="D14" i="29"/>
  <c r="BE10" i="20"/>
  <c r="BE11" i="20" s="1"/>
  <c r="BD10" i="20"/>
  <c r="BD11" i="20" s="1"/>
  <c r="AY15" i="20"/>
  <c r="BB10" i="20"/>
  <c r="BB11" i="20" s="1"/>
  <c r="BB12" i="20" s="1"/>
  <c r="BB13" i="20" s="1"/>
  <c r="BB14" i="20" s="1"/>
  <c r="BB15" i="20" s="1"/>
  <c r="E44" i="18"/>
  <c r="F18" i="2" s="1"/>
  <c r="U22" i="20" s="1"/>
  <c r="E45" i="18"/>
  <c r="F23" i="2" s="1"/>
  <c r="Y14" i="20" l="1"/>
  <c r="U27" i="20"/>
  <c r="Y15" i="20"/>
  <c r="BD14" i="31"/>
  <c r="BE14" i="31" s="1"/>
  <c r="BF14" i="31" s="1"/>
  <c r="B24" i="20"/>
  <c r="R24" i="20" s="1"/>
  <c r="BH15" i="20"/>
  <c r="BG16" i="20"/>
  <c r="BI15" i="20"/>
  <c r="F15" i="29"/>
  <c r="T16" i="20"/>
  <c r="S16" i="20"/>
  <c r="D15" i="29"/>
  <c r="BA17" i="20"/>
  <c r="BF12" i="31"/>
  <c r="BB16" i="20"/>
  <c r="BJ13" i="31"/>
  <c r="CA13" i="31"/>
  <c r="BF11" i="31"/>
  <c r="BE14" i="26"/>
  <c r="BF14" i="26" s="1"/>
  <c r="BJ12" i="31"/>
  <c r="CA12" i="31"/>
  <c r="BF13" i="31"/>
  <c r="CA11" i="31"/>
  <c r="BJ11" i="31"/>
  <c r="CH10" i="31"/>
  <c r="CF10" i="31"/>
  <c r="D16" i="28"/>
  <c r="BG10" i="26"/>
  <c r="CA10" i="26" s="1"/>
  <c r="H16" i="28"/>
  <c r="M12" i="28"/>
  <c r="V12" i="28"/>
  <c r="R12" i="28"/>
  <c r="BG11" i="26"/>
  <c r="BE11" i="26"/>
  <c r="C16" i="29"/>
  <c r="E16" i="29" s="1"/>
  <c r="L12" i="29"/>
  <c r="K12" i="29"/>
  <c r="U12" i="29" s="1"/>
  <c r="T12" i="29" s="1"/>
  <c r="N12" i="29"/>
  <c r="BG13" i="25"/>
  <c r="BE13" i="25"/>
  <c r="BG14" i="25"/>
  <c r="BE14" i="25"/>
  <c r="BG12" i="25"/>
  <c r="BE12" i="25"/>
  <c r="BG10" i="25"/>
  <c r="BE10" i="25"/>
  <c r="X12" i="28"/>
  <c r="AF12" i="28" s="1"/>
  <c r="O12" i="28"/>
  <c r="F16" i="28"/>
  <c r="BG11" i="25"/>
  <c r="BE11" i="25"/>
  <c r="BG13" i="26"/>
  <c r="BE13" i="26"/>
  <c r="C17" i="28"/>
  <c r="E17" i="28" s="1"/>
  <c r="I17" i="28" s="1"/>
  <c r="BJ14" i="26"/>
  <c r="CA14" i="26"/>
  <c r="BG12" i="26"/>
  <c r="BE12" i="26"/>
  <c r="BF10" i="26"/>
  <c r="AA12" i="20"/>
  <c r="AA13" i="20"/>
  <c r="BF10" i="20"/>
  <c r="BF11" i="20" s="1"/>
  <c r="BC10" i="20"/>
  <c r="BC11" i="20" s="1"/>
  <c r="F24" i="2"/>
  <c r="U28" i="20" s="1"/>
  <c r="F22" i="2"/>
  <c r="U26" i="20" s="1"/>
  <c r="F20" i="2"/>
  <c r="U24" i="20" s="1"/>
  <c r="F19" i="2"/>
  <c r="U23" i="20" s="1"/>
  <c r="F21" i="2"/>
  <c r="U25" i="20" s="1"/>
  <c r="AY16" i="20"/>
  <c r="F14" i="2"/>
  <c r="U18" i="20" s="1"/>
  <c r="F17" i="2"/>
  <c r="U21" i="20" s="1"/>
  <c r="F15" i="2"/>
  <c r="U19" i="20" s="1"/>
  <c r="F16" i="2"/>
  <c r="U20" i="20" s="1"/>
  <c r="Y16" i="20" l="1"/>
  <c r="C15" i="25"/>
  <c r="BG14" i="31"/>
  <c r="B25" i="20"/>
  <c r="R25" i="20" s="1"/>
  <c r="BJ10" i="26"/>
  <c r="C17" i="25"/>
  <c r="C17" i="31"/>
  <c r="D17" i="31" s="1"/>
  <c r="C17" i="26"/>
  <c r="C16" i="25"/>
  <c r="C16" i="31"/>
  <c r="D16" i="31" s="1"/>
  <c r="C16" i="26"/>
  <c r="BI16" i="20"/>
  <c r="BH16" i="20"/>
  <c r="S17" i="20"/>
  <c r="T17" i="20"/>
  <c r="BB17" i="20"/>
  <c r="BB18" i="20" s="1"/>
  <c r="Y12" i="28"/>
  <c r="AI12" i="28"/>
  <c r="AG12" i="28"/>
  <c r="AH12" i="28" s="1"/>
  <c r="CH11" i="31"/>
  <c r="CF11" i="31"/>
  <c r="CF13" i="31"/>
  <c r="CH13" i="31"/>
  <c r="CL10" i="31"/>
  <c r="CG10" i="31"/>
  <c r="CH12" i="31"/>
  <c r="CF12" i="31"/>
  <c r="BJ12" i="26"/>
  <c r="CA12" i="26"/>
  <c r="CH10" i="26"/>
  <c r="CF10" i="26"/>
  <c r="BF12" i="26"/>
  <c r="H17" i="28"/>
  <c r="F17" i="28"/>
  <c r="BF10" i="25"/>
  <c r="BF14" i="25"/>
  <c r="BJ13" i="25"/>
  <c r="CA13" i="25"/>
  <c r="M12" i="29"/>
  <c r="V12" i="29"/>
  <c r="R12" i="29"/>
  <c r="CA11" i="26"/>
  <c r="BJ11" i="26"/>
  <c r="C18" i="28"/>
  <c r="E18" i="28" s="1"/>
  <c r="I18" i="28" s="1"/>
  <c r="BF11" i="25"/>
  <c r="CA10" i="25"/>
  <c r="BJ10" i="25"/>
  <c r="BJ14" i="25"/>
  <c r="CA14" i="25"/>
  <c r="I16" i="29"/>
  <c r="H16" i="29" s="1"/>
  <c r="F16" i="29"/>
  <c r="CF14" i="26"/>
  <c r="CH14" i="26"/>
  <c r="BF13" i="26"/>
  <c r="BJ11" i="25"/>
  <c r="CA11" i="25"/>
  <c r="BF12" i="25"/>
  <c r="BA18" i="20"/>
  <c r="O12" i="29"/>
  <c r="X12" i="29"/>
  <c r="AF12" i="29" s="1"/>
  <c r="C17" i="29"/>
  <c r="E17" i="29" s="1"/>
  <c r="I17" i="29" s="1"/>
  <c r="W12" i="28"/>
  <c r="AB12" i="28"/>
  <c r="AD12" i="28" s="1"/>
  <c r="CA13" i="26"/>
  <c r="BJ13" i="26"/>
  <c r="CA12" i="25"/>
  <c r="BJ12" i="25"/>
  <c r="BF13" i="25"/>
  <c r="D17" i="28"/>
  <c r="BF11" i="26"/>
  <c r="D16" i="29"/>
  <c r="F25" i="2"/>
  <c r="U29" i="20" s="1"/>
  <c r="AY17" i="20"/>
  <c r="BJ10" i="20"/>
  <c r="BJ11" i="20" s="1"/>
  <c r="BJ12" i="20" s="1"/>
  <c r="BJ13" i="20" s="1"/>
  <c r="BJ14" i="20" s="1"/>
  <c r="BJ15" i="20" s="1"/>
  <c r="Y17" i="20" l="1"/>
  <c r="C15" i="31"/>
  <c r="D15" i="31" s="1"/>
  <c r="G15" i="31" s="1"/>
  <c r="BK11" i="20"/>
  <c r="BK12" i="20" s="1"/>
  <c r="BK13" i="20" s="1"/>
  <c r="C15" i="26"/>
  <c r="D15" i="26" s="1"/>
  <c r="BJ14" i="31"/>
  <c r="CA14" i="31"/>
  <c r="B26" i="20"/>
  <c r="R26" i="20" s="1"/>
  <c r="BJ16" i="20"/>
  <c r="BI17" i="20"/>
  <c r="T18" i="20"/>
  <c r="S18" i="20"/>
  <c r="D17" i="29"/>
  <c r="CL13" i="31"/>
  <c r="CG13" i="31"/>
  <c r="AG12" i="29"/>
  <c r="AH12" i="29" s="1"/>
  <c r="AI12" i="29"/>
  <c r="CL12" i="31"/>
  <c r="CG12" i="31"/>
  <c r="CL11" i="31"/>
  <c r="CG11" i="31"/>
  <c r="F17" i="29"/>
  <c r="E17" i="31"/>
  <c r="F17" i="31"/>
  <c r="G17" i="31"/>
  <c r="G16" i="31"/>
  <c r="F16" i="31"/>
  <c r="E16" i="31"/>
  <c r="D18" i="28"/>
  <c r="F18" i="28"/>
  <c r="CF10" i="25"/>
  <c r="CH10" i="25"/>
  <c r="W12" i="29"/>
  <c r="AB12" i="29"/>
  <c r="AD12" i="29" s="1"/>
  <c r="CL10" i="26"/>
  <c r="CG10" i="26"/>
  <c r="CF12" i="25"/>
  <c r="CH12" i="25"/>
  <c r="CH11" i="25"/>
  <c r="CF11" i="25"/>
  <c r="H17" i="29"/>
  <c r="BA19" i="20"/>
  <c r="CL14" i="26"/>
  <c r="CG14" i="26"/>
  <c r="CF11" i="26"/>
  <c r="CH11" i="26"/>
  <c r="CF13" i="25"/>
  <c r="CH13" i="25"/>
  <c r="CF12" i="26"/>
  <c r="CH12" i="26"/>
  <c r="Y12" i="29"/>
  <c r="C19" i="28"/>
  <c r="E19" i="28" s="1"/>
  <c r="I19" i="28" s="1"/>
  <c r="CF13" i="26"/>
  <c r="CH13" i="26"/>
  <c r="CH14" i="25"/>
  <c r="CF14" i="25"/>
  <c r="AK12" i="28"/>
  <c r="AL12" i="28" s="1"/>
  <c r="K12" i="20" s="1"/>
  <c r="AJ12" i="28"/>
  <c r="BB19" i="20"/>
  <c r="C18" i="29"/>
  <c r="H18" i="28"/>
  <c r="K17" i="28"/>
  <c r="U17" i="28" s="1"/>
  <c r="T17" i="28" s="1"/>
  <c r="N17" i="28"/>
  <c r="L17" i="28"/>
  <c r="J13" i="28"/>
  <c r="D16" i="26"/>
  <c r="D17" i="25"/>
  <c r="D16" i="25"/>
  <c r="D17" i="26"/>
  <c r="D15" i="25"/>
  <c r="BM10" i="20"/>
  <c r="AY18" i="20"/>
  <c r="F26" i="2"/>
  <c r="U30" i="20" s="1"/>
  <c r="BL10" i="20"/>
  <c r="Y18" i="20" l="1"/>
  <c r="F15" i="31"/>
  <c r="E15" i="31"/>
  <c r="AD15" i="31" s="1"/>
  <c r="AI15" i="31" s="1"/>
  <c r="CH14" i="31"/>
  <c r="CF14" i="31"/>
  <c r="B27" i="20"/>
  <c r="R27" i="20" s="1"/>
  <c r="BI18" i="20"/>
  <c r="T19" i="20"/>
  <c r="S19" i="20"/>
  <c r="AD16" i="31"/>
  <c r="AI16" i="31" s="1"/>
  <c r="U16" i="31"/>
  <c r="Z16" i="31" s="1"/>
  <c r="AV16" i="31"/>
  <c r="BA16" i="31" s="1"/>
  <c r="AM16" i="31"/>
  <c r="AR16" i="31" s="1"/>
  <c r="L16" i="31"/>
  <c r="Q16" i="31" s="1"/>
  <c r="AM17" i="31"/>
  <c r="AR17" i="31" s="1"/>
  <c r="AV17" i="31"/>
  <c r="BA17" i="31" s="1"/>
  <c r="U17" i="31"/>
  <c r="Z17" i="31" s="1"/>
  <c r="AD17" i="31"/>
  <c r="AI17" i="31" s="1"/>
  <c r="L17" i="31"/>
  <c r="Q17" i="31" s="1"/>
  <c r="BA20" i="20"/>
  <c r="H19" i="28"/>
  <c r="M17" i="28"/>
  <c r="V17" i="28"/>
  <c r="R17" i="28"/>
  <c r="C19" i="29"/>
  <c r="E19" i="29" s="1"/>
  <c r="I19" i="29" s="1"/>
  <c r="H19" i="29" s="1"/>
  <c r="C20" i="28"/>
  <c r="E20" i="28" s="1"/>
  <c r="I20" i="28" s="1"/>
  <c r="CL12" i="26"/>
  <c r="CG12" i="26"/>
  <c r="CL11" i="26"/>
  <c r="CG11" i="26"/>
  <c r="CL14" i="25"/>
  <c r="CG14" i="25"/>
  <c r="O17" i="28"/>
  <c r="X17" i="28"/>
  <c r="AF17" i="28" s="1"/>
  <c r="AM13" i="28"/>
  <c r="I12" i="20"/>
  <c r="N17" i="29"/>
  <c r="K17" i="29"/>
  <c r="U17" i="29" s="1"/>
  <c r="T17" i="29" s="1"/>
  <c r="L17" i="29"/>
  <c r="CL12" i="25"/>
  <c r="CG12" i="25"/>
  <c r="F19" i="28"/>
  <c r="K13" i="28"/>
  <c r="U13" i="28" s="1"/>
  <c r="T13" i="28" s="1"/>
  <c r="L13" i="28"/>
  <c r="J14" i="28"/>
  <c r="N13" i="28"/>
  <c r="E18" i="29"/>
  <c r="D18" i="29"/>
  <c r="CL13" i="26"/>
  <c r="CG13" i="26"/>
  <c r="AJ12" i="29"/>
  <c r="CL13" i="25"/>
  <c r="CG13" i="25"/>
  <c r="CL11" i="25"/>
  <c r="CG11" i="25"/>
  <c r="D19" i="28"/>
  <c r="AK12" i="29"/>
  <c r="AL12" i="29" s="1"/>
  <c r="L12" i="20" s="1"/>
  <c r="CL10" i="25"/>
  <c r="CG10" i="25"/>
  <c r="G15" i="26"/>
  <c r="F15" i="26"/>
  <c r="E15" i="26"/>
  <c r="E16" i="26"/>
  <c r="G16" i="26"/>
  <c r="F16" i="26"/>
  <c r="E15" i="25"/>
  <c r="F15" i="25"/>
  <c r="G15" i="25"/>
  <c r="E17" i="26"/>
  <c r="G17" i="26"/>
  <c r="F17" i="26"/>
  <c r="G16" i="25"/>
  <c r="F16" i="25"/>
  <c r="E16" i="25"/>
  <c r="F17" i="25"/>
  <c r="E17" i="25"/>
  <c r="G17" i="25"/>
  <c r="BQ10" i="20"/>
  <c r="BO10" i="20"/>
  <c r="BP10" i="20"/>
  <c r="AY19" i="20"/>
  <c r="F27" i="2"/>
  <c r="U31" i="20" s="1"/>
  <c r="BN10" i="20"/>
  <c r="Y19" i="20" l="1"/>
  <c r="U15" i="31"/>
  <c r="Z15" i="31" s="1"/>
  <c r="BI19" i="20"/>
  <c r="AM15" i="31"/>
  <c r="AR15" i="31" s="1"/>
  <c r="AV15" i="31"/>
  <c r="BA15" i="31" s="1"/>
  <c r="L15" i="31"/>
  <c r="Q15" i="31" s="1"/>
  <c r="CL14" i="31"/>
  <c r="CG14" i="31"/>
  <c r="B28" i="20"/>
  <c r="R28" i="20" s="1"/>
  <c r="T20" i="20"/>
  <c r="S20" i="20"/>
  <c r="D20" i="28"/>
  <c r="D19" i="29"/>
  <c r="AI17" i="28"/>
  <c r="AG17" i="28"/>
  <c r="AH17" i="28" s="1"/>
  <c r="BD17" i="31"/>
  <c r="BE17" i="31" s="1"/>
  <c r="BD16" i="31"/>
  <c r="BE16" i="31" s="1"/>
  <c r="BA21" i="20"/>
  <c r="F20" i="28"/>
  <c r="Y17" i="28"/>
  <c r="J15" i="28"/>
  <c r="K14" i="28"/>
  <c r="U14" i="28" s="1"/>
  <c r="T14" i="28" s="1"/>
  <c r="N14" i="28"/>
  <c r="L14" i="28"/>
  <c r="V13" i="28"/>
  <c r="W13" i="28" s="1"/>
  <c r="M13" i="28"/>
  <c r="R13" i="28"/>
  <c r="X17" i="29"/>
  <c r="AF17" i="29" s="1"/>
  <c r="O17" i="29"/>
  <c r="H20" i="28"/>
  <c r="J12" i="20"/>
  <c r="AM12" i="29"/>
  <c r="I18" i="29"/>
  <c r="H18" i="29" s="1"/>
  <c r="F18" i="29"/>
  <c r="F19" i="29" s="1"/>
  <c r="M17" i="29"/>
  <c r="V17" i="29"/>
  <c r="R17" i="29"/>
  <c r="M12" i="20"/>
  <c r="BE12" i="20" s="1"/>
  <c r="BC12" i="20"/>
  <c r="C21" i="28"/>
  <c r="E21" i="28" s="1"/>
  <c r="I21" i="28" s="1"/>
  <c r="W17" i="28"/>
  <c r="AB17" i="28"/>
  <c r="C20" i="29"/>
  <c r="BB20" i="20"/>
  <c r="O13" i="28"/>
  <c r="X13" i="28"/>
  <c r="AF13" i="28" s="1"/>
  <c r="K13" i="29"/>
  <c r="U13" i="29" s="1"/>
  <c r="T13" i="29" s="1"/>
  <c r="L13" i="29"/>
  <c r="N13" i="29"/>
  <c r="L16" i="25"/>
  <c r="Q16" i="25" s="1"/>
  <c r="AD16" i="25"/>
  <c r="AI16" i="25" s="1"/>
  <c r="AV16" i="25"/>
  <c r="BA16" i="25" s="1"/>
  <c r="U16" i="25"/>
  <c r="Z16" i="25" s="1"/>
  <c r="AM16" i="25"/>
  <c r="AR16" i="25" s="1"/>
  <c r="AD15" i="25"/>
  <c r="AI15" i="25" s="1"/>
  <c r="AM15" i="25"/>
  <c r="AR15" i="25" s="1"/>
  <c r="L15" i="25"/>
  <c r="Q15" i="25" s="1"/>
  <c r="U15" i="25"/>
  <c r="Z15" i="25" s="1"/>
  <c r="AV15" i="25"/>
  <c r="BA15" i="25" s="1"/>
  <c r="AV15" i="26"/>
  <c r="BA15" i="26" s="1"/>
  <c r="AM15" i="26"/>
  <c r="AR15" i="26" s="1"/>
  <c r="L15" i="26"/>
  <c r="Q15" i="26" s="1"/>
  <c r="U15" i="26"/>
  <c r="Z15" i="26" s="1"/>
  <c r="AD15" i="26"/>
  <c r="AI15" i="26" s="1"/>
  <c r="AD17" i="26"/>
  <c r="AI17" i="26" s="1"/>
  <c r="AV17" i="26"/>
  <c r="BA17" i="26" s="1"/>
  <c r="U17" i="26"/>
  <c r="Z17" i="26" s="1"/>
  <c r="AM17" i="26"/>
  <c r="AR17" i="26" s="1"/>
  <c r="L17" i="26"/>
  <c r="Q17" i="26" s="1"/>
  <c r="U17" i="25"/>
  <c r="Z17" i="25" s="1"/>
  <c r="AD17" i="25"/>
  <c r="AI17" i="25" s="1"/>
  <c r="L17" i="25"/>
  <c r="Q17" i="25" s="1"/>
  <c r="AV17" i="25"/>
  <c r="BA17" i="25" s="1"/>
  <c r="AM17" i="25"/>
  <c r="AR17" i="25" s="1"/>
  <c r="AV16" i="26"/>
  <c r="BA16" i="26" s="1"/>
  <c r="L16" i="26"/>
  <c r="Q16" i="26" s="1"/>
  <c r="U16" i="26"/>
  <c r="Z16" i="26" s="1"/>
  <c r="AD16" i="26"/>
  <c r="AI16" i="26" s="1"/>
  <c r="AM16" i="26"/>
  <c r="AR16" i="26" s="1"/>
  <c r="F28" i="2"/>
  <c r="U32" i="20" s="1"/>
  <c r="AY20" i="20"/>
  <c r="Y20" i="20" l="1"/>
  <c r="BI20" i="20"/>
  <c r="BD15" i="31"/>
  <c r="BE15" i="31" s="1"/>
  <c r="B29" i="20"/>
  <c r="R29" i="20" s="1"/>
  <c r="T21" i="20"/>
  <c r="S21" i="20"/>
  <c r="BG16" i="31"/>
  <c r="BG17" i="31"/>
  <c r="BJ17" i="31" s="1"/>
  <c r="AG13" i="28"/>
  <c r="AH13" i="28" s="1"/>
  <c r="AI13" i="28"/>
  <c r="AI17" i="29"/>
  <c r="AG17" i="29"/>
  <c r="AH17" i="29" s="1"/>
  <c r="S103" i="27"/>
  <c r="BF16" i="31"/>
  <c r="R103" i="27" s="1"/>
  <c r="AD12" i="20" s="1"/>
  <c r="AG12" i="20" s="1"/>
  <c r="S104" i="27"/>
  <c r="BF17" i="31"/>
  <c r="R104" i="27" s="1"/>
  <c r="AD13" i="20" s="1"/>
  <c r="AG13" i="20" s="1"/>
  <c r="D21" i="28"/>
  <c r="F21" i="28"/>
  <c r="M13" i="29"/>
  <c r="V13" i="29"/>
  <c r="R13" i="29"/>
  <c r="C21" i="29"/>
  <c r="E21" i="29" s="1"/>
  <c r="I21" i="29" s="1"/>
  <c r="H21" i="29" s="1"/>
  <c r="V14" i="28"/>
  <c r="M14" i="28"/>
  <c r="R14" i="28"/>
  <c r="H21" i="28"/>
  <c r="O14" i="28"/>
  <c r="X14" i="28"/>
  <c r="AF14" i="28" s="1"/>
  <c r="L14" i="29"/>
  <c r="N14" i="29"/>
  <c r="K14" i="29"/>
  <c r="U14" i="29" s="1"/>
  <c r="T14" i="29" s="1"/>
  <c r="AK17" i="28"/>
  <c r="AL17" i="28" s="1"/>
  <c r="K17" i="20" s="1"/>
  <c r="AJ17" i="28"/>
  <c r="I17" i="20" s="1"/>
  <c r="C22" i="28"/>
  <c r="E22" i="28" s="1"/>
  <c r="I22" i="28" s="1"/>
  <c r="W17" i="29"/>
  <c r="AB17" i="29"/>
  <c r="Y17" i="29"/>
  <c r="AB13" i="28"/>
  <c r="AD13" i="28" s="1"/>
  <c r="BB21" i="20"/>
  <c r="BB22" i="20" s="1"/>
  <c r="X13" i="29"/>
  <c r="AF13" i="29" s="1"/>
  <c r="O13" i="29"/>
  <c r="Y13" i="28"/>
  <c r="E20" i="29"/>
  <c r="I20" i="29" s="1"/>
  <c r="H20" i="29" s="1"/>
  <c r="D20" i="29"/>
  <c r="AD17" i="28"/>
  <c r="N12" i="20"/>
  <c r="BF12" i="20" s="1"/>
  <c r="BD12" i="20"/>
  <c r="BA22" i="20"/>
  <c r="L15" i="28"/>
  <c r="J16" i="28"/>
  <c r="K15" i="28"/>
  <c r="U15" i="28" s="1"/>
  <c r="T15" i="28" s="1"/>
  <c r="N15" i="28"/>
  <c r="BD16" i="26"/>
  <c r="BG16" i="26" s="1"/>
  <c r="BD17" i="26"/>
  <c r="BE17" i="26" s="1"/>
  <c r="BD15" i="25"/>
  <c r="BD15" i="26"/>
  <c r="BD17" i="25"/>
  <c r="BD16" i="25"/>
  <c r="F29" i="2"/>
  <c r="U33" i="20" s="1"/>
  <c r="AY21" i="20"/>
  <c r="Y21" i="20" l="1"/>
  <c r="BI21" i="20"/>
  <c r="BG15" i="31"/>
  <c r="BJ15" i="31" s="1"/>
  <c r="B30" i="20"/>
  <c r="R30" i="20" s="1"/>
  <c r="D21" i="29"/>
  <c r="T22" i="20"/>
  <c r="S22" i="20"/>
  <c r="BY17" i="31"/>
  <c r="BZ17" i="31" s="1"/>
  <c r="BY16" i="31"/>
  <c r="BZ16" i="31" s="1"/>
  <c r="BJ16" i="31"/>
  <c r="AG14" i="28"/>
  <c r="AH14" i="28" s="1"/>
  <c r="AI14" i="28"/>
  <c r="BF15" i="31"/>
  <c r="AI13" i="29"/>
  <c r="AG13" i="29"/>
  <c r="AH13" i="29" s="1"/>
  <c r="BA23" i="20"/>
  <c r="BG17" i="26"/>
  <c r="O14" i="29"/>
  <c r="X14" i="29"/>
  <c r="AF14" i="29" s="1"/>
  <c r="BB23" i="20"/>
  <c r="C22" i="29"/>
  <c r="BE16" i="26"/>
  <c r="S60" i="27" s="1"/>
  <c r="M15" i="28"/>
  <c r="V15" i="28"/>
  <c r="W15" i="28" s="1"/>
  <c r="R15" i="28"/>
  <c r="AJ17" i="29"/>
  <c r="J17" i="20" s="1"/>
  <c r="R14" i="29"/>
  <c r="M14" i="29"/>
  <c r="V14" i="29"/>
  <c r="AB14" i="28"/>
  <c r="X15" i="28"/>
  <c r="AF15" i="28" s="1"/>
  <c r="O15" i="28"/>
  <c r="C23" i="28"/>
  <c r="E23" i="28" s="1"/>
  <c r="I23" i="28" s="1"/>
  <c r="F20" i="29"/>
  <c r="F21" i="29" s="1"/>
  <c r="AB13" i="29"/>
  <c r="W13" i="29"/>
  <c r="L16" i="28"/>
  <c r="K16" i="28"/>
  <c r="U16" i="28" s="1"/>
  <c r="T16" i="28" s="1"/>
  <c r="N16" i="28"/>
  <c r="H22" i="28"/>
  <c r="F22" i="28"/>
  <c r="D22" i="28"/>
  <c r="Y13" i="29"/>
  <c r="AK13" i="28"/>
  <c r="AL13" i="28" s="1"/>
  <c r="K13" i="20" s="1"/>
  <c r="AJ13" i="28"/>
  <c r="AK17" i="29"/>
  <c r="AL17" i="29" s="1"/>
  <c r="L17" i="20" s="1"/>
  <c r="AD17" i="29"/>
  <c r="M17" i="20"/>
  <c r="L15" i="29"/>
  <c r="K15" i="29"/>
  <c r="U15" i="29" s="1"/>
  <c r="T15" i="29" s="1"/>
  <c r="N15" i="29"/>
  <c r="Y14" i="28"/>
  <c r="W14" i="28"/>
  <c r="BY16" i="26"/>
  <c r="BZ16" i="26" s="1"/>
  <c r="BJ16" i="26"/>
  <c r="BG16" i="25"/>
  <c r="BE16" i="25"/>
  <c r="BG15" i="26"/>
  <c r="BE15" i="26"/>
  <c r="BE15" i="25"/>
  <c r="BG15" i="25"/>
  <c r="BG17" i="25"/>
  <c r="BE17" i="25"/>
  <c r="BF17" i="26"/>
  <c r="R61" i="27" s="1"/>
  <c r="AC13" i="20" s="1"/>
  <c r="AF13" i="20" s="1"/>
  <c r="F30" i="2"/>
  <c r="U34" i="20" s="1"/>
  <c r="AY22" i="20"/>
  <c r="Y22" i="20" l="1"/>
  <c r="BI22" i="20"/>
  <c r="CA15" i="31"/>
  <c r="CF15" i="31" s="1"/>
  <c r="B31" i="20"/>
  <c r="R31" i="20" s="1"/>
  <c r="T23" i="20"/>
  <c r="S23" i="20"/>
  <c r="BA24" i="20"/>
  <c r="BA25" i="20" s="1"/>
  <c r="AI15" i="28"/>
  <c r="AG15" i="28"/>
  <c r="AH15" i="28" s="1"/>
  <c r="AG14" i="29"/>
  <c r="AH14" i="29" s="1"/>
  <c r="AI14" i="29"/>
  <c r="BJ17" i="26"/>
  <c r="S61" i="27" s="1"/>
  <c r="BY17" i="26"/>
  <c r="BZ17" i="26" s="1"/>
  <c r="F23" i="28"/>
  <c r="AB15" i="28"/>
  <c r="AD15" i="28" s="1"/>
  <c r="Y15" i="28"/>
  <c r="BF16" i="26"/>
  <c r="R60" i="27" s="1"/>
  <c r="AC12" i="20" s="1"/>
  <c r="AF12" i="20" s="1"/>
  <c r="N17" i="20"/>
  <c r="BB24" i="20"/>
  <c r="C23" i="29"/>
  <c r="E23" i="29" s="1"/>
  <c r="I23" i="29" s="1"/>
  <c r="H23" i="29" s="1"/>
  <c r="K16" i="29"/>
  <c r="U16" i="29" s="1"/>
  <c r="T16" i="29" s="1"/>
  <c r="L16" i="29"/>
  <c r="N16" i="29"/>
  <c r="X16" i="28"/>
  <c r="AF16" i="28" s="1"/>
  <c r="O16" i="28"/>
  <c r="AK14" i="28"/>
  <c r="AL14" i="28" s="1"/>
  <c r="K14" i="20" s="1"/>
  <c r="AJ14" i="28"/>
  <c r="E22" i="29"/>
  <c r="I22" i="29" s="1"/>
  <c r="D22" i="29"/>
  <c r="AJ13" i="29"/>
  <c r="AD14" i="28"/>
  <c r="M15" i="29"/>
  <c r="R15" i="29"/>
  <c r="V15" i="29"/>
  <c r="I13" i="20"/>
  <c r="AM14" i="28"/>
  <c r="M16" i="28"/>
  <c r="V16" i="28"/>
  <c r="R16" i="28"/>
  <c r="H23" i="28"/>
  <c r="AB14" i="29"/>
  <c r="W14" i="29"/>
  <c r="Y14" i="29"/>
  <c r="AD13" i="29"/>
  <c r="AK13" i="29"/>
  <c r="AL13" i="29" s="1"/>
  <c r="L13" i="20" s="1"/>
  <c r="O15" i="29"/>
  <c r="X15" i="29"/>
  <c r="AF15" i="29" s="1"/>
  <c r="D23" i="28"/>
  <c r="C24" i="28"/>
  <c r="E24" i="28" s="1"/>
  <c r="I24" i="28" s="1"/>
  <c r="BJ15" i="25"/>
  <c r="CA15" i="25"/>
  <c r="S17" i="27"/>
  <c r="BF16" i="25"/>
  <c r="R17" i="27" s="1"/>
  <c r="BF15" i="25"/>
  <c r="BJ16" i="25"/>
  <c r="BY16" i="25"/>
  <c r="BZ16" i="25" s="1"/>
  <c r="S18" i="27"/>
  <c r="BF17" i="25"/>
  <c r="R18" i="27" s="1"/>
  <c r="AB13" i="20" s="1"/>
  <c r="AE13" i="20" s="1"/>
  <c r="BF15" i="26"/>
  <c r="BJ17" i="25"/>
  <c r="BY17" i="25"/>
  <c r="BZ17" i="25" s="1"/>
  <c r="BJ15" i="26"/>
  <c r="CA15" i="26"/>
  <c r="F31" i="2"/>
  <c r="U35" i="20" s="1"/>
  <c r="AY23" i="20"/>
  <c r="Y23" i="20" l="1"/>
  <c r="BI23" i="20"/>
  <c r="CH15" i="31"/>
  <c r="AB12" i="20"/>
  <c r="AE12" i="20" s="1"/>
  <c r="B32" i="20"/>
  <c r="R32" i="20" s="1"/>
  <c r="T24" i="20"/>
  <c r="S24" i="20"/>
  <c r="D23" i="29"/>
  <c r="F22" i="29"/>
  <c r="F23" i="29" s="1"/>
  <c r="AI15" i="29"/>
  <c r="AG15" i="29"/>
  <c r="AH15" i="29" s="1"/>
  <c r="AI16" i="28"/>
  <c r="AG16" i="28"/>
  <c r="AH16" i="28" s="1"/>
  <c r="CL15" i="31"/>
  <c r="CG15" i="31"/>
  <c r="AK15" i="28"/>
  <c r="AL15" i="28" s="1"/>
  <c r="K15" i="20" s="1"/>
  <c r="AJ15" i="28"/>
  <c r="I15" i="20" s="1"/>
  <c r="D24" i="28"/>
  <c r="H24" i="28"/>
  <c r="Y15" i="29"/>
  <c r="AD14" i="29"/>
  <c r="AK14" i="29"/>
  <c r="AL14" i="29" s="1"/>
  <c r="L14" i="20" s="1"/>
  <c r="M13" i="20"/>
  <c r="BE13" i="20" s="1"/>
  <c r="BC13" i="20"/>
  <c r="F24" i="28"/>
  <c r="BA26" i="20"/>
  <c r="C25" i="28"/>
  <c r="E25" i="28" s="1"/>
  <c r="I25" i="28" s="1"/>
  <c r="AJ14" i="29"/>
  <c r="W16" i="28"/>
  <c r="AB16" i="28"/>
  <c r="AB15" i="29"/>
  <c r="AK15" i="29" s="1"/>
  <c r="AL15" i="29" s="1"/>
  <c r="L15" i="20" s="1"/>
  <c r="W15" i="29"/>
  <c r="H22" i="29"/>
  <c r="Y16" i="28"/>
  <c r="O16" i="29"/>
  <c r="X16" i="29"/>
  <c r="AF16" i="29" s="1"/>
  <c r="C24" i="29"/>
  <c r="AM13" i="29"/>
  <c r="J13" i="20"/>
  <c r="AM15" i="28"/>
  <c r="I14" i="20"/>
  <c r="M14" i="20" s="1"/>
  <c r="R16" i="29"/>
  <c r="V16" i="29"/>
  <c r="M16" i="29"/>
  <c r="CF15" i="26"/>
  <c r="CH15" i="26"/>
  <c r="CF15" i="25"/>
  <c r="CH15" i="25"/>
  <c r="BB25" i="20"/>
  <c r="AY24" i="20"/>
  <c r="F32" i="2"/>
  <c r="U36" i="20" s="1"/>
  <c r="Y24" i="20" l="1"/>
  <c r="BI24" i="20"/>
  <c r="B33" i="20"/>
  <c r="R33" i="20" s="1"/>
  <c r="T25" i="20"/>
  <c r="S25" i="20"/>
  <c r="AD15" i="29"/>
  <c r="AG16" i="29"/>
  <c r="AH16" i="29" s="1"/>
  <c r="AI16" i="29"/>
  <c r="AM16" i="28"/>
  <c r="M15" i="20"/>
  <c r="W16" i="29"/>
  <c r="AB16" i="29"/>
  <c r="E24" i="29"/>
  <c r="I24" i="29" s="1"/>
  <c r="H24" i="29" s="1"/>
  <c r="D24" i="29"/>
  <c r="BE14" i="20"/>
  <c r="AJ15" i="29"/>
  <c r="C25" i="29"/>
  <c r="E25" i="29" s="1"/>
  <c r="I25" i="29" s="1"/>
  <c r="H25" i="29" s="1"/>
  <c r="AM14" i="29"/>
  <c r="J14" i="20"/>
  <c r="N14" i="20" s="1"/>
  <c r="F25" i="28"/>
  <c r="N13" i="20"/>
  <c r="BF13" i="20" s="1"/>
  <c r="BD13" i="20"/>
  <c r="Y16" i="29"/>
  <c r="AK16" i="28"/>
  <c r="AL16" i="28" s="1"/>
  <c r="K16" i="20" s="1"/>
  <c r="AJ16" i="28"/>
  <c r="H25" i="28"/>
  <c r="AD16" i="28"/>
  <c r="C26" i="28"/>
  <c r="E26" i="28" s="1"/>
  <c r="I26" i="28" s="1"/>
  <c r="BC14" i="20"/>
  <c r="BC15" i="20" s="1"/>
  <c r="D25" i="28"/>
  <c r="CL15" i="25"/>
  <c r="CG15" i="25"/>
  <c r="CL15" i="26"/>
  <c r="CG15" i="26"/>
  <c r="BB26" i="20"/>
  <c r="AY25" i="20"/>
  <c r="F33" i="2"/>
  <c r="U37" i="20" s="1"/>
  <c r="Y25" i="20" l="1"/>
  <c r="BI25" i="20"/>
  <c r="B34" i="20"/>
  <c r="R34" i="20" s="1"/>
  <c r="T26" i="20"/>
  <c r="S26" i="20"/>
  <c r="D25" i="29"/>
  <c r="F24" i="29"/>
  <c r="F25" i="29" s="1"/>
  <c r="BE15" i="20"/>
  <c r="D26" i="28"/>
  <c r="F26" i="28"/>
  <c r="BF14" i="20"/>
  <c r="BB27" i="20"/>
  <c r="C26" i="29"/>
  <c r="E26" i="29" s="1"/>
  <c r="I26" i="29" s="1"/>
  <c r="H26" i="29" s="1"/>
  <c r="AM15" i="29"/>
  <c r="J15" i="20"/>
  <c r="N15" i="20" s="1"/>
  <c r="H26" i="28"/>
  <c r="AJ16" i="29"/>
  <c r="AD16" i="29"/>
  <c r="AK16" i="29"/>
  <c r="AL16" i="29" s="1"/>
  <c r="L16" i="20" s="1"/>
  <c r="C27" i="28"/>
  <c r="E27" i="28" s="1"/>
  <c r="I27" i="28" s="1"/>
  <c r="BA27" i="20"/>
  <c r="AM17" i="28"/>
  <c r="AM18" i="28" s="1"/>
  <c r="I16" i="20"/>
  <c r="M16" i="20" s="1"/>
  <c r="BD14" i="20"/>
  <c r="AY26" i="20"/>
  <c r="F34" i="2"/>
  <c r="U38" i="20" s="1"/>
  <c r="Y26" i="20" l="1"/>
  <c r="BI26" i="20"/>
  <c r="B35" i="20"/>
  <c r="R35" i="20" s="1"/>
  <c r="T27" i="20"/>
  <c r="S27" i="20"/>
  <c r="BE16" i="20"/>
  <c r="BE17" i="20" s="1"/>
  <c r="BA28" i="20"/>
  <c r="BD15" i="20"/>
  <c r="BF15" i="20"/>
  <c r="BB28" i="20"/>
  <c r="C27" i="29"/>
  <c r="E27" i="29" s="1"/>
  <c r="I27" i="29" s="1"/>
  <c r="H27" i="29" s="1"/>
  <c r="D27" i="28"/>
  <c r="C28" i="28"/>
  <c r="E28" i="28" s="1"/>
  <c r="I28" i="28" s="1"/>
  <c r="F26" i="29"/>
  <c r="H27" i="28"/>
  <c r="AM16" i="29"/>
  <c r="AM17" i="29" s="1"/>
  <c r="J16" i="20"/>
  <c r="N16" i="20" s="1"/>
  <c r="F27" i="28"/>
  <c r="BC16" i="20"/>
  <c r="BC17" i="20" s="1"/>
  <c r="D26" i="29"/>
  <c r="F35" i="2"/>
  <c r="U39" i="20" s="1"/>
  <c r="AY27" i="20"/>
  <c r="Y27" i="20" l="1"/>
  <c r="BI27" i="20"/>
  <c r="B36" i="20"/>
  <c r="R36" i="20" s="1"/>
  <c r="T28" i="20"/>
  <c r="S28" i="20"/>
  <c r="D27" i="29"/>
  <c r="F27" i="29"/>
  <c r="BF16" i="20"/>
  <c r="BF17" i="20" s="1"/>
  <c r="H28" i="28"/>
  <c r="D28" i="28"/>
  <c r="C29" i="28"/>
  <c r="E29" i="28" s="1"/>
  <c r="I29" i="28" s="1"/>
  <c r="BA29" i="20"/>
  <c r="F28" i="28"/>
  <c r="BB29" i="20"/>
  <c r="C28" i="29"/>
  <c r="BD16" i="20"/>
  <c r="BD17" i="20" s="1"/>
  <c r="AY28" i="20"/>
  <c r="F36" i="2"/>
  <c r="U40" i="20" s="1"/>
  <c r="Y28" i="20" l="1"/>
  <c r="BI28" i="20"/>
  <c r="B37" i="20"/>
  <c r="R37" i="20" s="1"/>
  <c r="T29" i="20"/>
  <c r="S29" i="20"/>
  <c r="D29" i="28"/>
  <c r="F29" i="28"/>
  <c r="BA30" i="20"/>
  <c r="BB30" i="20"/>
  <c r="C29" i="29"/>
  <c r="E29" i="29" s="1"/>
  <c r="I29" i="29" s="1"/>
  <c r="H29" i="29" s="1"/>
  <c r="H29" i="28"/>
  <c r="E28" i="29"/>
  <c r="D28" i="29"/>
  <c r="C30" i="28"/>
  <c r="E30" i="28" s="1"/>
  <c r="I30" i="28" s="1"/>
  <c r="F37" i="2"/>
  <c r="U41" i="20" s="1"/>
  <c r="AY29" i="20"/>
  <c r="BI29" i="20" l="1"/>
  <c r="Y29" i="20"/>
  <c r="B38" i="20"/>
  <c r="R38" i="20" s="1"/>
  <c r="T30" i="20"/>
  <c r="S30" i="20"/>
  <c r="H30" i="28"/>
  <c r="C31" i="28"/>
  <c r="E31" i="28" s="1"/>
  <c r="I31" i="28" s="1"/>
  <c r="BA31" i="20"/>
  <c r="D29" i="29"/>
  <c r="BB31" i="20"/>
  <c r="C30" i="29"/>
  <c r="E30" i="29" s="1"/>
  <c r="I30" i="29" s="1"/>
  <c r="H30" i="29" s="1"/>
  <c r="I28" i="29"/>
  <c r="H28" i="29" s="1"/>
  <c r="F28" i="29"/>
  <c r="F29" i="29" s="1"/>
  <c r="F30" i="28"/>
  <c r="D30" i="28"/>
  <c r="AY30" i="20"/>
  <c r="F38" i="2"/>
  <c r="BI30" i="20" l="1"/>
  <c r="U42" i="20"/>
  <c r="Y30" i="20"/>
  <c r="B39" i="20"/>
  <c r="R39" i="20" s="1"/>
  <c r="T31" i="20"/>
  <c r="S31" i="20"/>
  <c r="D31" i="28"/>
  <c r="F31" i="28"/>
  <c r="BA32" i="20"/>
  <c r="H31" i="28"/>
  <c r="D30" i="29"/>
  <c r="F30" i="29"/>
  <c r="BB32" i="20"/>
  <c r="C31" i="29"/>
  <c r="E31" i="29" s="1"/>
  <c r="I31" i="29" s="1"/>
  <c r="H31" i="29" s="1"/>
  <c r="C32" i="28"/>
  <c r="E32" i="28" s="1"/>
  <c r="I32" i="28" s="1"/>
  <c r="AY31" i="20"/>
  <c r="BI31" i="20" l="1"/>
  <c r="Z42" i="20"/>
  <c r="Z14" i="20" s="1"/>
  <c r="Y31" i="20"/>
  <c r="B40" i="20"/>
  <c r="R40" i="20" s="1"/>
  <c r="T32" i="20"/>
  <c r="S32" i="20"/>
  <c r="D31" i="29"/>
  <c r="C32" i="29"/>
  <c r="E32" i="29" s="1"/>
  <c r="I32" i="29" s="1"/>
  <c r="H32" i="29" s="1"/>
  <c r="F31" i="29"/>
  <c r="D32" i="28"/>
  <c r="C33" i="28"/>
  <c r="E33" i="28" s="1"/>
  <c r="I33" i="28" s="1"/>
  <c r="H32" i="28"/>
  <c r="BA33" i="20"/>
  <c r="F32" i="28"/>
  <c r="AY32" i="20"/>
  <c r="AA14" i="20" l="1"/>
  <c r="C18" i="26" s="1"/>
  <c r="D18" i="26" s="1"/>
  <c r="Z15" i="20"/>
  <c r="AA15" i="20" s="1"/>
  <c r="BI32" i="20"/>
  <c r="Y32" i="20"/>
  <c r="B41" i="20"/>
  <c r="R41" i="20" s="1"/>
  <c r="T33" i="20"/>
  <c r="S33" i="20"/>
  <c r="F32" i="29"/>
  <c r="BA34" i="20"/>
  <c r="C33" i="29"/>
  <c r="E33" i="29" s="1"/>
  <c r="I33" i="29" s="1"/>
  <c r="H33" i="29" s="1"/>
  <c r="BB33" i="20"/>
  <c r="F33" i="28"/>
  <c r="D33" i="28"/>
  <c r="H33" i="28"/>
  <c r="C34" i="28"/>
  <c r="E34" i="28" s="1"/>
  <c r="I34" i="28" s="1"/>
  <c r="D32" i="29"/>
  <c r="AY33" i="20"/>
  <c r="BI33" i="20" l="1"/>
  <c r="Z16" i="20"/>
  <c r="Z17" i="20" s="1"/>
  <c r="Z18" i="20" s="1"/>
  <c r="Z19" i="20" s="1"/>
  <c r="Z20" i="20" s="1"/>
  <c r="Z21" i="20" s="1"/>
  <c r="Z22" i="20" s="1"/>
  <c r="Z23" i="20" s="1"/>
  <c r="Z24" i="20" s="1"/>
  <c r="Z25" i="20" s="1"/>
  <c r="Z26" i="20" s="1"/>
  <c r="Z27" i="20" s="1"/>
  <c r="Z28" i="20" s="1"/>
  <c r="Z29" i="20" s="1"/>
  <c r="Z30" i="20" s="1"/>
  <c r="Z31" i="20" s="1"/>
  <c r="Z32" i="20" s="1"/>
  <c r="Z33" i="20" s="1"/>
  <c r="Z34" i="20" s="1"/>
  <c r="Z35" i="20" s="1"/>
  <c r="Z36" i="20" s="1"/>
  <c r="Z37" i="20" s="1"/>
  <c r="Z38" i="20" s="1"/>
  <c r="Z39" i="20" s="1"/>
  <c r="Z40" i="20" s="1"/>
  <c r="Z41" i="20" s="1"/>
  <c r="C18" i="31"/>
  <c r="D18" i="31" s="1"/>
  <c r="E18" i="31" s="1"/>
  <c r="C18" i="25"/>
  <c r="D18" i="25" s="1"/>
  <c r="G18" i="25" s="1"/>
  <c r="BK14" i="20"/>
  <c r="BK15" i="20" s="1"/>
  <c r="F18" i="26"/>
  <c r="G18" i="26"/>
  <c r="E18" i="26"/>
  <c r="C19" i="31"/>
  <c r="D19" i="31" s="1"/>
  <c r="C19" i="26"/>
  <c r="D19" i="26" s="1"/>
  <c r="C19" i="25"/>
  <c r="D19" i="25" s="1"/>
  <c r="Y33" i="20"/>
  <c r="B42" i="20"/>
  <c r="R42" i="20" s="1"/>
  <c r="T34" i="20"/>
  <c r="S34" i="20"/>
  <c r="BB34" i="20"/>
  <c r="BB35" i="20" s="1"/>
  <c r="D33" i="29"/>
  <c r="C35" i="28"/>
  <c r="E35" i="28" s="1"/>
  <c r="I35" i="28" s="1"/>
  <c r="F34" i="28"/>
  <c r="C34" i="29"/>
  <c r="E34" i="29" s="1"/>
  <c r="I34" i="29" s="1"/>
  <c r="H34" i="29" s="1"/>
  <c r="H34" i="28"/>
  <c r="D34" i="28"/>
  <c r="BA35" i="20"/>
  <c r="F33" i="29"/>
  <c r="AY34" i="20"/>
  <c r="F18" i="25" l="1"/>
  <c r="BI34" i="20"/>
  <c r="E18" i="25"/>
  <c r="AD18" i="25" s="1"/>
  <c r="AI18" i="25" s="1"/>
  <c r="AA16" i="20"/>
  <c r="C20" i="31" s="1"/>
  <c r="D20" i="31" s="1"/>
  <c r="G18" i="31"/>
  <c r="F18" i="31"/>
  <c r="AD18" i="26"/>
  <c r="AI18" i="26" s="1"/>
  <c r="L18" i="26"/>
  <c r="Q18" i="26" s="1"/>
  <c r="AV18" i="26"/>
  <c r="BA18" i="26" s="1"/>
  <c r="AM18" i="26"/>
  <c r="AR18" i="26" s="1"/>
  <c r="U18" i="26"/>
  <c r="Z18" i="26" s="1"/>
  <c r="E19" i="25"/>
  <c r="G19" i="25"/>
  <c r="F19" i="25"/>
  <c r="U18" i="31"/>
  <c r="Z18" i="31" s="1"/>
  <c r="L18" i="31"/>
  <c r="Q18" i="31" s="1"/>
  <c r="AV18" i="31"/>
  <c r="BA18" i="31" s="1"/>
  <c r="AM18" i="31"/>
  <c r="AR18" i="31" s="1"/>
  <c r="AD18" i="31"/>
  <c r="AI18" i="31" s="1"/>
  <c r="F19" i="31"/>
  <c r="E19" i="31"/>
  <c r="G19" i="31"/>
  <c r="G19" i="26"/>
  <c r="F19" i="26"/>
  <c r="E19" i="26"/>
  <c r="Y34" i="20"/>
  <c r="T35" i="20"/>
  <c r="S35" i="20"/>
  <c r="D34" i="29"/>
  <c r="F34" i="29"/>
  <c r="BA36" i="20"/>
  <c r="D35" i="28"/>
  <c r="C36" i="28"/>
  <c r="E36" i="28" s="1"/>
  <c r="I36" i="28" s="1"/>
  <c r="BB36" i="20"/>
  <c r="C35" i="29"/>
  <c r="H35" i="28"/>
  <c r="F35" i="28"/>
  <c r="AY35" i="20"/>
  <c r="AV18" i="25" l="1"/>
  <c r="BA18" i="25" s="1"/>
  <c r="BI35" i="20"/>
  <c r="AM18" i="25"/>
  <c r="AR18" i="25" s="1"/>
  <c r="U18" i="25"/>
  <c r="Z18" i="25" s="1"/>
  <c r="L18" i="25"/>
  <c r="Q18" i="25" s="1"/>
  <c r="C20" i="25"/>
  <c r="D20" i="25" s="1"/>
  <c r="G20" i="25" s="1"/>
  <c r="BK16" i="20"/>
  <c r="C20" i="26"/>
  <c r="D20" i="26" s="1"/>
  <c r="E20" i="26" s="1"/>
  <c r="U19" i="26"/>
  <c r="Z19" i="26" s="1"/>
  <c r="AD19" i="26"/>
  <c r="AI19" i="26" s="1"/>
  <c r="AM19" i="26"/>
  <c r="AR19" i="26" s="1"/>
  <c r="AV19" i="26"/>
  <c r="BA19" i="26" s="1"/>
  <c r="L19" i="26"/>
  <c r="Q19" i="26" s="1"/>
  <c r="AV19" i="31"/>
  <c r="BA19" i="31" s="1"/>
  <c r="AD19" i="31"/>
  <c r="AI19" i="31" s="1"/>
  <c r="U19" i="31"/>
  <c r="Z19" i="31" s="1"/>
  <c r="AM19" i="31"/>
  <c r="AR19" i="31" s="1"/>
  <c r="L19" i="31"/>
  <c r="Q19" i="31" s="1"/>
  <c r="G20" i="31"/>
  <c r="F20" i="31"/>
  <c r="E20" i="31"/>
  <c r="U19" i="25"/>
  <c r="Z19" i="25" s="1"/>
  <c r="AV19" i="25"/>
  <c r="BA19" i="25" s="1"/>
  <c r="L19" i="25"/>
  <c r="Q19" i="25" s="1"/>
  <c r="AM19" i="25"/>
  <c r="AR19" i="25" s="1"/>
  <c r="AD19" i="25"/>
  <c r="AI19" i="25" s="1"/>
  <c r="BD18" i="26"/>
  <c r="BD18" i="31"/>
  <c r="Y35" i="20"/>
  <c r="T36" i="20"/>
  <c r="S36" i="20"/>
  <c r="H36" i="28"/>
  <c r="F36" i="28"/>
  <c r="C37" i="28"/>
  <c r="E37" i="28" s="1"/>
  <c r="I37" i="28" s="1"/>
  <c r="BA37" i="20"/>
  <c r="E35" i="29"/>
  <c r="D35" i="29"/>
  <c r="D36" i="28"/>
  <c r="C36" i="29"/>
  <c r="E36" i="29" s="1"/>
  <c r="I36" i="29" s="1"/>
  <c r="H36" i="29" s="1"/>
  <c r="AY36" i="20"/>
  <c r="BI36" i="20" l="1"/>
  <c r="BD18" i="25"/>
  <c r="BE18" i="25" s="1"/>
  <c r="G20" i="26"/>
  <c r="F20" i="25"/>
  <c r="F20" i="26"/>
  <c r="E20" i="25"/>
  <c r="U20" i="25" s="1"/>
  <c r="Z20" i="25" s="1"/>
  <c r="BD19" i="25"/>
  <c r="BE19" i="25" s="1"/>
  <c r="BG18" i="26"/>
  <c r="BE18" i="26"/>
  <c r="BF18" i="26" s="1"/>
  <c r="R62" i="27" s="1"/>
  <c r="AC14" i="20" s="1"/>
  <c r="AF14" i="20" s="1"/>
  <c r="AD20" i="26"/>
  <c r="AI20" i="26" s="1"/>
  <c r="AV20" i="26"/>
  <c r="BA20" i="26" s="1"/>
  <c r="AM20" i="26"/>
  <c r="AR20" i="26" s="1"/>
  <c r="L20" i="26"/>
  <c r="Q20" i="26" s="1"/>
  <c r="U20" i="26"/>
  <c r="Z20" i="26" s="1"/>
  <c r="BD19" i="31"/>
  <c r="BG18" i="31"/>
  <c r="BE18" i="31"/>
  <c r="AM20" i="31"/>
  <c r="AR20" i="31" s="1"/>
  <c r="U20" i="31"/>
  <c r="Z20" i="31" s="1"/>
  <c r="L20" i="31"/>
  <c r="Q20" i="31" s="1"/>
  <c r="AV20" i="31"/>
  <c r="BA20" i="31" s="1"/>
  <c r="AD20" i="31"/>
  <c r="AI20" i="31" s="1"/>
  <c r="BD19" i="26"/>
  <c r="Y36" i="20"/>
  <c r="T37" i="20"/>
  <c r="BI37" i="20" s="1"/>
  <c r="S37" i="20"/>
  <c r="D37" i="28"/>
  <c r="BA38" i="20"/>
  <c r="H37" i="28"/>
  <c r="I35" i="29"/>
  <c r="H35" i="29" s="1"/>
  <c r="F35" i="29"/>
  <c r="F36" i="29" s="1"/>
  <c r="F37" i="28"/>
  <c r="C37" i="29"/>
  <c r="E37" i="29" s="1"/>
  <c r="I37" i="29" s="1"/>
  <c r="H37" i="29" s="1"/>
  <c r="BB37" i="20"/>
  <c r="D36" i="29"/>
  <c r="C38" i="28"/>
  <c r="E38" i="28" s="1"/>
  <c r="I38" i="28" s="1"/>
  <c r="AY37" i="20"/>
  <c r="BG18" i="25" l="1"/>
  <c r="BJ18" i="25" s="1"/>
  <c r="AV20" i="25"/>
  <c r="BA20" i="25" s="1"/>
  <c r="AD20" i="25"/>
  <c r="AI20" i="25" s="1"/>
  <c r="AM20" i="25"/>
  <c r="AR20" i="25" s="1"/>
  <c r="L20" i="25"/>
  <c r="Q20" i="25" s="1"/>
  <c r="BG19" i="25"/>
  <c r="BY19" i="25" s="1"/>
  <c r="BZ19" i="25" s="1"/>
  <c r="BD20" i="26"/>
  <c r="BE20" i="26" s="1"/>
  <c r="BF20" i="26" s="1"/>
  <c r="R64" i="27" s="1"/>
  <c r="AC16" i="20" s="1"/>
  <c r="AF16" i="20" s="1"/>
  <c r="BY18" i="31"/>
  <c r="BZ18" i="31" s="1"/>
  <c r="BJ18" i="31"/>
  <c r="BY18" i="26"/>
  <c r="BZ18" i="26" s="1"/>
  <c r="BJ18" i="26"/>
  <c r="S62" i="27" s="1"/>
  <c r="BD20" i="31"/>
  <c r="BF18" i="25"/>
  <c r="R19" i="27" s="1"/>
  <c r="AB14" i="20" s="1"/>
  <c r="AE14" i="20" s="1"/>
  <c r="S19" i="27"/>
  <c r="BG19" i="31"/>
  <c r="BE19" i="31"/>
  <c r="S105" i="27"/>
  <c r="BF18" i="31"/>
  <c r="R105" i="27" s="1"/>
  <c r="AD14" i="20" s="1"/>
  <c r="AG14" i="20" s="1"/>
  <c r="BG19" i="26"/>
  <c r="BE19" i="26"/>
  <c r="BF19" i="26" s="1"/>
  <c r="R63" i="27" s="1"/>
  <c r="AC15" i="20" s="1"/>
  <c r="AF15" i="20" s="1"/>
  <c r="S20" i="27"/>
  <c r="BF19" i="25"/>
  <c r="R20" i="27" s="1"/>
  <c r="AB15" i="20" s="1"/>
  <c r="AE15" i="20" s="1"/>
  <c r="Y37" i="20"/>
  <c r="T38" i="20"/>
  <c r="BI38" i="20" s="1"/>
  <c r="S38" i="20"/>
  <c r="D37" i="29"/>
  <c r="F38" i="28"/>
  <c r="C38" i="29"/>
  <c r="E38" i="29" s="1"/>
  <c r="I38" i="29" s="1"/>
  <c r="H38" i="29" s="1"/>
  <c r="H38" i="28"/>
  <c r="D38" i="28"/>
  <c r="F37" i="29"/>
  <c r="BB38" i="20"/>
  <c r="C39" i="28"/>
  <c r="E39" i="28" s="1"/>
  <c r="I39" i="28" s="1"/>
  <c r="BA39" i="20"/>
  <c r="AY38" i="20"/>
  <c r="BY18" i="25" l="1"/>
  <c r="BZ18" i="25" s="1"/>
  <c r="BJ19" i="25"/>
  <c r="BD20" i="25"/>
  <c r="BE20" i="25" s="1"/>
  <c r="BG20" i="26"/>
  <c r="BJ20" i="26" s="1"/>
  <c r="S64" i="27" s="1"/>
  <c r="S106" i="27"/>
  <c r="BF19" i="31"/>
  <c r="R106" i="27" s="1"/>
  <c r="AD15" i="20" s="1"/>
  <c r="AG15" i="20" s="1"/>
  <c r="BY19" i="26"/>
  <c r="BZ19" i="26" s="1"/>
  <c r="BJ19" i="26"/>
  <c r="S63" i="27" s="1"/>
  <c r="BJ19" i="31"/>
  <c r="BY19" i="31"/>
  <c r="BZ19" i="31" s="1"/>
  <c r="BG20" i="31"/>
  <c r="BE20" i="31"/>
  <c r="Y38" i="20"/>
  <c r="T39" i="20"/>
  <c r="BI39" i="20" s="1"/>
  <c r="S39" i="20"/>
  <c r="BB39" i="20"/>
  <c r="H39" i="28"/>
  <c r="D39" i="28"/>
  <c r="F39" i="28"/>
  <c r="C40" i="28"/>
  <c r="E40" i="28" s="1"/>
  <c r="I40" i="28" s="1"/>
  <c r="C39" i="29"/>
  <c r="E39" i="29" s="1"/>
  <c r="I39" i="29" s="1"/>
  <c r="H39" i="29" s="1"/>
  <c r="BA40" i="20"/>
  <c r="F38" i="29"/>
  <c r="D38" i="29"/>
  <c r="AY39" i="20"/>
  <c r="BG20" i="25" l="1"/>
  <c r="BJ20" i="25" s="1"/>
  <c r="BY20" i="26"/>
  <c r="BZ20" i="26" s="1"/>
  <c r="BF20" i="25"/>
  <c r="R21" i="27" s="1"/>
  <c r="AB16" i="20" s="1"/>
  <c r="AE16" i="20" s="1"/>
  <c r="S21" i="27"/>
  <c r="BY20" i="31"/>
  <c r="BZ20" i="31" s="1"/>
  <c r="BJ20" i="31"/>
  <c r="S107" i="27"/>
  <c r="BF20" i="31"/>
  <c r="R107" i="27" s="1"/>
  <c r="AD16" i="20" s="1"/>
  <c r="AG16" i="20" s="1"/>
  <c r="Y39" i="20"/>
  <c r="T40" i="20"/>
  <c r="BI40" i="20" s="1"/>
  <c r="S40" i="20"/>
  <c r="BB40" i="20"/>
  <c r="BB41" i="20" s="1"/>
  <c r="D39" i="29"/>
  <c r="F39" i="29"/>
  <c r="C41" i="28"/>
  <c r="E41" i="28" s="1"/>
  <c r="I41" i="28" s="1"/>
  <c r="F40" i="28"/>
  <c r="H40" i="28"/>
  <c r="BA41" i="20"/>
  <c r="C40" i="29"/>
  <c r="D40" i="28"/>
  <c r="AY40" i="20"/>
  <c r="BY20" i="25" l="1"/>
  <c r="BZ20" i="25" s="1"/>
  <c r="Y40" i="20"/>
  <c r="T41" i="20"/>
  <c r="BI41" i="20" s="1"/>
  <c r="S41" i="20"/>
  <c r="T42" i="20"/>
  <c r="BA42" i="20"/>
  <c r="D41" i="28"/>
  <c r="F41" i="28"/>
  <c r="C42" i="29"/>
  <c r="E42" i="29" s="1"/>
  <c r="I42" i="29" s="1"/>
  <c r="J42" i="29" s="1"/>
  <c r="J18" i="29" s="1"/>
  <c r="C41" i="29"/>
  <c r="E41" i="29" s="1"/>
  <c r="I41" i="29" s="1"/>
  <c r="H41" i="29" s="1"/>
  <c r="H41" i="28"/>
  <c r="E40" i="29"/>
  <c r="D40" i="29"/>
  <c r="C42" i="28"/>
  <c r="E42" i="28" s="1"/>
  <c r="I42" i="28" s="1"/>
  <c r="E61" i="21"/>
  <c r="D61" i="21"/>
  <c r="AY41" i="20"/>
  <c r="S42" i="20" l="1"/>
  <c r="Y42" i="20" s="1"/>
  <c r="AA42" i="20" s="1"/>
  <c r="Y41" i="20"/>
  <c r="J19" i="29"/>
  <c r="N18" i="29"/>
  <c r="K18" i="29"/>
  <c r="U18" i="29" s="1"/>
  <c r="T18" i="29" s="1"/>
  <c r="L18" i="29"/>
  <c r="BI42" i="20"/>
  <c r="BB42" i="20"/>
  <c r="D41" i="29"/>
  <c r="D42" i="29" s="1"/>
  <c r="I40" i="29"/>
  <c r="H40" i="29" s="1"/>
  <c r="F40" i="29"/>
  <c r="F41" i="29" s="1"/>
  <c r="F42" i="29" s="1"/>
  <c r="H42" i="29"/>
  <c r="H42" i="28"/>
  <c r="J42" i="28"/>
  <c r="J18" i="28" s="1"/>
  <c r="D42" i="28"/>
  <c r="F42" i="28"/>
  <c r="AY42" i="20"/>
  <c r="J19" i="28" l="1"/>
  <c r="L18" i="28"/>
  <c r="N18" i="28"/>
  <c r="K18" i="28"/>
  <c r="U18" i="28" s="1"/>
  <c r="T18" i="28" s="1"/>
  <c r="V18" i="29"/>
  <c r="R18" i="29"/>
  <c r="M18" i="29"/>
  <c r="X18" i="29"/>
  <c r="O18" i="29"/>
  <c r="J20" i="29"/>
  <c r="K19" i="29"/>
  <c r="U19" i="29" s="1"/>
  <c r="T19" i="29" s="1"/>
  <c r="L19" i="29"/>
  <c r="N19" i="29"/>
  <c r="K42" i="28"/>
  <c r="U42" i="28" s="1"/>
  <c r="T42" i="28" s="1"/>
  <c r="N42" i="28"/>
  <c r="L42" i="28"/>
  <c r="K42" i="29"/>
  <c r="U42" i="29" s="1"/>
  <c r="T42" i="29" s="1"/>
  <c r="N42" i="29"/>
  <c r="L42" i="29"/>
  <c r="M19" i="29" l="1"/>
  <c r="R19" i="29"/>
  <c r="V19" i="29"/>
  <c r="AF18" i="29"/>
  <c r="Y18" i="29"/>
  <c r="X18" i="28"/>
  <c r="AF18" i="28" s="1"/>
  <c r="O18" i="28"/>
  <c r="J21" i="29"/>
  <c r="K20" i="29"/>
  <c r="U20" i="29" s="1"/>
  <c r="T20" i="29" s="1"/>
  <c r="N20" i="29"/>
  <c r="L20" i="29"/>
  <c r="M18" i="28"/>
  <c r="V18" i="28"/>
  <c r="W18" i="28" s="1"/>
  <c r="R18" i="28"/>
  <c r="X19" i="29"/>
  <c r="O19" i="29"/>
  <c r="AB18" i="29"/>
  <c r="W18" i="29"/>
  <c r="J20" i="28"/>
  <c r="K19" i="28"/>
  <c r="U19" i="28" s="1"/>
  <c r="T19" i="28" s="1"/>
  <c r="L19" i="28"/>
  <c r="N19" i="28"/>
  <c r="V42" i="29"/>
  <c r="R42" i="29"/>
  <c r="M42" i="29"/>
  <c r="O42" i="28"/>
  <c r="X42" i="28"/>
  <c r="AF42" i="28" s="1"/>
  <c r="X42" i="29"/>
  <c r="AF42" i="29" s="1"/>
  <c r="O42" i="29"/>
  <c r="V42" i="28"/>
  <c r="W42" i="28" s="1"/>
  <c r="M42" i="28"/>
  <c r="R42" i="28"/>
  <c r="M19" i="28" l="1"/>
  <c r="V19" i="28"/>
  <c r="R19" i="28"/>
  <c r="R20" i="29"/>
  <c r="V20" i="29"/>
  <c r="M20" i="29"/>
  <c r="Y18" i="28"/>
  <c r="AI18" i="29"/>
  <c r="AJ18" i="29" s="1"/>
  <c r="AG18" i="29"/>
  <c r="AH18" i="29" s="1"/>
  <c r="AK18" i="29"/>
  <c r="AL18" i="29" s="1"/>
  <c r="L18" i="20" s="1"/>
  <c r="X20" i="29"/>
  <c r="O20" i="29"/>
  <c r="W19" i="29"/>
  <c r="AB19" i="29"/>
  <c r="AD19" i="29" s="1"/>
  <c r="J21" i="28"/>
  <c r="N20" i="28"/>
  <c r="L20" i="28"/>
  <c r="K20" i="28"/>
  <c r="U20" i="28" s="1"/>
  <c r="T20" i="28" s="1"/>
  <c r="AB18" i="28"/>
  <c r="AD18" i="28" s="1"/>
  <c r="AI18" i="28"/>
  <c r="AG18" i="28"/>
  <c r="AH18" i="28" s="1"/>
  <c r="O19" i="28"/>
  <c r="X19" i="28"/>
  <c r="AF19" i="28" s="1"/>
  <c r="AD18" i="29"/>
  <c r="AF19" i="29"/>
  <c r="Y19" i="29"/>
  <c r="J22" i="29"/>
  <c r="L21" i="29"/>
  <c r="N21" i="29"/>
  <c r="K21" i="29"/>
  <c r="U21" i="29" s="1"/>
  <c r="T21" i="29" s="1"/>
  <c r="AI42" i="29"/>
  <c r="AG42" i="29"/>
  <c r="AH42" i="29" s="1"/>
  <c r="AG42" i="28"/>
  <c r="AH42" i="28" s="1"/>
  <c r="AI42" i="28"/>
  <c r="Y42" i="29"/>
  <c r="AB42" i="29"/>
  <c r="W42" i="29"/>
  <c r="AB42" i="28"/>
  <c r="Y42" i="28"/>
  <c r="AI19" i="29" l="1"/>
  <c r="AJ19" i="29" s="1"/>
  <c r="J19" i="20" s="1"/>
  <c r="AG19" i="29"/>
  <c r="AH19" i="29" s="1"/>
  <c r="V21" i="29"/>
  <c r="R21" i="29"/>
  <c r="M21" i="29"/>
  <c r="AF20" i="29"/>
  <c r="Y20" i="29"/>
  <c r="O21" i="29"/>
  <c r="X21" i="29"/>
  <c r="J23" i="29"/>
  <c r="K22" i="29"/>
  <c r="U22" i="29" s="1"/>
  <c r="T22" i="29" s="1"/>
  <c r="N22" i="29"/>
  <c r="L22" i="29"/>
  <c r="Y19" i="28"/>
  <c r="V20" i="28"/>
  <c r="M20" i="28"/>
  <c r="R20" i="28"/>
  <c r="AK19" i="29"/>
  <c r="AL19" i="29" s="1"/>
  <c r="L19" i="20" s="1"/>
  <c r="J18" i="20"/>
  <c r="AM18" i="29"/>
  <c r="AG19" i="28"/>
  <c r="AH19" i="28" s="1"/>
  <c r="AI19" i="28"/>
  <c r="O20" i="28"/>
  <c r="X20" i="28"/>
  <c r="AF20" i="28" s="1"/>
  <c r="W19" i="28"/>
  <c r="AB19" i="28"/>
  <c r="AJ18" i="28"/>
  <c r="AK18" i="28"/>
  <c r="AL18" i="28" s="1"/>
  <c r="K18" i="20" s="1"/>
  <c r="J22" i="28"/>
  <c r="K21" i="28"/>
  <c r="U21" i="28" s="1"/>
  <c r="T21" i="28" s="1"/>
  <c r="N21" i="28"/>
  <c r="L21" i="28"/>
  <c r="W20" i="29"/>
  <c r="AB20" i="29"/>
  <c r="AK42" i="29"/>
  <c r="AL42" i="29" s="1"/>
  <c r="L42" i="20" s="1"/>
  <c r="AD42" i="29"/>
  <c r="AK42" i="28"/>
  <c r="AL42" i="28" s="1"/>
  <c r="K42" i="20" s="1"/>
  <c r="AJ42" i="28"/>
  <c r="I42" i="20" s="1"/>
  <c r="AD42" i="28"/>
  <c r="AJ42" i="29"/>
  <c r="J42" i="20" s="1"/>
  <c r="Y20" i="28" l="1"/>
  <c r="N19" i="20"/>
  <c r="AK20" i="29"/>
  <c r="AL20" i="29" s="1"/>
  <c r="L20" i="20" s="1"/>
  <c r="AD19" i="28"/>
  <c r="AK19" i="28"/>
  <c r="AL19" i="28" s="1"/>
  <c r="K19" i="20" s="1"/>
  <c r="AJ19" i="28"/>
  <c r="I19" i="20" s="1"/>
  <c r="N18" i="20"/>
  <c r="BF18" i="20" s="1"/>
  <c r="BD18" i="20"/>
  <c r="BD19" i="20" s="1"/>
  <c r="O22" i="29"/>
  <c r="X22" i="29"/>
  <c r="J23" i="28"/>
  <c r="K22" i="28"/>
  <c r="U22" i="28" s="1"/>
  <c r="T22" i="28" s="1"/>
  <c r="L22" i="28"/>
  <c r="N22" i="28"/>
  <c r="W20" i="28"/>
  <c r="AB20" i="28"/>
  <c r="AB21" i="29"/>
  <c r="W21" i="29"/>
  <c r="M21" i="28"/>
  <c r="V21" i="28"/>
  <c r="R21" i="28"/>
  <c r="J24" i="29"/>
  <c r="N23" i="29"/>
  <c r="L23" i="29"/>
  <c r="K23" i="29"/>
  <c r="U23" i="29" s="1"/>
  <c r="T23" i="29" s="1"/>
  <c r="AI20" i="29"/>
  <c r="AJ20" i="29" s="1"/>
  <c r="J20" i="20" s="1"/>
  <c r="AG20" i="29"/>
  <c r="AH20" i="29" s="1"/>
  <c r="AD20" i="29"/>
  <c r="O21" i="28"/>
  <c r="X21" i="28"/>
  <c r="AF21" i="28" s="1"/>
  <c r="I18" i="20"/>
  <c r="AM19" i="28"/>
  <c r="AG20" i="28"/>
  <c r="AH20" i="28" s="1"/>
  <c r="AI20" i="28"/>
  <c r="AM19" i="29"/>
  <c r="R22" i="29"/>
  <c r="V22" i="29"/>
  <c r="M22" i="29"/>
  <c r="AF21" i="29"/>
  <c r="Y21" i="29"/>
  <c r="N42" i="20"/>
  <c r="M42" i="20"/>
  <c r="AM20" i="28" l="1"/>
  <c r="N20" i="20"/>
  <c r="Y21" i="28"/>
  <c r="BF19" i="20"/>
  <c r="AG21" i="29"/>
  <c r="AH21" i="29" s="1"/>
  <c r="AI21" i="29"/>
  <c r="AJ21" i="29" s="1"/>
  <c r="J21" i="20" s="1"/>
  <c r="AM20" i="29"/>
  <c r="BC18" i="20"/>
  <c r="BC19" i="20" s="1"/>
  <c r="M18" i="20"/>
  <c r="BE18" i="20" s="1"/>
  <c r="V23" i="29"/>
  <c r="M23" i="29"/>
  <c r="R23" i="29"/>
  <c r="W21" i="28"/>
  <c r="AB21" i="28"/>
  <c r="AD21" i="28" s="1"/>
  <c r="AK21" i="29"/>
  <c r="AL21" i="29" s="1"/>
  <c r="L21" i="20" s="1"/>
  <c r="R22" i="28"/>
  <c r="M22" i="28"/>
  <c r="V22" i="28"/>
  <c r="W22" i="28" s="1"/>
  <c r="O23" i="29"/>
  <c r="X23" i="29"/>
  <c r="AD20" i="28"/>
  <c r="AK20" i="28"/>
  <c r="AL20" i="28" s="1"/>
  <c r="K20" i="20" s="1"/>
  <c r="AJ20" i="28"/>
  <c r="I20" i="20" s="1"/>
  <c r="BD20" i="20"/>
  <c r="AB22" i="29"/>
  <c r="W22" i="29"/>
  <c r="AG21" i="28"/>
  <c r="AH21" i="28" s="1"/>
  <c r="AI21" i="28"/>
  <c r="J25" i="29"/>
  <c r="L24" i="29"/>
  <c r="N24" i="29"/>
  <c r="K24" i="29"/>
  <c r="U24" i="29" s="1"/>
  <c r="T24" i="29" s="1"/>
  <c r="AD21" i="29"/>
  <c r="J24" i="28"/>
  <c r="N23" i="28"/>
  <c r="L23" i="28"/>
  <c r="K23" i="28"/>
  <c r="U23" i="28" s="1"/>
  <c r="T23" i="28" s="1"/>
  <c r="O22" i="28"/>
  <c r="X22" i="28"/>
  <c r="AF22" i="28" s="1"/>
  <c r="AF22" i="29"/>
  <c r="Y22" i="29"/>
  <c r="M19" i="20"/>
  <c r="BF20" i="20" l="1"/>
  <c r="N21" i="20"/>
  <c r="AM21" i="28"/>
  <c r="BE19" i="20"/>
  <c r="V23" i="28"/>
  <c r="W23" i="28" s="1"/>
  <c r="M23" i="28"/>
  <c r="R23" i="28"/>
  <c r="AK22" i="29"/>
  <c r="AL22" i="29" s="1"/>
  <c r="L22" i="20" s="1"/>
  <c r="AB22" i="28"/>
  <c r="AG22" i="28"/>
  <c r="AH22" i="28" s="1"/>
  <c r="AI22" i="28"/>
  <c r="AG22" i="29"/>
  <c r="AH22" i="29" s="1"/>
  <c r="AI22" i="29"/>
  <c r="AJ22" i="29" s="1"/>
  <c r="J22" i="20" s="1"/>
  <c r="O23" i="28"/>
  <c r="X23" i="28"/>
  <c r="AF23" i="28" s="1"/>
  <c r="X24" i="29"/>
  <c r="O24" i="29"/>
  <c r="BD21" i="20"/>
  <c r="AF23" i="29"/>
  <c r="Y23" i="29"/>
  <c r="AM21" i="29"/>
  <c r="Y22" i="28"/>
  <c r="J25" i="28"/>
  <c r="L24" i="28"/>
  <c r="N24" i="28"/>
  <c r="K24" i="28"/>
  <c r="U24" i="28" s="1"/>
  <c r="T24" i="28" s="1"/>
  <c r="V24" i="29"/>
  <c r="R24" i="29"/>
  <c r="M24" i="29"/>
  <c r="AD22" i="29"/>
  <c r="M20" i="20"/>
  <c r="BC20" i="20"/>
  <c r="AJ21" i="28"/>
  <c r="I21" i="20" s="1"/>
  <c r="AK21" i="28"/>
  <c r="AL21" i="28" s="1"/>
  <c r="K21" i="20" s="1"/>
  <c r="AB23" i="29"/>
  <c r="AD23" i="29" s="1"/>
  <c r="W23" i="29"/>
  <c r="J26" i="29"/>
  <c r="L25" i="29"/>
  <c r="N25" i="29"/>
  <c r="K25" i="29"/>
  <c r="U25" i="29" s="1"/>
  <c r="T25" i="29" s="1"/>
  <c r="BF21" i="20" l="1"/>
  <c r="BE20" i="20"/>
  <c r="N22" i="20"/>
  <c r="BD22" i="20"/>
  <c r="M25" i="29"/>
  <c r="V25" i="29"/>
  <c r="R25" i="29"/>
  <c r="AK23" i="29"/>
  <c r="AL23" i="29" s="1"/>
  <c r="L23" i="20" s="1"/>
  <c r="W24" i="29"/>
  <c r="AB24" i="29"/>
  <c r="J26" i="28"/>
  <c r="K25" i="28"/>
  <c r="U25" i="28" s="1"/>
  <c r="T25" i="28" s="1"/>
  <c r="N25" i="28"/>
  <c r="L25" i="28"/>
  <c r="AF24" i="29"/>
  <c r="Y24" i="29"/>
  <c r="AM22" i="28"/>
  <c r="J27" i="29"/>
  <c r="L26" i="29"/>
  <c r="K26" i="29"/>
  <c r="U26" i="29" s="1"/>
  <c r="T26" i="29" s="1"/>
  <c r="N26" i="29"/>
  <c r="AG23" i="29"/>
  <c r="AH23" i="29" s="1"/>
  <c r="AI23" i="29"/>
  <c r="AJ23" i="29" s="1"/>
  <c r="J23" i="20" s="1"/>
  <c r="Y23" i="28"/>
  <c r="AD22" i="28"/>
  <c r="AK22" i="28"/>
  <c r="AL22" i="28" s="1"/>
  <c r="K22" i="20" s="1"/>
  <c r="AJ22" i="28"/>
  <c r="I22" i="20" s="1"/>
  <c r="O24" i="28"/>
  <c r="X24" i="28"/>
  <c r="AF24" i="28" s="1"/>
  <c r="AG23" i="28"/>
  <c r="AH23" i="28" s="1"/>
  <c r="AI23" i="28"/>
  <c r="BC21" i="20"/>
  <c r="M21" i="20"/>
  <c r="O25" i="29"/>
  <c r="X25" i="29"/>
  <c r="R24" i="28"/>
  <c r="M24" i="28"/>
  <c r="V24" i="28"/>
  <c r="W24" i="28" s="1"/>
  <c r="AM22" i="29"/>
  <c r="AB23" i="28"/>
  <c r="BF22" i="20" l="1"/>
  <c r="BE21" i="20"/>
  <c r="BC22" i="20"/>
  <c r="M22" i="20"/>
  <c r="N23" i="20"/>
  <c r="BD23" i="20"/>
  <c r="AM23" i="29"/>
  <c r="AI24" i="28"/>
  <c r="AG24" i="28"/>
  <c r="AH24" i="28" s="1"/>
  <c r="O26" i="29"/>
  <c r="X26" i="29"/>
  <c r="AM23" i="28"/>
  <c r="O25" i="28"/>
  <c r="X25" i="28"/>
  <c r="AF25" i="28" s="1"/>
  <c r="AK24" i="29"/>
  <c r="AL24" i="29" s="1"/>
  <c r="L24" i="20" s="1"/>
  <c r="AF25" i="29"/>
  <c r="Y25" i="29"/>
  <c r="W25" i="29"/>
  <c r="AB25" i="29"/>
  <c r="AD25" i="29" s="1"/>
  <c r="AB24" i="28"/>
  <c r="AD24" i="28" s="1"/>
  <c r="V26" i="29"/>
  <c r="R26" i="29"/>
  <c r="M26" i="29"/>
  <c r="AG24" i="29"/>
  <c r="AH24" i="29" s="1"/>
  <c r="AI24" i="29"/>
  <c r="AJ24" i="29" s="1"/>
  <c r="J24" i="20" s="1"/>
  <c r="J27" i="28"/>
  <c r="K26" i="28"/>
  <c r="U26" i="28" s="1"/>
  <c r="T26" i="28" s="1"/>
  <c r="N26" i="28"/>
  <c r="L26" i="28"/>
  <c r="AD23" i="28"/>
  <c r="AJ23" i="28"/>
  <c r="I23" i="20" s="1"/>
  <c r="AK23" i="28"/>
  <c r="AL23" i="28" s="1"/>
  <c r="K23" i="20" s="1"/>
  <c r="Y24" i="28"/>
  <c r="J28" i="29"/>
  <c r="L27" i="29"/>
  <c r="N27" i="29"/>
  <c r="K27" i="29"/>
  <c r="U27" i="29" s="1"/>
  <c r="T27" i="29" s="1"/>
  <c r="M25" i="28"/>
  <c r="R25" i="28"/>
  <c r="V25" i="28"/>
  <c r="AD24" i="29"/>
  <c r="BE22" i="20" l="1"/>
  <c r="BF23" i="20"/>
  <c r="N24" i="20"/>
  <c r="R27" i="29"/>
  <c r="M27" i="29"/>
  <c r="V27" i="29"/>
  <c r="X26" i="28"/>
  <c r="AF26" i="28" s="1"/>
  <c r="O26" i="28"/>
  <c r="AM24" i="28"/>
  <c r="J29" i="29"/>
  <c r="K28" i="29"/>
  <c r="U28" i="29" s="1"/>
  <c r="T28" i="29" s="1"/>
  <c r="N28" i="29"/>
  <c r="L28" i="29"/>
  <c r="M23" i="20"/>
  <c r="BC23" i="20"/>
  <c r="AK24" i="28"/>
  <c r="AL24" i="28" s="1"/>
  <c r="K24" i="20" s="1"/>
  <c r="AJ24" i="28"/>
  <c r="I24" i="20" s="1"/>
  <c r="Y25" i="28"/>
  <c r="AF26" i="29"/>
  <c r="Y26" i="29"/>
  <c r="AM24" i="29"/>
  <c r="J28" i="28"/>
  <c r="L27" i="28"/>
  <c r="N27" i="28"/>
  <c r="K27" i="28"/>
  <c r="U27" i="28" s="1"/>
  <c r="T27" i="28" s="1"/>
  <c r="AI25" i="29"/>
  <c r="AJ25" i="29" s="1"/>
  <c r="J25" i="20" s="1"/>
  <c r="AG25" i="29"/>
  <c r="AH25" i="29" s="1"/>
  <c r="AG25" i="28"/>
  <c r="AH25" i="28" s="1"/>
  <c r="AI25" i="28"/>
  <c r="BD24" i="20"/>
  <c r="W25" i="28"/>
  <c r="AB25" i="28"/>
  <c r="O27" i="29"/>
  <c r="X27" i="29"/>
  <c r="M26" i="28"/>
  <c r="R26" i="28"/>
  <c r="V26" i="28"/>
  <c r="AB26" i="29"/>
  <c r="AD26" i="29" s="1"/>
  <c r="W26" i="29"/>
  <c r="AK25" i="29"/>
  <c r="AL25" i="29" s="1"/>
  <c r="L25" i="20" s="1"/>
  <c r="BE23" i="20" l="1"/>
  <c r="BF24" i="20"/>
  <c r="Y26" i="28"/>
  <c r="BC24" i="20"/>
  <c r="N25" i="20"/>
  <c r="AK26" i="29"/>
  <c r="AL26" i="29" s="1"/>
  <c r="L26" i="20" s="1"/>
  <c r="AF27" i="29"/>
  <c r="Y27" i="29"/>
  <c r="BD25" i="20"/>
  <c r="J29" i="28"/>
  <c r="L28" i="28"/>
  <c r="K28" i="28"/>
  <c r="U28" i="28" s="1"/>
  <c r="T28" i="28" s="1"/>
  <c r="N28" i="28"/>
  <c r="J30" i="29"/>
  <c r="N29" i="29"/>
  <c r="K29" i="29"/>
  <c r="U29" i="29" s="1"/>
  <c r="T29" i="29" s="1"/>
  <c r="L29" i="29"/>
  <c r="AG26" i="28"/>
  <c r="AH26" i="28" s="1"/>
  <c r="AI26" i="28"/>
  <c r="W26" i="28"/>
  <c r="AB26" i="28"/>
  <c r="AD26" i="28" s="1"/>
  <c r="AM25" i="29"/>
  <c r="M24" i="20"/>
  <c r="M28" i="29"/>
  <c r="V28" i="29"/>
  <c r="R28" i="29"/>
  <c r="AM25" i="28"/>
  <c r="W27" i="29"/>
  <c r="AB27" i="29"/>
  <c r="AD25" i="28"/>
  <c r="AJ25" i="28"/>
  <c r="I25" i="20" s="1"/>
  <c r="AK25" i="28"/>
  <c r="AL25" i="28" s="1"/>
  <c r="K25" i="20" s="1"/>
  <c r="O27" i="28"/>
  <c r="X27" i="28"/>
  <c r="AF27" i="28" s="1"/>
  <c r="O28" i="29"/>
  <c r="X28" i="29"/>
  <c r="M27" i="28"/>
  <c r="R27" i="28"/>
  <c r="V27" i="28"/>
  <c r="AI26" i="29"/>
  <c r="AJ26" i="29" s="1"/>
  <c r="J26" i="20" s="1"/>
  <c r="AG26" i="29"/>
  <c r="AH26" i="29" s="1"/>
  <c r="BE24" i="20" l="1"/>
  <c r="BF25" i="20"/>
  <c r="N26" i="20"/>
  <c r="AB27" i="28"/>
  <c r="AK27" i="28" s="1"/>
  <c r="AL27" i="28" s="1"/>
  <c r="K27" i="20" s="1"/>
  <c r="Y27" i="28"/>
  <c r="W27" i="28"/>
  <c r="AG27" i="29"/>
  <c r="AH27" i="29" s="1"/>
  <c r="AI27" i="29"/>
  <c r="AJ27" i="29" s="1"/>
  <c r="J27" i="20" s="1"/>
  <c r="AK27" i="29"/>
  <c r="AL27" i="29" s="1"/>
  <c r="L27" i="20" s="1"/>
  <c r="M28" i="28"/>
  <c r="R28" i="28"/>
  <c r="V28" i="28"/>
  <c r="BC25" i="20"/>
  <c r="M25" i="20"/>
  <c r="AJ26" i="28"/>
  <c r="I26" i="20" s="1"/>
  <c r="AK26" i="28"/>
  <c r="AL26" i="28" s="1"/>
  <c r="K26" i="20" s="1"/>
  <c r="M29" i="29"/>
  <c r="V29" i="29"/>
  <c r="R29" i="29"/>
  <c r="J30" i="28"/>
  <c r="N29" i="28"/>
  <c r="L29" i="28"/>
  <c r="K29" i="28"/>
  <c r="U29" i="28" s="1"/>
  <c r="T29" i="28" s="1"/>
  <c r="AB28" i="29"/>
  <c r="W28" i="29"/>
  <c r="J31" i="29"/>
  <c r="K30" i="29"/>
  <c r="U30" i="29" s="1"/>
  <c r="T30" i="29" s="1"/>
  <c r="L30" i="29"/>
  <c r="N30" i="29"/>
  <c r="AI27" i="28"/>
  <c r="AG27" i="28"/>
  <c r="AH27" i="28" s="1"/>
  <c r="AM26" i="28"/>
  <c r="X28" i="28"/>
  <c r="AF28" i="28" s="1"/>
  <c r="O28" i="28"/>
  <c r="BD26" i="20"/>
  <c r="AD27" i="28"/>
  <c r="AF28" i="29"/>
  <c r="Y28" i="29"/>
  <c r="AD27" i="29"/>
  <c r="AM26" i="29"/>
  <c r="X29" i="29"/>
  <c r="O29" i="29"/>
  <c r="BE25" i="20" l="1"/>
  <c r="AJ27" i="28"/>
  <c r="I27" i="20" s="1"/>
  <c r="M27" i="20" s="1"/>
  <c r="BF26" i="20"/>
  <c r="AM27" i="28"/>
  <c r="AM27" i="29"/>
  <c r="Y28" i="28"/>
  <c r="N27" i="20"/>
  <c r="BF27" i="20" s="1"/>
  <c r="AI28" i="28"/>
  <c r="AG28" i="28"/>
  <c r="AH28" i="28" s="1"/>
  <c r="J32" i="29"/>
  <c r="K31" i="29"/>
  <c r="U31" i="29" s="1"/>
  <c r="T31" i="29" s="1"/>
  <c r="L31" i="29"/>
  <c r="N31" i="29"/>
  <c r="M26" i="20"/>
  <c r="BC26" i="20"/>
  <c r="AK28" i="29"/>
  <c r="AL28" i="29" s="1"/>
  <c r="L28" i="20" s="1"/>
  <c r="J31" i="28"/>
  <c r="K30" i="28"/>
  <c r="U30" i="28" s="1"/>
  <c r="T30" i="28" s="1"/>
  <c r="N30" i="28"/>
  <c r="L30" i="28"/>
  <c r="W28" i="28"/>
  <c r="AB28" i="28"/>
  <c r="AF29" i="29"/>
  <c r="Y29" i="29"/>
  <c r="AG28" i="29"/>
  <c r="AH28" i="29" s="1"/>
  <c r="AI28" i="29"/>
  <c r="AJ28" i="29" s="1"/>
  <c r="BD27" i="20"/>
  <c r="X30" i="29"/>
  <c r="O30" i="29"/>
  <c r="AD28" i="29"/>
  <c r="M29" i="28"/>
  <c r="V29" i="28"/>
  <c r="R29" i="28"/>
  <c r="AB29" i="29"/>
  <c r="AD29" i="29" s="1"/>
  <c r="W29" i="29"/>
  <c r="R30" i="29"/>
  <c r="M30" i="29"/>
  <c r="V30" i="29"/>
  <c r="X29" i="28"/>
  <c r="AF29" i="28" s="1"/>
  <c r="O29" i="28"/>
  <c r="BC27" i="20" l="1"/>
  <c r="BE26" i="20"/>
  <c r="BE27" i="20" s="1"/>
  <c r="AM28" i="28"/>
  <c r="J28" i="20"/>
  <c r="N28" i="20" s="1"/>
  <c r="BF28" i="20" s="1"/>
  <c r="AM28" i="29"/>
  <c r="AG29" i="28"/>
  <c r="AH29" i="28" s="1"/>
  <c r="AI29" i="28"/>
  <c r="AD28" i="28"/>
  <c r="AK28" i="28"/>
  <c r="AL28" i="28" s="1"/>
  <c r="K28" i="20" s="1"/>
  <c r="AJ28" i="28"/>
  <c r="I28" i="20" s="1"/>
  <c r="O31" i="29"/>
  <c r="X31" i="29"/>
  <c r="AB30" i="29"/>
  <c r="W30" i="29"/>
  <c r="W29" i="28"/>
  <c r="AB29" i="28"/>
  <c r="AF30" i="29"/>
  <c r="Y30" i="29"/>
  <c r="J32" i="28"/>
  <c r="K31" i="28"/>
  <c r="U31" i="28" s="1"/>
  <c r="T31" i="28" s="1"/>
  <c r="N31" i="28"/>
  <c r="L31" i="28"/>
  <c r="M31" i="29"/>
  <c r="V31" i="29"/>
  <c r="R31" i="29"/>
  <c r="Y29" i="28"/>
  <c r="M30" i="28"/>
  <c r="V30" i="28"/>
  <c r="R30" i="28"/>
  <c r="AK29" i="29"/>
  <c r="AL29" i="29" s="1"/>
  <c r="L29" i="20" s="1"/>
  <c r="AI29" i="29"/>
  <c r="AJ29" i="29" s="1"/>
  <c r="J29" i="20" s="1"/>
  <c r="AG29" i="29"/>
  <c r="AH29" i="29" s="1"/>
  <c r="O30" i="28"/>
  <c r="X30" i="28"/>
  <c r="AF30" i="28" s="1"/>
  <c r="J33" i="29"/>
  <c r="L32" i="29"/>
  <c r="N32" i="29"/>
  <c r="K32" i="29"/>
  <c r="U32" i="29" s="1"/>
  <c r="T32" i="29" s="1"/>
  <c r="BD28" i="20" l="1"/>
  <c r="BD29" i="20" s="1"/>
  <c r="AM29" i="28"/>
  <c r="R32" i="29"/>
  <c r="V32" i="29"/>
  <c r="M32" i="29"/>
  <c r="N29" i="20"/>
  <c r="BF29" i="20" s="1"/>
  <c r="AB31" i="29"/>
  <c r="W31" i="29"/>
  <c r="AD29" i="28"/>
  <c r="AJ29" i="28"/>
  <c r="I29" i="20" s="1"/>
  <c r="AK29" i="28"/>
  <c r="AL29" i="28" s="1"/>
  <c r="K29" i="20" s="1"/>
  <c r="AK30" i="29"/>
  <c r="AL30" i="29" s="1"/>
  <c r="L30" i="20" s="1"/>
  <c r="M28" i="20"/>
  <c r="BE28" i="20" s="1"/>
  <c r="BC28" i="20"/>
  <c r="J34" i="29"/>
  <c r="N33" i="29"/>
  <c r="L33" i="29"/>
  <c r="K33" i="29"/>
  <c r="U33" i="29" s="1"/>
  <c r="T33" i="29" s="1"/>
  <c r="J33" i="28"/>
  <c r="N32" i="28"/>
  <c r="L32" i="28"/>
  <c r="K32" i="28"/>
  <c r="U32" i="28" s="1"/>
  <c r="T32" i="28" s="1"/>
  <c r="Y30" i="28"/>
  <c r="R31" i="28"/>
  <c r="M31" i="28"/>
  <c r="V31" i="28"/>
  <c r="AD30" i="29"/>
  <c r="AF31" i="29"/>
  <c r="Y31" i="29"/>
  <c r="AM29" i="29"/>
  <c r="X32" i="29"/>
  <c r="O32" i="29"/>
  <c r="AG30" i="28"/>
  <c r="AH30" i="28" s="1"/>
  <c r="AI30" i="28"/>
  <c r="W30" i="28"/>
  <c r="AB30" i="28"/>
  <c r="O31" i="28"/>
  <c r="X31" i="28"/>
  <c r="AF31" i="28" s="1"/>
  <c r="AG30" i="29"/>
  <c r="AH30" i="29" s="1"/>
  <c r="AI30" i="29"/>
  <c r="AJ30" i="29" s="1"/>
  <c r="J30" i="20" s="1"/>
  <c r="N30" i="20" l="1"/>
  <c r="BF30" i="20" s="1"/>
  <c r="AB31" i="28"/>
  <c r="AD31" i="28" s="1"/>
  <c r="W31" i="28"/>
  <c r="AK31" i="29"/>
  <c r="AL31" i="29" s="1"/>
  <c r="L31" i="20" s="1"/>
  <c r="Y31" i="28"/>
  <c r="AI31" i="29"/>
  <c r="AJ31" i="29" s="1"/>
  <c r="J31" i="20" s="1"/>
  <c r="AG31" i="29"/>
  <c r="AH31" i="29" s="1"/>
  <c r="AM30" i="28"/>
  <c r="J35" i="29"/>
  <c r="N34" i="29"/>
  <c r="L34" i="29"/>
  <c r="K34" i="29"/>
  <c r="U34" i="29" s="1"/>
  <c r="T34" i="29" s="1"/>
  <c r="AD31" i="29"/>
  <c r="AM30" i="29"/>
  <c r="O32" i="28"/>
  <c r="X32" i="28"/>
  <c r="AF32" i="28" s="1"/>
  <c r="R33" i="29"/>
  <c r="M33" i="29"/>
  <c r="V33" i="29"/>
  <c r="AD30" i="28"/>
  <c r="AK30" i="28"/>
  <c r="AL30" i="28" s="1"/>
  <c r="K30" i="20" s="1"/>
  <c r="AJ30" i="28"/>
  <c r="I30" i="20" s="1"/>
  <c r="J34" i="28"/>
  <c r="L33" i="28"/>
  <c r="K33" i="28"/>
  <c r="U33" i="28" s="1"/>
  <c r="T33" i="28" s="1"/>
  <c r="N33" i="28"/>
  <c r="X33" i="29"/>
  <c r="O33" i="29"/>
  <c r="AG31" i="28"/>
  <c r="AH31" i="28" s="1"/>
  <c r="AI31" i="28"/>
  <c r="AJ31" i="28" s="1"/>
  <c r="I31" i="20" s="1"/>
  <c r="BD30" i="20"/>
  <c r="AF32" i="29"/>
  <c r="Y32" i="29"/>
  <c r="R32" i="28"/>
  <c r="M32" i="28"/>
  <c r="V32" i="28"/>
  <c r="AB32" i="29"/>
  <c r="AD32" i="29" s="1"/>
  <c r="W32" i="29"/>
  <c r="M29" i="20"/>
  <c r="BE29" i="20" s="1"/>
  <c r="BC29" i="20"/>
  <c r="N31" i="20" l="1"/>
  <c r="BF31" i="20" s="1"/>
  <c r="AK31" i="28"/>
  <c r="AL31" i="28" s="1"/>
  <c r="K31" i="20" s="1"/>
  <c r="M31" i="20" s="1"/>
  <c r="AK32" i="29"/>
  <c r="AL32" i="29" s="1"/>
  <c r="L32" i="20" s="1"/>
  <c r="M30" i="20"/>
  <c r="BE30" i="20" s="1"/>
  <c r="BC30" i="20"/>
  <c r="BC31" i="20" s="1"/>
  <c r="R34" i="29"/>
  <c r="M34" i="29"/>
  <c r="V34" i="29"/>
  <c r="W32" i="28"/>
  <c r="AB32" i="28"/>
  <c r="AI32" i="29"/>
  <c r="AJ32" i="29" s="1"/>
  <c r="J32" i="20" s="1"/>
  <c r="AG32" i="29"/>
  <c r="AH32" i="29" s="1"/>
  <c r="V33" i="28"/>
  <c r="W33" i="28" s="1"/>
  <c r="M33" i="28"/>
  <c r="R33" i="28"/>
  <c r="AM31" i="29"/>
  <c r="O34" i="29"/>
  <c r="X34" i="29"/>
  <c r="BD31" i="20"/>
  <c r="AF33" i="29"/>
  <c r="Y33" i="29"/>
  <c r="J35" i="28"/>
  <c r="N34" i="28"/>
  <c r="K34" i="28"/>
  <c r="U34" i="28" s="1"/>
  <c r="T34" i="28" s="1"/>
  <c r="L34" i="28"/>
  <c r="Y32" i="28"/>
  <c r="J36" i="29"/>
  <c r="K35" i="29"/>
  <c r="U35" i="29" s="1"/>
  <c r="T35" i="29" s="1"/>
  <c r="L35" i="29"/>
  <c r="N35" i="29"/>
  <c r="O33" i="28"/>
  <c r="X33" i="28"/>
  <c r="AF33" i="28" s="1"/>
  <c r="W33" i="29"/>
  <c r="AB33" i="29"/>
  <c r="AI32" i="28"/>
  <c r="AG32" i="28"/>
  <c r="AH32" i="28" s="1"/>
  <c r="AM31" i="28"/>
  <c r="AM32" i="28" s="1"/>
  <c r="N32" i="20" l="1"/>
  <c r="BF32" i="20" s="1"/>
  <c r="BE31" i="20"/>
  <c r="AK33" i="29"/>
  <c r="AL33" i="29" s="1"/>
  <c r="L33" i="20" s="1"/>
  <c r="AI33" i="28"/>
  <c r="AG33" i="28"/>
  <c r="AH33" i="28" s="1"/>
  <c r="AI33" i="29"/>
  <c r="AJ33" i="29" s="1"/>
  <c r="J33" i="20" s="1"/>
  <c r="AG33" i="29"/>
  <c r="AH33" i="29" s="1"/>
  <c r="AM32" i="29"/>
  <c r="AB33" i="28"/>
  <c r="AD33" i="28" s="1"/>
  <c r="AJ32" i="28"/>
  <c r="I32" i="20" s="1"/>
  <c r="AK32" i="28"/>
  <c r="AL32" i="28" s="1"/>
  <c r="K32" i="20" s="1"/>
  <c r="J37" i="29"/>
  <c r="N36" i="29"/>
  <c r="K36" i="29"/>
  <c r="U36" i="29" s="1"/>
  <c r="T36" i="29" s="1"/>
  <c r="L36" i="29"/>
  <c r="O34" i="28"/>
  <c r="X34" i="28"/>
  <c r="AF34" i="28" s="1"/>
  <c r="BD32" i="20"/>
  <c r="O35" i="29"/>
  <c r="X35" i="29"/>
  <c r="J36" i="28"/>
  <c r="L35" i="28"/>
  <c r="K35" i="28"/>
  <c r="U35" i="28" s="1"/>
  <c r="T35" i="28" s="1"/>
  <c r="N35" i="28"/>
  <c r="AF34" i="29"/>
  <c r="Y34" i="29"/>
  <c r="AD33" i="29"/>
  <c r="Y33" i="28"/>
  <c r="V35" i="29"/>
  <c r="R35" i="29"/>
  <c r="M35" i="29"/>
  <c r="M34" i="28"/>
  <c r="R34" i="28"/>
  <c r="V34" i="28"/>
  <c r="W34" i="28" s="1"/>
  <c r="AD32" i="28"/>
  <c r="W34" i="29"/>
  <c r="AB34" i="29"/>
  <c r="AD34" i="29" s="1"/>
  <c r="Y34" i="28" l="1"/>
  <c r="N33" i="20"/>
  <c r="BF33" i="20" s="1"/>
  <c r="AG34" i="29"/>
  <c r="AH34" i="29" s="1"/>
  <c r="AI34" i="29"/>
  <c r="AJ34" i="29" s="1"/>
  <c r="J34" i="20" s="1"/>
  <c r="J37" i="28"/>
  <c r="K36" i="28"/>
  <c r="U36" i="28" s="1"/>
  <c r="T36" i="28" s="1"/>
  <c r="L36" i="28"/>
  <c r="N36" i="28"/>
  <c r="BD33" i="20"/>
  <c r="V36" i="29"/>
  <c r="R36" i="29"/>
  <c r="M36" i="29"/>
  <c r="AM33" i="29"/>
  <c r="X35" i="28"/>
  <c r="AF35" i="28" s="1"/>
  <c r="O35" i="28"/>
  <c r="AF35" i="29"/>
  <c r="Y35" i="29"/>
  <c r="M32" i="20"/>
  <c r="BE32" i="20" s="1"/>
  <c r="BC32" i="20"/>
  <c r="AK34" i="29"/>
  <c r="AL34" i="29" s="1"/>
  <c r="L34" i="20" s="1"/>
  <c r="AB34" i="28"/>
  <c r="AD34" i="28" s="1"/>
  <c r="AG34" i="28"/>
  <c r="AH34" i="28" s="1"/>
  <c r="AI34" i="28"/>
  <c r="O36" i="29"/>
  <c r="X36" i="29"/>
  <c r="W35" i="29"/>
  <c r="AB35" i="29"/>
  <c r="V35" i="28"/>
  <c r="M35" i="28"/>
  <c r="R35" i="28"/>
  <c r="J38" i="29"/>
  <c r="N37" i="29"/>
  <c r="L37" i="29"/>
  <c r="K37" i="29"/>
  <c r="U37" i="29" s="1"/>
  <c r="T37" i="29" s="1"/>
  <c r="AJ33" i="28"/>
  <c r="I33" i="20" s="1"/>
  <c r="AK33" i="28"/>
  <c r="AL33" i="28" s="1"/>
  <c r="K33" i="20" s="1"/>
  <c r="AM33" i="28"/>
  <c r="Y35" i="28" l="1"/>
  <c r="AB35" i="28"/>
  <c r="AD35" i="28" s="1"/>
  <c r="O37" i="29"/>
  <c r="X37" i="29"/>
  <c r="AK35" i="29"/>
  <c r="AL35" i="29" s="1"/>
  <c r="L35" i="20" s="1"/>
  <c r="AI35" i="28"/>
  <c r="AG35" i="28"/>
  <c r="AH35" i="28" s="1"/>
  <c r="AB36" i="29"/>
  <c r="AD36" i="29" s="1"/>
  <c r="W36" i="29"/>
  <c r="M33" i="20"/>
  <c r="BE33" i="20" s="1"/>
  <c r="BC33" i="20"/>
  <c r="J39" i="29"/>
  <c r="K38" i="29"/>
  <c r="U38" i="29" s="1"/>
  <c r="T38" i="29" s="1"/>
  <c r="N38" i="29"/>
  <c r="L38" i="29"/>
  <c r="N34" i="20"/>
  <c r="BF34" i="20" s="1"/>
  <c r="AG35" i="29"/>
  <c r="AH35" i="29" s="1"/>
  <c r="AI35" i="29"/>
  <c r="AJ35" i="29" s="1"/>
  <c r="J35" i="20" s="1"/>
  <c r="AM34" i="29"/>
  <c r="BD34" i="20"/>
  <c r="J38" i="28"/>
  <c r="L37" i="28"/>
  <c r="K37" i="28"/>
  <c r="U37" i="28" s="1"/>
  <c r="T37" i="28" s="1"/>
  <c r="N37" i="28"/>
  <c r="AF36" i="29"/>
  <c r="Y36" i="29"/>
  <c r="X36" i="28"/>
  <c r="AF36" i="28" s="1"/>
  <c r="O36" i="28"/>
  <c r="AM34" i="28"/>
  <c r="R37" i="29"/>
  <c r="V37" i="29"/>
  <c r="M37" i="29"/>
  <c r="W35" i="28"/>
  <c r="AD35" i="29"/>
  <c r="AK34" i="28"/>
  <c r="AL34" i="28" s="1"/>
  <c r="K34" i="20" s="1"/>
  <c r="AJ34" i="28"/>
  <c r="I34" i="20" s="1"/>
  <c r="M36" i="28"/>
  <c r="V36" i="28"/>
  <c r="R36" i="28"/>
  <c r="AJ35" i="28" l="1"/>
  <c r="I35" i="20" s="1"/>
  <c r="AK35" i="28"/>
  <c r="AL35" i="28" s="1"/>
  <c r="K35" i="20" s="1"/>
  <c r="N35" i="20"/>
  <c r="BF35" i="20" s="1"/>
  <c r="Y36" i="28"/>
  <c r="AB36" i="28"/>
  <c r="AD36" i="28" s="1"/>
  <c r="W37" i="29"/>
  <c r="AB37" i="29"/>
  <c r="AD37" i="29" s="1"/>
  <c r="X37" i="28"/>
  <c r="AF37" i="28" s="1"/>
  <c r="O37" i="28"/>
  <c r="BD35" i="20"/>
  <c r="J40" i="29"/>
  <c r="K39" i="29"/>
  <c r="U39" i="29" s="1"/>
  <c r="T39" i="29" s="1"/>
  <c r="N39" i="29"/>
  <c r="L39" i="29"/>
  <c r="AI36" i="28"/>
  <c r="AG36" i="28"/>
  <c r="AH36" i="28" s="1"/>
  <c r="AM35" i="29"/>
  <c r="M38" i="29"/>
  <c r="R38" i="29"/>
  <c r="V38" i="29"/>
  <c r="AK36" i="29"/>
  <c r="AL36" i="29" s="1"/>
  <c r="L36" i="20" s="1"/>
  <c r="W36" i="28"/>
  <c r="AM35" i="28"/>
  <c r="R37" i="28"/>
  <c r="V37" i="28"/>
  <c r="M37" i="28"/>
  <c r="O38" i="29"/>
  <c r="X38" i="29"/>
  <c r="AF37" i="29"/>
  <c r="Y37" i="29"/>
  <c r="M34" i="20"/>
  <c r="BE34" i="20" s="1"/>
  <c r="BC34" i="20"/>
  <c r="AG36" i="29"/>
  <c r="AH36" i="29" s="1"/>
  <c r="AI36" i="29"/>
  <c r="AJ36" i="29" s="1"/>
  <c r="J36" i="20" s="1"/>
  <c r="J39" i="28"/>
  <c r="N38" i="28"/>
  <c r="L38" i="28"/>
  <c r="K38" i="28"/>
  <c r="U38" i="28" s="1"/>
  <c r="T38" i="28" s="1"/>
  <c r="BC35" i="20" l="1"/>
  <c r="AM36" i="28"/>
  <c r="M35" i="20"/>
  <c r="BE35" i="20" s="1"/>
  <c r="AJ36" i="28"/>
  <c r="I36" i="20" s="1"/>
  <c r="AK36" i="28"/>
  <c r="AL36" i="28" s="1"/>
  <c r="K36" i="20" s="1"/>
  <c r="AM36" i="29"/>
  <c r="J40" i="28"/>
  <c r="L39" i="28"/>
  <c r="K39" i="28"/>
  <c r="U39" i="28" s="1"/>
  <c r="T39" i="28" s="1"/>
  <c r="N39" i="28"/>
  <c r="AF38" i="29"/>
  <c r="Y38" i="29"/>
  <c r="N36" i="20"/>
  <c r="BF36" i="20" s="1"/>
  <c r="J41" i="29"/>
  <c r="K40" i="29"/>
  <c r="U40" i="29" s="1"/>
  <c r="T40" i="29" s="1"/>
  <c r="N40" i="29"/>
  <c r="L40" i="29"/>
  <c r="AG37" i="28"/>
  <c r="AH37" i="28" s="1"/>
  <c r="AI37" i="28"/>
  <c r="M38" i="28"/>
  <c r="R38" i="28"/>
  <c r="V38" i="28"/>
  <c r="W38" i="28" s="1"/>
  <c r="W38" i="29"/>
  <c r="AB38" i="29"/>
  <c r="AD38" i="29" s="1"/>
  <c r="V39" i="29"/>
  <c r="M39" i="29"/>
  <c r="R39" i="29"/>
  <c r="BD36" i="20"/>
  <c r="O38" i="28"/>
  <c r="X38" i="28"/>
  <c r="AF38" i="28" s="1"/>
  <c r="AG37" i="29"/>
  <c r="AH37" i="29" s="1"/>
  <c r="AI37" i="29"/>
  <c r="AJ37" i="29" s="1"/>
  <c r="W37" i="28"/>
  <c r="AB37" i="28"/>
  <c r="O39" i="29"/>
  <c r="X39" i="29"/>
  <c r="Y37" i="28"/>
  <c r="AK37" i="29"/>
  <c r="AL37" i="29" s="1"/>
  <c r="L37" i="20" s="1"/>
  <c r="BC36" i="20" l="1"/>
  <c r="AM37" i="28"/>
  <c r="M36" i="20"/>
  <c r="BE36" i="20" s="1"/>
  <c r="J37" i="20"/>
  <c r="N37" i="20" s="1"/>
  <c r="BF37" i="20" s="1"/>
  <c r="AM37" i="29"/>
  <c r="AI38" i="28"/>
  <c r="AG38" i="28"/>
  <c r="AH38" i="28" s="1"/>
  <c r="V40" i="29"/>
  <c r="R40" i="29"/>
  <c r="M40" i="29"/>
  <c r="AI38" i="29"/>
  <c r="AJ38" i="29" s="1"/>
  <c r="J38" i="20" s="1"/>
  <c r="AG38" i="29"/>
  <c r="AH38" i="29" s="1"/>
  <c r="J41" i="28"/>
  <c r="K40" i="28"/>
  <c r="U40" i="28" s="1"/>
  <c r="T40" i="28" s="1"/>
  <c r="N40" i="28"/>
  <c r="L40" i="28"/>
  <c r="AF39" i="29"/>
  <c r="Y39" i="29"/>
  <c r="AB39" i="29"/>
  <c r="AD39" i="29" s="1"/>
  <c r="W39" i="29"/>
  <c r="X40" i="29"/>
  <c r="O40" i="29"/>
  <c r="X39" i="28"/>
  <c r="AF39" i="28" s="1"/>
  <c r="O39" i="28"/>
  <c r="AB38" i="28"/>
  <c r="AD38" i="28" s="1"/>
  <c r="AD37" i="28"/>
  <c r="AK37" i="28"/>
  <c r="AL37" i="28" s="1"/>
  <c r="K37" i="20" s="1"/>
  <c r="AJ37" i="28"/>
  <c r="I37" i="20" s="1"/>
  <c r="Y38" i="28"/>
  <c r="AK38" i="29"/>
  <c r="AL38" i="29" s="1"/>
  <c r="L38" i="20" s="1"/>
  <c r="N41" i="29"/>
  <c r="K41" i="29"/>
  <c r="U41" i="29" s="1"/>
  <c r="T41" i="29" s="1"/>
  <c r="L41" i="29"/>
  <c r="M39" i="28"/>
  <c r="V39" i="28"/>
  <c r="R39" i="28"/>
  <c r="BD37" i="20" l="1"/>
  <c r="BD38" i="20" s="1"/>
  <c r="N38" i="20"/>
  <c r="BF38" i="20" s="1"/>
  <c r="Y39" i="28"/>
  <c r="X41" i="29"/>
  <c r="O41" i="29"/>
  <c r="AF40" i="29"/>
  <c r="Y40" i="29"/>
  <c r="AM38" i="28"/>
  <c r="L41" i="28"/>
  <c r="N41" i="28"/>
  <c r="K41" i="28"/>
  <c r="U41" i="28" s="1"/>
  <c r="T41" i="28" s="1"/>
  <c r="AB39" i="28"/>
  <c r="AD39" i="28" s="1"/>
  <c r="AK38" i="28"/>
  <c r="AL38" i="28" s="1"/>
  <c r="K38" i="20" s="1"/>
  <c r="AJ38" i="28"/>
  <c r="I38" i="20" s="1"/>
  <c r="AI39" i="28"/>
  <c r="AG39" i="28"/>
  <c r="AH39" i="28" s="1"/>
  <c r="R40" i="28"/>
  <c r="M40" i="28"/>
  <c r="V40" i="28"/>
  <c r="W40" i="28" s="1"/>
  <c r="AM38" i="29"/>
  <c r="M37" i="20"/>
  <c r="BE37" i="20" s="1"/>
  <c r="BC37" i="20"/>
  <c r="AI39" i="29"/>
  <c r="AJ39" i="29" s="1"/>
  <c r="J39" i="20" s="1"/>
  <c r="AG39" i="29"/>
  <c r="AH39" i="29" s="1"/>
  <c r="W39" i="28"/>
  <c r="M41" i="29"/>
  <c r="V41" i="29"/>
  <c r="R41" i="29"/>
  <c r="AK39" i="29"/>
  <c r="AL39" i="29" s="1"/>
  <c r="L39" i="20" s="1"/>
  <c r="X40" i="28"/>
  <c r="AF40" i="28" s="1"/>
  <c r="O40" i="28"/>
  <c r="W40" i="29"/>
  <c r="AB40" i="29"/>
  <c r="AD40" i="29" s="1"/>
  <c r="N39" i="20" l="1"/>
  <c r="BF39" i="20" s="1"/>
  <c r="AM39" i="29"/>
  <c r="Y40" i="28"/>
  <c r="M38" i="20"/>
  <c r="BE38" i="20" s="1"/>
  <c r="BC38" i="20"/>
  <c r="AK40" i="29"/>
  <c r="AL40" i="29" s="1"/>
  <c r="L40" i="20" s="1"/>
  <c r="AI40" i="28"/>
  <c r="AG40" i="28"/>
  <c r="AH40" i="28" s="1"/>
  <c r="W41" i="29"/>
  <c r="AB41" i="29"/>
  <c r="AD41" i="29" s="1"/>
  <c r="X41" i="28"/>
  <c r="AF41" i="28" s="1"/>
  <c r="O41" i="28"/>
  <c r="AI40" i="29"/>
  <c r="AJ40" i="29" s="1"/>
  <c r="AG40" i="29"/>
  <c r="AH40" i="29" s="1"/>
  <c r="AB40" i="28"/>
  <c r="AD40" i="28" s="1"/>
  <c r="V41" i="28"/>
  <c r="M41" i="28"/>
  <c r="R41" i="28"/>
  <c r="BD39" i="20"/>
  <c r="AK39" i="28"/>
  <c r="AL39" i="28" s="1"/>
  <c r="K39" i="20" s="1"/>
  <c r="AJ39" i="28"/>
  <c r="I39" i="20" s="1"/>
  <c r="AM39" i="28"/>
  <c r="AF41" i="29"/>
  <c r="Y41" i="29"/>
  <c r="Y41" i="28" l="1"/>
  <c r="J40" i="20"/>
  <c r="N40" i="20" s="1"/>
  <c r="BF40" i="20" s="1"/>
  <c r="AM40" i="29"/>
  <c r="AM40" i="28"/>
  <c r="AJ40" i="28"/>
  <c r="I40" i="20" s="1"/>
  <c r="AK40" i="28"/>
  <c r="AL40" i="28" s="1"/>
  <c r="K40" i="20" s="1"/>
  <c r="M39" i="20"/>
  <c r="BE39" i="20" s="1"/>
  <c r="BC39" i="20"/>
  <c r="AI41" i="28"/>
  <c r="AG41" i="28"/>
  <c r="AH41" i="28" s="1"/>
  <c r="W41" i="28"/>
  <c r="AB41" i="28"/>
  <c r="AG41" i="29"/>
  <c r="AH41" i="29" s="1"/>
  <c r="AI41" i="29"/>
  <c r="AJ41" i="29" s="1"/>
  <c r="J41" i="20" s="1"/>
  <c r="AK41" i="29"/>
  <c r="AL41" i="29" s="1"/>
  <c r="L41" i="20" s="1"/>
  <c r="BG17" i="20"/>
  <c r="BG18" i="20" s="1"/>
  <c r="BG19" i="20" s="1"/>
  <c r="BG20" i="20" s="1"/>
  <c r="BG21" i="20" s="1"/>
  <c r="BG22" i="20" s="1"/>
  <c r="BG23" i="20" s="1"/>
  <c r="BG24" i="20" s="1"/>
  <c r="BG25" i="20" s="1"/>
  <c r="BG26" i="20" s="1"/>
  <c r="BG27" i="20" s="1"/>
  <c r="BG28" i="20" s="1"/>
  <c r="BG29" i="20" s="1"/>
  <c r="BG30" i="20" s="1"/>
  <c r="BG31" i="20" s="1"/>
  <c r="BG32" i="20" s="1"/>
  <c r="BG33" i="20" s="1"/>
  <c r="BG34" i="20" s="1"/>
  <c r="BG35" i="20" s="1"/>
  <c r="BG36" i="20" s="1"/>
  <c r="BG37" i="20" s="1"/>
  <c r="BG38" i="20" s="1"/>
  <c r="BG39" i="20" s="1"/>
  <c r="BG40" i="20" s="1"/>
  <c r="BG41" i="20" s="1"/>
  <c r="BG42" i="20" s="1"/>
  <c r="BH17" i="20"/>
  <c r="BD40" i="20" l="1"/>
  <c r="BD41" i="20" s="1"/>
  <c r="BD42" i="20" s="1"/>
  <c r="N41" i="20"/>
  <c r="BF41" i="20" s="1"/>
  <c r="BF42" i="20" s="1"/>
  <c r="AM41" i="28"/>
  <c r="AJ41" i="28"/>
  <c r="I41" i="20" s="1"/>
  <c r="AK41" i="28"/>
  <c r="AL41" i="28" s="1"/>
  <c r="K41" i="20" s="1"/>
  <c r="AM41" i="29"/>
  <c r="AM42" i="29" s="1"/>
  <c r="AD41" i="28"/>
  <c r="M40" i="20"/>
  <c r="BE40" i="20" s="1"/>
  <c r="BC40" i="20"/>
  <c r="AA17" i="20"/>
  <c r="BK17" i="20" s="1"/>
  <c r="AM42" i="28" l="1"/>
  <c r="M41" i="20"/>
  <c r="BE41" i="20" s="1"/>
  <c r="BE42" i="20" s="1"/>
  <c r="BC41" i="20"/>
  <c r="BC42" i="20" s="1"/>
  <c r="AA18" i="20"/>
  <c r="BK18" i="20" s="1"/>
  <c r="BJ17" i="20"/>
  <c r="BH18" i="20"/>
  <c r="C21" i="25" l="1"/>
  <c r="C21" i="31"/>
  <c r="D21" i="31" s="1"/>
  <c r="C21" i="26"/>
  <c r="C22" i="25"/>
  <c r="C22" i="31"/>
  <c r="D22" i="31" s="1"/>
  <c r="C22" i="26"/>
  <c r="BH19" i="20"/>
  <c r="BH20" i="20" s="1"/>
  <c r="BJ18" i="20"/>
  <c r="AA19" i="20"/>
  <c r="BK19" i="20" s="1"/>
  <c r="C23" i="25" l="1"/>
  <c r="C23" i="31"/>
  <c r="D23" i="31" s="1"/>
  <c r="C23" i="26"/>
  <c r="G22" i="31"/>
  <c r="F22" i="31"/>
  <c r="E22" i="31"/>
  <c r="F21" i="31"/>
  <c r="E21" i="31"/>
  <c r="G21" i="31"/>
  <c r="BJ19" i="20"/>
  <c r="D22" i="25"/>
  <c r="AA20" i="20"/>
  <c r="BK20" i="20" s="1"/>
  <c r="BH21" i="20"/>
  <c r="D21" i="26"/>
  <c r="D22" i="26"/>
  <c r="D21" i="25"/>
  <c r="C24" i="25" l="1"/>
  <c r="C24" i="31"/>
  <c r="D24" i="31" s="1"/>
  <c r="C24" i="26"/>
  <c r="E23" i="31"/>
  <c r="F23" i="31"/>
  <c r="G23" i="31"/>
  <c r="U21" i="31"/>
  <c r="Z21" i="31" s="1"/>
  <c r="AD21" i="31"/>
  <c r="AI21" i="31" s="1"/>
  <c r="AV21" i="31"/>
  <c r="BA21" i="31" s="1"/>
  <c r="AM21" i="31"/>
  <c r="AR21" i="31" s="1"/>
  <c r="L21" i="31"/>
  <c r="Q21" i="31" s="1"/>
  <c r="U22" i="31"/>
  <c r="Z22" i="31" s="1"/>
  <c r="AV22" i="31"/>
  <c r="BA22" i="31" s="1"/>
  <c r="AD22" i="31"/>
  <c r="AI22" i="31" s="1"/>
  <c r="L22" i="31"/>
  <c r="Q22" i="31" s="1"/>
  <c r="AM22" i="31"/>
  <c r="AR22" i="31" s="1"/>
  <c r="E22" i="26"/>
  <c r="G22" i="26"/>
  <c r="F22" i="26"/>
  <c r="D23" i="26"/>
  <c r="F21" i="25"/>
  <c r="E21" i="25"/>
  <c r="G21" i="25"/>
  <c r="F21" i="26"/>
  <c r="E21" i="26"/>
  <c r="G21" i="26"/>
  <c r="E22" i="25"/>
  <c r="F22" i="25"/>
  <c r="G22" i="25"/>
  <c r="D23" i="25"/>
  <c r="AA21" i="20"/>
  <c r="BK21" i="20" s="1"/>
  <c r="BJ20" i="20"/>
  <c r="C25" i="25" l="1"/>
  <c r="C25" i="31"/>
  <c r="D25" i="31" s="1"/>
  <c r="C25" i="26"/>
  <c r="BD22" i="31"/>
  <c r="BD21" i="31"/>
  <c r="F24" i="31"/>
  <c r="E24" i="31"/>
  <c r="G24" i="31"/>
  <c r="U23" i="31"/>
  <c r="Z23" i="31" s="1"/>
  <c r="AV23" i="31"/>
  <c r="BA23" i="31" s="1"/>
  <c r="AM23" i="31"/>
  <c r="AR23" i="31" s="1"/>
  <c r="L23" i="31"/>
  <c r="Q23" i="31" s="1"/>
  <c r="AD23" i="31"/>
  <c r="AI23" i="31" s="1"/>
  <c r="BJ21" i="20"/>
  <c r="E23" i="25"/>
  <c r="G23" i="25"/>
  <c r="F23" i="25"/>
  <c r="AM21" i="25"/>
  <c r="AR21" i="25" s="1"/>
  <c r="AV21" i="25"/>
  <c r="BA21" i="25" s="1"/>
  <c r="L21" i="25"/>
  <c r="Q21" i="25" s="1"/>
  <c r="U21" i="25"/>
  <c r="Z21" i="25" s="1"/>
  <c r="AD21" i="25"/>
  <c r="AI21" i="25" s="1"/>
  <c r="F23" i="26"/>
  <c r="G23" i="26"/>
  <c r="E23" i="26"/>
  <c r="D24" i="25"/>
  <c r="AA22" i="20"/>
  <c r="BK22" i="20" s="1"/>
  <c r="BH22" i="20"/>
  <c r="D24" i="26"/>
  <c r="AV21" i="26"/>
  <c r="BA21" i="26" s="1"/>
  <c r="L21" i="26"/>
  <c r="Q21" i="26" s="1"/>
  <c r="AM21" i="26"/>
  <c r="AR21" i="26" s="1"/>
  <c r="U21" i="26"/>
  <c r="Z21" i="26" s="1"/>
  <c r="AD21" i="26"/>
  <c r="AI21" i="26" s="1"/>
  <c r="L22" i="25"/>
  <c r="Q22" i="25" s="1"/>
  <c r="AD22" i="25"/>
  <c r="AI22" i="25" s="1"/>
  <c r="AM22" i="25"/>
  <c r="AR22" i="25" s="1"/>
  <c r="AV22" i="25"/>
  <c r="BA22" i="25" s="1"/>
  <c r="U22" i="25"/>
  <c r="Z22" i="25" s="1"/>
  <c r="L22" i="26"/>
  <c r="Q22" i="26" s="1"/>
  <c r="AD22" i="26"/>
  <c r="AI22" i="26" s="1"/>
  <c r="U22" i="26"/>
  <c r="Z22" i="26" s="1"/>
  <c r="AV22" i="26"/>
  <c r="BA22" i="26" s="1"/>
  <c r="AM22" i="26"/>
  <c r="AR22" i="26" s="1"/>
  <c r="C26" i="25" l="1"/>
  <c r="C26" i="31"/>
  <c r="D26" i="31" s="1"/>
  <c r="C26" i="26"/>
  <c r="BD23" i="31"/>
  <c r="BG23" i="31" s="1"/>
  <c r="BE21" i="31"/>
  <c r="BG21" i="31"/>
  <c r="BG22" i="31"/>
  <c r="BE22" i="31"/>
  <c r="U24" i="31"/>
  <c r="Z24" i="31" s="1"/>
  <c r="AM24" i="31"/>
  <c r="AR24" i="31" s="1"/>
  <c r="AD24" i="31"/>
  <c r="AI24" i="31" s="1"/>
  <c r="AV24" i="31"/>
  <c r="BA24" i="31" s="1"/>
  <c r="L24" i="31"/>
  <c r="Q24" i="31" s="1"/>
  <c r="G25" i="31"/>
  <c r="F25" i="31"/>
  <c r="E25" i="31"/>
  <c r="BH23" i="20"/>
  <c r="D25" i="25"/>
  <c r="AM23" i="26"/>
  <c r="AR23" i="26" s="1"/>
  <c r="AD23" i="26"/>
  <c r="AI23" i="26" s="1"/>
  <c r="AV23" i="26"/>
  <c r="BA23" i="26" s="1"/>
  <c r="L23" i="26"/>
  <c r="Q23" i="26" s="1"/>
  <c r="U23" i="26"/>
  <c r="Z23" i="26" s="1"/>
  <c r="AA23" i="20"/>
  <c r="BK23" i="20" s="1"/>
  <c r="BD21" i="25"/>
  <c r="BD22" i="26"/>
  <c r="D25" i="26"/>
  <c r="E24" i="26"/>
  <c r="F24" i="26"/>
  <c r="G24" i="26"/>
  <c r="G24" i="25"/>
  <c r="E24" i="25"/>
  <c r="F24" i="25"/>
  <c r="AM23" i="25"/>
  <c r="AR23" i="25" s="1"/>
  <c r="L23" i="25"/>
  <c r="Q23" i="25" s="1"/>
  <c r="AV23" i="25"/>
  <c r="BA23" i="25" s="1"/>
  <c r="U23" i="25"/>
  <c r="Z23" i="25" s="1"/>
  <c r="AD23" i="25"/>
  <c r="AI23" i="25" s="1"/>
  <c r="BD22" i="25"/>
  <c r="BD21" i="26"/>
  <c r="BJ22" i="20"/>
  <c r="C27" i="25" l="1"/>
  <c r="C27" i="31"/>
  <c r="D27" i="31" s="1"/>
  <c r="C27" i="26"/>
  <c r="BE23" i="31"/>
  <c r="S110" i="27" s="1"/>
  <c r="L25" i="31"/>
  <c r="Q25" i="31" s="1"/>
  <c r="AD25" i="31"/>
  <c r="AI25" i="31" s="1"/>
  <c r="U25" i="31"/>
  <c r="Z25" i="31" s="1"/>
  <c r="AM25" i="31"/>
  <c r="AR25" i="31" s="1"/>
  <c r="AV25" i="31"/>
  <c r="BA25" i="31" s="1"/>
  <c r="G26" i="31"/>
  <c r="E26" i="31"/>
  <c r="F26" i="31"/>
  <c r="BY23" i="31"/>
  <c r="BZ23" i="31" s="1"/>
  <c r="BJ23" i="31"/>
  <c r="S109" i="27"/>
  <c r="BF22" i="31"/>
  <c r="R109" i="27" s="1"/>
  <c r="AD18" i="20" s="1"/>
  <c r="AG18" i="20" s="1"/>
  <c r="BJ21" i="31"/>
  <c r="BY21" i="31"/>
  <c r="BZ21" i="31" s="1"/>
  <c r="BD24" i="31"/>
  <c r="BY22" i="31"/>
  <c r="BZ22" i="31" s="1"/>
  <c r="BJ22" i="31"/>
  <c r="S108" i="27"/>
  <c r="BF21" i="31"/>
  <c r="R108" i="27" s="1"/>
  <c r="AD17" i="20" s="1"/>
  <c r="AG17" i="20" s="1"/>
  <c r="BJ23" i="20"/>
  <c r="G25" i="26"/>
  <c r="F25" i="26"/>
  <c r="E25" i="26"/>
  <c r="AA24" i="20"/>
  <c r="BK24" i="20" s="1"/>
  <c r="BE22" i="26"/>
  <c r="BG22" i="26"/>
  <c r="BH24" i="20"/>
  <c r="BE21" i="26"/>
  <c r="BG21" i="26"/>
  <c r="U24" i="25"/>
  <c r="Z24" i="25" s="1"/>
  <c r="AM24" i="25"/>
  <c r="AR24" i="25" s="1"/>
  <c r="L24" i="25"/>
  <c r="Q24" i="25" s="1"/>
  <c r="AD24" i="25"/>
  <c r="AI24" i="25" s="1"/>
  <c r="AV24" i="25"/>
  <c r="BA24" i="25" s="1"/>
  <c r="AV24" i="26"/>
  <c r="BA24" i="26" s="1"/>
  <c r="L24" i="26"/>
  <c r="Q24" i="26" s="1"/>
  <c r="AD24" i="26"/>
  <c r="AI24" i="26" s="1"/>
  <c r="AM24" i="26"/>
  <c r="AR24" i="26" s="1"/>
  <c r="U24" i="26"/>
  <c r="Z24" i="26" s="1"/>
  <c r="D26" i="26"/>
  <c r="BG21" i="25"/>
  <c r="BE21" i="25"/>
  <c r="BD23" i="26"/>
  <c r="E25" i="25"/>
  <c r="G25" i="25"/>
  <c r="F25" i="25"/>
  <c r="BE22" i="25"/>
  <c r="BG22" i="25"/>
  <c r="BD23" i="25"/>
  <c r="D26" i="25"/>
  <c r="C28" i="25" l="1"/>
  <c r="C28" i="31"/>
  <c r="D28" i="31" s="1"/>
  <c r="C28" i="26"/>
  <c r="BF23" i="31"/>
  <c r="R110" i="27" s="1"/>
  <c r="AD19" i="20" s="1"/>
  <c r="AG19" i="20" s="1"/>
  <c r="G27" i="31"/>
  <c r="F27" i="31"/>
  <c r="E27" i="31"/>
  <c r="AM26" i="31"/>
  <c r="AR26" i="31" s="1"/>
  <c r="AD26" i="31"/>
  <c r="AI26" i="31" s="1"/>
  <c r="AV26" i="31"/>
  <c r="BA26" i="31" s="1"/>
  <c r="L26" i="31"/>
  <c r="Q26" i="31" s="1"/>
  <c r="U26" i="31"/>
  <c r="Z26" i="31" s="1"/>
  <c r="BE24" i="31"/>
  <c r="BG24" i="31"/>
  <c r="BD25" i="31"/>
  <c r="BH25" i="20"/>
  <c r="BJ24" i="20"/>
  <c r="D27" i="26"/>
  <c r="D27" i="25"/>
  <c r="BG23" i="25"/>
  <c r="BE23" i="25"/>
  <c r="BY21" i="25"/>
  <c r="BZ21" i="25" s="1"/>
  <c r="BJ21" i="25"/>
  <c r="BJ22" i="25"/>
  <c r="BY22" i="25"/>
  <c r="BZ22" i="25" s="1"/>
  <c r="U25" i="25"/>
  <c r="Z25" i="25" s="1"/>
  <c r="L25" i="25"/>
  <c r="Q25" i="25" s="1"/>
  <c r="AD25" i="25"/>
  <c r="AI25" i="25" s="1"/>
  <c r="AV25" i="25"/>
  <c r="BA25" i="25" s="1"/>
  <c r="AM25" i="25"/>
  <c r="AR25" i="25" s="1"/>
  <c r="BY21" i="26"/>
  <c r="BZ21" i="26" s="1"/>
  <c r="BJ21" i="26"/>
  <c r="BJ22" i="26"/>
  <c r="BY22" i="26"/>
  <c r="BZ22" i="26" s="1"/>
  <c r="AV25" i="26"/>
  <c r="BA25" i="26" s="1"/>
  <c r="AM25" i="26"/>
  <c r="AR25" i="26" s="1"/>
  <c r="AD25" i="26"/>
  <c r="AI25" i="26" s="1"/>
  <c r="L25" i="26"/>
  <c r="Q25" i="26" s="1"/>
  <c r="U25" i="26"/>
  <c r="Z25" i="26" s="1"/>
  <c r="BF22" i="25"/>
  <c r="R23" i="27" s="1"/>
  <c r="AB18" i="20" s="1"/>
  <c r="AE18" i="20" s="1"/>
  <c r="S23" i="27"/>
  <c r="BG23" i="26"/>
  <c r="BE23" i="26"/>
  <c r="F26" i="26"/>
  <c r="G26" i="26"/>
  <c r="E26" i="26"/>
  <c r="BD24" i="26"/>
  <c r="BD24" i="25"/>
  <c r="BF21" i="26"/>
  <c r="R65" i="27" s="1"/>
  <c r="AC17" i="20" s="1"/>
  <c r="AF17" i="20" s="1"/>
  <c r="BF22" i="26"/>
  <c r="R66" i="27" s="1"/>
  <c r="AC18" i="20" s="1"/>
  <c r="AF18" i="20" s="1"/>
  <c r="G26" i="25"/>
  <c r="E26" i="25"/>
  <c r="F26" i="25"/>
  <c r="S22" i="27"/>
  <c r="BF21" i="25"/>
  <c r="R22" i="27" s="1"/>
  <c r="AB17" i="20" s="1"/>
  <c r="AE17" i="20" s="1"/>
  <c r="AA25" i="20"/>
  <c r="BK25" i="20" s="1"/>
  <c r="C29" i="25" l="1"/>
  <c r="C29" i="31"/>
  <c r="D29" i="31" s="1"/>
  <c r="C29" i="26"/>
  <c r="BY24" i="31"/>
  <c r="BZ24" i="31" s="1"/>
  <c r="BJ24" i="31"/>
  <c r="L27" i="31"/>
  <c r="Q27" i="31" s="1"/>
  <c r="U27" i="31"/>
  <c r="Z27" i="31" s="1"/>
  <c r="AD27" i="31"/>
  <c r="AI27" i="31" s="1"/>
  <c r="AM27" i="31"/>
  <c r="AR27" i="31" s="1"/>
  <c r="AV27" i="31"/>
  <c r="BA27" i="31" s="1"/>
  <c r="BG25" i="31"/>
  <c r="BE25" i="31"/>
  <c r="S111" i="27"/>
  <c r="BF24" i="31"/>
  <c r="R111" i="27" s="1"/>
  <c r="AD20" i="20" s="1"/>
  <c r="AG20" i="20" s="1"/>
  <c r="BD26" i="31"/>
  <c r="E28" i="31"/>
  <c r="G28" i="31"/>
  <c r="F28" i="31"/>
  <c r="BH26" i="20"/>
  <c r="BD25" i="26"/>
  <c r="BE25" i="26" s="1"/>
  <c r="BE24" i="25"/>
  <c r="BG24" i="25"/>
  <c r="S65" i="27"/>
  <c r="D28" i="25"/>
  <c r="BJ25" i="20"/>
  <c r="E27" i="25"/>
  <c r="G27" i="25"/>
  <c r="F27" i="25"/>
  <c r="S66" i="27"/>
  <c r="S24" i="27"/>
  <c r="BF23" i="25"/>
  <c r="R24" i="27" s="1"/>
  <c r="AB19" i="20" s="1"/>
  <c r="AE19" i="20" s="1"/>
  <c r="D28" i="26"/>
  <c r="AA26" i="20"/>
  <c r="BK26" i="20" s="1"/>
  <c r="BE24" i="26"/>
  <c r="BG24" i="26"/>
  <c r="BF23" i="26"/>
  <c r="R67" i="27" s="1"/>
  <c r="AC19" i="20" s="1"/>
  <c r="AF19" i="20" s="1"/>
  <c r="AD26" i="25"/>
  <c r="AI26" i="25" s="1"/>
  <c r="AV26" i="25"/>
  <c r="BA26" i="25" s="1"/>
  <c r="L26" i="25"/>
  <c r="Q26" i="25" s="1"/>
  <c r="AM26" i="25"/>
  <c r="AR26" i="25" s="1"/>
  <c r="U26" i="25"/>
  <c r="Z26" i="25" s="1"/>
  <c r="AV26" i="26"/>
  <c r="BA26" i="26" s="1"/>
  <c r="L26" i="26"/>
  <c r="Q26" i="26" s="1"/>
  <c r="AD26" i="26"/>
  <c r="AI26" i="26" s="1"/>
  <c r="AM26" i="26"/>
  <c r="AR26" i="26" s="1"/>
  <c r="U26" i="26"/>
  <c r="Z26" i="26" s="1"/>
  <c r="BJ23" i="26"/>
  <c r="BY23" i="26"/>
  <c r="BZ23" i="26" s="1"/>
  <c r="BD25" i="25"/>
  <c r="BJ23" i="25"/>
  <c r="BY23" i="25"/>
  <c r="BZ23" i="25" s="1"/>
  <c r="F27" i="26"/>
  <c r="G27" i="26"/>
  <c r="E27" i="26"/>
  <c r="C30" i="25" l="1"/>
  <c r="C30" i="31"/>
  <c r="D30" i="31" s="1"/>
  <c r="C30" i="26"/>
  <c r="BJ25" i="31"/>
  <c r="BY25" i="31"/>
  <c r="BZ25" i="31" s="1"/>
  <c r="G29" i="31"/>
  <c r="F29" i="31"/>
  <c r="E29" i="31"/>
  <c r="AM28" i="31"/>
  <c r="AR28" i="31" s="1"/>
  <c r="AD28" i="31"/>
  <c r="AI28" i="31" s="1"/>
  <c r="U28" i="31"/>
  <c r="Z28" i="31" s="1"/>
  <c r="AV28" i="31"/>
  <c r="BA28" i="31" s="1"/>
  <c r="L28" i="31"/>
  <c r="Q28" i="31" s="1"/>
  <c r="BG26" i="31"/>
  <c r="BE26" i="31"/>
  <c r="S112" i="27"/>
  <c r="BF25" i="31"/>
  <c r="R112" i="27" s="1"/>
  <c r="AD21" i="20" s="1"/>
  <c r="AG21" i="20" s="1"/>
  <c r="BD27" i="31"/>
  <c r="BG25" i="26"/>
  <c r="BJ25" i="26" s="1"/>
  <c r="BD26" i="26"/>
  <c r="BG26" i="26" s="1"/>
  <c r="BJ24" i="26"/>
  <c r="BY24" i="26"/>
  <c r="BZ24" i="26" s="1"/>
  <c r="BF25" i="26"/>
  <c r="R69" i="27" s="1"/>
  <c r="AC21" i="20" s="1"/>
  <c r="AF21" i="20" s="1"/>
  <c r="AM27" i="25"/>
  <c r="AR27" i="25" s="1"/>
  <c r="U27" i="25"/>
  <c r="Z27" i="25" s="1"/>
  <c r="L27" i="25"/>
  <c r="Q27" i="25" s="1"/>
  <c r="AV27" i="25"/>
  <c r="BA27" i="25" s="1"/>
  <c r="AD27" i="25"/>
  <c r="AI27" i="25" s="1"/>
  <c r="BJ26" i="20"/>
  <c r="D29" i="26"/>
  <c r="BE25" i="25"/>
  <c r="BG25" i="25"/>
  <c r="U27" i="26"/>
  <c r="Z27" i="26" s="1"/>
  <c r="AV27" i="26"/>
  <c r="BA27" i="26" s="1"/>
  <c r="AM27" i="26"/>
  <c r="AR27" i="26" s="1"/>
  <c r="L27" i="26"/>
  <c r="Q27" i="26" s="1"/>
  <c r="AD27" i="26"/>
  <c r="AI27" i="26" s="1"/>
  <c r="BD26" i="25"/>
  <c r="BF24" i="26"/>
  <c r="R68" i="27" s="1"/>
  <c r="AC20" i="20" s="1"/>
  <c r="AF20" i="20" s="1"/>
  <c r="AA27" i="20"/>
  <c r="BK27" i="20" s="1"/>
  <c r="E28" i="25"/>
  <c r="G28" i="25"/>
  <c r="F28" i="25"/>
  <c r="BJ24" i="25"/>
  <c r="BY24" i="25"/>
  <c r="BZ24" i="25" s="1"/>
  <c r="S67" i="27"/>
  <c r="F28" i="26"/>
  <c r="E28" i="26"/>
  <c r="G28" i="26"/>
  <c r="BF24" i="25"/>
  <c r="R25" i="27" s="1"/>
  <c r="AB20" i="20" s="1"/>
  <c r="AE20" i="20" s="1"/>
  <c r="S25" i="27"/>
  <c r="D29" i="25"/>
  <c r="BH27" i="20"/>
  <c r="C31" i="25" l="1"/>
  <c r="C31" i="31"/>
  <c r="D31" i="31" s="1"/>
  <c r="C31" i="26"/>
  <c r="BJ26" i="31"/>
  <c r="BY26" i="31"/>
  <c r="BZ26" i="31" s="1"/>
  <c r="BD28" i="31"/>
  <c r="L29" i="31"/>
  <c r="Q29" i="31" s="1"/>
  <c r="AM29" i="31"/>
  <c r="AR29" i="31" s="1"/>
  <c r="AD29" i="31"/>
  <c r="AI29" i="31" s="1"/>
  <c r="AV29" i="31"/>
  <c r="BA29" i="31" s="1"/>
  <c r="U29" i="31"/>
  <c r="Z29" i="31" s="1"/>
  <c r="BE27" i="31"/>
  <c r="BG27" i="31"/>
  <c r="S113" i="27"/>
  <c r="BF26" i="31"/>
  <c r="R113" i="27" s="1"/>
  <c r="AD22" i="20" s="1"/>
  <c r="AG22" i="20" s="1"/>
  <c r="G30" i="31"/>
  <c r="E30" i="31"/>
  <c r="F30" i="31"/>
  <c r="BH28" i="20"/>
  <c r="BY25" i="26"/>
  <c r="BZ25" i="26" s="1"/>
  <c r="BE26" i="26"/>
  <c r="BF26" i="26" s="1"/>
  <c r="R70" i="27" s="1"/>
  <c r="AC22" i="20" s="1"/>
  <c r="AF22" i="20" s="1"/>
  <c r="BD27" i="25"/>
  <c r="BE27" i="25" s="1"/>
  <c r="BJ26" i="26"/>
  <c r="BY26" i="26"/>
  <c r="BZ26" i="26" s="1"/>
  <c r="S69" i="27"/>
  <c r="BE26" i="25"/>
  <c r="BG26" i="25"/>
  <c r="E29" i="26"/>
  <c r="F29" i="26"/>
  <c r="G29" i="26"/>
  <c r="BJ27" i="20"/>
  <c r="D30" i="25"/>
  <c r="G29" i="25"/>
  <c r="E29" i="25"/>
  <c r="F29" i="25"/>
  <c r="AD28" i="26"/>
  <c r="AI28" i="26" s="1"/>
  <c r="AM28" i="26"/>
  <c r="AR28" i="26" s="1"/>
  <c r="L28" i="26"/>
  <c r="Q28" i="26" s="1"/>
  <c r="AV28" i="26"/>
  <c r="BA28" i="26" s="1"/>
  <c r="U28" i="26"/>
  <c r="Z28" i="26" s="1"/>
  <c r="L28" i="25"/>
  <c r="Q28" i="25" s="1"/>
  <c r="AM28" i="25"/>
  <c r="AR28" i="25" s="1"/>
  <c r="AV28" i="25"/>
  <c r="BA28" i="25" s="1"/>
  <c r="U28" i="25"/>
  <c r="Z28" i="25" s="1"/>
  <c r="AD28" i="25"/>
  <c r="AI28" i="25" s="1"/>
  <c r="AA28" i="20"/>
  <c r="BK28" i="20" s="1"/>
  <c r="BD27" i="26"/>
  <c r="BY25" i="25"/>
  <c r="BZ25" i="25" s="1"/>
  <c r="BJ25" i="25"/>
  <c r="D30" i="26"/>
  <c r="S26" i="27"/>
  <c r="BF25" i="25"/>
  <c r="R26" i="27" s="1"/>
  <c r="AB21" i="20" s="1"/>
  <c r="AE21" i="20" s="1"/>
  <c r="S68" i="27"/>
  <c r="C32" i="25" l="1"/>
  <c r="C32" i="31"/>
  <c r="D32" i="31" s="1"/>
  <c r="C32" i="26"/>
  <c r="BY27" i="31"/>
  <c r="BZ27" i="31" s="1"/>
  <c r="BJ27" i="31"/>
  <c r="BD29" i="31"/>
  <c r="S114" i="27"/>
  <c r="BF27" i="31"/>
  <c r="R114" i="27" s="1"/>
  <c r="AD23" i="20" s="1"/>
  <c r="AG23" i="20" s="1"/>
  <c r="G31" i="31"/>
  <c r="F31" i="31"/>
  <c r="E31" i="31"/>
  <c r="AD30" i="31"/>
  <c r="AI30" i="31" s="1"/>
  <c r="U30" i="31"/>
  <c r="Z30" i="31" s="1"/>
  <c r="AM30" i="31"/>
  <c r="AR30" i="31" s="1"/>
  <c r="AV30" i="31"/>
  <c r="BA30" i="31" s="1"/>
  <c r="L30" i="31"/>
  <c r="Q30" i="31" s="1"/>
  <c r="BG28" i="31"/>
  <c r="BE28" i="31"/>
  <c r="BH29" i="20"/>
  <c r="BG27" i="25"/>
  <c r="BJ28" i="20"/>
  <c r="BJ26" i="25"/>
  <c r="BY26" i="25"/>
  <c r="BZ26" i="25" s="1"/>
  <c r="F30" i="26"/>
  <c r="E30" i="26"/>
  <c r="G30" i="26"/>
  <c r="BD28" i="26"/>
  <c r="L29" i="25"/>
  <c r="Q29" i="25" s="1"/>
  <c r="AM29" i="25"/>
  <c r="AR29" i="25" s="1"/>
  <c r="AD29" i="25"/>
  <c r="AI29" i="25" s="1"/>
  <c r="U29" i="25"/>
  <c r="Z29" i="25" s="1"/>
  <c r="AV29" i="25"/>
  <c r="BA29" i="25" s="1"/>
  <c r="S27" i="27"/>
  <c r="BF26" i="25"/>
  <c r="R27" i="27" s="1"/>
  <c r="AB22" i="20" s="1"/>
  <c r="AE22" i="20" s="1"/>
  <c r="BE27" i="26"/>
  <c r="BG27" i="26"/>
  <c r="S28" i="27"/>
  <c r="BF27" i="25"/>
  <c r="R28" i="27" s="1"/>
  <c r="AB23" i="20" s="1"/>
  <c r="AE23" i="20" s="1"/>
  <c r="AA29" i="20"/>
  <c r="BK29" i="20" s="1"/>
  <c r="F30" i="25"/>
  <c r="E30" i="25"/>
  <c r="G30" i="25"/>
  <c r="D31" i="25"/>
  <c r="S70" i="27"/>
  <c r="BD28" i="25"/>
  <c r="AM29" i="26"/>
  <c r="AR29" i="26" s="1"/>
  <c r="U29" i="26"/>
  <c r="Z29" i="26" s="1"/>
  <c r="L29" i="26"/>
  <c r="Q29" i="26" s="1"/>
  <c r="AD29" i="26"/>
  <c r="AI29" i="26" s="1"/>
  <c r="AV29" i="26"/>
  <c r="BA29" i="26" s="1"/>
  <c r="D31" i="26"/>
  <c r="C33" i="25" l="1"/>
  <c r="C33" i="31"/>
  <c r="D33" i="31" s="1"/>
  <c r="C33" i="26"/>
  <c r="S115" i="27"/>
  <c r="BF28" i="31"/>
  <c r="R115" i="27" s="1"/>
  <c r="AD24" i="20" s="1"/>
  <c r="AG24" i="20" s="1"/>
  <c r="AD31" i="31"/>
  <c r="AI31" i="31" s="1"/>
  <c r="L31" i="31"/>
  <c r="Q31" i="31" s="1"/>
  <c r="AM31" i="31"/>
  <c r="AR31" i="31" s="1"/>
  <c r="U31" i="31"/>
  <c r="Z31" i="31" s="1"/>
  <c r="AV31" i="31"/>
  <c r="BA31" i="31" s="1"/>
  <c r="BJ28" i="31"/>
  <c r="BY28" i="31"/>
  <c r="BZ28" i="31" s="1"/>
  <c r="BD30" i="31"/>
  <c r="F32" i="31"/>
  <c r="E32" i="31"/>
  <c r="G32" i="31"/>
  <c r="BG29" i="31"/>
  <c r="BE29" i="31"/>
  <c r="BJ27" i="25"/>
  <c r="BY27" i="25"/>
  <c r="BZ27" i="25" s="1"/>
  <c r="BJ29" i="20"/>
  <c r="L30" i="26"/>
  <c r="Q30" i="26" s="1"/>
  <c r="AD30" i="26"/>
  <c r="AI30" i="26" s="1"/>
  <c r="AM30" i="26"/>
  <c r="AR30" i="26" s="1"/>
  <c r="U30" i="26"/>
  <c r="Z30" i="26" s="1"/>
  <c r="AV30" i="26"/>
  <c r="BA30" i="26" s="1"/>
  <c r="BD29" i="26"/>
  <c r="E31" i="25"/>
  <c r="F31" i="25"/>
  <c r="G31" i="25"/>
  <c r="D32" i="25"/>
  <c r="BG28" i="25"/>
  <c r="BE28" i="25"/>
  <c r="AA30" i="20"/>
  <c r="BK30" i="20" s="1"/>
  <c r="E31" i="26"/>
  <c r="F31" i="26"/>
  <c r="G31" i="26"/>
  <c r="BH30" i="20"/>
  <c r="BJ27" i="26"/>
  <c r="BY27" i="26"/>
  <c r="BZ27" i="26" s="1"/>
  <c r="BD29" i="25"/>
  <c r="D32" i="26"/>
  <c r="AV30" i="25"/>
  <c r="BA30" i="25" s="1"/>
  <c r="U30" i="25"/>
  <c r="Z30" i="25" s="1"/>
  <c r="L30" i="25"/>
  <c r="Q30" i="25" s="1"/>
  <c r="AD30" i="25"/>
  <c r="AI30" i="25" s="1"/>
  <c r="AM30" i="25"/>
  <c r="AR30" i="25" s="1"/>
  <c r="BF27" i="26"/>
  <c r="R71" i="27" s="1"/>
  <c r="AC23" i="20" s="1"/>
  <c r="AF23" i="20" s="1"/>
  <c r="BG28" i="26"/>
  <c r="BE28" i="26"/>
  <c r="C34" i="25" l="1"/>
  <c r="C34" i="31"/>
  <c r="D34" i="31" s="1"/>
  <c r="C34" i="26"/>
  <c r="BH31" i="20"/>
  <c r="AV32" i="31"/>
  <c r="BA32" i="31" s="1"/>
  <c r="L32" i="31"/>
  <c r="Q32" i="31" s="1"/>
  <c r="U32" i="31"/>
  <c r="Z32" i="31" s="1"/>
  <c r="AD32" i="31"/>
  <c r="AI32" i="31" s="1"/>
  <c r="AM32" i="31"/>
  <c r="AR32" i="31" s="1"/>
  <c r="BG30" i="31"/>
  <c r="BE30" i="31"/>
  <c r="S116" i="27"/>
  <c r="BF29" i="31"/>
  <c r="R116" i="27" s="1"/>
  <c r="AD25" i="20" s="1"/>
  <c r="AG25" i="20" s="1"/>
  <c r="BD31" i="31"/>
  <c r="BY29" i="31"/>
  <c r="BZ29" i="31" s="1"/>
  <c r="BJ29" i="31"/>
  <c r="F33" i="31"/>
  <c r="E33" i="31"/>
  <c r="G33" i="31"/>
  <c r="BJ30" i="20"/>
  <c r="BD30" i="25"/>
  <c r="BG29" i="25"/>
  <c r="BE29" i="25"/>
  <c r="S71" i="27"/>
  <c r="AV31" i="26"/>
  <c r="BA31" i="26" s="1"/>
  <c r="AD31" i="26"/>
  <c r="AI31" i="26" s="1"/>
  <c r="L31" i="26"/>
  <c r="Q31" i="26" s="1"/>
  <c r="AM31" i="26"/>
  <c r="AR31" i="26" s="1"/>
  <c r="U31" i="26"/>
  <c r="Z31" i="26" s="1"/>
  <c r="BY28" i="25"/>
  <c r="BZ28" i="25" s="1"/>
  <c r="BJ28" i="25"/>
  <c r="D33" i="25"/>
  <c r="AA31" i="20"/>
  <c r="BK31" i="20" s="1"/>
  <c r="F32" i="25"/>
  <c r="E32" i="25"/>
  <c r="G32" i="25"/>
  <c r="D33" i="26"/>
  <c r="BD30" i="26"/>
  <c r="BJ28" i="26"/>
  <c r="BY28" i="26"/>
  <c r="BZ28" i="26" s="1"/>
  <c r="L31" i="25"/>
  <c r="Q31" i="25" s="1"/>
  <c r="AV31" i="25"/>
  <c r="BA31" i="25" s="1"/>
  <c r="AM31" i="25"/>
  <c r="AR31" i="25" s="1"/>
  <c r="U31" i="25"/>
  <c r="Z31" i="25" s="1"/>
  <c r="AD31" i="25"/>
  <c r="AI31" i="25" s="1"/>
  <c r="BF28" i="26"/>
  <c r="R72" i="27" s="1"/>
  <c r="AC24" i="20" s="1"/>
  <c r="AF24" i="20" s="1"/>
  <c r="G32" i="26"/>
  <c r="E32" i="26"/>
  <c r="F32" i="26"/>
  <c r="S29" i="27"/>
  <c r="BF28" i="25"/>
  <c r="R29" i="27" s="1"/>
  <c r="AB24" i="20" s="1"/>
  <c r="AE24" i="20" s="1"/>
  <c r="BE29" i="26"/>
  <c r="BG29" i="26"/>
  <c r="C35" i="25" l="1"/>
  <c r="C35" i="31"/>
  <c r="D35" i="31" s="1"/>
  <c r="C35" i="26"/>
  <c r="BH32" i="20"/>
  <c r="BD32" i="31"/>
  <c r="BE32" i="31" s="1"/>
  <c r="BE31" i="31"/>
  <c r="BG31" i="31"/>
  <c r="BJ30" i="31"/>
  <c r="BY30" i="31"/>
  <c r="BZ30" i="31" s="1"/>
  <c r="U33" i="31"/>
  <c r="Z33" i="31" s="1"/>
  <c r="AV33" i="31"/>
  <c r="BA33" i="31" s="1"/>
  <c r="AD33" i="31"/>
  <c r="AI33" i="31" s="1"/>
  <c r="L33" i="31"/>
  <c r="Q33" i="31" s="1"/>
  <c r="AM33" i="31"/>
  <c r="AR33" i="31" s="1"/>
  <c r="G34" i="31"/>
  <c r="F34" i="31"/>
  <c r="E34" i="31"/>
  <c r="S117" i="27"/>
  <c r="BF30" i="31"/>
  <c r="R117" i="27" s="1"/>
  <c r="AD26" i="20" s="1"/>
  <c r="AG26" i="20" s="1"/>
  <c r="BD31" i="26"/>
  <c r="BG31" i="26" s="1"/>
  <c r="L32" i="26"/>
  <c r="Q32" i="26" s="1"/>
  <c r="AM32" i="26"/>
  <c r="AR32" i="26" s="1"/>
  <c r="AD32" i="26"/>
  <c r="AI32" i="26" s="1"/>
  <c r="AV32" i="26"/>
  <c r="BA32" i="26" s="1"/>
  <c r="U32" i="26"/>
  <c r="Z32" i="26" s="1"/>
  <c r="BD31" i="25"/>
  <c r="AV32" i="25"/>
  <c r="BA32" i="25" s="1"/>
  <c r="U32" i="25"/>
  <c r="Z32" i="25" s="1"/>
  <c r="AD32" i="25"/>
  <c r="AI32" i="25" s="1"/>
  <c r="L32" i="25"/>
  <c r="Q32" i="25" s="1"/>
  <c r="AM32" i="25"/>
  <c r="AR32" i="25" s="1"/>
  <c r="D34" i="25"/>
  <c r="BY29" i="25"/>
  <c r="BZ29" i="25" s="1"/>
  <c r="BJ29" i="25"/>
  <c r="BE30" i="26"/>
  <c r="BG30" i="26"/>
  <c r="F33" i="25"/>
  <c r="G33" i="25"/>
  <c r="E33" i="25"/>
  <c r="D34" i="26"/>
  <c r="BJ29" i="26"/>
  <c r="BY29" i="26"/>
  <c r="BZ29" i="26" s="1"/>
  <c r="BF29" i="25"/>
  <c r="R30" i="27" s="1"/>
  <c r="AB25" i="20" s="1"/>
  <c r="AE25" i="20" s="1"/>
  <c r="S30" i="27"/>
  <c r="BF29" i="26"/>
  <c r="R73" i="27" s="1"/>
  <c r="AC25" i="20" s="1"/>
  <c r="AF25" i="20" s="1"/>
  <c r="S72" i="27"/>
  <c r="G33" i="26"/>
  <c r="F33" i="26"/>
  <c r="E33" i="26"/>
  <c r="AA32" i="20"/>
  <c r="BK32" i="20" s="1"/>
  <c r="BJ31" i="20"/>
  <c r="BG30" i="25"/>
  <c r="BE30" i="25"/>
  <c r="C36" i="25" l="1"/>
  <c r="C36" i="31"/>
  <c r="D36" i="31" s="1"/>
  <c r="C36" i="26"/>
  <c r="BG32" i="31"/>
  <c r="BY32" i="31" s="1"/>
  <c r="BZ32" i="31" s="1"/>
  <c r="AM34" i="31"/>
  <c r="AR34" i="31" s="1"/>
  <c r="AD34" i="31"/>
  <c r="AI34" i="31" s="1"/>
  <c r="U34" i="31"/>
  <c r="Z34" i="31" s="1"/>
  <c r="L34" i="31"/>
  <c r="Q34" i="31" s="1"/>
  <c r="AV34" i="31"/>
  <c r="BA34" i="31" s="1"/>
  <c r="S119" i="27"/>
  <c r="BF32" i="31"/>
  <c r="R119" i="27" s="1"/>
  <c r="AD28" i="20" s="1"/>
  <c r="AG28" i="20" s="1"/>
  <c r="BY31" i="31"/>
  <c r="BZ31" i="31" s="1"/>
  <c r="BJ31" i="31"/>
  <c r="BD33" i="31"/>
  <c r="S118" i="27"/>
  <c r="BF31" i="31"/>
  <c r="R118" i="27" s="1"/>
  <c r="AD27" i="20" s="1"/>
  <c r="AG27" i="20" s="1"/>
  <c r="E35" i="31"/>
  <c r="G35" i="31"/>
  <c r="F35" i="31"/>
  <c r="BE31" i="26"/>
  <c r="BF31" i="26" s="1"/>
  <c r="R75" i="27" s="1"/>
  <c r="AC27" i="20" s="1"/>
  <c r="AF27" i="20" s="1"/>
  <c r="BF30" i="25"/>
  <c r="R31" i="27" s="1"/>
  <c r="AB26" i="20" s="1"/>
  <c r="AE26" i="20" s="1"/>
  <c r="S31" i="27"/>
  <c r="AA33" i="20"/>
  <c r="BK33" i="20" s="1"/>
  <c r="D35" i="25"/>
  <c r="AM33" i="25"/>
  <c r="AR33" i="25" s="1"/>
  <c r="U33" i="25"/>
  <c r="Z33" i="25" s="1"/>
  <c r="AD33" i="25"/>
  <c r="AI33" i="25" s="1"/>
  <c r="L33" i="25"/>
  <c r="Q33" i="25" s="1"/>
  <c r="AV33" i="25"/>
  <c r="BA33" i="25" s="1"/>
  <c r="BF30" i="26"/>
  <c r="R74" i="27" s="1"/>
  <c r="AC26" i="20" s="1"/>
  <c r="AF26" i="20" s="1"/>
  <c r="BD32" i="25"/>
  <c r="F34" i="26"/>
  <c r="E34" i="26"/>
  <c r="G34" i="26"/>
  <c r="BJ30" i="26"/>
  <c r="BY30" i="26"/>
  <c r="BZ30" i="26" s="1"/>
  <c r="BJ31" i="26"/>
  <c r="BY31" i="26"/>
  <c r="BZ31" i="26" s="1"/>
  <c r="D35" i="26"/>
  <c r="G34" i="25"/>
  <c r="E34" i="25"/>
  <c r="F34" i="25"/>
  <c r="BG31" i="25"/>
  <c r="BE31" i="25"/>
  <c r="L33" i="26"/>
  <c r="Q33" i="26" s="1"/>
  <c r="AD33" i="26"/>
  <c r="AI33" i="26" s="1"/>
  <c r="AM33" i="26"/>
  <c r="AR33" i="26" s="1"/>
  <c r="U33" i="26"/>
  <c r="Z33" i="26" s="1"/>
  <c r="AV33" i="26"/>
  <c r="BA33" i="26" s="1"/>
  <c r="S73" i="27"/>
  <c r="BJ30" i="25"/>
  <c r="BY30" i="25"/>
  <c r="BZ30" i="25" s="1"/>
  <c r="BJ32" i="20"/>
  <c r="BH33" i="20"/>
  <c r="BD32" i="26"/>
  <c r="C37" i="25" l="1"/>
  <c r="C37" i="31"/>
  <c r="D37" i="31" s="1"/>
  <c r="C37" i="26"/>
  <c r="BJ32" i="31"/>
  <c r="BH34" i="20"/>
  <c r="BH35" i="20" s="1"/>
  <c r="L35" i="31"/>
  <c r="Q35" i="31" s="1"/>
  <c r="AD35" i="31"/>
  <c r="AI35" i="31" s="1"/>
  <c r="AV35" i="31"/>
  <c r="BA35" i="31" s="1"/>
  <c r="AM35" i="31"/>
  <c r="AR35" i="31" s="1"/>
  <c r="U35" i="31"/>
  <c r="Z35" i="31" s="1"/>
  <c r="E36" i="31"/>
  <c r="G36" i="31"/>
  <c r="F36" i="31"/>
  <c r="BD34" i="31"/>
  <c r="BG33" i="31"/>
  <c r="BE33" i="31"/>
  <c r="BJ33" i="20"/>
  <c r="E35" i="26"/>
  <c r="F35" i="26"/>
  <c r="G35" i="26"/>
  <c r="AA34" i="20"/>
  <c r="BK34" i="20" s="1"/>
  <c r="D36" i="25"/>
  <c r="BE32" i="26"/>
  <c r="BG32" i="26"/>
  <c r="BD33" i="26"/>
  <c r="S32" i="27"/>
  <c r="BF31" i="25"/>
  <c r="R32" i="27" s="1"/>
  <c r="AB27" i="20" s="1"/>
  <c r="AE27" i="20" s="1"/>
  <c r="U34" i="25"/>
  <c r="Z34" i="25" s="1"/>
  <c r="L34" i="25"/>
  <c r="Q34" i="25" s="1"/>
  <c r="AV34" i="25"/>
  <c r="BA34" i="25" s="1"/>
  <c r="AM34" i="25"/>
  <c r="AR34" i="25" s="1"/>
  <c r="AD34" i="25"/>
  <c r="AI34" i="25" s="1"/>
  <c r="S75" i="27"/>
  <c r="S74" i="27"/>
  <c r="U34" i="26"/>
  <c r="Z34" i="26" s="1"/>
  <c r="AV34" i="26"/>
  <c r="BA34" i="26" s="1"/>
  <c r="L34" i="26"/>
  <c r="Q34" i="26" s="1"/>
  <c r="AD34" i="26"/>
  <c r="AI34" i="26" s="1"/>
  <c r="AM34" i="26"/>
  <c r="AR34" i="26" s="1"/>
  <c r="BG32" i="25"/>
  <c r="BE32" i="25"/>
  <c r="BD33" i="25"/>
  <c r="E35" i="25"/>
  <c r="G35" i="25"/>
  <c r="F35" i="25"/>
  <c r="BJ31" i="25"/>
  <c r="BY31" i="25"/>
  <c r="BZ31" i="25" s="1"/>
  <c r="D36" i="26"/>
  <c r="C38" i="25" l="1"/>
  <c r="C38" i="31"/>
  <c r="D38" i="31" s="1"/>
  <c r="C38" i="26"/>
  <c r="S120" i="27"/>
  <c r="BF33" i="31"/>
  <c r="R120" i="27" s="1"/>
  <c r="AD29" i="20" s="1"/>
  <c r="AG29" i="20" s="1"/>
  <c r="G37" i="31"/>
  <c r="E37" i="31"/>
  <c r="F37" i="31"/>
  <c r="BJ33" i="31"/>
  <c r="BY33" i="31"/>
  <c r="BZ33" i="31" s="1"/>
  <c r="AD36" i="31"/>
  <c r="AI36" i="31" s="1"/>
  <c r="AM36" i="31"/>
  <c r="AR36" i="31" s="1"/>
  <c r="U36" i="31"/>
  <c r="Z36" i="31" s="1"/>
  <c r="AV36" i="31"/>
  <c r="BA36" i="31" s="1"/>
  <c r="L36" i="31"/>
  <c r="Q36" i="31" s="1"/>
  <c r="BD35" i="31"/>
  <c r="BE34" i="31"/>
  <c r="BG34" i="31"/>
  <c r="BD34" i="25"/>
  <c r="BG34" i="25" s="1"/>
  <c r="BE33" i="25"/>
  <c r="BG33" i="25"/>
  <c r="E36" i="25"/>
  <c r="G36" i="25"/>
  <c r="F36" i="25"/>
  <c r="D37" i="26"/>
  <c r="F36" i="26"/>
  <c r="G36" i="26"/>
  <c r="E36" i="26"/>
  <c r="BJ34" i="20"/>
  <c r="S33" i="27"/>
  <c r="BF32" i="25"/>
  <c r="R33" i="27" s="1"/>
  <c r="AB28" i="20" s="1"/>
  <c r="AE28" i="20" s="1"/>
  <c r="BD34" i="26"/>
  <c r="BG33" i="26"/>
  <c r="BE33" i="26"/>
  <c r="AA35" i="20"/>
  <c r="BK35" i="20" s="1"/>
  <c r="D37" i="25"/>
  <c r="BJ32" i="25"/>
  <c r="BY32" i="25"/>
  <c r="BZ32" i="25" s="1"/>
  <c r="BJ32" i="26"/>
  <c r="BY32" i="26"/>
  <c r="BZ32" i="26" s="1"/>
  <c r="L35" i="26"/>
  <c r="Q35" i="26" s="1"/>
  <c r="AD35" i="26"/>
  <c r="AI35" i="26" s="1"/>
  <c r="U35" i="26"/>
  <c r="Z35" i="26" s="1"/>
  <c r="AM35" i="26"/>
  <c r="AR35" i="26" s="1"/>
  <c r="AV35" i="26"/>
  <c r="BA35" i="26" s="1"/>
  <c r="L35" i="25"/>
  <c r="Q35" i="25" s="1"/>
  <c r="U35" i="25"/>
  <c r="Z35" i="25" s="1"/>
  <c r="AD35" i="25"/>
  <c r="AI35" i="25" s="1"/>
  <c r="AM35" i="25"/>
  <c r="AR35" i="25" s="1"/>
  <c r="AV35" i="25"/>
  <c r="BA35" i="25" s="1"/>
  <c r="BF32" i="26"/>
  <c r="R76" i="27" s="1"/>
  <c r="AC28" i="20" s="1"/>
  <c r="AF28" i="20" s="1"/>
  <c r="C39" i="25" l="1"/>
  <c r="C39" i="31"/>
  <c r="D39" i="31" s="1"/>
  <c r="C39" i="26"/>
  <c r="BJ34" i="31"/>
  <c r="BY34" i="31"/>
  <c r="BZ34" i="31" s="1"/>
  <c r="BD36" i="31"/>
  <c r="S121" i="27"/>
  <c r="BF34" i="31"/>
  <c r="R121" i="27" s="1"/>
  <c r="AD30" i="20" s="1"/>
  <c r="AG30" i="20" s="1"/>
  <c r="L37" i="31"/>
  <c r="Q37" i="31" s="1"/>
  <c r="AD37" i="31"/>
  <c r="AI37" i="31" s="1"/>
  <c r="AV37" i="31"/>
  <c r="BA37" i="31" s="1"/>
  <c r="U37" i="31"/>
  <c r="Z37" i="31" s="1"/>
  <c r="AM37" i="31"/>
  <c r="AR37" i="31" s="1"/>
  <c r="BE35" i="31"/>
  <c r="BG35" i="31"/>
  <c r="E38" i="31"/>
  <c r="G38" i="31"/>
  <c r="F38" i="31"/>
  <c r="BE34" i="25"/>
  <c r="BF34" i="25" s="1"/>
  <c r="R35" i="27" s="1"/>
  <c r="AB30" i="20" s="1"/>
  <c r="AE30" i="20" s="1"/>
  <c r="BD35" i="26"/>
  <c r="BG35" i="26" s="1"/>
  <c r="BE34" i="26"/>
  <c r="BG34" i="26"/>
  <c r="BJ33" i="25"/>
  <c r="BY33" i="25"/>
  <c r="BZ33" i="25" s="1"/>
  <c r="D38" i="25"/>
  <c r="D38" i="26"/>
  <c r="AA36" i="20"/>
  <c r="BK36" i="20" s="1"/>
  <c r="G37" i="26"/>
  <c r="E37" i="26"/>
  <c r="F37" i="26"/>
  <c r="L36" i="25"/>
  <c r="Q36" i="25" s="1"/>
  <c r="AM36" i="25"/>
  <c r="AR36" i="25" s="1"/>
  <c r="AD36" i="25"/>
  <c r="AI36" i="25" s="1"/>
  <c r="AV36" i="25"/>
  <c r="BA36" i="25" s="1"/>
  <c r="U36" i="25"/>
  <c r="Z36" i="25" s="1"/>
  <c r="BF33" i="26"/>
  <c r="R77" i="27" s="1"/>
  <c r="AC29" i="20" s="1"/>
  <c r="AF29" i="20" s="1"/>
  <c r="BJ35" i="20"/>
  <c r="BJ34" i="25"/>
  <c r="BY34" i="25"/>
  <c r="BZ34" i="25" s="1"/>
  <c r="S34" i="27"/>
  <c r="BF33" i="25"/>
  <c r="R34" i="27" s="1"/>
  <c r="AB29" i="20" s="1"/>
  <c r="AE29" i="20" s="1"/>
  <c r="F37" i="25"/>
  <c r="E37" i="25"/>
  <c r="G37" i="25"/>
  <c r="BD35" i="25"/>
  <c r="S76" i="27"/>
  <c r="BH36" i="20"/>
  <c r="BJ33" i="26"/>
  <c r="BY33" i="26"/>
  <c r="BZ33" i="26" s="1"/>
  <c r="L36" i="26"/>
  <c r="Q36" i="26" s="1"/>
  <c r="AM36" i="26"/>
  <c r="AR36" i="26" s="1"/>
  <c r="U36" i="26"/>
  <c r="Z36" i="26" s="1"/>
  <c r="AD36" i="26"/>
  <c r="AI36" i="26" s="1"/>
  <c r="AV36" i="26"/>
  <c r="BA36" i="26" s="1"/>
  <c r="C40" i="25" l="1"/>
  <c r="C40" i="31"/>
  <c r="D40" i="31" s="1"/>
  <c r="C40" i="26"/>
  <c r="L38" i="31"/>
  <c r="Q38" i="31" s="1"/>
  <c r="AM38" i="31"/>
  <c r="AR38" i="31" s="1"/>
  <c r="U38" i="31"/>
  <c r="Z38" i="31" s="1"/>
  <c r="AV38" i="31"/>
  <c r="BA38" i="31" s="1"/>
  <c r="AD38" i="31"/>
  <c r="AI38" i="31" s="1"/>
  <c r="BE36" i="31"/>
  <c r="BG36" i="31"/>
  <c r="S122" i="27"/>
  <c r="BF35" i="31"/>
  <c r="R122" i="27" s="1"/>
  <c r="AD31" i="20" s="1"/>
  <c r="AG31" i="20" s="1"/>
  <c r="BY35" i="31"/>
  <c r="BZ35" i="31" s="1"/>
  <c r="BJ35" i="31"/>
  <c r="BD37" i="31"/>
  <c r="G39" i="31"/>
  <c r="F39" i="31"/>
  <c r="E39" i="31"/>
  <c r="S35" i="27"/>
  <c r="BH37" i="20"/>
  <c r="BE35" i="26"/>
  <c r="BF35" i="26" s="1"/>
  <c r="R79" i="27" s="1"/>
  <c r="AC31" i="20" s="1"/>
  <c r="AF31" i="20" s="1"/>
  <c r="BJ36" i="20"/>
  <c r="BY35" i="26"/>
  <c r="BZ35" i="26" s="1"/>
  <c r="BJ35" i="26"/>
  <c r="BD36" i="25"/>
  <c r="G38" i="25"/>
  <c r="E38" i="25"/>
  <c r="F38" i="25"/>
  <c r="BF34" i="26"/>
  <c r="R78" i="27" s="1"/>
  <c r="AC30" i="20" s="1"/>
  <c r="AF30" i="20" s="1"/>
  <c r="BD36" i="26"/>
  <c r="BE35" i="25"/>
  <c r="BG35" i="25"/>
  <c r="AV37" i="25"/>
  <c r="BA37" i="25" s="1"/>
  <c r="AD37" i="25"/>
  <c r="AI37" i="25" s="1"/>
  <c r="U37" i="25"/>
  <c r="Z37" i="25" s="1"/>
  <c r="L37" i="25"/>
  <c r="Q37" i="25" s="1"/>
  <c r="AM37" i="25"/>
  <c r="AR37" i="25" s="1"/>
  <c r="AA37" i="20"/>
  <c r="BK37" i="20" s="1"/>
  <c r="D39" i="26"/>
  <c r="S77" i="27"/>
  <c r="BJ34" i="26"/>
  <c r="BY34" i="26"/>
  <c r="BZ34" i="26" s="1"/>
  <c r="L37" i="26"/>
  <c r="Q37" i="26" s="1"/>
  <c r="AV37" i="26"/>
  <c r="BA37" i="26" s="1"/>
  <c r="AD37" i="26"/>
  <c r="AI37" i="26" s="1"/>
  <c r="AM37" i="26"/>
  <c r="AR37" i="26" s="1"/>
  <c r="U37" i="26"/>
  <c r="Z37" i="26" s="1"/>
  <c r="E38" i="26"/>
  <c r="G38" i="26"/>
  <c r="F38" i="26"/>
  <c r="D39" i="25"/>
  <c r="C41" i="25" l="1"/>
  <c r="C41" i="31"/>
  <c r="D41" i="31" s="1"/>
  <c r="C41" i="26"/>
  <c r="BH38" i="20"/>
  <c r="BF36" i="31"/>
  <c r="R123" i="27" s="1"/>
  <c r="AD32" i="20" s="1"/>
  <c r="AG32" i="20" s="1"/>
  <c r="S123" i="27"/>
  <c r="F40" i="31"/>
  <c r="G40" i="31"/>
  <c r="E40" i="31"/>
  <c r="L39" i="31"/>
  <c r="Q39" i="31" s="1"/>
  <c r="U39" i="31"/>
  <c r="Z39" i="31" s="1"/>
  <c r="AM39" i="31"/>
  <c r="AR39" i="31" s="1"/>
  <c r="AD39" i="31"/>
  <c r="AI39" i="31" s="1"/>
  <c r="AV39" i="31"/>
  <c r="BA39" i="31" s="1"/>
  <c r="BD38" i="31"/>
  <c r="BG37" i="31"/>
  <c r="BE37" i="31"/>
  <c r="BJ36" i="31"/>
  <c r="BY36" i="31"/>
  <c r="BZ36" i="31" s="1"/>
  <c r="L38" i="26"/>
  <c r="Q38" i="26" s="1"/>
  <c r="AM38" i="26"/>
  <c r="AR38" i="26" s="1"/>
  <c r="AD38" i="26"/>
  <c r="AI38" i="26" s="1"/>
  <c r="U38" i="26"/>
  <c r="Z38" i="26" s="1"/>
  <c r="AV38" i="26"/>
  <c r="BA38" i="26" s="1"/>
  <c r="S36" i="27"/>
  <c r="BF35" i="25"/>
  <c r="R36" i="27" s="1"/>
  <c r="AB31" i="20" s="1"/>
  <c r="AE31" i="20" s="1"/>
  <c r="G39" i="26"/>
  <c r="E39" i="26"/>
  <c r="F39" i="26"/>
  <c r="BE36" i="26"/>
  <c r="BG36" i="26"/>
  <c r="D40" i="25"/>
  <c r="BE36" i="25"/>
  <c r="BG36" i="25"/>
  <c r="F39" i="25"/>
  <c r="E39" i="25"/>
  <c r="G39" i="25"/>
  <c r="S78" i="27"/>
  <c r="D40" i="26"/>
  <c r="BJ37" i="20"/>
  <c r="BD37" i="26"/>
  <c r="AA38" i="20"/>
  <c r="BK38" i="20" s="1"/>
  <c r="BD37" i="25"/>
  <c r="BJ35" i="25"/>
  <c r="BY35" i="25"/>
  <c r="BZ35" i="25" s="1"/>
  <c r="L38" i="25"/>
  <c r="Q38" i="25" s="1"/>
  <c r="AM38" i="25"/>
  <c r="AR38" i="25" s="1"/>
  <c r="AV38" i="25"/>
  <c r="BA38" i="25" s="1"/>
  <c r="U38" i="25"/>
  <c r="Z38" i="25" s="1"/>
  <c r="AD38" i="25"/>
  <c r="AI38" i="25" s="1"/>
  <c r="S79" i="27"/>
  <c r="C42" i="25" l="1"/>
  <c r="C42" i="31"/>
  <c r="D42" i="31" s="1"/>
  <c r="C42" i="26"/>
  <c r="BD39" i="31"/>
  <c r="G41" i="31"/>
  <c r="E41" i="31"/>
  <c r="F41" i="31"/>
  <c r="BE38" i="31"/>
  <c r="BG38" i="31"/>
  <c r="BF37" i="31"/>
  <c r="R124" i="27" s="1"/>
  <c r="AD33" i="20" s="1"/>
  <c r="AG33" i="20" s="1"/>
  <c r="S124" i="27"/>
  <c r="BY37" i="31"/>
  <c r="BZ37" i="31" s="1"/>
  <c r="BJ37" i="31"/>
  <c r="AM40" i="31"/>
  <c r="AR40" i="31" s="1"/>
  <c r="U40" i="31"/>
  <c r="Z40" i="31" s="1"/>
  <c r="AV40" i="31"/>
  <c r="BA40" i="31" s="1"/>
  <c r="L40" i="31"/>
  <c r="Q40" i="31" s="1"/>
  <c r="AD40" i="31"/>
  <c r="AI40" i="31" s="1"/>
  <c r="BE37" i="25"/>
  <c r="BG37" i="25"/>
  <c r="AA39" i="20"/>
  <c r="BK39" i="20" s="1"/>
  <c r="BE37" i="26"/>
  <c r="BG37" i="26"/>
  <c r="BJ36" i="25"/>
  <c r="BY36" i="25"/>
  <c r="BZ36" i="25" s="1"/>
  <c r="U39" i="26"/>
  <c r="Z39" i="26" s="1"/>
  <c r="L39" i="26"/>
  <c r="Q39" i="26" s="1"/>
  <c r="AD39" i="26"/>
  <c r="AI39" i="26" s="1"/>
  <c r="AV39" i="26"/>
  <c r="BA39" i="26" s="1"/>
  <c r="AM39" i="26"/>
  <c r="AR39" i="26" s="1"/>
  <c r="BD38" i="26"/>
  <c r="BH39" i="20"/>
  <c r="D41" i="25"/>
  <c r="L39" i="25"/>
  <c r="Q39" i="25" s="1"/>
  <c r="U39" i="25"/>
  <c r="Z39" i="25" s="1"/>
  <c r="AV39" i="25"/>
  <c r="BA39" i="25" s="1"/>
  <c r="AD39" i="25"/>
  <c r="AI39" i="25" s="1"/>
  <c r="AM39" i="25"/>
  <c r="AR39" i="25" s="1"/>
  <c r="BJ38" i="20"/>
  <c r="BF36" i="25"/>
  <c r="R37" i="27" s="1"/>
  <c r="AB32" i="20" s="1"/>
  <c r="AE32" i="20" s="1"/>
  <c r="S37" i="27"/>
  <c r="BY36" i="26"/>
  <c r="BZ36" i="26" s="1"/>
  <c r="BJ36" i="26"/>
  <c r="D41" i="26"/>
  <c r="BD38" i="25"/>
  <c r="E40" i="26"/>
  <c r="G40" i="26"/>
  <c r="F40" i="26"/>
  <c r="E40" i="25"/>
  <c r="G40" i="25"/>
  <c r="F40" i="25"/>
  <c r="BF36" i="26"/>
  <c r="R80" i="27" s="1"/>
  <c r="AC32" i="20" s="1"/>
  <c r="AF32" i="20" s="1"/>
  <c r="C43" i="25" l="1"/>
  <c r="C43" i="31"/>
  <c r="D43" i="31" s="1"/>
  <c r="C43" i="26"/>
  <c r="BY38" i="31"/>
  <c r="BZ38" i="31" s="1"/>
  <c r="BJ38" i="31"/>
  <c r="U41" i="31"/>
  <c r="Z41" i="31" s="1"/>
  <c r="AM41" i="31"/>
  <c r="AR41" i="31" s="1"/>
  <c r="AV41" i="31"/>
  <c r="BA41" i="31" s="1"/>
  <c r="L41" i="31"/>
  <c r="Q41" i="31" s="1"/>
  <c r="AD41" i="31"/>
  <c r="AI41" i="31" s="1"/>
  <c r="BD40" i="31"/>
  <c r="F42" i="31"/>
  <c r="E42" i="31"/>
  <c r="G42" i="31"/>
  <c r="S125" i="27"/>
  <c r="BF38" i="31"/>
  <c r="R125" i="27" s="1"/>
  <c r="AD34" i="20" s="1"/>
  <c r="AG34" i="20" s="1"/>
  <c r="BE39" i="31"/>
  <c r="BG39" i="31"/>
  <c r="BH40" i="20"/>
  <c r="BJ39" i="20"/>
  <c r="BF37" i="26"/>
  <c r="R81" i="27" s="1"/>
  <c r="AC33" i="20" s="1"/>
  <c r="AF33" i="20" s="1"/>
  <c r="BD39" i="25"/>
  <c r="BE38" i="26"/>
  <c r="BG38" i="26"/>
  <c r="BD39" i="26"/>
  <c r="AA40" i="20"/>
  <c r="BK40" i="20" s="1"/>
  <c r="BG38" i="25"/>
  <c r="BE38" i="25"/>
  <c r="S80" i="27"/>
  <c r="E41" i="25"/>
  <c r="F41" i="25"/>
  <c r="G41" i="25"/>
  <c r="BJ37" i="25"/>
  <c r="BY37" i="25"/>
  <c r="BZ37" i="25" s="1"/>
  <c r="D42" i="25"/>
  <c r="U40" i="26"/>
  <c r="Z40" i="26" s="1"/>
  <c r="AV40" i="26"/>
  <c r="BA40" i="26" s="1"/>
  <c r="AD40" i="26"/>
  <c r="AI40" i="26" s="1"/>
  <c r="AM40" i="26"/>
  <c r="AR40" i="26" s="1"/>
  <c r="L40" i="26"/>
  <c r="Q40" i="26" s="1"/>
  <c r="AM40" i="25"/>
  <c r="AR40" i="25" s="1"/>
  <c r="L40" i="25"/>
  <c r="Q40" i="25" s="1"/>
  <c r="AV40" i="25"/>
  <c r="BA40" i="25" s="1"/>
  <c r="AD40" i="25"/>
  <c r="AI40" i="25" s="1"/>
  <c r="U40" i="25"/>
  <c r="Z40" i="25" s="1"/>
  <c r="D42" i="26"/>
  <c r="F41" i="26"/>
  <c r="G41" i="26"/>
  <c r="E41" i="26"/>
  <c r="BJ37" i="26"/>
  <c r="BY37" i="26"/>
  <c r="BZ37" i="26" s="1"/>
  <c r="BF37" i="25"/>
  <c r="R38" i="27" s="1"/>
  <c r="AB33" i="20" s="1"/>
  <c r="AE33" i="20" s="1"/>
  <c r="S38" i="27"/>
  <c r="C44" i="25" l="1"/>
  <c r="C44" i="31"/>
  <c r="D44" i="31" s="1"/>
  <c r="C44" i="26"/>
  <c r="F43" i="31"/>
  <c r="E43" i="31"/>
  <c r="G43" i="31"/>
  <c r="BY39" i="31"/>
  <c r="BZ39" i="31" s="1"/>
  <c r="BJ39" i="31"/>
  <c r="U42" i="31"/>
  <c r="Z42" i="31" s="1"/>
  <c r="AD42" i="31"/>
  <c r="AI42" i="31" s="1"/>
  <c r="AV42" i="31"/>
  <c r="BA42" i="31" s="1"/>
  <c r="AM42" i="31"/>
  <c r="AR42" i="31" s="1"/>
  <c r="L42" i="31"/>
  <c r="Q42" i="31" s="1"/>
  <c r="S126" i="27"/>
  <c r="BF39" i="31"/>
  <c r="R126" i="27" s="1"/>
  <c r="AD35" i="20" s="1"/>
  <c r="AG35" i="20" s="1"/>
  <c r="BG40" i="31"/>
  <c r="BE40" i="31"/>
  <c r="BD41" i="31"/>
  <c r="BD40" i="25"/>
  <c r="BG40" i="25" s="1"/>
  <c r="AA41" i="20"/>
  <c r="BK41" i="20" s="1"/>
  <c r="D43" i="25"/>
  <c r="S39" i="27"/>
  <c r="BF38" i="25"/>
  <c r="R39" i="27" s="1"/>
  <c r="AB34" i="20" s="1"/>
  <c r="AE34" i="20" s="1"/>
  <c r="BE39" i="26"/>
  <c r="BG39" i="26"/>
  <c r="BY38" i="26"/>
  <c r="BZ38" i="26" s="1"/>
  <c r="BJ38" i="26"/>
  <c r="BH41" i="20"/>
  <c r="BD40" i="26"/>
  <c r="D43" i="26"/>
  <c r="BJ40" i="20"/>
  <c r="BY38" i="25"/>
  <c r="BZ38" i="25" s="1"/>
  <c r="BJ38" i="25"/>
  <c r="BF38" i="26"/>
  <c r="R82" i="27" s="1"/>
  <c r="AC34" i="20" s="1"/>
  <c r="AF34" i="20" s="1"/>
  <c r="E42" i="26"/>
  <c r="G42" i="26"/>
  <c r="F42" i="26"/>
  <c r="S81" i="27"/>
  <c r="L41" i="26"/>
  <c r="Q41" i="26" s="1"/>
  <c r="AM41" i="26"/>
  <c r="AR41" i="26" s="1"/>
  <c r="AV41" i="26"/>
  <c r="BA41" i="26" s="1"/>
  <c r="U41" i="26"/>
  <c r="Z41" i="26" s="1"/>
  <c r="AD41" i="26"/>
  <c r="AI41" i="26" s="1"/>
  <c r="E42" i="25"/>
  <c r="F42" i="25"/>
  <c r="G42" i="25"/>
  <c r="L41" i="25"/>
  <c r="Q41" i="25" s="1"/>
  <c r="AV41" i="25"/>
  <c r="BA41" i="25" s="1"/>
  <c r="AD41" i="25"/>
  <c r="AI41" i="25" s="1"/>
  <c r="U41" i="25"/>
  <c r="Z41" i="25" s="1"/>
  <c r="AM41" i="25"/>
  <c r="AR41" i="25" s="1"/>
  <c r="BE39" i="25"/>
  <c r="BG39" i="25"/>
  <c r="C45" i="25" l="1"/>
  <c r="C45" i="31"/>
  <c r="D45" i="31" s="1"/>
  <c r="C45" i="26"/>
  <c r="BJ41" i="20"/>
  <c r="E44" i="31"/>
  <c r="G44" i="31"/>
  <c r="F44" i="31"/>
  <c r="BE41" i="31"/>
  <c r="BG41" i="31"/>
  <c r="S127" i="27"/>
  <c r="BF40" i="31"/>
  <c r="R127" i="27" s="1"/>
  <c r="AD36" i="20" s="1"/>
  <c r="AG36" i="20" s="1"/>
  <c r="BY40" i="31"/>
  <c r="BZ40" i="31" s="1"/>
  <c r="BJ40" i="31"/>
  <c r="BD42" i="31"/>
  <c r="U43" i="31"/>
  <c r="Z43" i="31" s="1"/>
  <c r="AV43" i="31"/>
  <c r="BA43" i="31" s="1"/>
  <c r="AD43" i="31"/>
  <c r="AI43" i="31" s="1"/>
  <c r="L43" i="31"/>
  <c r="Q43" i="31" s="1"/>
  <c r="AM43" i="31"/>
  <c r="AR43" i="31" s="1"/>
  <c r="BH42" i="20"/>
  <c r="BE40" i="25"/>
  <c r="BF40" i="25" s="1"/>
  <c r="R41" i="27" s="1"/>
  <c r="AB36" i="20" s="1"/>
  <c r="AE36" i="20" s="1"/>
  <c r="BD41" i="26"/>
  <c r="BE41" i="26" s="1"/>
  <c r="S40" i="27"/>
  <c r="BF39" i="25"/>
  <c r="R40" i="27" s="1"/>
  <c r="AB35" i="20" s="1"/>
  <c r="AE35" i="20" s="1"/>
  <c r="G43" i="26"/>
  <c r="F43" i="26"/>
  <c r="E43" i="26"/>
  <c r="S82" i="27"/>
  <c r="BF39" i="26"/>
  <c r="R83" i="27" s="1"/>
  <c r="AC35" i="20" s="1"/>
  <c r="AF35" i="20" s="1"/>
  <c r="E43" i="25"/>
  <c r="G43" i="25"/>
  <c r="F43" i="25"/>
  <c r="BJ40" i="25"/>
  <c r="BY40" i="25"/>
  <c r="BZ40" i="25" s="1"/>
  <c r="D44" i="26"/>
  <c r="BJ39" i="26"/>
  <c r="BY39" i="26"/>
  <c r="BZ39" i="26" s="1"/>
  <c r="BY39" i="25"/>
  <c r="BZ39" i="25" s="1"/>
  <c r="BJ39" i="25"/>
  <c r="BD41" i="25"/>
  <c r="L42" i="25"/>
  <c r="Q42" i="25" s="1"/>
  <c r="AV42" i="25"/>
  <c r="BA42" i="25" s="1"/>
  <c r="AM42" i="25"/>
  <c r="AR42" i="25" s="1"/>
  <c r="U42" i="25"/>
  <c r="Z42" i="25" s="1"/>
  <c r="AD42" i="25"/>
  <c r="AI42" i="25" s="1"/>
  <c r="L42" i="26"/>
  <c r="Q42" i="26" s="1"/>
  <c r="AM42" i="26"/>
  <c r="AR42" i="26" s="1"/>
  <c r="AD42" i="26"/>
  <c r="AI42" i="26" s="1"/>
  <c r="U42" i="26"/>
  <c r="Z42" i="26" s="1"/>
  <c r="AV42" i="26"/>
  <c r="BA42" i="26" s="1"/>
  <c r="BE40" i="26"/>
  <c r="BG40" i="26"/>
  <c r="D44" i="25"/>
  <c r="BK42" i="20"/>
  <c r="C46" i="25" l="1"/>
  <c r="C46" i="31"/>
  <c r="C46" i="26"/>
  <c r="BJ42" i="20"/>
  <c r="BY41" i="31"/>
  <c r="BZ41" i="31" s="1"/>
  <c r="BJ41" i="31"/>
  <c r="G45" i="31"/>
  <c r="E45" i="31"/>
  <c r="F45" i="31"/>
  <c r="S128" i="27"/>
  <c r="BF41" i="31"/>
  <c r="R128" i="27" s="1"/>
  <c r="AD37" i="20" s="1"/>
  <c r="AG37" i="20" s="1"/>
  <c r="BD43" i="31"/>
  <c r="BE42" i="31"/>
  <c r="BG42" i="31"/>
  <c r="AV44" i="31"/>
  <c r="BA44" i="31" s="1"/>
  <c r="AM44" i="31"/>
  <c r="AR44" i="31" s="1"/>
  <c r="L44" i="31"/>
  <c r="Q44" i="31" s="1"/>
  <c r="U44" i="31"/>
  <c r="Z44" i="31" s="1"/>
  <c r="AD44" i="31"/>
  <c r="AI44" i="31" s="1"/>
  <c r="BG41" i="26"/>
  <c r="BJ41" i="26" s="1"/>
  <c r="S41" i="27"/>
  <c r="L43" i="25"/>
  <c r="Q43" i="25" s="1"/>
  <c r="U43" i="25"/>
  <c r="Z43" i="25" s="1"/>
  <c r="AD43" i="25"/>
  <c r="AI43" i="25" s="1"/>
  <c r="AM43" i="25"/>
  <c r="AR43" i="25" s="1"/>
  <c r="AV43" i="25"/>
  <c r="BA43" i="25" s="1"/>
  <c r="BF41" i="26"/>
  <c r="R85" i="27" s="1"/>
  <c r="AC37" i="20" s="1"/>
  <c r="AF37" i="20" s="1"/>
  <c r="D45" i="25"/>
  <c r="E44" i="26"/>
  <c r="F44" i="26"/>
  <c r="G44" i="26"/>
  <c r="D45" i="26"/>
  <c r="E44" i="25"/>
  <c r="G44" i="25"/>
  <c r="F44" i="25"/>
  <c r="BJ40" i="26"/>
  <c r="BY40" i="26"/>
  <c r="BZ40" i="26" s="1"/>
  <c r="BD42" i="26"/>
  <c r="L43" i="26"/>
  <c r="Q43" i="26" s="1"/>
  <c r="AM43" i="26"/>
  <c r="AR43" i="26" s="1"/>
  <c r="U43" i="26"/>
  <c r="Z43" i="26" s="1"/>
  <c r="AD43" i="26"/>
  <c r="AI43" i="26" s="1"/>
  <c r="AV43" i="26"/>
  <c r="BA43" i="26" s="1"/>
  <c r="BE41" i="25"/>
  <c r="BG41" i="25"/>
  <c r="BF40" i="26"/>
  <c r="R84" i="27" s="1"/>
  <c r="AC36" i="20" s="1"/>
  <c r="AF36" i="20" s="1"/>
  <c r="BD42" i="25"/>
  <c r="S83" i="27"/>
  <c r="D46" i="31" l="1"/>
  <c r="BE43" i="31"/>
  <c r="BG43" i="31"/>
  <c r="BD44" i="31"/>
  <c r="BY42" i="31"/>
  <c r="BZ42" i="31" s="1"/>
  <c r="BJ42" i="31"/>
  <c r="S129" i="27"/>
  <c r="BF42" i="31"/>
  <c r="R129" i="27" s="1"/>
  <c r="AD38" i="20" s="1"/>
  <c r="AG38" i="20" s="1"/>
  <c r="L45" i="31"/>
  <c r="Q45" i="31" s="1"/>
  <c r="AD45" i="31"/>
  <c r="AI45" i="31" s="1"/>
  <c r="AV45" i="31"/>
  <c r="BA45" i="31" s="1"/>
  <c r="U45" i="31"/>
  <c r="Z45" i="31" s="1"/>
  <c r="AM45" i="31"/>
  <c r="AR45" i="31" s="1"/>
  <c r="BY41" i="26"/>
  <c r="BZ41" i="26" s="1"/>
  <c r="E45" i="26"/>
  <c r="F45" i="26"/>
  <c r="G45" i="26"/>
  <c r="BG42" i="25"/>
  <c r="BE42" i="25"/>
  <c r="S42" i="27"/>
  <c r="BF41" i="25"/>
  <c r="R42" i="27" s="1"/>
  <c r="AB37" i="20" s="1"/>
  <c r="AE37" i="20" s="1"/>
  <c r="BD43" i="26"/>
  <c r="BE42" i="26"/>
  <c r="BG42" i="26"/>
  <c r="S84" i="27"/>
  <c r="BD43" i="25"/>
  <c r="L44" i="25"/>
  <c r="Q44" i="25" s="1"/>
  <c r="AV44" i="25"/>
  <c r="BA44" i="25" s="1"/>
  <c r="U44" i="25"/>
  <c r="Z44" i="25" s="1"/>
  <c r="AM44" i="25"/>
  <c r="AR44" i="25" s="1"/>
  <c r="AD44" i="25"/>
  <c r="AI44" i="25" s="1"/>
  <c r="S85" i="27"/>
  <c r="L44" i="26"/>
  <c r="Q44" i="26" s="1"/>
  <c r="AM44" i="26"/>
  <c r="AR44" i="26" s="1"/>
  <c r="AD44" i="26"/>
  <c r="AI44" i="26" s="1"/>
  <c r="U44" i="26"/>
  <c r="Z44" i="26" s="1"/>
  <c r="AV44" i="26"/>
  <c r="BA44" i="26" s="1"/>
  <c r="BY41" i="25"/>
  <c r="BZ41" i="25" s="1"/>
  <c r="BJ41" i="25"/>
  <c r="G45" i="25"/>
  <c r="E45" i="25"/>
  <c r="F45" i="25"/>
  <c r="BD45" i="31" l="1"/>
  <c r="G46" i="31"/>
  <c r="F46" i="31"/>
  <c r="E46" i="31"/>
  <c r="BG44" i="31"/>
  <c r="BE44" i="31"/>
  <c r="BY43" i="31"/>
  <c r="BZ43" i="31" s="1"/>
  <c r="BJ43" i="31"/>
  <c r="S130" i="27"/>
  <c r="BF43" i="31"/>
  <c r="R130" i="27" s="1"/>
  <c r="AD39" i="20" s="1"/>
  <c r="AG39" i="20" s="1"/>
  <c r="BE43" i="25"/>
  <c r="BG43" i="25"/>
  <c r="D46" i="25"/>
  <c r="BD44" i="26"/>
  <c r="BJ42" i="26"/>
  <c r="BY42" i="26"/>
  <c r="BZ42" i="26" s="1"/>
  <c r="D46" i="26"/>
  <c r="BF42" i="26"/>
  <c r="R86" i="27" s="1"/>
  <c r="AC38" i="20" s="1"/>
  <c r="AF38" i="20" s="1"/>
  <c r="BE43" i="26"/>
  <c r="BG43" i="26"/>
  <c r="BF42" i="25"/>
  <c r="R43" i="27" s="1"/>
  <c r="AB38" i="20" s="1"/>
  <c r="AE38" i="20" s="1"/>
  <c r="S43" i="27"/>
  <c r="AD45" i="26"/>
  <c r="AI45" i="26" s="1"/>
  <c r="L45" i="26"/>
  <c r="Q45" i="26" s="1"/>
  <c r="U45" i="26"/>
  <c r="Z45" i="26" s="1"/>
  <c r="AM45" i="26"/>
  <c r="AR45" i="26" s="1"/>
  <c r="AV45" i="26"/>
  <c r="BA45" i="26" s="1"/>
  <c r="L45" i="25"/>
  <c r="Q45" i="25" s="1"/>
  <c r="AD45" i="25"/>
  <c r="AI45" i="25" s="1"/>
  <c r="AM45" i="25"/>
  <c r="AR45" i="25" s="1"/>
  <c r="U45" i="25"/>
  <c r="Z45" i="25" s="1"/>
  <c r="AV45" i="25"/>
  <c r="BA45" i="25" s="1"/>
  <c r="BD44" i="25"/>
  <c r="BJ42" i="25"/>
  <c r="BY42" i="25"/>
  <c r="BZ42" i="25" s="1"/>
  <c r="S131" i="27" l="1"/>
  <c r="BF44" i="31"/>
  <c r="R131" i="27" s="1"/>
  <c r="AD40" i="20" s="1"/>
  <c r="AG40" i="20" s="1"/>
  <c r="AD46" i="31"/>
  <c r="AI46" i="31" s="1"/>
  <c r="AM46" i="31"/>
  <c r="AR46" i="31" s="1"/>
  <c r="AV46" i="31"/>
  <c r="BA46" i="31" s="1"/>
  <c r="U46" i="31"/>
  <c r="Z46" i="31" s="1"/>
  <c r="L46" i="31"/>
  <c r="Q46" i="31" s="1"/>
  <c r="BY44" i="31"/>
  <c r="BZ44" i="31" s="1"/>
  <c r="BJ44" i="31"/>
  <c r="BG45" i="31"/>
  <c r="BE45" i="31"/>
  <c r="BG44" i="25"/>
  <c r="BE44" i="25"/>
  <c r="BF43" i="26"/>
  <c r="R87" i="27" s="1"/>
  <c r="AC39" i="20" s="1"/>
  <c r="AF39" i="20" s="1"/>
  <c r="BE44" i="26"/>
  <c r="BG44" i="26"/>
  <c r="BY43" i="26"/>
  <c r="BZ43" i="26" s="1"/>
  <c r="BJ43" i="26"/>
  <c r="BD45" i="25"/>
  <c r="E46" i="26"/>
  <c r="F46" i="26"/>
  <c r="G46" i="26"/>
  <c r="E46" i="25"/>
  <c r="G46" i="25"/>
  <c r="F46" i="25"/>
  <c r="BY43" i="25"/>
  <c r="BZ43" i="25" s="1"/>
  <c r="BJ43" i="25"/>
  <c r="BD45" i="26"/>
  <c r="S86" i="27"/>
  <c r="S44" i="27"/>
  <c r="BF43" i="25"/>
  <c r="R44" i="27" s="1"/>
  <c r="AB39" i="20" s="1"/>
  <c r="AE39" i="20" s="1"/>
  <c r="BJ45" i="31" l="1"/>
  <c r="BY45" i="31"/>
  <c r="BZ45" i="31" s="1"/>
  <c r="S132" i="27"/>
  <c r="BF45" i="31"/>
  <c r="R132" i="27" s="1"/>
  <c r="AD41" i="20" s="1"/>
  <c r="AG41" i="20" s="1"/>
  <c r="BD46" i="31"/>
  <c r="BJ44" i="26"/>
  <c r="BY44" i="26"/>
  <c r="BZ44" i="26" s="1"/>
  <c r="BE45" i="26"/>
  <c r="BG45" i="26"/>
  <c r="AV46" i="25"/>
  <c r="BA46" i="25" s="1"/>
  <c r="AM46" i="25"/>
  <c r="AR46" i="25" s="1"/>
  <c r="U46" i="25"/>
  <c r="Z46" i="25" s="1"/>
  <c r="L46" i="25"/>
  <c r="Q46" i="25" s="1"/>
  <c r="AD46" i="25"/>
  <c r="AI46" i="25" s="1"/>
  <c r="BE45" i="25"/>
  <c r="BG45" i="25"/>
  <c r="S87" i="27"/>
  <c r="BF44" i="26"/>
  <c r="R88" i="27" s="1"/>
  <c r="AC40" i="20" s="1"/>
  <c r="AF40" i="20" s="1"/>
  <c r="S45" i="27"/>
  <c r="BF44" i="25"/>
  <c r="R45" i="27" s="1"/>
  <c r="AB40" i="20" s="1"/>
  <c r="AE40" i="20" s="1"/>
  <c r="L46" i="26"/>
  <c r="Q46" i="26" s="1"/>
  <c r="AV46" i="26"/>
  <c r="BA46" i="26" s="1"/>
  <c r="AD46" i="26"/>
  <c r="AI46" i="26" s="1"/>
  <c r="AM46" i="26"/>
  <c r="AR46" i="26" s="1"/>
  <c r="U46" i="26"/>
  <c r="Z46" i="26" s="1"/>
  <c r="BJ44" i="25"/>
  <c r="BY44" i="25"/>
  <c r="BZ44" i="25" s="1"/>
  <c r="BG46" i="31" l="1"/>
  <c r="BE46" i="31"/>
  <c r="S88" i="27"/>
  <c r="S46" i="27"/>
  <c r="BF45" i="25"/>
  <c r="R46" i="27" s="1"/>
  <c r="AB41" i="20" s="1"/>
  <c r="AE41" i="20" s="1"/>
  <c r="BJ45" i="26"/>
  <c r="BY45" i="26"/>
  <c r="BZ45" i="26" s="1"/>
  <c r="BJ45" i="25"/>
  <c r="BY45" i="25"/>
  <c r="BZ45" i="25" s="1"/>
  <c r="BF45" i="26"/>
  <c r="R89" i="27" s="1"/>
  <c r="AC41" i="20" s="1"/>
  <c r="AF41" i="20" s="1"/>
  <c r="BD46" i="26"/>
  <c r="BD46" i="25"/>
  <c r="BJ46" i="31" l="1"/>
  <c r="BY46" i="31"/>
  <c r="BZ46" i="31" s="1"/>
  <c r="S133" i="27"/>
  <c r="BF46" i="31"/>
  <c r="R133" i="27" s="1"/>
  <c r="AD42" i="20" s="1"/>
  <c r="AG42" i="20" s="1"/>
  <c r="BG46" i="25"/>
  <c r="BE46" i="25"/>
  <c r="BE46" i="26"/>
  <c r="BG46" i="26"/>
  <c r="S89" i="27"/>
  <c r="BJ46" i="26" l="1"/>
  <c r="BY46" i="26"/>
  <c r="BZ46" i="26" s="1"/>
  <c r="BF46" i="25"/>
  <c r="R47" i="27" s="1"/>
  <c r="AB42" i="20" s="1"/>
  <c r="AE42" i="20" s="1"/>
  <c r="S47" i="27"/>
  <c r="BF46" i="26"/>
  <c r="R90" i="27" s="1"/>
  <c r="AC42" i="20" s="1"/>
  <c r="AF42" i="20" s="1"/>
  <c r="BJ46" i="25"/>
  <c r="BY46" i="25"/>
  <c r="BZ46" i="25" s="1"/>
  <c r="S90" i="27" l="1"/>
  <c r="J61" i="24" l="1"/>
  <c r="K61" i="24" s="1"/>
  <c r="S61" i="24" s="1"/>
  <c r="AI36" i="24" l="1"/>
  <c r="AI32" i="24"/>
  <c r="AI28" i="24"/>
  <c r="AI24" i="24"/>
  <c r="AI20" i="24"/>
  <c r="AI16" i="24"/>
  <c r="AI12" i="24"/>
  <c r="AI8" i="24"/>
  <c r="AI35" i="24"/>
  <c r="AI34" i="24"/>
  <c r="AI30" i="24"/>
  <c r="AI26" i="24"/>
  <c r="AI22" i="24"/>
  <c r="AI18" i="24"/>
  <c r="AI14" i="24"/>
  <c r="AI10" i="24"/>
  <c r="AI37" i="24"/>
  <c r="AI29" i="24"/>
  <c r="AI25" i="24"/>
  <c r="AI21" i="24"/>
  <c r="AI17" i="24"/>
  <c r="AI13" i="24"/>
  <c r="AI9" i="24"/>
  <c r="AI31" i="24"/>
  <c r="AI27" i="24"/>
  <c r="AI23" i="24"/>
  <c r="AI19" i="24"/>
  <c r="AI15" i="24"/>
  <c r="AI11" i="24"/>
  <c r="AI7" i="24"/>
  <c r="AI33" i="24"/>
  <c r="R36" i="24"/>
  <c r="R35" i="24"/>
  <c r="R31" i="24"/>
  <c r="R27" i="24"/>
  <c r="R23" i="24"/>
  <c r="R19" i="24"/>
  <c r="R15" i="24"/>
  <c r="R11" i="24"/>
  <c r="R7" i="24"/>
  <c r="R30" i="24"/>
  <c r="R26" i="24"/>
  <c r="R22" i="24"/>
  <c r="R18" i="24"/>
  <c r="R14" i="24"/>
  <c r="R10" i="24"/>
  <c r="R37" i="24"/>
  <c r="R33" i="24"/>
  <c r="R29" i="24"/>
  <c r="R25" i="24"/>
  <c r="R21" i="24"/>
  <c r="R17" i="24"/>
  <c r="R13" i="24"/>
  <c r="R9" i="24"/>
  <c r="R34" i="24"/>
  <c r="R32" i="24"/>
  <c r="R28" i="24"/>
  <c r="R24" i="24"/>
  <c r="R20" i="24"/>
  <c r="R16" i="24"/>
  <c r="R12" i="24"/>
  <c r="R8" i="24"/>
  <c r="BM19" i="26" l="1" a="1"/>
  <c r="BM19" i="26" s="1"/>
  <c r="Q75" i="27" a="1"/>
  <c r="Q75" i="27" s="1"/>
  <c r="BM43" i="25" a="1"/>
  <c r="BM43" i="25" s="1"/>
  <c r="P90" i="27" a="1"/>
  <c r="P90" i="27" s="1"/>
  <c r="BO24" i="25" a="1"/>
  <c r="BO24" i="25" s="1"/>
  <c r="P31" i="27" a="1"/>
  <c r="P31" i="27" s="1"/>
  <c r="BM32" i="26" a="1"/>
  <c r="BM32" i="26" s="1"/>
  <c r="Q79" i="27" a="1"/>
  <c r="Q79" i="27" s="1"/>
  <c r="BP45" i="26" a="1"/>
  <c r="BP45" i="26" s="1"/>
  <c r="P76" i="27" a="1"/>
  <c r="P76" i="27" s="1"/>
  <c r="BM24" i="25" a="1"/>
  <c r="BM24" i="25" s="1"/>
  <c r="BO43" i="26" a="1"/>
  <c r="BO43" i="26" s="1"/>
  <c r="BP19" i="25" a="1"/>
  <c r="BP19" i="25" s="1"/>
  <c r="P60" i="27" a="1"/>
  <c r="P60" i="27" s="1"/>
  <c r="O46" i="27" a="1"/>
  <c r="O46" i="27" s="1"/>
  <c r="BP43" i="26" a="1"/>
  <c r="BP43" i="26" s="1"/>
  <c r="O39" i="27" a="1"/>
  <c r="O39" i="27" s="1"/>
  <c r="BO44" i="25" a="1"/>
  <c r="BO44" i="25" s="1"/>
  <c r="BO42" i="26" a="1"/>
  <c r="BO42" i="26" s="1"/>
  <c r="O89" i="27" a="1"/>
  <c r="O89" i="27" s="1"/>
  <c r="BM46" i="25" a="1"/>
  <c r="BM46" i="25" s="1"/>
  <c r="BO22" i="25" a="1"/>
  <c r="BO22" i="25" s="1"/>
  <c r="BO45" i="26" a="1"/>
  <c r="BO45" i="26" s="1"/>
  <c r="P41" i="27" a="1"/>
  <c r="P41" i="27" s="1"/>
  <c r="O41" i="27" a="1"/>
  <c r="O41" i="27" s="1"/>
  <c r="O63" i="27" a="1"/>
  <c r="O63" i="27" s="1"/>
  <c r="BO38" i="25" a="1"/>
  <c r="BO38" i="25" s="1"/>
  <c r="BO29" i="26" a="1"/>
  <c r="BO29" i="26" s="1"/>
  <c r="O84" i="27" a="1"/>
  <c r="O84" i="27" s="1"/>
  <c r="Q29" i="27" a="1"/>
  <c r="Q29" i="27" s="1"/>
  <c r="Q82" i="27" a="1"/>
  <c r="Q82" i="27" s="1"/>
  <c r="O87" i="27" a="1"/>
  <c r="O87" i="27" s="1"/>
  <c r="BO33" i="26" a="1"/>
  <c r="BO33" i="26" s="1"/>
  <c r="Q74" i="27" a="1"/>
  <c r="Q74" i="27" s="1"/>
  <c r="BO34" i="26" a="1"/>
  <c r="BO34" i="26" s="1"/>
  <c r="BO41" i="25" a="1"/>
  <c r="BO41" i="25" s="1"/>
  <c r="Q35" i="27" a="1"/>
  <c r="Q35" i="27" s="1"/>
  <c r="BO36" i="25" a="1"/>
  <c r="BO36" i="25" s="1"/>
  <c r="BO37" i="25" a="1"/>
  <c r="BO37" i="25" s="1"/>
  <c r="BP16" i="25" a="1"/>
  <c r="BP16" i="25" s="1"/>
  <c r="BM36" i="26" a="1"/>
  <c r="BM36" i="26" s="1"/>
  <c r="O80" i="27" a="1"/>
  <c r="O80" i="27" s="1"/>
  <c r="O90" i="27" a="1"/>
  <c r="O90" i="27" s="1"/>
  <c r="BP41" i="26" a="1"/>
  <c r="BP41" i="26" s="1"/>
  <c r="BP32" i="25" a="1"/>
  <c r="BP32" i="25" s="1"/>
  <c r="BM20" i="26" a="1"/>
  <c r="BM20" i="26" s="1"/>
  <c r="Q24" i="27" a="1"/>
  <c r="Q24" i="27" s="1"/>
  <c r="O64" i="27" a="1"/>
  <c r="O64" i="27" s="1"/>
  <c r="BP46" i="25" a="1"/>
  <c r="BP46" i="25" s="1"/>
  <c r="Q89" i="27" a="1"/>
  <c r="Q89" i="27" s="1"/>
  <c r="Q34" i="27" a="1"/>
  <c r="Q34" i="27" s="1"/>
  <c r="BM37" i="25" a="1"/>
  <c r="BM37" i="25" s="1"/>
  <c r="O21" i="27" a="1"/>
  <c r="O21" i="27" s="1"/>
  <c r="BO18" i="26" a="1"/>
  <c r="BO18" i="26" s="1"/>
  <c r="Q84" i="27" a="1"/>
  <c r="Q84" i="27" s="1"/>
  <c r="P35" i="27" a="1"/>
  <c r="P35" i="27" s="1"/>
  <c r="BP29" i="25" a="1"/>
  <c r="BP29" i="25" s="1"/>
  <c r="BM22" i="26" a="1"/>
  <c r="BM22" i="26" s="1"/>
  <c r="BM28" i="26" a="1"/>
  <c r="BM28" i="26" s="1"/>
  <c r="Q21" i="27" a="1"/>
  <c r="Q21" i="27" s="1"/>
  <c r="BP35" i="25" a="1"/>
  <c r="BP35" i="25" s="1"/>
  <c r="BP45" i="25" a="1"/>
  <c r="BP45" i="25" s="1"/>
  <c r="Q60" i="27" a="1"/>
  <c r="Q60" i="27" s="1"/>
  <c r="P38" i="27" a="1"/>
  <c r="P38" i="27" s="1"/>
  <c r="P18" i="27" a="1"/>
  <c r="P18" i="27" s="1"/>
  <c r="O30" i="27" a="1"/>
  <c r="O30" i="27" s="1"/>
  <c r="P17" i="27" a="1"/>
  <c r="P17" i="27" s="1"/>
  <c r="BO27" i="26" a="1"/>
  <c r="BO27" i="26" s="1"/>
  <c r="BP37" i="25" a="1"/>
  <c r="BP37" i="25" s="1"/>
  <c r="BO25" i="25" a="1"/>
  <c r="BO25" i="25" s="1"/>
  <c r="Q69" i="27" a="1"/>
  <c r="Q69" i="27" s="1"/>
  <c r="O66" i="27" a="1"/>
  <c r="O66" i="27" s="1"/>
  <c r="Q86" i="27" a="1"/>
  <c r="Q86" i="27" s="1"/>
  <c r="P22" i="27" a="1"/>
  <c r="P22" i="27" s="1"/>
  <c r="BP20" i="25" a="1"/>
  <c r="BP20" i="25" s="1"/>
  <c r="BP23" i="25" a="1"/>
  <c r="BP23" i="25" s="1"/>
  <c r="BM40" i="25" a="1"/>
  <c r="BM40" i="25" s="1"/>
  <c r="BM27" i="25" a="1"/>
  <c r="BM27" i="25" s="1"/>
  <c r="BM16" i="25" a="1"/>
  <c r="BM16" i="25" s="1"/>
  <c r="BP33" i="25" a="1"/>
  <c r="BP33" i="25" s="1"/>
  <c r="BM30" i="26" a="1"/>
  <c r="BM30" i="26" s="1"/>
  <c r="P83" i="27" a="1"/>
  <c r="P83" i="27" s="1"/>
  <c r="O75" i="27" a="1"/>
  <c r="O75" i="27" s="1"/>
  <c r="BM32" i="25" a="1"/>
  <c r="BM32" i="25" s="1"/>
  <c r="BM27" i="26" a="1"/>
  <c r="BM27" i="26" s="1"/>
  <c r="BO41" i="26" a="1"/>
  <c r="BO41" i="26" s="1"/>
  <c r="O82" i="27" a="1"/>
  <c r="O82" i="27" s="1"/>
  <c r="Q30" i="27" a="1"/>
  <c r="Q30" i="27" s="1"/>
  <c r="O65" i="27" a="1"/>
  <c r="O65" i="27" s="1"/>
  <c r="Q63" i="27" a="1"/>
  <c r="Q63" i="27" s="1"/>
  <c r="BM33" i="25" a="1"/>
  <c r="BM33" i="25" s="1"/>
  <c r="BO31" i="25" a="1"/>
  <c r="BO31" i="25" s="1"/>
  <c r="BO34" i="25" a="1"/>
  <c r="BO34" i="25" s="1"/>
  <c r="BM31" i="26" a="1"/>
  <c r="BM31" i="26" s="1"/>
  <c r="BM21" i="26" a="1"/>
  <c r="BM21" i="26" s="1"/>
  <c r="P79" i="27" a="1"/>
  <c r="P79" i="27" s="1"/>
  <c r="BP17" i="26" a="1"/>
  <c r="BP17" i="26" s="1"/>
  <c r="BP29" i="26" a="1"/>
  <c r="BP29" i="26" s="1"/>
  <c r="BO28" i="25" a="1"/>
  <c r="BO28" i="25" s="1"/>
  <c r="BO35" i="26" a="1"/>
  <c r="BO35" i="26" s="1"/>
  <c r="O79" i="27" a="1"/>
  <c r="O79" i="27" s="1"/>
  <c r="P64" i="27" a="1"/>
  <c r="P64" i="27" s="1"/>
  <c r="P66" i="27" a="1"/>
  <c r="P66" i="27" s="1"/>
  <c r="Q64" i="27" a="1"/>
  <c r="Q64" i="27" s="1"/>
  <c r="BP31" i="26" a="1"/>
  <c r="BP31" i="26" s="1"/>
  <c r="BO29" i="25" a="1"/>
  <c r="BO29" i="25" s="1"/>
  <c r="P72" i="27" a="1"/>
  <c r="P72" i="27" s="1"/>
  <c r="Q90" i="27" a="1"/>
  <c r="Q90" i="27" s="1"/>
  <c r="BO19" i="26" a="1"/>
  <c r="BO19" i="26" s="1"/>
  <c r="P77" i="27" a="1"/>
  <c r="P77" i="27" s="1"/>
  <c r="BM35" i="26" a="1"/>
  <c r="BM35" i="26" s="1"/>
  <c r="BO23" i="25" a="1"/>
  <c r="BO23" i="25" s="1"/>
  <c r="BM45" i="26" a="1"/>
  <c r="BM45" i="26" s="1"/>
  <c r="BM44" i="25" a="1"/>
  <c r="BM44" i="25" s="1"/>
  <c r="O62" i="27" a="1"/>
  <c r="O62" i="27" s="1"/>
  <c r="BO26" i="25" a="1"/>
  <c r="BO26" i="25" s="1"/>
  <c r="BM26" i="26" a="1"/>
  <c r="BM26" i="26" s="1"/>
  <c r="P34" i="27" a="1"/>
  <c r="P34" i="27" s="1"/>
  <c r="BP21" i="25" a="1"/>
  <c r="BP21" i="25" s="1"/>
  <c r="Q62" i="27" a="1"/>
  <c r="Q62" i="27" s="1"/>
  <c r="BO42" i="25" a="1"/>
  <c r="BO42" i="25" s="1"/>
  <c r="BO37" i="26" a="1"/>
  <c r="BO37" i="26" s="1"/>
  <c r="O33" i="27" a="1"/>
  <c r="O33" i="27" s="1"/>
  <c r="O76" i="27" a="1"/>
  <c r="O76" i="27" s="1"/>
  <c r="Q41" i="27" a="1"/>
  <c r="Q41" i="27" s="1"/>
  <c r="BO20" i="26" a="1"/>
  <c r="BO20" i="26" s="1"/>
  <c r="BO27" i="25" a="1"/>
  <c r="BO27" i="25" s="1"/>
  <c r="BP22" i="25" a="1"/>
  <c r="BP22" i="25" s="1"/>
  <c r="BM34" i="25" a="1"/>
  <c r="BM34" i="25" s="1"/>
  <c r="Q76" i="27" a="1"/>
  <c r="Q76" i="27" s="1"/>
  <c r="BM17" i="26" a="1"/>
  <c r="BM17" i="26" s="1"/>
  <c r="P39" i="27" a="1"/>
  <c r="P39" i="27" s="1"/>
  <c r="BP38" i="25" a="1"/>
  <c r="BP38" i="25" s="1"/>
  <c r="BO28" i="26" a="1"/>
  <c r="BO28" i="26" s="1"/>
  <c r="BM21" i="25" a="1"/>
  <c r="BM21" i="25" s="1"/>
  <c r="BO31" i="26" a="1"/>
  <c r="BO31" i="26" s="1"/>
  <c r="P30" i="27" a="1"/>
  <c r="P30" i="27" s="1"/>
  <c r="O37" i="27" a="1"/>
  <c r="O37" i="27" s="1"/>
  <c r="BO16" i="25" a="1"/>
  <c r="BO16" i="25" s="1"/>
  <c r="BM19" i="25" a="1"/>
  <c r="BM19" i="25" s="1"/>
  <c r="BO20" i="25" a="1"/>
  <c r="BO20" i="25" s="1"/>
  <c r="Q72" i="27" a="1"/>
  <c r="Q72" i="27" s="1"/>
  <c r="Q37" i="27" a="1"/>
  <c r="Q37" i="27" s="1"/>
  <c r="BP18" i="25" a="1"/>
  <c r="BP18" i="25" s="1"/>
  <c r="BM16" i="26" a="1"/>
  <c r="BM16" i="26" s="1"/>
  <c r="O18" i="27" a="1"/>
  <c r="O18" i="27" s="1"/>
  <c r="P84" i="27" a="1"/>
  <c r="P84" i="27" s="1"/>
  <c r="P28" i="27" a="1"/>
  <c r="P28" i="27" s="1"/>
  <c r="BM31" i="25" a="1"/>
  <c r="BM31" i="25" s="1"/>
  <c r="BM23" i="26" a="1"/>
  <c r="BM23" i="26" s="1"/>
  <c r="BP21" i="26" a="1"/>
  <c r="BP21" i="26" s="1"/>
  <c r="BP24" i="25" a="1"/>
  <c r="BP24" i="25" s="1"/>
  <c r="Q73" i="27" a="1"/>
  <c r="Q73" i="27" s="1"/>
  <c r="BM34" i="26" a="1"/>
  <c r="BM34" i="26" s="1"/>
  <c r="Q47" i="27" a="1"/>
  <c r="Q47" i="27" s="1"/>
  <c r="O38" i="27" a="1"/>
  <c r="O38" i="27" s="1"/>
  <c r="BP40" i="25" a="1"/>
  <c r="BP40" i="25" s="1"/>
  <c r="BM17" i="25" a="1"/>
  <c r="BM17" i="25" s="1"/>
  <c r="BM18" i="26" a="1"/>
  <c r="BM18" i="26" s="1"/>
  <c r="P43" i="27" a="1"/>
  <c r="P43" i="27" s="1"/>
  <c r="O23" i="27" a="1"/>
  <c r="O23" i="27" s="1"/>
  <c r="P78" i="27" a="1"/>
  <c r="P78" i="27" s="1"/>
  <c r="BO30" i="25" a="1"/>
  <c r="BO30" i="25" s="1"/>
  <c r="BO40" i="25" a="1"/>
  <c r="BO40" i="25" s="1"/>
  <c r="BP35" i="26" a="1"/>
  <c r="BP35" i="26" s="1"/>
  <c r="BP41" i="25" a="1"/>
  <c r="BP41" i="25" s="1"/>
  <c r="Q61" i="27" a="1"/>
  <c r="Q61" i="27" s="1"/>
  <c r="BM25" i="26" a="1"/>
  <c r="BM25" i="26" s="1"/>
  <c r="Q19" i="27" a="1"/>
  <c r="Q19" i="27" s="1"/>
  <c r="P26" i="27" a="1"/>
  <c r="P26" i="27" s="1"/>
  <c r="BO19" i="25" a="1"/>
  <c r="BO19" i="25" s="1"/>
  <c r="Q68" i="27" a="1"/>
  <c r="Q68" i="27" s="1"/>
  <c r="BO39" i="26" a="1"/>
  <c r="BO39" i="26" s="1"/>
  <c r="Q44" i="27" a="1"/>
  <c r="Q44" i="27" s="1"/>
  <c r="O27" i="27" a="1"/>
  <c r="O27" i="27" s="1"/>
  <c r="O73" i="27" a="1"/>
  <c r="O73" i="27" s="1"/>
  <c r="BP26" i="25" a="1"/>
  <c r="BP26" i="25" s="1"/>
  <c r="Q67" i="27" a="1"/>
  <c r="Q67" i="27" s="1"/>
  <c r="BM38" i="25" a="1"/>
  <c r="BM38" i="25" s="1"/>
  <c r="BO38" i="26" a="1"/>
  <c r="BO38" i="26" s="1"/>
  <c r="O28" i="27" a="1"/>
  <c r="O28" i="27" s="1"/>
  <c r="BO22" i="26" a="1"/>
  <c r="BO22" i="26" s="1"/>
  <c r="P87" i="27" a="1"/>
  <c r="P87" i="27" s="1"/>
  <c r="BM29" i="25" a="1"/>
  <c r="BM29" i="25" s="1"/>
  <c r="P33" i="27" a="1"/>
  <c r="P33" i="27" s="1"/>
  <c r="BO45" i="25" a="1"/>
  <c r="BO45" i="25" s="1"/>
  <c r="O20" i="27" a="1"/>
  <c r="O20" i="27" s="1"/>
  <c r="Q40" i="27" a="1"/>
  <c r="Q40" i="27" s="1"/>
  <c r="P61" i="27" a="1"/>
  <c r="P61" i="27" s="1"/>
  <c r="BP37" i="26" a="1"/>
  <c r="BP37" i="26" s="1"/>
  <c r="BO25" i="26" a="1"/>
  <c r="BO25" i="26" s="1"/>
  <c r="BO16" i="31" a="1"/>
  <c r="BO16" i="31" s="1"/>
  <c r="BM26" i="25" a="1"/>
  <c r="BM26" i="25" s="1"/>
  <c r="BP28" i="25" a="1"/>
  <c r="BP28" i="25" s="1"/>
  <c r="BO30" i="26" a="1"/>
  <c r="BO30" i="26" s="1"/>
  <c r="P88" i="27" a="1"/>
  <c r="P88" i="27" s="1"/>
  <c r="O31" i="27" a="1"/>
  <c r="O31" i="27" s="1"/>
  <c r="BM36" i="25" a="1"/>
  <c r="BM36" i="25" s="1"/>
  <c r="BO21" i="26" a="1"/>
  <c r="BO21" i="26" s="1"/>
  <c r="BO32" i="26" a="1"/>
  <c r="BO32" i="26" s="1"/>
  <c r="BO46" i="26" a="1"/>
  <c r="BO46" i="26" s="1"/>
  <c r="O45" i="27" a="1"/>
  <c r="O45" i="27" s="1"/>
  <c r="BO17" i="25" a="1"/>
  <c r="BO17" i="25" s="1"/>
  <c r="BO44" i="26" a="1"/>
  <c r="BO44" i="26" s="1"/>
  <c r="BO26" i="26" a="1"/>
  <c r="BO26" i="26" s="1"/>
  <c r="O19" i="27" a="1"/>
  <c r="O19" i="27" s="1"/>
  <c r="P24" i="27" a="1"/>
  <c r="P24" i="27" s="1"/>
  <c r="Q83" i="27" a="1"/>
  <c r="Q83" i="27" s="1"/>
  <c r="BO25" i="31" a="1"/>
  <c r="BO25" i="31" s="1"/>
  <c r="BM45" i="31" a="1"/>
  <c r="BM45" i="31" s="1"/>
  <c r="P65" i="27" a="1"/>
  <c r="P65" i="27" s="1"/>
  <c r="BP26" i="26" a="1"/>
  <c r="BP26" i="26" s="1"/>
  <c r="BP42" i="25" a="1"/>
  <c r="BP42" i="25" s="1"/>
  <c r="O32" i="27" a="1"/>
  <c r="O32" i="27" s="1"/>
  <c r="BM30" i="31" a="1"/>
  <c r="BM30" i="31" s="1"/>
  <c r="O69" i="27" a="1"/>
  <c r="O69" i="27" s="1"/>
  <c r="BP27" i="25" a="1"/>
  <c r="BP27" i="25" s="1"/>
  <c r="Q36" i="27" a="1"/>
  <c r="Q36" i="27" s="1"/>
  <c r="O111" i="27" a="1"/>
  <c r="O111" i="27" s="1"/>
  <c r="BM22" i="25" a="1"/>
  <c r="BM22" i="25" s="1"/>
  <c r="O71" i="27" a="1"/>
  <c r="O71" i="27" s="1"/>
  <c r="Q26" i="27" a="1"/>
  <c r="Q26" i="27" s="1"/>
  <c r="BP26" i="31" a="1"/>
  <c r="BP26" i="31" s="1"/>
  <c r="BM39" i="31" a="1"/>
  <c r="BM39" i="31" s="1"/>
  <c r="P80" i="27" a="1"/>
  <c r="P80" i="27" s="1"/>
  <c r="Q38" i="27" a="1"/>
  <c r="Q38" i="27" s="1"/>
  <c r="Q103" i="27" a="1"/>
  <c r="Q103" i="27" s="1"/>
  <c r="O122" i="27" a="1"/>
  <c r="O122" i="27" s="1"/>
  <c r="BO17" i="31" a="1"/>
  <c r="BO17" i="31" s="1"/>
  <c r="Q85" i="27" a="1"/>
  <c r="Q85" i="27" s="1"/>
  <c r="BP27" i="26" a="1"/>
  <c r="BP27" i="26" s="1"/>
  <c r="O60" i="27" a="1"/>
  <c r="O60" i="27" s="1"/>
  <c r="BP33" i="26" a="1"/>
  <c r="BP33" i="26" s="1"/>
  <c r="BP30" i="26" a="1"/>
  <c r="BP30" i="26" s="1"/>
  <c r="P45" i="27" a="1"/>
  <c r="P45" i="27" s="1"/>
  <c r="Q119" i="27" a="1"/>
  <c r="Q119" i="27" s="1"/>
  <c r="O128" i="27" a="1"/>
  <c r="O128" i="27" s="1"/>
  <c r="Q87" i="27" a="1"/>
  <c r="Q87" i="27" s="1"/>
  <c r="BP24" i="31" a="1"/>
  <c r="BP24" i="31" s="1"/>
  <c r="Q126" i="27" a="1"/>
  <c r="Q126" i="27" s="1"/>
  <c r="BP28" i="31" a="1"/>
  <c r="BP28" i="31" s="1"/>
  <c r="O117" i="27" a="1"/>
  <c r="O117" i="27" s="1"/>
  <c r="Q131" i="27" a="1"/>
  <c r="Q131" i="27" s="1"/>
  <c r="BP38" i="26" a="1"/>
  <c r="BP38" i="26" s="1"/>
  <c r="BP25" i="26" a="1"/>
  <c r="BP25" i="26" s="1"/>
  <c r="BP31" i="25" a="1"/>
  <c r="BP31" i="25" s="1"/>
  <c r="P36" i="27" a="1"/>
  <c r="P36" i="27" s="1"/>
  <c r="O83" i="27" a="1"/>
  <c r="O83" i="27" s="1"/>
  <c r="Q118" i="27" a="1"/>
  <c r="Q118" i="27" s="1"/>
  <c r="BO38" i="31" a="1"/>
  <c r="BO38" i="31" s="1"/>
  <c r="O127" i="27" a="1"/>
  <c r="O127" i="27" s="1"/>
  <c r="O17" i="27" a="1"/>
  <c r="O17" i="27" s="1"/>
  <c r="BM42" i="25" a="1"/>
  <c r="BM42" i="25" s="1"/>
  <c r="BM45" i="25" a="1"/>
  <c r="BM45" i="25" s="1"/>
  <c r="BM23" i="25" a="1"/>
  <c r="BM23" i="25" s="1"/>
  <c r="BP46" i="26" a="1"/>
  <c r="BP46" i="26" s="1"/>
  <c r="BO17" i="26" a="1"/>
  <c r="BO17" i="26" s="1"/>
  <c r="Q43" i="27" a="1"/>
  <c r="Q43" i="27" s="1"/>
  <c r="BO32" i="25" a="1"/>
  <c r="BO32" i="25" s="1"/>
  <c r="Q88" i="27" a="1"/>
  <c r="Q88" i="27" s="1"/>
  <c r="BO40" i="26" a="1"/>
  <c r="BO40" i="26" s="1"/>
  <c r="BP22" i="26" a="1"/>
  <c r="BP22" i="26" s="1"/>
  <c r="Q32" i="27" a="1"/>
  <c r="Q32" i="27" s="1"/>
  <c r="P42" i="27" a="1"/>
  <c r="P42" i="27" s="1"/>
  <c r="BM41" i="31" a="1"/>
  <c r="BM41" i="31" s="1"/>
  <c r="O107" i="27" a="1"/>
  <c r="O107" i="27" s="1"/>
  <c r="P124" i="27" a="1"/>
  <c r="P124" i="27" s="1"/>
  <c r="BM20" i="31" a="1"/>
  <c r="BM20" i="31" s="1"/>
  <c r="BP32" i="31" a="1"/>
  <c r="BP32" i="31" s="1"/>
  <c r="P104" i="27" a="1"/>
  <c r="P104" i="27" s="1"/>
  <c r="O70" i="27" a="1"/>
  <c r="O70" i="27" s="1"/>
  <c r="BM30" i="25" a="1"/>
  <c r="BM30" i="25" s="1"/>
  <c r="BP28" i="26" a="1"/>
  <c r="BP28" i="26" s="1"/>
  <c r="O43" i="27" a="1"/>
  <c r="O43" i="27" s="1"/>
  <c r="BP36" i="31" a="1"/>
  <c r="BP36" i="31" s="1"/>
  <c r="O116" i="27" a="1"/>
  <c r="O116" i="27" s="1"/>
  <c r="P111" i="27" a="1"/>
  <c r="P111" i="27" s="1"/>
  <c r="BO32" i="31" a="1"/>
  <c r="BO32" i="31" s="1"/>
  <c r="P70" i="27" a="1"/>
  <c r="P70" i="27" s="1"/>
  <c r="BO35" i="25" a="1"/>
  <c r="BO35" i="25" s="1"/>
  <c r="Q78" i="27" a="1"/>
  <c r="Q78" i="27" s="1"/>
  <c r="BM41" i="25" a="1"/>
  <c r="BM41" i="25" s="1"/>
  <c r="BP43" i="25" a="1"/>
  <c r="BP43" i="25" s="1"/>
  <c r="BM24" i="26" a="1"/>
  <c r="BM24" i="26" s="1"/>
  <c r="P40" i="27" a="1"/>
  <c r="P40" i="27" s="1"/>
  <c r="O88" i="27" a="1"/>
  <c r="O88" i="27" s="1"/>
  <c r="P71" i="27" a="1"/>
  <c r="P71" i="27" s="1"/>
  <c r="BM20" i="25" a="1"/>
  <c r="BM20" i="25" s="1"/>
  <c r="BP39" i="26" a="1"/>
  <c r="BP39" i="26" s="1"/>
  <c r="O36" i="27" a="1"/>
  <c r="O36" i="27" s="1"/>
  <c r="P63" i="27" a="1"/>
  <c r="P63" i="27" s="1"/>
  <c r="Q25" i="27" a="1"/>
  <c r="Q25" i="27" s="1"/>
  <c r="BO33" i="25" a="1"/>
  <c r="BO33" i="25" s="1"/>
  <c r="BP44" i="25" a="1"/>
  <c r="BP44" i="25" s="1"/>
  <c r="BP32" i="26" a="1"/>
  <c r="BP32" i="26" s="1"/>
  <c r="BP34" i="26" a="1"/>
  <c r="BP34" i="26" s="1"/>
  <c r="P23" i="27" a="1"/>
  <c r="P23" i="27" s="1"/>
  <c r="O29" i="27" a="1"/>
  <c r="O29" i="27" s="1"/>
  <c r="BM25" i="25" a="1"/>
  <c r="BM25" i="25" s="1"/>
  <c r="BM35" i="25" a="1"/>
  <c r="BM35" i="25" s="1"/>
  <c r="BP16" i="26" a="1"/>
  <c r="BP16" i="26" s="1"/>
  <c r="BQ16" i="26" s="1"/>
  <c r="P74" i="27" a="1"/>
  <c r="P74" i="27" s="1"/>
  <c r="O68" i="27" a="1"/>
  <c r="O68" i="27" s="1"/>
  <c r="Q28" i="27" a="1"/>
  <c r="Q28" i="27" s="1"/>
  <c r="BP38" i="31" a="1"/>
  <c r="BP38" i="31" s="1"/>
  <c r="BQ38" i="31" s="1"/>
  <c r="BM42" i="31" a="1"/>
  <c r="BM42" i="31" s="1"/>
  <c r="P121" i="27" a="1"/>
  <c r="P121" i="27" s="1"/>
  <c r="Q112" i="27" a="1"/>
  <c r="Q112" i="27" s="1"/>
  <c r="BO29" i="31" a="1"/>
  <c r="BO29" i="31" s="1"/>
  <c r="P107" i="27" a="1"/>
  <c r="P107" i="27" s="1"/>
  <c r="Q20" i="27" a="1"/>
  <c r="Q20" i="27" s="1"/>
  <c r="O61" i="27" a="1"/>
  <c r="O61" i="27" s="1"/>
  <c r="BP20" i="26" a="1"/>
  <c r="BP20" i="26" s="1"/>
  <c r="BW20" i="26" s="1"/>
  <c r="CB20" i="26" s="1"/>
  <c r="O47" i="27" a="1"/>
  <c r="O47" i="27" s="1"/>
  <c r="BM24" i="31" a="1"/>
  <c r="BM24" i="31" s="1"/>
  <c r="BK24" i="31" s="1"/>
  <c r="O112" i="27" a="1"/>
  <c r="O112" i="27" s="1"/>
  <c r="BM44" i="31" a="1"/>
  <c r="BM44" i="31" s="1"/>
  <c r="BO16" i="26" a="1"/>
  <c r="BO16" i="26" s="1"/>
  <c r="BP30" i="25" a="1"/>
  <c r="BP30" i="25" s="1"/>
  <c r="BP44" i="26" a="1"/>
  <c r="BP44" i="26" s="1"/>
  <c r="Q33" i="27" a="1"/>
  <c r="Q33" i="27" s="1"/>
  <c r="BM40" i="26" a="1"/>
  <c r="BM40" i="26" s="1"/>
  <c r="P25" i="27" a="1"/>
  <c r="P25" i="27" s="1"/>
  <c r="O42" i="27" a="1"/>
  <c r="O42" i="27" s="1"/>
  <c r="P68" i="27" a="1"/>
  <c r="P68" i="27" s="1"/>
  <c r="BP41" i="31" a="1"/>
  <c r="BP41" i="31" s="1"/>
  <c r="BP23" i="31" a="1"/>
  <c r="BP23" i="31" s="1"/>
  <c r="BX23" i="31" s="1"/>
  <c r="O113" i="27" a="1"/>
  <c r="O113" i="27" s="1"/>
  <c r="BP27" i="31" a="1"/>
  <c r="BP27" i="31" s="1"/>
  <c r="BO43" i="31" a="1"/>
  <c r="BO43" i="31" s="1"/>
  <c r="P123" i="27" a="1"/>
  <c r="P123" i="27" s="1"/>
  <c r="BM16" i="31" a="1"/>
  <c r="BM16" i="31" s="1"/>
  <c r="BM31" i="31" a="1"/>
  <c r="BM31" i="31" s="1"/>
  <c r="O119" i="27" a="1"/>
  <c r="O119" i="27" s="1"/>
  <c r="BP35" i="31" a="1"/>
  <c r="BP35" i="31" s="1"/>
  <c r="BQ35" i="31" s="1"/>
  <c r="Q106" i="27" a="1"/>
  <c r="Q106" i="27" s="1"/>
  <c r="P113" i="27" a="1"/>
  <c r="P113" i="27" s="1"/>
  <c r="BP42" i="26" a="1"/>
  <c r="BP42" i="26" s="1"/>
  <c r="BQ42" i="26" s="1"/>
  <c r="P19" i="27" a="1"/>
  <c r="P19" i="27" s="1"/>
  <c r="P85" i="27" a="1"/>
  <c r="P85" i="27" s="1"/>
  <c r="BO21" i="25" a="1"/>
  <c r="BO21" i="25" s="1"/>
  <c r="BM39" i="25" a="1"/>
  <c r="BM39" i="25" s="1"/>
  <c r="BP24" i="26" a="1"/>
  <c r="BP24" i="26" s="1"/>
  <c r="BX24" i="26" s="1"/>
  <c r="P81" i="27" a="1"/>
  <c r="P81" i="27" s="1"/>
  <c r="Q23" i="27" a="1"/>
  <c r="Q23" i="27" s="1"/>
  <c r="O34" i="27" a="1"/>
  <c r="O34" i="27" s="1"/>
  <c r="BP16" i="31" a="1"/>
  <c r="BP16" i="31" s="1"/>
  <c r="BO26" i="31" a="1"/>
  <c r="BO26" i="31" s="1"/>
  <c r="O114" i="27" a="1"/>
  <c r="O114" i="27" s="1"/>
  <c r="BM36" i="31" a="1"/>
  <c r="BM36" i="31" s="1"/>
  <c r="Q122" i="27" a="1"/>
  <c r="Q122" i="27" s="1"/>
  <c r="P105" i="27" a="1"/>
  <c r="P105" i="27" s="1"/>
  <c r="BO28" i="31" a="1"/>
  <c r="BO28" i="31" s="1"/>
  <c r="Q109" i="27" a="1"/>
  <c r="Q109" i="27" s="1"/>
  <c r="O124" i="27" a="1"/>
  <c r="O124" i="27" s="1"/>
  <c r="BP46" i="31" a="1"/>
  <c r="BP46" i="31" s="1"/>
  <c r="Q133" i="27" a="1"/>
  <c r="Q133" i="27" s="1"/>
  <c r="O115" i="27" a="1"/>
  <c r="O115" i="27" s="1"/>
  <c r="BP40" i="26" a="1"/>
  <c r="BP40" i="26" s="1"/>
  <c r="P75" i="27" a="1"/>
  <c r="P75" i="27" s="1"/>
  <c r="BP36" i="25" a="1"/>
  <c r="BP36" i="25" s="1"/>
  <c r="BQ36" i="25" s="1"/>
  <c r="O77" i="27" a="1"/>
  <c r="O77" i="27" s="1"/>
  <c r="BO46" i="31" a="1"/>
  <c r="BO46" i="31" s="1"/>
  <c r="Q115" i="27" a="1"/>
  <c r="Q115" i="27" s="1"/>
  <c r="P132" i="27" a="1"/>
  <c r="P132" i="27" s="1"/>
  <c r="BP29" i="31" a="1"/>
  <c r="BP29" i="31" s="1"/>
  <c r="BQ29" i="31" s="1"/>
  <c r="Q105" i="27" a="1"/>
  <c r="Q105" i="27" s="1"/>
  <c r="BM43" i="31" a="1"/>
  <c r="BM43" i="31" s="1"/>
  <c r="BP18" i="31" a="1"/>
  <c r="BP18" i="31" s="1"/>
  <c r="BQ18" i="31" s="1"/>
  <c r="O132" i="27" a="1"/>
  <c r="O132" i="27" s="1"/>
  <c r="Q70" i="27" a="1"/>
  <c r="Q70" i="27" s="1"/>
  <c r="BP36" i="26" a="1"/>
  <c r="BP36" i="26" s="1"/>
  <c r="BQ36" i="26" s="1"/>
  <c r="P29" i="27" a="1"/>
  <c r="P29" i="27" s="1"/>
  <c r="Q80" i="27" a="1"/>
  <c r="Q80" i="27" s="1"/>
  <c r="Q128" i="27" a="1"/>
  <c r="Q128" i="27" s="1"/>
  <c r="O109" i="27" a="1"/>
  <c r="O109" i="27" s="1"/>
  <c r="BP19" i="31" a="1"/>
  <c r="BP19" i="31" s="1"/>
  <c r="BX19" i="31" s="1"/>
  <c r="Q123" i="27" a="1"/>
  <c r="Q123" i="27" s="1"/>
  <c r="P120" i="27" a="1"/>
  <c r="P120" i="27" s="1"/>
  <c r="BO39" i="31" a="1"/>
  <c r="BO39" i="31" s="1"/>
  <c r="Q108" i="27" a="1"/>
  <c r="Q108" i="27" s="1"/>
  <c r="O104" i="27" a="1"/>
  <c r="O104" i="27" s="1"/>
  <c r="BM28" i="31" a="1"/>
  <c r="BM28" i="31" s="1"/>
  <c r="P106" i="27" a="1"/>
  <c r="P106" i="27" s="1"/>
  <c r="BO23" i="26" a="1"/>
  <c r="BO23" i="26" s="1"/>
  <c r="Q45" i="27" a="1"/>
  <c r="Q45" i="27" s="1"/>
  <c r="O44" i="27" a="1"/>
  <c r="O44" i="27" s="1"/>
  <c r="Q71" i="27" a="1"/>
  <c r="Q71" i="27" s="1"/>
  <c r="BO36" i="26" a="1"/>
  <c r="BO36" i="26" s="1"/>
  <c r="BM38" i="26" a="1"/>
  <c r="BM38" i="26" s="1"/>
  <c r="BM44" i="26" a="1"/>
  <c r="BM44" i="26" s="1"/>
  <c r="Q22" i="27" a="1"/>
  <c r="Q22" i="27" s="1"/>
  <c r="Q31" i="27" a="1"/>
  <c r="Q31" i="27" s="1"/>
  <c r="O74" i="27" a="1"/>
  <c r="O74" i="27" s="1"/>
  <c r="BO34" i="31" a="1"/>
  <c r="BO34" i="31" s="1"/>
  <c r="Q132" i="27" a="1"/>
  <c r="Q132" i="27" s="1"/>
  <c r="BM46" i="31" a="1"/>
  <c r="BM46" i="31" s="1"/>
  <c r="BP21" i="31" a="1"/>
  <c r="BP21" i="31" s="1"/>
  <c r="BW21" i="31" s="1"/>
  <c r="CB21" i="31" s="1"/>
  <c r="P118" i="27" a="1"/>
  <c r="P118" i="27" s="1"/>
  <c r="BM32" i="31" a="1"/>
  <c r="BM32" i="31" s="1"/>
  <c r="BO18" i="31" a="1"/>
  <c r="BO18" i="31" s="1"/>
  <c r="O129" i="27" a="1"/>
  <c r="O129" i="27" s="1"/>
  <c r="BM21" i="31" a="1"/>
  <c r="BM21" i="31" s="1"/>
  <c r="BO36" i="31" a="1"/>
  <c r="BO36" i="31" s="1"/>
  <c r="O126" i="27" a="1"/>
  <c r="O126" i="27" s="1"/>
  <c r="BP23" i="26" a="1"/>
  <c r="BP23" i="26" s="1"/>
  <c r="BK23" i="26" s="1"/>
  <c r="O26" i="27" a="1"/>
  <c r="O26" i="27" s="1"/>
  <c r="P27" i="27" a="1"/>
  <c r="P27" i="27" s="1"/>
  <c r="BP31" i="31" a="1"/>
  <c r="BP31" i="31" s="1"/>
  <c r="BK31" i="31" s="1"/>
  <c r="BM22" i="31" a="1"/>
  <c r="BM22" i="31" s="1"/>
  <c r="BM29" i="26" a="1"/>
  <c r="BM29" i="26" s="1"/>
  <c r="BK29" i="26" s="1"/>
  <c r="Q66" i="27" a="1"/>
  <c r="Q66" i="27" s="1"/>
  <c r="BP19" i="26" a="1"/>
  <c r="BP19" i="26" s="1"/>
  <c r="BX19" i="26" s="1"/>
  <c r="P67" i="27" a="1"/>
  <c r="P67" i="27" s="1"/>
  <c r="O40" i="27" a="1"/>
  <c r="O40" i="27" s="1"/>
  <c r="BP40" i="31" a="1"/>
  <c r="BP40" i="31" s="1"/>
  <c r="BQ40" i="31" s="1"/>
  <c r="BP39" i="25" a="1"/>
  <c r="BP39" i="25" s="1"/>
  <c r="BK39" i="25" s="1"/>
  <c r="BP17" i="25" a="1"/>
  <c r="BP17" i="25" s="1"/>
  <c r="BX17" i="25" s="1"/>
  <c r="BM46" i="26" a="1"/>
  <c r="BM46" i="26" s="1"/>
  <c r="BK46" i="26" s="1"/>
  <c r="P37" i="27" a="1"/>
  <c r="P37" i="27" s="1"/>
  <c r="O81" i="27" a="1"/>
  <c r="O81" i="27" s="1"/>
  <c r="O72" i="27" a="1"/>
  <c r="O72" i="27" s="1"/>
  <c r="BM28" i="25" a="1"/>
  <c r="BM28" i="25" s="1"/>
  <c r="BK28" i="25" s="1"/>
  <c r="BO39" i="25" a="1"/>
  <c r="BO39" i="25" s="1"/>
  <c r="Q81" i="27" a="1"/>
  <c r="Q81" i="27" s="1"/>
  <c r="BM42" i="26" a="1"/>
  <c r="BM42" i="26" s="1"/>
  <c r="BK42" i="26" s="1"/>
  <c r="P46" i="27" a="1"/>
  <c r="P46" i="27" s="1"/>
  <c r="P125" i="27" a="1"/>
  <c r="P125" i="27" s="1"/>
  <c r="BP42" i="31" a="1"/>
  <c r="BP42" i="31" s="1"/>
  <c r="BQ42" i="31" s="1"/>
  <c r="Q124" i="27" a="1"/>
  <c r="Q124" i="27" s="1"/>
  <c r="O103" i="27" a="1"/>
  <c r="O103" i="27" s="1"/>
  <c r="O35" i="27" a="1"/>
  <c r="O35" i="27" s="1"/>
  <c r="BM25" i="31" a="1"/>
  <c r="BM25" i="31" s="1"/>
  <c r="P116" i="27" a="1"/>
  <c r="P116" i="27" s="1"/>
  <c r="BM27" i="31" a="1"/>
  <c r="BM27" i="31" s="1"/>
  <c r="P47" i="27" a="1"/>
  <c r="P47" i="27" s="1"/>
  <c r="BP43" i="31" a="1"/>
  <c r="BP43" i="31" s="1"/>
  <c r="BP17" i="31" a="1"/>
  <c r="BP17" i="31" s="1"/>
  <c r="BX17" i="31" s="1"/>
  <c r="BM29" i="31" a="1"/>
  <c r="BM29" i="31" s="1"/>
  <c r="O133" i="27" a="1"/>
  <c r="O133" i="27" s="1"/>
  <c r="Q110" i="27" a="1"/>
  <c r="Q110" i="27" s="1"/>
  <c r="BM18" i="25" a="1"/>
  <c r="BM18" i="25" s="1"/>
  <c r="BK18" i="25" s="1"/>
  <c r="BO21" i="31" a="1"/>
  <c r="BO21" i="31" s="1"/>
  <c r="Q125" i="27" a="1"/>
  <c r="Q125" i="27" s="1"/>
  <c r="O130" i="27" a="1"/>
  <c r="O130" i="27" s="1"/>
  <c r="BM34" i="31" a="1"/>
  <c r="BM34" i="31" s="1"/>
  <c r="P117" i="27" a="1"/>
  <c r="P117" i="27" s="1"/>
  <c r="BM26" i="31" a="1"/>
  <c r="BM26" i="31" s="1"/>
  <c r="BK26" i="31" s="1"/>
  <c r="Q121" i="27" a="1"/>
  <c r="Q121" i="27" s="1"/>
  <c r="O121" i="27" a="1"/>
  <c r="O121" i="27" s="1"/>
  <c r="O78" i="27" a="1"/>
  <c r="O78" i="27" s="1"/>
  <c r="P114" i="27" a="1"/>
  <c r="P114" i="27" s="1"/>
  <c r="P108" i="27" a="1"/>
  <c r="P108" i="27" s="1"/>
  <c r="Q77" i="27" a="1"/>
  <c r="Q77" i="27" s="1"/>
  <c r="Q129" i="27" a="1"/>
  <c r="Q129" i="27" s="1"/>
  <c r="P44" i="27" a="1"/>
  <c r="P44" i="27" s="1"/>
  <c r="P73" i="27" a="1"/>
  <c r="P73" i="27" s="1"/>
  <c r="BO46" i="25" a="1"/>
  <c r="BO46" i="25" s="1"/>
  <c r="BO37" i="31" a="1"/>
  <c r="BO37" i="31" s="1"/>
  <c r="BM17" i="31" a="1"/>
  <c r="BM17" i="31" s="1"/>
  <c r="O118" i="27" a="1"/>
  <c r="O118" i="27" s="1"/>
  <c r="P62" i="27" a="1"/>
  <c r="P62" i="27" s="1"/>
  <c r="Q46" i="27" a="1"/>
  <c r="Q46" i="27" s="1"/>
  <c r="Q65" i="27" a="1"/>
  <c r="Q65" i="27" s="1"/>
  <c r="BO24" i="26" a="1"/>
  <c r="BO24" i="26" s="1"/>
  <c r="BM33" i="26" a="1"/>
  <c r="BM33" i="26" s="1"/>
  <c r="BK33" i="26" s="1"/>
  <c r="O120" i="27" a="1"/>
  <c r="O120" i="27" s="1"/>
  <c r="BM19" i="31" a="1"/>
  <c r="BM19" i="31" s="1"/>
  <c r="O24" i="27" a="1"/>
  <c r="O24" i="27" s="1"/>
  <c r="P86" i="27" a="1"/>
  <c r="P86" i="27" s="1"/>
  <c r="Q42" i="27" a="1"/>
  <c r="Q42" i="27" s="1"/>
  <c r="Q39" i="27" a="1"/>
  <c r="Q39" i="27" s="1"/>
  <c r="BP33" i="31" a="1"/>
  <c r="BP33" i="31" s="1"/>
  <c r="BQ33" i="31" s="1"/>
  <c r="P119" i="27" a="1"/>
  <c r="P119" i="27" s="1"/>
  <c r="BP39" i="31" a="1"/>
  <c r="BP39" i="31" s="1"/>
  <c r="BK39" i="31" s="1"/>
  <c r="BM18" i="31" a="1"/>
  <c r="BM18" i="31" s="1"/>
  <c r="O105" i="27" a="1"/>
  <c r="O105" i="27" s="1"/>
  <c r="BM33" i="31" a="1"/>
  <c r="BM33" i="31" s="1"/>
  <c r="BO41" i="31" a="1"/>
  <c r="BO41" i="31" s="1"/>
  <c r="P112" i="27" a="1"/>
  <c r="P112" i="27" s="1"/>
  <c r="BM23" i="31" a="1"/>
  <c r="BM23" i="31" s="1"/>
  <c r="BM37" i="31" a="1"/>
  <c r="BM37" i="31" s="1"/>
  <c r="O125" i="27" a="1"/>
  <c r="O125" i="27" s="1"/>
  <c r="Q17" i="27" a="1"/>
  <c r="Q17" i="27" s="1"/>
  <c r="P20" i="27" a="1"/>
  <c r="P20" i="27" s="1"/>
  <c r="BP25" i="25" a="1"/>
  <c r="BP25" i="25" s="1"/>
  <c r="BX25" i="25" s="1"/>
  <c r="BO43" i="25" a="1"/>
  <c r="BO43" i="25" s="1"/>
  <c r="P69" i="27" a="1"/>
  <c r="P69" i="27" s="1"/>
  <c r="BM40" i="31" a="1"/>
  <c r="BM40" i="31" s="1"/>
  <c r="Q114" i="27" a="1"/>
  <c r="Q114" i="27" s="1"/>
  <c r="P110" i="27" a="1"/>
  <c r="P110" i="27" s="1"/>
  <c r="BO30" i="31" a="1"/>
  <c r="BO30" i="31" s="1"/>
  <c r="Q104" i="27" a="1"/>
  <c r="Q104" i="27" s="1"/>
  <c r="O123" i="27" a="1"/>
  <c r="O123" i="27" s="1"/>
  <c r="P21" i="27" a="1"/>
  <c r="P21" i="27" s="1"/>
  <c r="BM43" i="26" a="1"/>
  <c r="BM43" i="26" s="1"/>
  <c r="BK43" i="26" s="1"/>
  <c r="BO18" i="25" a="1"/>
  <c r="BO18" i="25" s="1"/>
  <c r="BP34" i="25" a="1"/>
  <c r="BP34" i="25" s="1"/>
  <c r="BK34" i="25" s="1"/>
  <c r="BM37" i="26" a="1"/>
  <c r="BM37" i="26" s="1"/>
  <c r="BK37" i="26" s="1"/>
  <c r="O22" i="27" a="1"/>
  <c r="O22" i="27" s="1"/>
  <c r="O67" i="27" a="1"/>
  <c r="O67" i="27" s="1"/>
  <c r="Q18" i="27" a="1"/>
  <c r="Q18" i="27" s="1"/>
  <c r="Q120" i="27" a="1"/>
  <c r="Q120" i="27" s="1"/>
  <c r="BO22" i="31" a="1"/>
  <c r="BO22" i="31" s="1"/>
  <c r="BP18" i="26" a="1"/>
  <c r="BP18" i="26" s="1"/>
  <c r="BK18" i="26" s="1"/>
  <c r="O25" i="27" a="1"/>
  <c r="O25" i="27" s="1"/>
  <c r="O85" i="27" a="1"/>
  <c r="O85" i="27" s="1"/>
  <c r="P82" i="27" a="1"/>
  <c r="P82" i="27" s="1"/>
  <c r="P89" i="27" a="1"/>
  <c r="P89" i="27" s="1"/>
  <c r="BM41" i="26" a="1"/>
  <c r="BM41" i="26" s="1"/>
  <c r="BK41" i="26" s="1"/>
  <c r="O86" i="27" a="1"/>
  <c r="O86" i="27" s="1"/>
  <c r="P32" i="27" a="1"/>
  <c r="P32" i="27" s="1"/>
  <c r="Q27" i="27" a="1"/>
  <c r="Q27" i="27" s="1"/>
  <c r="BP44" i="31" a="1"/>
  <c r="BP44" i="31" s="1"/>
  <c r="BQ44" i="31" s="1"/>
  <c r="BM35" i="31" a="1"/>
  <c r="BM35" i="31" s="1"/>
  <c r="BK35" i="31" s="1"/>
  <c r="BO24" i="31" a="1"/>
  <c r="BO24" i="31" s="1"/>
  <c r="P122" i="27" a="1"/>
  <c r="P122" i="27" s="1"/>
  <c r="P126" i="27" a="1"/>
  <c r="P126" i="27" s="1"/>
  <c r="BP20" i="31" a="1"/>
  <c r="BP20" i="31" s="1"/>
  <c r="BQ20" i="31" s="1"/>
  <c r="BP34" i="31" a="1"/>
  <c r="BP34" i="31" s="1"/>
  <c r="BQ34" i="31" s="1"/>
  <c r="P131" i="27" a="1"/>
  <c r="P131" i="27" s="1"/>
  <c r="BP37" i="31" a="1"/>
  <c r="BP37" i="31" s="1"/>
  <c r="BK37" i="31" s="1"/>
  <c r="Q116" i="27" a="1"/>
  <c r="Q116" i="27" s="1"/>
  <c r="BP45" i="31" a="1"/>
  <c r="BP45" i="31" s="1"/>
  <c r="BK45" i="31" s="1"/>
  <c r="P133" i="27" a="1"/>
  <c r="P133" i="27" s="1"/>
  <c r="BP25" i="31" a="1"/>
  <c r="BP25" i="31" s="1"/>
  <c r="BQ25" i="31" s="1"/>
  <c r="BM38" i="31" a="1"/>
  <c r="BM38" i="31" s="1"/>
  <c r="P129" i="27" a="1"/>
  <c r="P129" i="27" s="1"/>
  <c r="BO23" i="31" a="1"/>
  <c r="BO23" i="31" s="1"/>
  <c r="Q113" i="27" a="1"/>
  <c r="Q113" i="27" s="1"/>
  <c r="BO19" i="31" a="1"/>
  <c r="BO19" i="31" s="1"/>
  <c r="Q127" i="27" a="1"/>
  <c r="Q127" i="27" s="1"/>
  <c r="P127" i="27" a="1"/>
  <c r="P127" i="27" s="1"/>
  <c r="BO35" i="31" a="1"/>
  <c r="BO35" i="31" s="1"/>
  <c r="O108" i="27" a="1"/>
  <c r="O108" i="27" s="1"/>
  <c r="BM39" i="26" a="1"/>
  <c r="BM39" i="26" s="1"/>
  <c r="O110" i="27" a="1"/>
  <c r="O110" i="27" s="1"/>
  <c r="BO33" i="31" a="1"/>
  <c r="BO33" i="31" s="1"/>
  <c r="BO40" i="31" a="1"/>
  <c r="BO40" i="31" s="1"/>
  <c r="P115" i="27" a="1"/>
  <c r="P115" i="27" s="1"/>
  <c r="BO42" i="31" a="1"/>
  <c r="BO42" i="31" s="1"/>
  <c r="BP22" i="31" a="1"/>
  <c r="BP22" i="31" s="1"/>
  <c r="BK22" i="31" s="1"/>
  <c r="P130" i="27" a="1"/>
  <c r="P130" i="27" s="1"/>
  <c r="O131" i="27" a="1"/>
  <c r="O131" i="27" s="1"/>
  <c r="BO45" i="31" a="1"/>
  <c r="BO45" i="31" s="1"/>
  <c r="BO27" i="31" a="1"/>
  <c r="BO27" i="31" s="1"/>
  <c r="O106" i="27" a="1"/>
  <c r="O106" i="27" s="1"/>
  <c r="BO31" i="31" a="1"/>
  <c r="BO31" i="31" s="1"/>
  <c r="Q111" i="27" a="1"/>
  <c r="Q111" i="27" s="1"/>
  <c r="P109" i="27" a="1"/>
  <c r="P109" i="27" s="1"/>
  <c r="BO20" i="31" a="1"/>
  <c r="BO20" i="31" s="1"/>
  <c r="Q117" i="27" a="1"/>
  <c r="Q117" i="27" s="1"/>
  <c r="P128" i="27" a="1"/>
  <c r="P128" i="27" s="1"/>
  <c r="BO44" i="31" a="1"/>
  <c r="BO44" i="31" s="1"/>
  <c r="Q107" i="27" a="1"/>
  <c r="Q107" i="27" s="1"/>
  <c r="P103" i="27" a="1"/>
  <c r="P103" i="27" s="1"/>
  <c r="BP30" i="31" a="1"/>
  <c r="BP30" i="31" s="1"/>
  <c r="BQ30" i="31" s="1"/>
  <c r="Q130" i="27" a="1"/>
  <c r="Q130" i="27" s="1"/>
  <c r="BQ29" i="25"/>
  <c r="BQ35" i="25"/>
  <c r="BK40" i="25"/>
  <c r="BK45" i="26"/>
  <c r="BW21" i="25"/>
  <c r="CB21" i="25" s="1"/>
  <c r="BX21" i="25"/>
  <c r="BQ21" i="25"/>
  <c r="BX22" i="25"/>
  <c r="BW22" i="25"/>
  <c r="CB22" i="25" s="1"/>
  <c r="BQ22" i="25"/>
  <c r="BK17" i="26"/>
  <c r="BQ38" i="25"/>
  <c r="BK21" i="25"/>
  <c r="BQ26" i="25"/>
  <c r="BK38" i="25"/>
  <c r="BK36" i="25"/>
  <c r="BQ27" i="26"/>
  <c r="BQ33" i="26"/>
  <c r="BQ27" i="25"/>
  <c r="BQ41" i="31"/>
  <c r="BW23" i="31"/>
  <c r="CB23" i="31" s="1"/>
  <c r="BQ23" i="31"/>
  <c r="BQ27" i="31"/>
  <c r="BU16" i="31"/>
  <c r="BV16" i="31"/>
  <c r="BW24" i="26"/>
  <c r="CB24" i="26" s="1"/>
  <c r="BX16" i="31"/>
  <c r="BQ46" i="31"/>
  <c r="BQ40" i="26"/>
  <c r="BX19" i="25"/>
  <c r="BW19" i="25"/>
  <c r="CB19" i="25" s="1"/>
  <c r="BQ19" i="25"/>
  <c r="BQ43" i="26"/>
  <c r="BX23" i="25"/>
  <c r="BW23" i="25"/>
  <c r="CB23" i="25" s="1"/>
  <c r="BQ23" i="25"/>
  <c r="BK46" i="25"/>
  <c r="BX16" i="25"/>
  <c r="BW16" i="25"/>
  <c r="CB16" i="25" s="1"/>
  <c r="BQ16" i="25"/>
  <c r="BK36" i="26"/>
  <c r="BQ41" i="26"/>
  <c r="BQ46" i="25"/>
  <c r="BQ37" i="25"/>
  <c r="BK37" i="25"/>
  <c r="BK26" i="25"/>
  <c r="BK29" i="25"/>
  <c r="BQ37" i="26"/>
  <c r="BX18" i="25"/>
  <c r="BW18" i="25"/>
  <c r="CB18" i="25" s="1"/>
  <c r="BQ18" i="25"/>
  <c r="BQ42" i="25"/>
  <c r="BK22" i="25"/>
  <c r="BQ30" i="26"/>
  <c r="BQ28" i="31"/>
  <c r="BQ38" i="26"/>
  <c r="BW25" i="26"/>
  <c r="CB25" i="26" s="1"/>
  <c r="BX25" i="26"/>
  <c r="BQ25" i="26"/>
  <c r="BQ31" i="25"/>
  <c r="BX20" i="26"/>
  <c r="BQ20" i="26"/>
  <c r="BX18" i="31"/>
  <c r="BW18" i="31"/>
  <c r="CB18" i="31" s="1"/>
  <c r="BK28" i="26"/>
  <c r="BK27" i="25"/>
  <c r="BK35" i="26"/>
  <c r="BK44" i="25"/>
  <c r="BK26" i="26"/>
  <c r="BQ32" i="25"/>
  <c r="BQ45" i="26"/>
  <c r="BK32" i="26"/>
  <c r="BK43" i="25"/>
  <c r="BK24" i="25"/>
  <c r="BU16" i="26"/>
  <c r="BK16" i="26"/>
  <c r="BV16" i="26"/>
  <c r="BK31" i="25"/>
  <c r="BX21" i="26"/>
  <c r="BW21" i="26"/>
  <c r="CB21" i="26" s="1"/>
  <c r="BQ21" i="26"/>
  <c r="BW24" i="25"/>
  <c r="CB24" i="25" s="1"/>
  <c r="BX24" i="25"/>
  <c r="BQ24" i="25"/>
  <c r="BK34" i="26"/>
  <c r="BQ40" i="25"/>
  <c r="BQ35" i="26"/>
  <c r="BQ41" i="25"/>
  <c r="BK25" i="26"/>
  <c r="BK19" i="25"/>
  <c r="BQ31" i="26"/>
  <c r="BQ28" i="25"/>
  <c r="BK42" i="25"/>
  <c r="BK45" i="25"/>
  <c r="BK23" i="25"/>
  <c r="BQ46" i="26"/>
  <c r="BQ26" i="26"/>
  <c r="BQ19" i="31"/>
  <c r="BK22" i="26"/>
  <c r="BQ45" i="25"/>
  <c r="BW20" i="25"/>
  <c r="CB20" i="25" s="1"/>
  <c r="BX20" i="25"/>
  <c r="BQ20" i="25"/>
  <c r="BK16" i="25"/>
  <c r="BQ33" i="25"/>
  <c r="BK30" i="26"/>
  <c r="BK32" i="25"/>
  <c r="BK27" i="26"/>
  <c r="BK33" i="25"/>
  <c r="BK31" i="26"/>
  <c r="BK21" i="26"/>
  <c r="BX17" i="26"/>
  <c r="BW17" i="26"/>
  <c r="CB17" i="26" s="1"/>
  <c r="BQ17" i="26"/>
  <c r="BQ29" i="26"/>
  <c r="BK41" i="25"/>
  <c r="BQ43" i="25"/>
  <c r="BK24" i="26"/>
  <c r="BK20" i="25"/>
  <c r="BQ39" i="26"/>
  <c r="BQ44" i="25"/>
  <c r="BQ32" i="26"/>
  <c r="BQ34" i="26"/>
  <c r="BK35" i="25"/>
  <c r="BW16" i="26"/>
  <c r="CB16" i="26" s="1"/>
  <c r="BX16" i="26"/>
  <c r="BX22" i="26"/>
  <c r="BW22" i="26"/>
  <c r="CB22" i="26" s="1"/>
  <c r="BQ22" i="26"/>
  <c r="BQ32" i="31"/>
  <c r="BQ28" i="26"/>
  <c r="BQ36" i="31"/>
  <c r="BX24" i="31"/>
  <c r="BW24" i="31"/>
  <c r="CB24" i="31" s="1"/>
  <c r="BQ24" i="31"/>
  <c r="BQ26" i="31"/>
  <c r="BQ44" i="26"/>
  <c r="BQ39" i="25" l="1"/>
  <c r="BK32" i="31"/>
  <c r="BL32" i="31" s="1"/>
  <c r="BN32" i="31" s="1"/>
  <c r="BK23" i="31"/>
  <c r="BR23" i="31" s="1"/>
  <c r="BK42" i="31"/>
  <c r="BS42" i="31" s="1"/>
  <c r="BK46" i="31"/>
  <c r="BL46" i="31" s="1"/>
  <c r="BN46" i="31" s="1"/>
  <c r="BK16" i="31"/>
  <c r="BT16" i="31" s="1"/>
  <c r="BK30" i="25"/>
  <c r="BR30" i="25" s="1"/>
  <c r="BK38" i="26"/>
  <c r="BR38" i="26" s="1"/>
  <c r="BQ24" i="26"/>
  <c r="BK36" i="31"/>
  <c r="BR36" i="31" s="1"/>
  <c r="BQ16" i="31"/>
  <c r="BQ30" i="25"/>
  <c r="BW16" i="31"/>
  <c r="CB16" i="31" s="1"/>
  <c r="W103" i="27" s="1"/>
  <c r="BK41" i="31"/>
  <c r="BR41" i="31" s="1"/>
  <c r="BQ31" i="31"/>
  <c r="BK19" i="31"/>
  <c r="BL19" i="31" s="1"/>
  <c r="BN19" i="31" s="1"/>
  <c r="BX23" i="26"/>
  <c r="BW17" i="25"/>
  <c r="CB17" i="25" s="1"/>
  <c r="CC17" i="25" s="1"/>
  <c r="CD17" i="25" s="1"/>
  <c r="X18" i="27" s="1"/>
  <c r="BK43" i="31"/>
  <c r="BR43" i="31" s="1"/>
  <c r="BQ43" i="31"/>
  <c r="BQ17" i="31"/>
  <c r="BQ21" i="31"/>
  <c r="BW19" i="31"/>
  <c r="CB19" i="31" s="1"/>
  <c r="W106" i="27" s="1"/>
  <c r="BK20" i="26"/>
  <c r="BR20" i="26" s="1"/>
  <c r="BW17" i="31"/>
  <c r="CB17" i="31" s="1"/>
  <c r="CC17" i="31" s="1"/>
  <c r="CD17" i="31" s="1"/>
  <c r="X104" i="27" s="1"/>
  <c r="BQ19" i="26"/>
  <c r="BK39" i="26"/>
  <c r="BR39" i="26" s="1"/>
  <c r="BX21" i="31"/>
  <c r="BW19" i="26"/>
  <c r="CB19" i="26" s="1"/>
  <c r="W63" i="27" s="1"/>
  <c r="BK38" i="31"/>
  <c r="BL38" i="31" s="1"/>
  <c r="BN38" i="31" s="1"/>
  <c r="BK28" i="31"/>
  <c r="BL28" i="31" s="1"/>
  <c r="BN28" i="31" s="1"/>
  <c r="BK19" i="26"/>
  <c r="BS19" i="26" s="1"/>
  <c r="BT19" i="26" s="1"/>
  <c r="BK18" i="31"/>
  <c r="BL18" i="31" s="1"/>
  <c r="BN18" i="31" s="1"/>
  <c r="BK27" i="31"/>
  <c r="BL27" i="31" s="1"/>
  <c r="BN27" i="31" s="1"/>
  <c r="BK44" i="26"/>
  <c r="BR44" i="26" s="1"/>
  <c r="BK40" i="26"/>
  <c r="BR40" i="26" s="1"/>
  <c r="BK17" i="25"/>
  <c r="BR17" i="25" s="1"/>
  <c r="BQ17" i="25"/>
  <c r="BW23" i="26"/>
  <c r="CB23" i="26" s="1"/>
  <c r="CC23" i="26" s="1"/>
  <c r="CD23" i="26" s="1"/>
  <c r="X67" i="27" s="1"/>
  <c r="BW25" i="25"/>
  <c r="CB25" i="25" s="1"/>
  <c r="CC25" i="25" s="1"/>
  <c r="CD25" i="25" s="1"/>
  <c r="X26" i="27" s="1"/>
  <c r="BQ23" i="26"/>
  <c r="BK40" i="31"/>
  <c r="BR40" i="31" s="1"/>
  <c r="BK21" i="31"/>
  <c r="BR21" i="31" s="1"/>
  <c r="BK29" i="31"/>
  <c r="BR29" i="31" s="1"/>
  <c r="BQ39" i="31"/>
  <c r="BK33" i="31"/>
  <c r="BS33" i="31" s="1"/>
  <c r="CA33" i="31" s="1"/>
  <c r="BQ25" i="25"/>
  <c r="BK25" i="25"/>
  <c r="BL25" i="25" s="1"/>
  <c r="BN25" i="25" s="1"/>
  <c r="BK17" i="31"/>
  <c r="BR17" i="31" s="1"/>
  <c r="BQ37" i="31"/>
  <c r="BX25" i="31"/>
  <c r="BK34" i="31"/>
  <c r="BS34" i="31" s="1"/>
  <c r="BT34" i="31" s="1"/>
  <c r="BW25" i="31"/>
  <c r="CB25" i="31" s="1"/>
  <c r="CC25" i="31" s="1"/>
  <c r="CD25" i="31" s="1"/>
  <c r="X112" i="27" s="1"/>
  <c r="BK20" i="31"/>
  <c r="BR20" i="31" s="1"/>
  <c r="BQ34" i="25"/>
  <c r="BX22" i="31"/>
  <c r="BQ45" i="31"/>
  <c r="BW22" i="31"/>
  <c r="CB22" i="31" s="1"/>
  <c r="CC22" i="31" s="1"/>
  <c r="CD22" i="31" s="1"/>
  <c r="X109" i="27" s="1"/>
  <c r="BX20" i="31"/>
  <c r="BW20" i="31"/>
  <c r="CB20" i="31" s="1"/>
  <c r="W107" i="27" s="1"/>
  <c r="BQ18" i="26"/>
  <c r="BQ22" i="31"/>
  <c r="BW18" i="26"/>
  <c r="CB18" i="26" s="1"/>
  <c r="CE18" i="26" s="1"/>
  <c r="BX18" i="26"/>
  <c r="BK44" i="31"/>
  <c r="BR44" i="31" s="1"/>
  <c r="BK25" i="31"/>
  <c r="BS25" i="31" s="1"/>
  <c r="BT25" i="31" s="1"/>
  <c r="BK30" i="31"/>
  <c r="BL30" i="31" s="1"/>
  <c r="BN30" i="31" s="1"/>
  <c r="BR29" i="26"/>
  <c r="BS29" i="26"/>
  <c r="CA29" i="26" s="1"/>
  <c r="BL29" i="26"/>
  <c r="BN29" i="26" s="1"/>
  <c r="BS41" i="26"/>
  <c r="CA41" i="26" s="1"/>
  <c r="BR41" i="26"/>
  <c r="BL41" i="26"/>
  <c r="BN41" i="26" s="1"/>
  <c r="BR33" i="31"/>
  <c r="W66" i="27"/>
  <c r="CE22" i="26"/>
  <c r="CC22" i="26"/>
  <c r="CD22" i="26" s="1"/>
  <c r="X66" i="27" s="1"/>
  <c r="CC16" i="26"/>
  <c r="CD16" i="26" s="1"/>
  <c r="X60" i="27" s="1"/>
  <c r="CE16" i="26"/>
  <c r="W60" i="27"/>
  <c r="BR45" i="31"/>
  <c r="BS45" i="31"/>
  <c r="BT45" i="31" s="1"/>
  <c r="BL45" i="31"/>
  <c r="BN45" i="31" s="1"/>
  <c r="BR35" i="25"/>
  <c r="BS35" i="25"/>
  <c r="BT35" i="25" s="1"/>
  <c r="BL35" i="25"/>
  <c r="BN35" i="25" s="1"/>
  <c r="BR41" i="25"/>
  <c r="BS41" i="25"/>
  <c r="BT41" i="25" s="1"/>
  <c r="BL41" i="25"/>
  <c r="BN41" i="25" s="1"/>
  <c r="BR31" i="26"/>
  <c r="BL31" i="26"/>
  <c r="BN31" i="26" s="1"/>
  <c r="BS31" i="26"/>
  <c r="BT31" i="26" s="1"/>
  <c r="BR30" i="26"/>
  <c r="BL30" i="26"/>
  <c r="BN30" i="26" s="1"/>
  <c r="BS30" i="26"/>
  <c r="BT30" i="26" s="1"/>
  <c r="W65" i="27"/>
  <c r="CE21" i="26"/>
  <c r="CC21" i="26"/>
  <c r="CD21" i="26" s="1"/>
  <c r="X65" i="27" s="1"/>
  <c r="BR23" i="26"/>
  <c r="BS23" i="26"/>
  <c r="BT23" i="26" s="1"/>
  <c r="BL23" i="26"/>
  <c r="BN23" i="26" s="1"/>
  <c r="BR43" i="25"/>
  <c r="BS43" i="25"/>
  <c r="BT43" i="25" s="1"/>
  <c r="BL43" i="25"/>
  <c r="BN43" i="25" s="1"/>
  <c r="BR35" i="26"/>
  <c r="BS35" i="26"/>
  <c r="BT35" i="26" s="1"/>
  <c r="BL35" i="26"/>
  <c r="BN35" i="26" s="1"/>
  <c r="BR33" i="26"/>
  <c r="BS33" i="26"/>
  <c r="BT33" i="26" s="1"/>
  <c r="BL33" i="26"/>
  <c r="BN33" i="26" s="1"/>
  <c r="BR26" i="31"/>
  <c r="BL26" i="31"/>
  <c r="BN26" i="31" s="1"/>
  <c r="BS26" i="31"/>
  <c r="BT26" i="31" s="1"/>
  <c r="CC20" i="26"/>
  <c r="CD20" i="26" s="1"/>
  <c r="X64" i="27" s="1"/>
  <c r="W64" i="27"/>
  <c r="CE20" i="26"/>
  <c r="BR22" i="25"/>
  <c r="BL22" i="25"/>
  <c r="BN22" i="25" s="1"/>
  <c r="BS22" i="25"/>
  <c r="BT22" i="25" s="1"/>
  <c r="BR29" i="25"/>
  <c r="BL29" i="25"/>
  <c r="BN29" i="25" s="1"/>
  <c r="BS29" i="25"/>
  <c r="BT29" i="25" s="1"/>
  <c r="W17" i="27"/>
  <c r="CE16" i="25"/>
  <c r="CC16" i="25"/>
  <c r="CD16" i="25" s="1"/>
  <c r="X17" i="27" s="1"/>
  <c r="BR46" i="25"/>
  <c r="BS46" i="25"/>
  <c r="BL46" i="25"/>
  <c r="BN46" i="25" s="1"/>
  <c r="CC19" i="25"/>
  <c r="CD19" i="25" s="1"/>
  <c r="X20" i="27" s="1"/>
  <c r="CE19" i="25"/>
  <c r="W20" i="27"/>
  <c r="BR43" i="26"/>
  <c r="BS43" i="26"/>
  <c r="BL43" i="26"/>
  <c r="BN43" i="26" s="1"/>
  <c r="BR38" i="25"/>
  <c r="BL38" i="25"/>
  <c r="BN38" i="25" s="1"/>
  <c r="BS38" i="25"/>
  <c r="CA38" i="25" s="1"/>
  <c r="CC17" i="26"/>
  <c r="CD17" i="26" s="1"/>
  <c r="X61" i="27" s="1"/>
  <c r="W61" i="27"/>
  <c r="CE17" i="26"/>
  <c r="BR32" i="25"/>
  <c r="BS32" i="25"/>
  <c r="CA32" i="25" s="1"/>
  <c r="BL32" i="25"/>
  <c r="BN32" i="25" s="1"/>
  <c r="BR16" i="25"/>
  <c r="BL16" i="25"/>
  <c r="BN16" i="25" s="1"/>
  <c r="BS16" i="25"/>
  <c r="BT16" i="25" s="1"/>
  <c r="CC20" i="25"/>
  <c r="CD20" i="25" s="1"/>
  <c r="X21" i="27" s="1"/>
  <c r="W21" i="27"/>
  <c r="CE20" i="25"/>
  <c r="W108" i="27"/>
  <c r="CE21" i="31"/>
  <c r="CC21" i="31"/>
  <c r="CD21" i="31" s="1"/>
  <c r="X108" i="27" s="1"/>
  <c r="BR42" i="25"/>
  <c r="BS42" i="25"/>
  <c r="CA42" i="25" s="1"/>
  <c r="BL42" i="25"/>
  <c r="BN42" i="25" s="1"/>
  <c r="BL25" i="26"/>
  <c r="BN25" i="26" s="1"/>
  <c r="BR25" i="26"/>
  <c r="BS25" i="26"/>
  <c r="CA25" i="26" s="1"/>
  <c r="BT16" i="26"/>
  <c r="BR16" i="26"/>
  <c r="BL16" i="26"/>
  <c r="BN16" i="26" s="1"/>
  <c r="BS16" i="26"/>
  <c r="CA16" i="26" s="1"/>
  <c r="CK16" i="26" s="1"/>
  <c r="BR24" i="25"/>
  <c r="BS24" i="25"/>
  <c r="CA24" i="25" s="1"/>
  <c r="BL24" i="25"/>
  <c r="BN24" i="25" s="1"/>
  <c r="BR44" i="25"/>
  <c r="BS44" i="25"/>
  <c r="BU44" i="25" s="1"/>
  <c r="BL44" i="25"/>
  <c r="BN44" i="25" s="1"/>
  <c r="BR28" i="26"/>
  <c r="BS28" i="26"/>
  <c r="BT28" i="26" s="1"/>
  <c r="BL28" i="26"/>
  <c r="BN28" i="26" s="1"/>
  <c r="BR35" i="31"/>
  <c r="BS35" i="31"/>
  <c r="CA35" i="31" s="1"/>
  <c r="BL35" i="31"/>
  <c r="BN35" i="31" s="1"/>
  <c r="BR46" i="26"/>
  <c r="BS46" i="26"/>
  <c r="BU46" i="26" s="1"/>
  <c r="BL46" i="26"/>
  <c r="BN46" i="26" s="1"/>
  <c r="BR24" i="31"/>
  <c r="BS24" i="31"/>
  <c r="CA24" i="31" s="1"/>
  <c r="BL24" i="31"/>
  <c r="BN24" i="31" s="1"/>
  <c r="W19" i="27"/>
  <c r="CE18" i="25"/>
  <c r="CC18" i="25"/>
  <c r="CD18" i="25" s="1"/>
  <c r="X19" i="27" s="1"/>
  <c r="CC24" i="26"/>
  <c r="CD24" i="26" s="1"/>
  <c r="X68" i="27" s="1"/>
  <c r="CE24" i="26"/>
  <c r="W68" i="27"/>
  <c r="BR39" i="25"/>
  <c r="BS39" i="25"/>
  <c r="CA39" i="25" s="1"/>
  <c r="BL39" i="25"/>
  <c r="BN39" i="25" s="1"/>
  <c r="BR36" i="25"/>
  <c r="BL36" i="25"/>
  <c r="BN36" i="25" s="1"/>
  <c r="BS36" i="25"/>
  <c r="BT36" i="25" s="1"/>
  <c r="BR21" i="25"/>
  <c r="BL21" i="25"/>
  <c r="BN21" i="25" s="1"/>
  <c r="BS21" i="25"/>
  <c r="CA21" i="25" s="1"/>
  <c r="BR34" i="25"/>
  <c r="BS34" i="25"/>
  <c r="CA34" i="25" s="1"/>
  <c r="BL34" i="25"/>
  <c r="BN34" i="25" s="1"/>
  <c r="BR40" i="25"/>
  <c r="BL40" i="25"/>
  <c r="BN40" i="25" s="1"/>
  <c r="BS40" i="25"/>
  <c r="BT40" i="25" s="1"/>
  <c r="BR21" i="26"/>
  <c r="BS21" i="26"/>
  <c r="CA21" i="26" s="1"/>
  <c r="BL21" i="26"/>
  <c r="BN21" i="26" s="1"/>
  <c r="BL23" i="31"/>
  <c r="BN23" i="31" s="1"/>
  <c r="W111" i="27"/>
  <c r="CC24" i="31"/>
  <c r="CD24" i="31" s="1"/>
  <c r="X111" i="27" s="1"/>
  <c r="CE24" i="31"/>
  <c r="BR24" i="26"/>
  <c r="BS24" i="26"/>
  <c r="BT24" i="26" s="1"/>
  <c r="BL24" i="26"/>
  <c r="BN24" i="26" s="1"/>
  <c r="BR27" i="26"/>
  <c r="BL27" i="26"/>
  <c r="BN27" i="26" s="1"/>
  <c r="BS27" i="26"/>
  <c r="BR28" i="25"/>
  <c r="BS28" i="25"/>
  <c r="BT28" i="25" s="1"/>
  <c r="BL28" i="25"/>
  <c r="BN28" i="25" s="1"/>
  <c r="BR32" i="31"/>
  <c r="BS32" i="31"/>
  <c r="BT32" i="31" s="1"/>
  <c r="BR45" i="25"/>
  <c r="BS45" i="25"/>
  <c r="BT45" i="25" s="1"/>
  <c r="BL45" i="25"/>
  <c r="BN45" i="25" s="1"/>
  <c r="BR19" i="25"/>
  <c r="BS19" i="25"/>
  <c r="BL19" i="25"/>
  <c r="BN19" i="25" s="1"/>
  <c r="BR18" i="26"/>
  <c r="BL18" i="26"/>
  <c r="BN18" i="26" s="1"/>
  <c r="BS18" i="26"/>
  <c r="W25" i="27"/>
  <c r="CE24" i="25"/>
  <c r="CC24" i="25"/>
  <c r="CD24" i="25" s="1"/>
  <c r="X25" i="27" s="1"/>
  <c r="BR26" i="26"/>
  <c r="BL26" i="26"/>
  <c r="BN26" i="26" s="1"/>
  <c r="BS26" i="26"/>
  <c r="BT26" i="26" s="1"/>
  <c r="BR27" i="25"/>
  <c r="BL27" i="25"/>
  <c r="BN27" i="25" s="1"/>
  <c r="BS27" i="25"/>
  <c r="CE25" i="26"/>
  <c r="W69" i="27"/>
  <c r="CC25" i="26"/>
  <c r="CD25" i="26" s="1"/>
  <c r="X69" i="27" s="1"/>
  <c r="BR37" i="25"/>
  <c r="BL37" i="25"/>
  <c r="BN37" i="25" s="1"/>
  <c r="BS37" i="25"/>
  <c r="BT37" i="25" s="1"/>
  <c r="BR36" i="26"/>
  <c r="BL36" i="26"/>
  <c r="BN36" i="26" s="1"/>
  <c r="BS36" i="26"/>
  <c r="BT36" i="26" s="1"/>
  <c r="CE23" i="25"/>
  <c r="CC23" i="25"/>
  <c r="CD23" i="25" s="1"/>
  <c r="X24" i="27" s="1"/>
  <c r="W24" i="27"/>
  <c r="BR37" i="26"/>
  <c r="BS37" i="26"/>
  <c r="BT37" i="26" s="1"/>
  <c r="BL37" i="26"/>
  <c r="BN37" i="26" s="1"/>
  <c r="BR31" i="31"/>
  <c r="BL31" i="31"/>
  <c r="BN31" i="31" s="1"/>
  <c r="BS31" i="31"/>
  <c r="BT31" i="31" s="1"/>
  <c r="BR17" i="26"/>
  <c r="BL17" i="26"/>
  <c r="BN17" i="26" s="1"/>
  <c r="BS17" i="26"/>
  <c r="BR45" i="26"/>
  <c r="BL45" i="26"/>
  <c r="BN45" i="26" s="1"/>
  <c r="BS45" i="26"/>
  <c r="BT45" i="26" s="1"/>
  <c r="BR37" i="31"/>
  <c r="BL37" i="31"/>
  <c r="BN37" i="31" s="1"/>
  <c r="BS37" i="31"/>
  <c r="BR39" i="31"/>
  <c r="BL39" i="31"/>
  <c r="BN39" i="31" s="1"/>
  <c r="BS39" i="31"/>
  <c r="BR20" i="25"/>
  <c r="BL20" i="25"/>
  <c r="BN20" i="25" s="1"/>
  <c r="BS20" i="25"/>
  <c r="CA20" i="25" s="1"/>
  <c r="BR33" i="25"/>
  <c r="BS33" i="25"/>
  <c r="CA33" i="25" s="1"/>
  <c r="BL33" i="25"/>
  <c r="BN33" i="25" s="1"/>
  <c r="BR22" i="26"/>
  <c r="BS22" i="26"/>
  <c r="CA22" i="26" s="1"/>
  <c r="BL22" i="26"/>
  <c r="BN22" i="26" s="1"/>
  <c r="BR42" i="26"/>
  <c r="BL42" i="26"/>
  <c r="BN42" i="26" s="1"/>
  <c r="BS42" i="26"/>
  <c r="CA42" i="26" s="1"/>
  <c r="BR23" i="25"/>
  <c r="BL23" i="25"/>
  <c r="BN23" i="25" s="1"/>
  <c r="BS23" i="25"/>
  <c r="CA23" i="25" s="1"/>
  <c r="BR34" i="26"/>
  <c r="BS34" i="26"/>
  <c r="BL34" i="26"/>
  <c r="BN34" i="26" s="1"/>
  <c r="BR31" i="25"/>
  <c r="BL31" i="25"/>
  <c r="BN31" i="25" s="1"/>
  <c r="BS31" i="25"/>
  <c r="CA31" i="25" s="1"/>
  <c r="BR32" i="26"/>
  <c r="BS32" i="26"/>
  <c r="BL32" i="26"/>
  <c r="BN32" i="26" s="1"/>
  <c r="BR18" i="25"/>
  <c r="BL18" i="25"/>
  <c r="BN18" i="25" s="1"/>
  <c r="BS18" i="25"/>
  <c r="CA18" i="25" s="1"/>
  <c r="BR22" i="31"/>
  <c r="BL22" i="31"/>
  <c r="BN22" i="31" s="1"/>
  <c r="BS22" i="31"/>
  <c r="CA22" i="31" s="1"/>
  <c r="CE18" i="31"/>
  <c r="W105" i="27"/>
  <c r="CC18" i="31"/>
  <c r="CD18" i="31" s="1"/>
  <c r="X105" i="27" s="1"/>
  <c r="BR42" i="31"/>
  <c r="BR26" i="25"/>
  <c r="BS26" i="25"/>
  <c r="BL26" i="25"/>
  <c r="BN26" i="25" s="1"/>
  <c r="W110" i="27"/>
  <c r="CC23" i="31"/>
  <c r="CD23" i="31" s="1"/>
  <c r="X110" i="27" s="1"/>
  <c r="CE23" i="31"/>
  <c r="W23" i="27"/>
  <c r="CE22" i="25"/>
  <c r="CC22" i="25"/>
  <c r="CD22" i="25" s="1"/>
  <c r="X23" i="27" s="1"/>
  <c r="W22" i="27"/>
  <c r="CE21" i="25"/>
  <c r="CC21" i="25"/>
  <c r="CD21" i="25" s="1"/>
  <c r="X22" i="27" s="1"/>
  <c r="BS23" i="31" l="1"/>
  <c r="BT23" i="31" s="1"/>
  <c r="BL42" i="31"/>
  <c r="BN42" i="31" s="1"/>
  <c r="BL16" i="31"/>
  <c r="BN16" i="31" s="1"/>
  <c r="BS16" i="31"/>
  <c r="CA16" i="31" s="1"/>
  <c r="CH16" i="31" s="1"/>
  <c r="CI16" i="31" s="1"/>
  <c r="V103" i="27" s="1"/>
  <c r="AP12" i="20" s="1"/>
  <c r="BL41" i="31"/>
  <c r="BN41" i="31" s="1"/>
  <c r="BL36" i="31"/>
  <c r="BN36" i="31" s="1"/>
  <c r="BS41" i="31"/>
  <c r="CA41" i="31" s="1"/>
  <c r="BS36" i="31"/>
  <c r="BT36" i="31" s="1"/>
  <c r="BS28" i="31"/>
  <c r="CA28" i="31" s="1"/>
  <c r="BR16" i="31"/>
  <c r="BR38" i="31"/>
  <c r="BS30" i="25"/>
  <c r="BT30" i="25" s="1"/>
  <c r="BR19" i="31"/>
  <c r="BR46" i="31"/>
  <c r="BS46" i="31"/>
  <c r="BT46" i="31" s="1"/>
  <c r="BL30" i="25"/>
  <c r="BN30" i="25" s="1"/>
  <c r="BS38" i="26"/>
  <c r="CA38" i="26" s="1"/>
  <c r="BL38" i="26"/>
  <c r="BN38" i="26" s="1"/>
  <c r="CE16" i="31"/>
  <c r="CC16" i="31"/>
  <c r="CD16" i="31" s="1"/>
  <c r="X103" i="27" s="1"/>
  <c r="BL43" i="31"/>
  <c r="BN43" i="31" s="1"/>
  <c r="BS19" i="31"/>
  <c r="BT19" i="31" s="1"/>
  <c r="CE17" i="25"/>
  <c r="W18" i="27"/>
  <c r="BS43" i="31"/>
  <c r="CA43" i="31" s="1"/>
  <c r="BS17" i="25"/>
  <c r="CA17" i="25" s="1"/>
  <c r="CA16" i="25"/>
  <c r="BU16" i="25"/>
  <c r="BV16" i="25" s="1"/>
  <c r="BS39" i="26"/>
  <c r="BT39" i="26" s="1"/>
  <c r="BS38" i="31"/>
  <c r="BU38" i="31" s="1"/>
  <c r="BL17" i="25"/>
  <c r="BN17" i="25" s="1"/>
  <c r="BR28" i="31"/>
  <c r="BL39" i="26"/>
  <c r="BN39" i="26" s="1"/>
  <c r="CE19" i="26"/>
  <c r="CE19" i="31"/>
  <c r="W104" i="27"/>
  <c r="CC19" i="26"/>
  <c r="CD19" i="26" s="1"/>
  <c r="X63" i="27" s="1"/>
  <c r="CE17" i="31"/>
  <c r="BL19" i="26"/>
  <c r="BN19" i="26" s="1"/>
  <c r="BR19" i="26"/>
  <c r="BS40" i="26"/>
  <c r="BU40" i="26" s="1"/>
  <c r="BV40" i="26" s="1"/>
  <c r="BS20" i="26"/>
  <c r="BT20" i="26" s="1"/>
  <c r="BL40" i="26"/>
  <c r="BN40" i="26" s="1"/>
  <c r="BL20" i="26"/>
  <c r="BN20" i="26" s="1"/>
  <c r="CC19" i="31"/>
  <c r="CD19" i="31" s="1"/>
  <c r="X106" i="27" s="1"/>
  <c r="BL44" i="26"/>
  <c r="BN44" i="26" s="1"/>
  <c r="BS40" i="31"/>
  <c r="CA40" i="31" s="1"/>
  <c r="BS44" i="26"/>
  <c r="BU44" i="26" s="1"/>
  <c r="BV44" i="26" s="1"/>
  <c r="BS27" i="31"/>
  <c r="BT27" i="31" s="1"/>
  <c r="W67" i="27"/>
  <c r="BL40" i="31"/>
  <c r="BN40" i="31" s="1"/>
  <c r="BR27" i="31"/>
  <c r="CE23" i="26"/>
  <c r="BS18" i="31"/>
  <c r="BT18" i="31" s="1"/>
  <c r="BR18" i="31"/>
  <c r="BL29" i="31"/>
  <c r="BN29" i="31" s="1"/>
  <c r="BS29" i="31"/>
  <c r="BT29" i="31" s="1"/>
  <c r="W26" i="27"/>
  <c r="CE25" i="25"/>
  <c r="BS21" i="31"/>
  <c r="BT21" i="31" s="1"/>
  <c r="BL21" i="31"/>
  <c r="BN21" i="31" s="1"/>
  <c r="BL33" i="31"/>
  <c r="BN33" i="31" s="1"/>
  <c r="BS17" i="31"/>
  <c r="CA17" i="31" s="1"/>
  <c r="BL17" i="31"/>
  <c r="BN17" i="31" s="1"/>
  <c r="BS25" i="25"/>
  <c r="CA25" i="25" s="1"/>
  <c r="BR25" i="25"/>
  <c r="BR34" i="31"/>
  <c r="BL34" i="31"/>
  <c r="BN34" i="31" s="1"/>
  <c r="W112" i="27"/>
  <c r="CE25" i="31"/>
  <c r="BS20" i="31"/>
  <c r="CA20" i="31" s="1"/>
  <c r="BL20" i="31"/>
  <c r="BN20" i="31" s="1"/>
  <c r="W109" i="27"/>
  <c r="W62" i="27"/>
  <c r="CE22" i="31"/>
  <c r="CC20" i="31"/>
  <c r="CD20" i="31" s="1"/>
  <c r="X107" i="27" s="1"/>
  <c r="CE20" i="31"/>
  <c r="BL25" i="31"/>
  <c r="BN25" i="31" s="1"/>
  <c r="BR25" i="31"/>
  <c r="BR30" i="31"/>
  <c r="CC18" i="26"/>
  <c r="CD18" i="26" s="1"/>
  <c r="X62" i="27" s="1"/>
  <c r="BL44" i="31"/>
  <c r="BN44" i="31" s="1"/>
  <c r="BS44" i="31"/>
  <c r="BT44" i="31" s="1"/>
  <c r="BS30" i="31"/>
  <c r="BU30" i="31" s="1"/>
  <c r="BV30" i="31" s="1"/>
  <c r="BW41" i="25"/>
  <c r="CB41" i="25" s="1"/>
  <c r="BW35" i="31"/>
  <c r="BW38" i="25"/>
  <c r="CB38" i="25" s="1"/>
  <c r="BU38" i="25"/>
  <c r="BV38" i="25" s="1"/>
  <c r="BW39" i="25"/>
  <c r="CB39" i="25" s="1"/>
  <c r="BW33" i="31"/>
  <c r="BW33" i="26"/>
  <c r="CB33" i="26" s="1"/>
  <c r="BT33" i="31"/>
  <c r="BT24" i="31"/>
  <c r="BT46" i="26"/>
  <c r="BT35" i="31"/>
  <c r="BT44" i="25"/>
  <c r="BT24" i="25"/>
  <c r="BW30" i="26"/>
  <c r="BW42" i="25"/>
  <c r="BU41" i="26"/>
  <c r="BV41" i="26" s="1"/>
  <c r="BT32" i="25"/>
  <c r="BW35" i="25"/>
  <c r="CB35" i="25" s="1"/>
  <c r="BW32" i="25"/>
  <c r="BT22" i="31"/>
  <c r="BT18" i="25"/>
  <c r="BT31" i="25"/>
  <c r="BU32" i="25"/>
  <c r="BU33" i="31"/>
  <c r="BU39" i="25"/>
  <c r="CH39" i="25" s="1"/>
  <c r="CI39" i="25" s="1"/>
  <c r="V40" i="27" s="1"/>
  <c r="AN35" i="20" s="1"/>
  <c r="BT34" i="25"/>
  <c r="BW45" i="31"/>
  <c r="BU24" i="31"/>
  <c r="CJ24" i="31" s="1"/>
  <c r="BW41" i="26"/>
  <c r="CB41" i="26" s="1"/>
  <c r="BU29" i="26"/>
  <c r="BT21" i="26"/>
  <c r="BT42" i="25"/>
  <c r="BW29" i="26"/>
  <c r="CB29" i="26" s="1"/>
  <c r="BU35" i="31"/>
  <c r="CA17" i="26"/>
  <c r="BU17" i="26"/>
  <c r="BT27" i="25"/>
  <c r="CA27" i="25"/>
  <c r="BU27" i="25"/>
  <c r="CA19" i="25"/>
  <c r="BU19" i="25"/>
  <c r="CA27" i="26"/>
  <c r="BU27" i="26"/>
  <c r="BW26" i="25"/>
  <c r="CB26" i="25" s="1"/>
  <c r="CA26" i="25"/>
  <c r="CA42" i="31"/>
  <c r="BW42" i="31"/>
  <c r="CB42" i="31" s="1"/>
  <c r="CA32" i="26"/>
  <c r="BW32" i="26"/>
  <c r="CB32" i="26" s="1"/>
  <c r="CA34" i="26"/>
  <c r="BW34" i="26"/>
  <c r="CB34" i="26" s="1"/>
  <c r="BT23" i="25"/>
  <c r="BT42" i="26"/>
  <c r="CA39" i="31"/>
  <c r="BW39" i="31"/>
  <c r="CB39" i="31" s="1"/>
  <c r="CA37" i="31"/>
  <c r="BW37" i="31"/>
  <c r="CB37" i="31" s="1"/>
  <c r="BT17" i="26"/>
  <c r="CA18" i="26"/>
  <c r="BU18" i="26"/>
  <c r="BT27" i="26"/>
  <c r="BU33" i="25"/>
  <c r="CH33" i="25" s="1"/>
  <c r="CI33" i="25" s="1"/>
  <c r="V34" i="27" s="1"/>
  <c r="AN29" i="20" s="1"/>
  <c r="BT21" i="25"/>
  <c r="CF16" i="26"/>
  <c r="CH16" i="26"/>
  <c r="CI16" i="26" s="1"/>
  <c r="V60" i="27" s="1"/>
  <c r="AO12" i="20" s="1"/>
  <c r="BT25" i="26"/>
  <c r="BT38" i="25"/>
  <c r="CA43" i="26"/>
  <c r="BU43" i="26"/>
  <c r="BW43" i="26"/>
  <c r="CB43" i="26" s="1"/>
  <c r="CA46" i="25"/>
  <c r="BU46" i="25"/>
  <c r="BW46" i="25"/>
  <c r="CB46" i="25" s="1"/>
  <c r="BU32" i="26"/>
  <c r="BU22" i="26"/>
  <c r="CH22" i="26" s="1"/>
  <c r="CI22" i="26" s="1"/>
  <c r="V66" i="27" s="1"/>
  <c r="AO18" i="20" s="1"/>
  <c r="BU34" i="26"/>
  <c r="BU42" i="31"/>
  <c r="CA45" i="26"/>
  <c r="BU45" i="26"/>
  <c r="BW45" i="26"/>
  <c r="CB45" i="26" s="1"/>
  <c r="CA36" i="26"/>
  <c r="BU36" i="26"/>
  <c r="BW36" i="26"/>
  <c r="CB36" i="26" s="1"/>
  <c r="CA37" i="25"/>
  <c r="BU37" i="25"/>
  <c r="BW37" i="25"/>
  <c r="CB37" i="25" s="1"/>
  <c r="BW26" i="26"/>
  <c r="CB26" i="26" s="1"/>
  <c r="CA26" i="26"/>
  <c r="BU26" i="26"/>
  <c r="BU32" i="31"/>
  <c r="CA32" i="31"/>
  <c r="BW32" i="31"/>
  <c r="CB32" i="31" s="1"/>
  <c r="CA40" i="25"/>
  <c r="BW40" i="25"/>
  <c r="CB40" i="25" s="1"/>
  <c r="CA36" i="25"/>
  <c r="BW36" i="25"/>
  <c r="CB36" i="25" s="1"/>
  <c r="BV46" i="26"/>
  <c r="BW27" i="26"/>
  <c r="CB27" i="26" s="1"/>
  <c r="BW33" i="25"/>
  <c r="CB33" i="25" s="1"/>
  <c r="BV44" i="25"/>
  <c r="BU23" i="25"/>
  <c r="CF23" i="25" s="1"/>
  <c r="BW27" i="25"/>
  <c r="CB27" i="25" s="1"/>
  <c r="BT26" i="25"/>
  <c r="BT42" i="31"/>
  <c r="BT32" i="26"/>
  <c r="BT34" i="26"/>
  <c r="CA31" i="31"/>
  <c r="BW31" i="31"/>
  <c r="CB31" i="31" s="1"/>
  <c r="BU31" i="31"/>
  <c r="CA19" i="26"/>
  <c r="BU19" i="26"/>
  <c r="CJ16" i="26"/>
  <c r="CA45" i="25"/>
  <c r="BW45" i="25"/>
  <c r="CB45" i="25" s="1"/>
  <c r="BU45" i="25"/>
  <c r="CA28" i="25"/>
  <c r="BU28" i="25"/>
  <c r="BT39" i="25"/>
  <c r="CA46" i="26"/>
  <c r="CH46" i="26" s="1"/>
  <c r="CI46" i="26" s="1"/>
  <c r="V90" i="27" s="1"/>
  <c r="AO42" i="20" s="1"/>
  <c r="BW46" i="26"/>
  <c r="CB46" i="26" s="1"/>
  <c r="CA28" i="26"/>
  <c r="BW28" i="26"/>
  <c r="CB28" i="26" s="1"/>
  <c r="CA44" i="25"/>
  <c r="CH44" i="25" s="1"/>
  <c r="CI44" i="25" s="1"/>
  <c r="V45" i="27" s="1"/>
  <c r="AN40" i="20" s="1"/>
  <c r="BW44" i="25"/>
  <c r="CB44" i="25" s="1"/>
  <c r="BT43" i="26"/>
  <c r="BW34" i="25"/>
  <c r="CB34" i="25" s="1"/>
  <c r="BT46" i="25"/>
  <c r="CA29" i="25"/>
  <c r="BU29" i="25"/>
  <c r="CA22" i="25"/>
  <c r="BU22" i="25"/>
  <c r="BW26" i="31"/>
  <c r="CB26" i="31" s="1"/>
  <c r="CA26" i="31"/>
  <c r="BU26" i="31"/>
  <c r="CA33" i="26"/>
  <c r="BU33" i="26"/>
  <c r="CA35" i="26"/>
  <c r="BU35" i="26"/>
  <c r="BW35" i="26"/>
  <c r="CB35" i="26" s="1"/>
  <c r="CA43" i="25"/>
  <c r="BU43" i="25"/>
  <c r="BW43" i="25"/>
  <c r="CB43" i="25" s="1"/>
  <c r="CA23" i="26"/>
  <c r="BU23" i="26"/>
  <c r="CA30" i="26"/>
  <c r="BU30" i="26"/>
  <c r="CA31" i="26"/>
  <c r="BU31" i="26"/>
  <c r="BU18" i="25"/>
  <c r="BU25" i="26"/>
  <c r="CF25" i="26" s="1"/>
  <c r="BU24" i="25"/>
  <c r="BU21" i="26"/>
  <c r="CH21" i="26" s="1"/>
  <c r="CI21" i="26" s="1"/>
  <c r="V65" i="27" s="1"/>
  <c r="AO17" i="20" s="1"/>
  <c r="BU39" i="31"/>
  <c r="BT29" i="26"/>
  <c r="BU40" i="25"/>
  <c r="BW42" i="26"/>
  <c r="CB42" i="26" s="1"/>
  <c r="BW28" i="25"/>
  <c r="CB28" i="25" s="1"/>
  <c r="BT22" i="26"/>
  <c r="BT33" i="25"/>
  <c r="BT20" i="25"/>
  <c r="BT39" i="31"/>
  <c r="BT37" i="31"/>
  <c r="BW29" i="25"/>
  <c r="CB29" i="25" s="1"/>
  <c r="CA37" i="26"/>
  <c r="BU37" i="26"/>
  <c r="BW37" i="26"/>
  <c r="CB37" i="26" s="1"/>
  <c r="CA34" i="31"/>
  <c r="BW34" i="31"/>
  <c r="CB34" i="31" s="1"/>
  <c r="BU34" i="31"/>
  <c r="BU31" i="25"/>
  <c r="CH31" i="25" s="1"/>
  <c r="CI31" i="25" s="1"/>
  <c r="V32" i="27" s="1"/>
  <c r="AN27" i="20" s="1"/>
  <c r="BT18" i="26"/>
  <c r="BT19" i="25"/>
  <c r="BW31" i="26"/>
  <c r="CB31" i="26" s="1"/>
  <c r="CA24" i="26"/>
  <c r="BU24" i="26"/>
  <c r="CA25" i="31"/>
  <c r="BU25" i="31"/>
  <c r="CA41" i="25"/>
  <c r="BU41" i="25"/>
  <c r="CA35" i="25"/>
  <c r="BU35" i="25"/>
  <c r="CA45" i="31"/>
  <c r="BU45" i="31"/>
  <c r="BU36" i="25"/>
  <c r="BU26" i="25"/>
  <c r="BU28" i="26"/>
  <c r="BU21" i="25"/>
  <c r="BU42" i="25"/>
  <c r="BU22" i="31"/>
  <c r="CH22" i="31" s="1"/>
  <c r="CI22" i="31" s="1"/>
  <c r="V109" i="27" s="1"/>
  <c r="AP18" i="20" s="1"/>
  <c r="BW31" i="25"/>
  <c r="CB31" i="25" s="1"/>
  <c r="BU42" i="26"/>
  <c r="CH42" i="26" s="1"/>
  <c r="CI42" i="26" s="1"/>
  <c r="V86" i="27" s="1"/>
  <c r="AO38" i="20" s="1"/>
  <c r="BU20" i="25"/>
  <c r="CH20" i="25" s="1"/>
  <c r="CI20" i="25" s="1"/>
  <c r="V21" i="27" s="1"/>
  <c r="AN16" i="20" s="1"/>
  <c r="BT41" i="26"/>
  <c r="BU34" i="25"/>
  <c r="BU37" i="31"/>
  <c r="BU23" i="31" l="1"/>
  <c r="BV23" i="31" s="1"/>
  <c r="CA23" i="31"/>
  <c r="BW36" i="31"/>
  <c r="CB36" i="31" s="1"/>
  <c r="CA36" i="31"/>
  <c r="BU28" i="31"/>
  <c r="CH28" i="31" s="1"/>
  <c r="CI28" i="31" s="1"/>
  <c r="V115" i="27" s="1"/>
  <c r="AP24" i="20" s="1"/>
  <c r="BT41" i="31"/>
  <c r="CJ16" i="31"/>
  <c r="CK16" i="31"/>
  <c r="BU36" i="31"/>
  <c r="BV36" i="31" s="1"/>
  <c r="CF16" i="31"/>
  <c r="U103" i="27" s="1"/>
  <c r="BU41" i="31"/>
  <c r="CH41" i="31" s="1"/>
  <c r="CI41" i="31" s="1"/>
  <c r="V128" i="27" s="1"/>
  <c r="AP37" i="20" s="1"/>
  <c r="BW41" i="31"/>
  <c r="CB41" i="31" s="1"/>
  <c r="CA30" i="25"/>
  <c r="BT28" i="31"/>
  <c r="BW28" i="31"/>
  <c r="BX28" i="31" s="1"/>
  <c r="BW30" i="25"/>
  <c r="CB30" i="25" s="1"/>
  <c r="BU30" i="25"/>
  <c r="CA46" i="31"/>
  <c r="BW46" i="31"/>
  <c r="CB46" i="31" s="1"/>
  <c r="CE46" i="31" s="1"/>
  <c r="BU46" i="31"/>
  <c r="BV46" i="31" s="1"/>
  <c r="BT38" i="26"/>
  <c r="BU38" i="26"/>
  <c r="BV38" i="26" s="1"/>
  <c r="BW38" i="26"/>
  <c r="CB38" i="26" s="1"/>
  <c r="CA19" i="31"/>
  <c r="BU19" i="31"/>
  <c r="BW43" i="31"/>
  <c r="CB43" i="31" s="1"/>
  <c r="BT43" i="31"/>
  <c r="BU43" i="31"/>
  <c r="BV43" i="31" s="1"/>
  <c r="BU17" i="25"/>
  <c r="BV17" i="25" s="1"/>
  <c r="BT38" i="31"/>
  <c r="BW39" i="26"/>
  <c r="CB39" i="26" s="1"/>
  <c r="CA39" i="26"/>
  <c r="CF16" i="25"/>
  <c r="CG16" i="25" s="1"/>
  <c r="T17" i="27" s="1"/>
  <c r="AH12" i="20" s="1"/>
  <c r="CJ16" i="25"/>
  <c r="BT17" i="25"/>
  <c r="CK16" i="25"/>
  <c r="CH16" i="25"/>
  <c r="CI16" i="25" s="1"/>
  <c r="V17" i="27" s="1"/>
  <c r="AN12" i="20" s="1"/>
  <c r="BW38" i="31"/>
  <c r="CB38" i="31" s="1"/>
  <c r="CA38" i="31"/>
  <c r="BU39" i="26"/>
  <c r="BV39" i="26" s="1"/>
  <c r="CA20" i="26"/>
  <c r="BU21" i="31"/>
  <c r="BV21" i="31" s="1"/>
  <c r="BW40" i="26"/>
  <c r="CB40" i="26" s="1"/>
  <c r="BU20" i="26"/>
  <c r="BT40" i="31"/>
  <c r="BU40" i="31"/>
  <c r="CH40" i="31" s="1"/>
  <c r="CI40" i="31" s="1"/>
  <c r="V127" i="27" s="1"/>
  <c r="AP36" i="20" s="1"/>
  <c r="BU29" i="31"/>
  <c r="BV29" i="31" s="1"/>
  <c r="BU27" i="31"/>
  <c r="BV27" i="31" s="1"/>
  <c r="CA29" i="31"/>
  <c r="CA27" i="31"/>
  <c r="BT40" i="26"/>
  <c r="BW29" i="31"/>
  <c r="CB29" i="31" s="1"/>
  <c r="BW27" i="31"/>
  <c r="CB27" i="31" s="1"/>
  <c r="CA40" i="26"/>
  <c r="CH40" i="26" s="1"/>
  <c r="CI40" i="26" s="1"/>
  <c r="V84" i="27" s="1"/>
  <c r="AO36" i="20" s="1"/>
  <c r="BW40" i="31"/>
  <c r="CB40" i="31" s="1"/>
  <c r="BU18" i="31"/>
  <c r="BV18" i="31" s="1"/>
  <c r="CA18" i="31"/>
  <c r="BT44" i="26"/>
  <c r="CA21" i="31"/>
  <c r="BW44" i="26"/>
  <c r="CB44" i="26" s="1"/>
  <c r="CA44" i="26"/>
  <c r="CH44" i="26" s="1"/>
  <c r="CI44" i="26" s="1"/>
  <c r="V88" i="27" s="1"/>
  <c r="AO40" i="20" s="1"/>
  <c r="CA44" i="31"/>
  <c r="BU20" i="31"/>
  <c r="CK20" i="31" s="1"/>
  <c r="BT25" i="25"/>
  <c r="BU25" i="25"/>
  <c r="CF25" i="25" s="1"/>
  <c r="CL25" i="25" s="1"/>
  <c r="BU17" i="31"/>
  <c r="CK17" i="31" s="1"/>
  <c r="BT17" i="31"/>
  <c r="BT20" i="31"/>
  <c r="BW44" i="31"/>
  <c r="CB44" i="31" s="1"/>
  <c r="BU44" i="31"/>
  <c r="CA30" i="31"/>
  <c r="CH30" i="31" s="1"/>
  <c r="CI30" i="31" s="1"/>
  <c r="V117" i="27" s="1"/>
  <c r="AP26" i="20" s="1"/>
  <c r="BW30" i="31"/>
  <c r="CB30" i="31" s="1"/>
  <c r="BT30" i="31"/>
  <c r="BX45" i="31"/>
  <c r="CB45" i="31"/>
  <c r="W132" i="27" s="1"/>
  <c r="BX32" i="25"/>
  <c r="CB32" i="25"/>
  <c r="CC32" i="25" s="1"/>
  <c r="CD32" i="25" s="1"/>
  <c r="X33" i="27" s="1"/>
  <c r="BX42" i="25"/>
  <c r="CB42" i="25"/>
  <c r="CE42" i="25" s="1"/>
  <c r="CF42" i="25" s="1"/>
  <c r="BX30" i="26"/>
  <c r="CB30" i="26"/>
  <c r="CE30" i="26" s="1"/>
  <c r="CF30" i="26" s="1"/>
  <c r="BX33" i="31"/>
  <c r="CB33" i="31"/>
  <c r="CE33" i="31" s="1"/>
  <c r="CF33" i="31" s="1"/>
  <c r="BX35" i="31"/>
  <c r="CB35" i="31"/>
  <c r="W122" i="27" s="1"/>
  <c r="CJ32" i="25"/>
  <c r="CJ35" i="31"/>
  <c r="BX41" i="25"/>
  <c r="BX38" i="25"/>
  <c r="CK33" i="31"/>
  <c r="CH33" i="31"/>
  <c r="CI33" i="31" s="1"/>
  <c r="V120" i="27" s="1"/>
  <c r="AP29" i="20" s="1"/>
  <c r="BV24" i="31"/>
  <c r="CJ39" i="25"/>
  <c r="BX39" i="25"/>
  <c r="CH24" i="31"/>
  <c r="CI24" i="31" s="1"/>
  <c r="V111" i="27" s="1"/>
  <c r="AP20" i="20" s="1"/>
  <c r="BV32" i="25"/>
  <c r="CK39" i="25"/>
  <c r="CJ29" i="26"/>
  <c r="CJ38" i="25"/>
  <c r="CH32" i="25"/>
  <c r="CI32" i="25" s="1"/>
  <c r="V33" i="27" s="1"/>
  <c r="AN28" i="20" s="1"/>
  <c r="CH38" i="25"/>
  <c r="CI38" i="25" s="1"/>
  <c r="V39" i="27" s="1"/>
  <c r="AN34" i="20" s="1"/>
  <c r="CK38" i="25"/>
  <c r="CK32" i="25"/>
  <c r="BX33" i="26"/>
  <c r="BX29" i="26"/>
  <c r="BX35" i="25"/>
  <c r="CK29" i="26"/>
  <c r="CH26" i="26"/>
  <c r="CI26" i="26" s="1"/>
  <c r="V70" i="27" s="1"/>
  <c r="AO22" i="20" s="1"/>
  <c r="CH37" i="25"/>
  <c r="CI37" i="25" s="1"/>
  <c r="V38" i="27" s="1"/>
  <c r="AN33" i="20" s="1"/>
  <c r="CH41" i="26"/>
  <c r="CI41" i="26" s="1"/>
  <c r="V85" i="27" s="1"/>
  <c r="AO37" i="20" s="1"/>
  <c r="CK35" i="31"/>
  <c r="CK41" i="26"/>
  <c r="CJ33" i="31"/>
  <c r="CJ41" i="26"/>
  <c r="CH35" i="31"/>
  <c r="CI35" i="31" s="1"/>
  <c r="V122" i="27" s="1"/>
  <c r="AP31" i="20" s="1"/>
  <c r="CF24" i="31"/>
  <c r="CG24" i="31" s="1"/>
  <c r="T111" i="27" s="1"/>
  <c r="AJ20" i="20" s="1"/>
  <c r="BV35" i="31"/>
  <c r="BV33" i="31"/>
  <c r="CK24" i="31"/>
  <c r="CH46" i="25"/>
  <c r="CI46" i="25" s="1"/>
  <c r="V47" i="27" s="1"/>
  <c r="AN42" i="20" s="1"/>
  <c r="CH31" i="26"/>
  <c r="CI31" i="26" s="1"/>
  <c r="V75" i="27" s="1"/>
  <c r="AO27" i="20" s="1"/>
  <c r="CH35" i="26"/>
  <c r="CI35" i="26" s="1"/>
  <c r="V79" i="27" s="1"/>
  <c r="AO31" i="20" s="1"/>
  <c r="BV39" i="25"/>
  <c r="BV29" i="26"/>
  <c r="CH29" i="26"/>
  <c r="CI29" i="26" s="1"/>
  <c r="V73" i="27" s="1"/>
  <c r="AO25" i="20" s="1"/>
  <c r="BX41" i="26"/>
  <c r="CH28" i="25"/>
  <c r="CI28" i="25" s="1"/>
  <c r="V29" i="27" s="1"/>
  <c r="AN24" i="20" s="1"/>
  <c r="CH32" i="31"/>
  <c r="CI32" i="31" s="1"/>
  <c r="V119" i="27" s="1"/>
  <c r="AP28" i="20" s="1"/>
  <c r="CH45" i="31"/>
  <c r="CI45" i="31" s="1"/>
  <c r="V132" i="27" s="1"/>
  <c r="AP41" i="20" s="1"/>
  <c r="CH41" i="25"/>
  <c r="CI41" i="25" s="1"/>
  <c r="V42" i="27" s="1"/>
  <c r="AN37" i="20" s="1"/>
  <c r="CH30" i="26"/>
  <c r="CI30" i="26" s="1"/>
  <c r="V74" i="27" s="1"/>
  <c r="AO26" i="20" s="1"/>
  <c r="CH33" i="26"/>
  <c r="CI33" i="26" s="1"/>
  <c r="V77" i="27" s="1"/>
  <c r="AO29" i="20" s="1"/>
  <c r="CF21" i="26"/>
  <c r="CG21" i="26" s="1"/>
  <c r="T65" i="27" s="1"/>
  <c r="AI17" i="20" s="1"/>
  <c r="CH31" i="31"/>
  <c r="CI31" i="31" s="1"/>
  <c r="V118" i="27" s="1"/>
  <c r="AP27" i="20" s="1"/>
  <c r="CH36" i="26"/>
  <c r="CI36" i="26" s="1"/>
  <c r="V80" i="27" s="1"/>
  <c r="AO32" i="20" s="1"/>
  <c r="U24" i="27"/>
  <c r="CL23" i="25"/>
  <c r="CG23" i="25"/>
  <c r="T24" i="27" s="1"/>
  <c r="AH19" i="20" s="1"/>
  <c r="U69" i="27"/>
  <c r="CL25" i="26"/>
  <c r="CG25" i="26"/>
  <c r="T69" i="27" s="1"/>
  <c r="AI21" i="20" s="1"/>
  <c r="CK42" i="25"/>
  <c r="CJ42" i="25"/>
  <c r="BV42" i="25"/>
  <c r="CJ36" i="25"/>
  <c r="CK36" i="25"/>
  <c r="BV36" i="25"/>
  <c r="CJ35" i="25"/>
  <c r="CK35" i="25"/>
  <c r="BV35" i="25"/>
  <c r="BX34" i="31"/>
  <c r="CH37" i="26"/>
  <c r="CI37" i="26" s="1"/>
  <c r="V81" i="27" s="1"/>
  <c r="AO33" i="20" s="1"/>
  <c r="BX29" i="25"/>
  <c r="CJ40" i="25"/>
  <c r="CK40" i="25"/>
  <c r="BV40" i="25"/>
  <c r="CC41" i="26"/>
  <c r="CD41" i="26" s="1"/>
  <c r="X85" i="27" s="1"/>
  <c r="CE41" i="26"/>
  <c r="CF41" i="26" s="1"/>
  <c r="W85" i="27"/>
  <c r="CK24" i="25"/>
  <c r="CJ24" i="25"/>
  <c r="BV24" i="25"/>
  <c r="CK31" i="26"/>
  <c r="CJ31" i="26"/>
  <c r="BV31" i="26"/>
  <c r="BX43" i="25"/>
  <c r="CJ35" i="26"/>
  <c r="CK35" i="26"/>
  <c r="BV35" i="26"/>
  <c r="CJ26" i="31"/>
  <c r="CK26" i="31"/>
  <c r="BV26" i="31"/>
  <c r="CF22" i="25"/>
  <c r="CH22" i="25"/>
  <c r="CI22" i="25" s="1"/>
  <c r="V23" i="27" s="1"/>
  <c r="AN18" i="20" s="1"/>
  <c r="BX34" i="25"/>
  <c r="CF24" i="25"/>
  <c r="CH28" i="26"/>
  <c r="CI28" i="26" s="1"/>
  <c r="V72" i="27" s="1"/>
  <c r="AO24" i="20" s="1"/>
  <c r="CK45" i="25"/>
  <c r="CJ45" i="25"/>
  <c r="BV45" i="25"/>
  <c r="CJ19" i="26"/>
  <c r="CK19" i="26"/>
  <c r="BV19" i="26"/>
  <c r="BX31" i="31"/>
  <c r="CF22" i="31"/>
  <c r="W73" i="27"/>
  <c r="CE29" i="26"/>
  <c r="CF29" i="26" s="1"/>
  <c r="CC29" i="26"/>
  <c r="CD29" i="26" s="1"/>
  <c r="X73" i="27" s="1"/>
  <c r="CJ46" i="26"/>
  <c r="BX36" i="25"/>
  <c r="BX40" i="25"/>
  <c r="BX32" i="31"/>
  <c r="BX45" i="26"/>
  <c r="CK32" i="26"/>
  <c r="CJ32" i="26"/>
  <c r="BV32" i="26"/>
  <c r="BX43" i="26"/>
  <c r="BX37" i="31"/>
  <c r="BX34" i="26"/>
  <c r="BX42" i="31"/>
  <c r="CJ27" i="26"/>
  <c r="CK27" i="26"/>
  <c r="BV27" i="26"/>
  <c r="CK19" i="25"/>
  <c r="CJ19" i="25"/>
  <c r="BV19" i="25"/>
  <c r="CH17" i="26"/>
  <c r="CI17" i="26" s="1"/>
  <c r="V61" i="27" s="1"/>
  <c r="AO13" i="20" s="1"/>
  <c r="CF17" i="26"/>
  <c r="CK20" i="25"/>
  <c r="CJ20" i="25"/>
  <c r="BV20" i="25"/>
  <c r="CK26" i="25"/>
  <c r="CJ26" i="25"/>
  <c r="BV26" i="25"/>
  <c r="CK42" i="26"/>
  <c r="CJ42" i="26"/>
  <c r="BV42" i="26"/>
  <c r="CJ34" i="25"/>
  <c r="CK34" i="25"/>
  <c r="BV34" i="25"/>
  <c r="CH35" i="25"/>
  <c r="CI35" i="25" s="1"/>
  <c r="V36" i="27" s="1"/>
  <c r="AN31" i="20" s="1"/>
  <c r="CH34" i="31"/>
  <c r="CI34" i="31" s="1"/>
  <c r="V121" i="27" s="1"/>
  <c r="AP30" i="20" s="1"/>
  <c r="CH26" i="31"/>
  <c r="CI26" i="31" s="1"/>
  <c r="V113" i="27" s="1"/>
  <c r="AP22" i="20" s="1"/>
  <c r="CJ29" i="25"/>
  <c r="CK29" i="25"/>
  <c r="BV29" i="25"/>
  <c r="BX44" i="25"/>
  <c r="BX45" i="25"/>
  <c r="CF19" i="26"/>
  <c r="CH19" i="26"/>
  <c r="CI19" i="26" s="1"/>
  <c r="V63" i="27" s="1"/>
  <c r="AO15" i="20" s="1"/>
  <c r="CJ44" i="25"/>
  <c r="BX27" i="26"/>
  <c r="CH36" i="25"/>
  <c r="CI36" i="25" s="1"/>
  <c r="V37" i="27" s="1"/>
  <c r="AN32" i="20" s="1"/>
  <c r="CH40" i="25"/>
  <c r="CI40" i="25" s="1"/>
  <c r="V41" i="27" s="1"/>
  <c r="AN36" i="20" s="1"/>
  <c r="BX26" i="26"/>
  <c r="BX36" i="26"/>
  <c r="CJ45" i="26"/>
  <c r="CK45" i="26"/>
  <c r="BV45" i="26"/>
  <c r="CK43" i="26"/>
  <c r="CJ43" i="26"/>
  <c r="BV43" i="26"/>
  <c r="CL16" i="26"/>
  <c r="CG16" i="26"/>
  <c r="T60" i="27" s="1"/>
  <c r="AI12" i="20" s="1"/>
  <c r="U60" i="27"/>
  <c r="CJ18" i="26"/>
  <c r="CK18" i="26"/>
  <c r="BV18" i="26"/>
  <c r="CH37" i="31"/>
  <c r="CI37" i="31" s="1"/>
  <c r="V124" i="27" s="1"/>
  <c r="AP33" i="20" s="1"/>
  <c r="CF20" i="25"/>
  <c r="CH34" i="26"/>
  <c r="CI34" i="26" s="1"/>
  <c r="V78" i="27" s="1"/>
  <c r="AO30" i="20" s="1"/>
  <c r="CH42" i="31"/>
  <c r="CI42" i="31" s="1"/>
  <c r="V129" i="27" s="1"/>
  <c r="AP38" i="20" s="1"/>
  <c r="CH27" i="26"/>
  <c r="CI27" i="26" s="1"/>
  <c r="V71" i="27" s="1"/>
  <c r="AO23" i="20" s="1"/>
  <c r="CF19" i="25"/>
  <c r="CH19" i="25"/>
  <c r="CI19" i="25" s="1"/>
  <c r="V20" i="27" s="1"/>
  <c r="AN15" i="20" s="1"/>
  <c r="CJ37" i="31"/>
  <c r="CK37" i="31"/>
  <c r="BV37" i="31"/>
  <c r="CJ21" i="25"/>
  <c r="CK21" i="25"/>
  <c r="BV21" i="25"/>
  <c r="BX31" i="25"/>
  <c r="CJ25" i="31"/>
  <c r="CK25" i="31"/>
  <c r="BV25" i="31"/>
  <c r="CK24" i="26"/>
  <c r="CJ24" i="26"/>
  <c r="BV24" i="26"/>
  <c r="CK39" i="31"/>
  <c r="CJ39" i="31"/>
  <c r="BV39" i="31"/>
  <c r="CK18" i="25"/>
  <c r="CJ18" i="25"/>
  <c r="BV18" i="25"/>
  <c r="CJ43" i="25"/>
  <c r="CK43" i="25"/>
  <c r="BV43" i="25"/>
  <c r="CJ22" i="31"/>
  <c r="CK22" i="31"/>
  <c r="BV22" i="31"/>
  <c r="CK28" i="26"/>
  <c r="CJ28" i="26"/>
  <c r="BV28" i="26"/>
  <c r="CK45" i="31"/>
  <c r="CJ45" i="31"/>
  <c r="BV45" i="31"/>
  <c r="CJ41" i="25"/>
  <c r="CK41" i="25"/>
  <c r="BV41" i="25"/>
  <c r="CF25" i="31"/>
  <c r="CH25" i="31"/>
  <c r="CI25" i="31" s="1"/>
  <c r="V112" i="27" s="1"/>
  <c r="AP21" i="20" s="1"/>
  <c r="CF24" i="26"/>
  <c r="CH24" i="26"/>
  <c r="CI24" i="26" s="1"/>
  <c r="V68" i="27" s="1"/>
  <c r="AO20" i="20" s="1"/>
  <c r="CJ31" i="25"/>
  <c r="CK31" i="25"/>
  <c r="BV31" i="25"/>
  <c r="BX37" i="26"/>
  <c r="BX28" i="25"/>
  <c r="BX42" i="26"/>
  <c r="CK21" i="26"/>
  <c r="CJ21" i="26"/>
  <c r="BV21" i="26"/>
  <c r="CJ30" i="26"/>
  <c r="CK30" i="26"/>
  <c r="BV30" i="26"/>
  <c r="CK23" i="26"/>
  <c r="CJ23" i="26"/>
  <c r="BV23" i="26"/>
  <c r="CH43" i="25"/>
  <c r="CI43" i="25" s="1"/>
  <c r="V44" i="27" s="1"/>
  <c r="AN39" i="20" s="1"/>
  <c r="CJ33" i="26"/>
  <c r="CK33" i="26"/>
  <c r="BV33" i="26"/>
  <c r="BX26" i="31"/>
  <c r="CH29" i="25"/>
  <c r="CI29" i="25" s="1"/>
  <c r="V30" i="27" s="1"/>
  <c r="AN25" i="20" s="1"/>
  <c r="CH42" i="25"/>
  <c r="CI42" i="25" s="1"/>
  <c r="V43" i="27" s="1"/>
  <c r="AN38" i="20" s="1"/>
  <c r="BX46" i="26"/>
  <c r="CK28" i="25"/>
  <c r="CJ28" i="25"/>
  <c r="BV28" i="25"/>
  <c r="CH45" i="25"/>
  <c r="CI45" i="25" s="1"/>
  <c r="V46" i="27" s="1"/>
  <c r="AN41" i="20" s="1"/>
  <c r="CF18" i="25"/>
  <c r="CK44" i="25"/>
  <c r="CF21" i="25"/>
  <c r="CK32" i="31"/>
  <c r="CJ32" i="31"/>
  <c r="BV32" i="31"/>
  <c r="BX37" i="25"/>
  <c r="CK36" i="26"/>
  <c r="CJ36" i="26"/>
  <c r="BV36" i="26"/>
  <c r="CH45" i="26"/>
  <c r="CI45" i="26" s="1"/>
  <c r="V89" i="27" s="1"/>
  <c r="AO41" i="20" s="1"/>
  <c r="CJ34" i="26"/>
  <c r="CK34" i="26"/>
  <c r="BV34" i="26"/>
  <c r="BX46" i="25"/>
  <c r="BV38" i="31"/>
  <c r="CH43" i="26"/>
  <c r="CI43" i="26" s="1"/>
  <c r="V87" i="27" s="1"/>
  <c r="AO39" i="20" s="1"/>
  <c r="CJ33" i="25"/>
  <c r="CK33" i="25"/>
  <c r="BV33" i="25"/>
  <c r="CF18" i="26"/>
  <c r="CH18" i="26"/>
  <c r="CI18" i="26" s="1"/>
  <c r="V62" i="27" s="1"/>
  <c r="AO14" i="20" s="1"/>
  <c r="CC39" i="25"/>
  <c r="CD39" i="25" s="1"/>
  <c r="X40" i="27" s="1"/>
  <c r="W40" i="27"/>
  <c r="CE39" i="25"/>
  <c r="CF39" i="25" s="1"/>
  <c r="CE33" i="26"/>
  <c r="CF33" i="26" s="1"/>
  <c r="W77" i="27"/>
  <c r="CC33" i="26"/>
  <c r="CD33" i="26" s="1"/>
  <c r="X77" i="27" s="1"/>
  <c r="BX39" i="31"/>
  <c r="BX32" i="26"/>
  <c r="CH26" i="25"/>
  <c r="CI26" i="25" s="1"/>
  <c r="V27" i="27" s="1"/>
  <c r="AN22" i="20" s="1"/>
  <c r="BV27" i="25"/>
  <c r="CK27" i="25"/>
  <c r="CJ27" i="25"/>
  <c r="CC35" i="25"/>
  <c r="CD35" i="25" s="1"/>
  <c r="X36" i="27" s="1"/>
  <c r="CE35" i="25"/>
  <c r="CF35" i="25" s="1"/>
  <c r="W36" i="27"/>
  <c r="BX31" i="26"/>
  <c r="CJ34" i="31"/>
  <c r="CK34" i="31"/>
  <c r="BV34" i="31"/>
  <c r="CK37" i="26"/>
  <c r="CJ37" i="26"/>
  <c r="BV37" i="26"/>
  <c r="CK25" i="26"/>
  <c r="CJ25" i="26"/>
  <c r="BV25" i="26"/>
  <c r="CH23" i="26"/>
  <c r="CI23" i="26" s="1"/>
  <c r="V67" i="27" s="1"/>
  <c r="AO19" i="20" s="1"/>
  <c r="CF23" i="26"/>
  <c r="BX35" i="26"/>
  <c r="CK22" i="25"/>
  <c r="CJ22" i="25"/>
  <c r="BV22" i="25"/>
  <c r="CH24" i="25"/>
  <c r="CI24" i="25" s="1"/>
  <c r="V25" i="27" s="1"/>
  <c r="AN20" i="20" s="1"/>
  <c r="BX28" i="26"/>
  <c r="CH34" i="25"/>
  <c r="CI34" i="25" s="1"/>
  <c r="V35" i="27" s="1"/>
  <c r="AN30" i="20" s="1"/>
  <c r="CJ31" i="31"/>
  <c r="CK31" i="31"/>
  <c r="BV31" i="31"/>
  <c r="CC41" i="25"/>
  <c r="CD41" i="25" s="1"/>
  <c r="X42" i="27" s="1"/>
  <c r="CE41" i="25"/>
  <c r="CF41" i="25" s="1"/>
  <c r="W42" i="27"/>
  <c r="CH18" i="25"/>
  <c r="CI18" i="25" s="1"/>
  <c r="V19" i="27" s="1"/>
  <c r="AN14" i="20" s="1"/>
  <c r="BX27" i="25"/>
  <c r="CK23" i="25"/>
  <c r="CJ23" i="25"/>
  <c r="BV23" i="25"/>
  <c r="BX33" i="25"/>
  <c r="CK46" i="26"/>
  <c r="CH25" i="26"/>
  <c r="CI25" i="26" s="1"/>
  <c r="V69" i="27" s="1"/>
  <c r="AO21" i="20" s="1"/>
  <c r="CH21" i="25"/>
  <c r="CI21" i="25" s="1"/>
  <c r="V22" i="27" s="1"/>
  <c r="AN17" i="20" s="1"/>
  <c r="CJ26" i="26"/>
  <c r="CK26" i="26"/>
  <c r="BV26" i="26"/>
  <c r="CJ37" i="25"/>
  <c r="CK37" i="25"/>
  <c r="BV37" i="25"/>
  <c r="CH23" i="25"/>
  <c r="CI23" i="25" s="1"/>
  <c r="V24" i="27" s="1"/>
  <c r="AN19" i="20" s="1"/>
  <c r="CJ42" i="31"/>
  <c r="CK42" i="31"/>
  <c r="BV42" i="31"/>
  <c r="CJ22" i="26"/>
  <c r="CK22" i="26"/>
  <c r="BV22" i="26"/>
  <c r="CK46" i="25"/>
  <c r="CJ46" i="25"/>
  <c r="BV46" i="25"/>
  <c r="CH39" i="31"/>
  <c r="CI39" i="31" s="1"/>
  <c r="V126" i="27" s="1"/>
  <c r="AP35" i="20" s="1"/>
  <c r="CH32" i="26"/>
  <c r="CI32" i="26" s="1"/>
  <c r="V76" i="27" s="1"/>
  <c r="AO28" i="20" s="1"/>
  <c r="BX26" i="25"/>
  <c r="W39" i="27"/>
  <c r="CC38" i="25"/>
  <c r="CD38" i="25" s="1"/>
  <c r="X39" i="27" s="1"/>
  <c r="CE38" i="25"/>
  <c r="CF38" i="25" s="1"/>
  <c r="CH27" i="25"/>
  <c r="CI27" i="25" s="1"/>
  <c r="V28" i="27" s="1"/>
  <c r="AN23" i="20" s="1"/>
  <c r="BV17" i="26"/>
  <c r="CJ17" i="26"/>
  <c r="CK17" i="26"/>
  <c r="CF22" i="26"/>
  <c r="CK23" i="31" l="1"/>
  <c r="CH23" i="31"/>
  <c r="CI23" i="31" s="1"/>
  <c r="V110" i="27" s="1"/>
  <c r="AP19" i="20" s="1"/>
  <c r="CL16" i="31"/>
  <c r="CJ23" i="31"/>
  <c r="CF23" i="31"/>
  <c r="U110" i="27" s="1"/>
  <c r="BV28" i="31"/>
  <c r="CK36" i="31"/>
  <c r="CJ36" i="31"/>
  <c r="BX36" i="31"/>
  <c r="CH36" i="31"/>
  <c r="CI36" i="31" s="1"/>
  <c r="V123" i="27" s="1"/>
  <c r="AP32" i="20" s="1"/>
  <c r="CK41" i="31"/>
  <c r="BV41" i="31"/>
  <c r="CG16" i="31"/>
  <c r="T103" i="27" s="1"/>
  <c r="AJ12" i="20" s="1"/>
  <c r="BX41" i="31"/>
  <c r="CJ41" i="31"/>
  <c r="CK28" i="31"/>
  <c r="BX46" i="31"/>
  <c r="CH30" i="25"/>
  <c r="CI30" i="25" s="1"/>
  <c r="V31" i="27" s="1"/>
  <c r="AN26" i="20" s="1"/>
  <c r="BX30" i="25"/>
  <c r="CH38" i="26"/>
  <c r="CI38" i="26" s="1"/>
  <c r="V82" i="27" s="1"/>
  <c r="AO34" i="20" s="1"/>
  <c r="CJ28" i="31"/>
  <c r="W133" i="27"/>
  <c r="CB28" i="31"/>
  <c r="W115" i="27" s="1"/>
  <c r="CJ30" i="25"/>
  <c r="CK17" i="25"/>
  <c r="CK30" i="25"/>
  <c r="BV30" i="25"/>
  <c r="CH46" i="31"/>
  <c r="CI46" i="31" s="1"/>
  <c r="V133" i="27" s="1"/>
  <c r="AP42" i="20" s="1"/>
  <c r="CK38" i="26"/>
  <c r="CJ46" i="31"/>
  <c r="CJ38" i="26"/>
  <c r="CK46" i="31"/>
  <c r="BX38" i="26"/>
  <c r="CF46" i="31"/>
  <c r="CL46" i="31" s="1"/>
  <c r="CC46" i="31"/>
  <c r="CD46" i="31" s="1"/>
  <c r="X133" i="27" s="1"/>
  <c r="CH19" i="31"/>
  <c r="CI19" i="31" s="1"/>
  <c r="V106" i="27" s="1"/>
  <c r="AP15" i="20" s="1"/>
  <c r="CJ19" i="31"/>
  <c r="CK19" i="31"/>
  <c r="BV19" i="31"/>
  <c r="CF19" i="31"/>
  <c r="CG19" i="31" s="1"/>
  <c r="T106" i="27" s="1"/>
  <c r="AJ15" i="20" s="1"/>
  <c r="BX39" i="26"/>
  <c r="U17" i="27"/>
  <c r="CH43" i="31"/>
  <c r="CI43" i="31" s="1"/>
  <c r="V130" i="27" s="1"/>
  <c r="AP39" i="20" s="1"/>
  <c r="BX43" i="31"/>
  <c r="CF17" i="25"/>
  <c r="CL17" i="25" s="1"/>
  <c r="CH17" i="25"/>
  <c r="CI17" i="25" s="1"/>
  <c r="V18" i="27" s="1"/>
  <c r="AN13" i="20" s="1"/>
  <c r="CJ17" i="25"/>
  <c r="CJ43" i="31"/>
  <c r="CK43" i="31"/>
  <c r="BX38" i="31"/>
  <c r="CL16" i="25"/>
  <c r="CJ39" i="26"/>
  <c r="CK38" i="31"/>
  <c r="CJ38" i="31"/>
  <c r="CH38" i="31"/>
  <c r="CI38" i="31" s="1"/>
  <c r="V125" i="27" s="1"/>
  <c r="AP34" i="20" s="1"/>
  <c r="CK39" i="26"/>
  <c r="CH39" i="26"/>
  <c r="CI39" i="26" s="1"/>
  <c r="V83" i="27" s="1"/>
  <c r="AO35" i="20" s="1"/>
  <c r="CJ20" i="26"/>
  <c r="BX40" i="26"/>
  <c r="CK20" i="26"/>
  <c r="CF21" i="31"/>
  <c r="CL21" i="31" s="1"/>
  <c r="BX29" i="31"/>
  <c r="BV40" i="31"/>
  <c r="CK18" i="31"/>
  <c r="BX44" i="26"/>
  <c r="CJ29" i="31"/>
  <c r="CH20" i="26"/>
  <c r="CI20" i="26" s="1"/>
  <c r="V64" i="27" s="1"/>
  <c r="AO16" i="20" s="1"/>
  <c r="BV20" i="26"/>
  <c r="CH29" i="31"/>
  <c r="CI29" i="31" s="1"/>
  <c r="V116" i="27" s="1"/>
  <c r="AP25" i="20" s="1"/>
  <c r="CF20" i="26"/>
  <c r="U64" i="27" s="1"/>
  <c r="CK40" i="31"/>
  <c r="BX40" i="31"/>
  <c r="CJ40" i="31"/>
  <c r="CK40" i="26"/>
  <c r="CJ40" i="26"/>
  <c r="CH18" i="31"/>
  <c r="CI18" i="31" s="1"/>
  <c r="V105" i="27" s="1"/>
  <c r="AP14" i="20" s="1"/>
  <c r="CK44" i="26"/>
  <c r="CJ44" i="26"/>
  <c r="CJ27" i="31"/>
  <c r="CK29" i="31"/>
  <c r="CK27" i="31"/>
  <c r="BX27" i="31"/>
  <c r="CH27" i="31"/>
  <c r="CI27" i="31" s="1"/>
  <c r="V114" i="27" s="1"/>
  <c r="AP23" i="20" s="1"/>
  <c r="CK21" i="31"/>
  <c r="CJ18" i="31"/>
  <c r="CH21" i="31"/>
  <c r="CI21" i="31" s="1"/>
  <c r="V108" i="27" s="1"/>
  <c r="AP17" i="20" s="1"/>
  <c r="CF18" i="31"/>
  <c r="CL18" i="31" s="1"/>
  <c r="CJ21" i="31"/>
  <c r="CH20" i="31"/>
  <c r="CI20" i="31" s="1"/>
  <c r="V107" i="27" s="1"/>
  <c r="AP16" i="20" s="1"/>
  <c r="CJ20" i="31"/>
  <c r="CF20" i="31"/>
  <c r="CG20" i="31" s="1"/>
  <c r="T107" i="27" s="1"/>
  <c r="AJ16" i="20" s="1"/>
  <c r="BV20" i="31"/>
  <c r="CG25" i="25"/>
  <c r="T26" i="27" s="1"/>
  <c r="AH21" i="20" s="1"/>
  <c r="CJ25" i="25"/>
  <c r="CJ44" i="31"/>
  <c r="BV25" i="25"/>
  <c r="CH25" i="25"/>
  <c r="CI25" i="25" s="1"/>
  <c r="V26" i="27" s="1"/>
  <c r="AN21" i="20" s="1"/>
  <c r="CK25" i="25"/>
  <c r="U26" i="27"/>
  <c r="CF17" i="31"/>
  <c r="CL17" i="31" s="1"/>
  <c r="CH17" i="31"/>
  <c r="CI17" i="31" s="1"/>
  <c r="V104" i="27" s="1"/>
  <c r="AP13" i="20" s="1"/>
  <c r="BV17" i="31"/>
  <c r="BX44" i="31"/>
  <c r="CJ17" i="31"/>
  <c r="CK44" i="31"/>
  <c r="BV44" i="31"/>
  <c r="CH44" i="31"/>
  <c r="CI44" i="31" s="1"/>
  <c r="V131" i="27" s="1"/>
  <c r="AP40" i="20" s="1"/>
  <c r="CK30" i="31"/>
  <c r="CJ30" i="31"/>
  <c r="BX30" i="31"/>
  <c r="W120" i="27"/>
  <c r="CC33" i="31"/>
  <c r="CD33" i="31" s="1"/>
  <c r="X120" i="27" s="1"/>
  <c r="W74" i="27"/>
  <c r="CC30" i="26"/>
  <c r="CD30" i="26" s="1"/>
  <c r="X74" i="27" s="1"/>
  <c r="CE28" i="31"/>
  <c r="CF28" i="31" s="1"/>
  <c r="CG28" i="31" s="1"/>
  <c r="T115" i="27" s="1"/>
  <c r="AJ24" i="20" s="1"/>
  <c r="CE32" i="25"/>
  <c r="CF32" i="25" s="1"/>
  <c r="U33" i="27" s="1"/>
  <c r="CC42" i="25"/>
  <c r="CD42" i="25" s="1"/>
  <c r="X43" i="27" s="1"/>
  <c r="W43" i="27"/>
  <c r="CL24" i="31"/>
  <c r="CC35" i="31"/>
  <c r="CD35" i="31" s="1"/>
  <c r="X122" i="27" s="1"/>
  <c r="CE35" i="31"/>
  <c r="CF35" i="31" s="1"/>
  <c r="U122" i="27" s="1"/>
  <c r="U111" i="27"/>
  <c r="CE45" i="31"/>
  <c r="CF45" i="31" s="1"/>
  <c r="U132" i="27" s="1"/>
  <c r="W33" i="27"/>
  <c r="U65" i="27"/>
  <c r="CC45" i="31"/>
  <c r="CD45" i="31" s="1"/>
  <c r="X132" i="27" s="1"/>
  <c r="CL21" i="26"/>
  <c r="W34" i="27"/>
  <c r="CE33" i="25"/>
  <c r="CF33" i="25" s="1"/>
  <c r="CC33" i="25"/>
  <c r="CD33" i="25" s="1"/>
  <c r="X34" i="27" s="1"/>
  <c r="CE28" i="26"/>
  <c r="CF28" i="26" s="1"/>
  <c r="W72" i="27"/>
  <c r="CC28" i="26"/>
  <c r="CD28" i="26" s="1"/>
  <c r="X72" i="27" s="1"/>
  <c r="CG35" i="25"/>
  <c r="T36" i="27" s="1"/>
  <c r="AH31" i="20" s="1"/>
  <c r="U36" i="27"/>
  <c r="CL35" i="25"/>
  <c r="W47" i="27"/>
  <c r="CE46" i="25"/>
  <c r="CF46" i="25" s="1"/>
  <c r="CC46" i="25"/>
  <c r="CD46" i="25" s="1"/>
  <c r="X47" i="27" s="1"/>
  <c r="CC40" i="26"/>
  <c r="CD40" i="26" s="1"/>
  <c r="X84" i="27" s="1"/>
  <c r="W84" i="27"/>
  <c r="CE40" i="26"/>
  <c r="CF40" i="26" s="1"/>
  <c r="CG18" i="25"/>
  <c r="T19" i="27" s="1"/>
  <c r="AH14" i="20" s="1"/>
  <c r="U19" i="27"/>
  <c r="CL18" i="25"/>
  <c r="W113" i="27"/>
  <c r="CC26" i="31"/>
  <c r="CD26" i="31" s="1"/>
  <c r="X113" i="27" s="1"/>
  <c r="CE26" i="31"/>
  <c r="CF26" i="31" s="1"/>
  <c r="CE39" i="26"/>
  <c r="CF39" i="26" s="1"/>
  <c r="CC39" i="26"/>
  <c r="CD39" i="26" s="1"/>
  <c r="X83" i="27" s="1"/>
  <c r="W83" i="27"/>
  <c r="CC29" i="31"/>
  <c r="CD29" i="31" s="1"/>
  <c r="X116" i="27" s="1"/>
  <c r="CE29" i="31"/>
  <c r="CF29" i="31" s="1"/>
  <c r="W116" i="27"/>
  <c r="CC31" i="25"/>
  <c r="CD31" i="25" s="1"/>
  <c r="X32" i="27" s="1"/>
  <c r="W32" i="27"/>
  <c r="CE31" i="25"/>
  <c r="CF31" i="25" s="1"/>
  <c r="CG19" i="26"/>
  <c r="T63" i="27" s="1"/>
  <c r="AI15" i="20" s="1"/>
  <c r="CL19" i="26"/>
  <c r="U63" i="27"/>
  <c r="CG23" i="31"/>
  <c r="T110" i="27" s="1"/>
  <c r="AJ19" i="20" s="1"/>
  <c r="CE40" i="31"/>
  <c r="CF40" i="31" s="1"/>
  <c r="W127" i="27"/>
  <c r="CC40" i="31"/>
  <c r="CD40" i="31" s="1"/>
  <c r="X127" i="27" s="1"/>
  <c r="W78" i="27"/>
  <c r="CC34" i="26"/>
  <c r="CD34" i="26" s="1"/>
  <c r="X78" i="27" s="1"/>
  <c r="CE34" i="26"/>
  <c r="CF34" i="26" s="1"/>
  <c r="CL42" i="25"/>
  <c r="CG42" i="25"/>
  <c r="T43" i="27" s="1"/>
  <c r="AH38" i="20" s="1"/>
  <c r="U43" i="27"/>
  <c r="W119" i="27"/>
  <c r="CC32" i="31"/>
  <c r="CD32" i="31" s="1"/>
  <c r="X119" i="27" s="1"/>
  <c r="CE32" i="31"/>
  <c r="CF32" i="31" s="1"/>
  <c r="CC36" i="25"/>
  <c r="CD36" i="25" s="1"/>
  <c r="X37" i="27" s="1"/>
  <c r="CE36" i="25"/>
  <c r="CF36" i="25" s="1"/>
  <c r="W37" i="27"/>
  <c r="U73" i="27"/>
  <c r="CL29" i="26"/>
  <c r="CG29" i="26"/>
  <c r="T73" i="27" s="1"/>
  <c r="AI25" i="20" s="1"/>
  <c r="CC30" i="31"/>
  <c r="CD30" i="31" s="1"/>
  <c r="X117" i="27" s="1"/>
  <c r="CE30" i="31"/>
  <c r="CF30" i="31" s="1"/>
  <c r="W117" i="27"/>
  <c r="CL24" i="25"/>
  <c r="CG24" i="25"/>
  <c r="T25" i="27" s="1"/>
  <c r="AH20" i="20" s="1"/>
  <c r="U25" i="27"/>
  <c r="U23" i="27"/>
  <c r="CL22" i="25"/>
  <c r="CG22" i="25"/>
  <c r="T23" i="27" s="1"/>
  <c r="AH18" i="20" s="1"/>
  <c r="W44" i="27"/>
  <c r="CE43" i="25"/>
  <c r="CF43" i="25" s="1"/>
  <c r="CC43" i="25"/>
  <c r="CD43" i="25" s="1"/>
  <c r="X44" i="27" s="1"/>
  <c r="W30" i="27"/>
  <c r="CE29" i="25"/>
  <c r="CF29" i="25" s="1"/>
  <c r="CC29" i="25"/>
  <c r="CD29" i="25" s="1"/>
  <c r="X30" i="27" s="1"/>
  <c r="CG30" i="26"/>
  <c r="T74" i="27" s="1"/>
  <c r="AI26" i="20" s="1"/>
  <c r="U74" i="27"/>
  <c r="CL30" i="26"/>
  <c r="CE27" i="25"/>
  <c r="CF27" i="25" s="1"/>
  <c r="CC27" i="25"/>
  <c r="CD27" i="25" s="1"/>
  <c r="X28" i="27" s="1"/>
  <c r="W28" i="27"/>
  <c r="CE35" i="26"/>
  <c r="CF35" i="26" s="1"/>
  <c r="W79" i="27"/>
  <c r="CC35" i="26"/>
  <c r="CD35" i="26" s="1"/>
  <c r="X79" i="27" s="1"/>
  <c r="CE30" i="25"/>
  <c r="CF30" i="25" s="1"/>
  <c r="CC30" i="25"/>
  <c r="CD30" i="25" s="1"/>
  <c r="X31" i="27" s="1"/>
  <c r="W31" i="27"/>
  <c r="CE31" i="26"/>
  <c r="CF31" i="26" s="1"/>
  <c r="W75" i="27"/>
  <c r="CC31" i="26"/>
  <c r="CD31" i="26" s="1"/>
  <c r="X75" i="27" s="1"/>
  <c r="CE32" i="26"/>
  <c r="CF32" i="26" s="1"/>
  <c r="W76" i="27"/>
  <c r="CC32" i="26"/>
  <c r="CD32" i="26" s="1"/>
  <c r="X76" i="27" s="1"/>
  <c r="CE36" i="31"/>
  <c r="CF36" i="31" s="1"/>
  <c r="CC36" i="31"/>
  <c r="CD36" i="31" s="1"/>
  <c r="X123" i="27" s="1"/>
  <c r="W123" i="27"/>
  <c r="CC28" i="25"/>
  <c r="CD28" i="25" s="1"/>
  <c r="X29" i="27" s="1"/>
  <c r="CE28" i="25"/>
  <c r="CF28" i="25" s="1"/>
  <c r="W29" i="27"/>
  <c r="CL33" i="31"/>
  <c r="CG33" i="31"/>
  <c r="T120" i="27" s="1"/>
  <c r="AJ29" i="20" s="1"/>
  <c r="U120" i="27"/>
  <c r="W80" i="27"/>
  <c r="CC36" i="26"/>
  <c r="CD36" i="26" s="1"/>
  <c r="X80" i="27" s="1"/>
  <c r="CE36" i="26"/>
  <c r="CF36" i="26" s="1"/>
  <c r="W71" i="27"/>
  <c r="CE27" i="26"/>
  <c r="CF27" i="26" s="1"/>
  <c r="CC27" i="26"/>
  <c r="CD27" i="26" s="1"/>
  <c r="X71" i="27" s="1"/>
  <c r="CC44" i="25"/>
  <c r="CD44" i="25" s="1"/>
  <c r="X45" i="27" s="1"/>
  <c r="CE44" i="25"/>
  <c r="CF44" i="25" s="1"/>
  <c r="W45" i="27"/>
  <c r="W87" i="27"/>
  <c r="CC43" i="26"/>
  <c r="CD43" i="26" s="1"/>
  <c r="X87" i="27" s="1"/>
  <c r="CE43" i="26"/>
  <c r="CF43" i="26" s="1"/>
  <c r="CL23" i="26"/>
  <c r="CG23" i="26"/>
  <c r="T67" i="27" s="1"/>
  <c r="AI19" i="20" s="1"/>
  <c r="U67" i="27"/>
  <c r="CE38" i="26"/>
  <c r="CF38" i="26" s="1"/>
  <c r="W82" i="27"/>
  <c r="CC38" i="26"/>
  <c r="CD38" i="26" s="1"/>
  <c r="X82" i="27" s="1"/>
  <c r="CL33" i="26"/>
  <c r="CG33" i="26"/>
  <c r="T77" i="27" s="1"/>
  <c r="AI29" i="20" s="1"/>
  <c r="U77" i="27"/>
  <c r="U22" i="27"/>
  <c r="CL21" i="25"/>
  <c r="CG21" i="25"/>
  <c r="T22" i="27" s="1"/>
  <c r="AH17" i="20" s="1"/>
  <c r="W88" i="27"/>
  <c r="CC44" i="26"/>
  <c r="CD44" i="26" s="1"/>
  <c r="X88" i="27" s="1"/>
  <c r="CE44" i="26"/>
  <c r="CF44" i="26" s="1"/>
  <c r="W90" i="27"/>
  <c r="CE46" i="26"/>
  <c r="CF46" i="26" s="1"/>
  <c r="CC46" i="26"/>
  <c r="CD46" i="26" s="1"/>
  <c r="X90" i="27" s="1"/>
  <c r="W81" i="27"/>
  <c r="CE37" i="26"/>
  <c r="CF37" i="26" s="1"/>
  <c r="CC37" i="26"/>
  <c r="CD37" i="26" s="1"/>
  <c r="X81" i="27" s="1"/>
  <c r="CL25" i="31"/>
  <c r="CG25" i="31"/>
  <c r="T112" i="27" s="1"/>
  <c r="AJ21" i="20" s="1"/>
  <c r="U112" i="27"/>
  <c r="CL19" i="25"/>
  <c r="U20" i="27"/>
  <c r="CG19" i="25"/>
  <c r="T20" i="27" s="1"/>
  <c r="AH15" i="20" s="1"/>
  <c r="CE45" i="25"/>
  <c r="CF45" i="25" s="1"/>
  <c r="W46" i="27"/>
  <c r="CC45" i="25"/>
  <c r="CD45" i="25" s="1"/>
  <c r="X46" i="27" s="1"/>
  <c r="CC42" i="31"/>
  <c r="CD42" i="31" s="1"/>
  <c r="X129" i="27" s="1"/>
  <c r="W129" i="27"/>
  <c r="CE42" i="31"/>
  <c r="CF42" i="31" s="1"/>
  <c r="CE37" i="31"/>
  <c r="CF37" i="31" s="1"/>
  <c r="W124" i="27"/>
  <c r="CC37" i="31"/>
  <c r="CD37" i="31" s="1"/>
  <c r="X124" i="27" s="1"/>
  <c r="CE45" i="26"/>
  <c r="CF45" i="26" s="1"/>
  <c r="W89" i="27"/>
  <c r="CC45" i="26"/>
  <c r="CD45" i="26" s="1"/>
  <c r="X89" i="27" s="1"/>
  <c r="CE40" i="25"/>
  <c r="CF40" i="25" s="1"/>
  <c r="CC40" i="25"/>
  <c r="CD40" i="25" s="1"/>
  <c r="X41" i="27" s="1"/>
  <c r="W41" i="27"/>
  <c r="CG22" i="31"/>
  <c r="T109" i="27" s="1"/>
  <c r="AJ18" i="20" s="1"/>
  <c r="U109" i="27"/>
  <c r="CL22" i="31"/>
  <c r="CC31" i="31"/>
  <c r="CD31" i="31" s="1"/>
  <c r="X118" i="27" s="1"/>
  <c r="W118" i="27"/>
  <c r="CE31" i="31"/>
  <c r="CF31" i="31" s="1"/>
  <c r="W35" i="27"/>
  <c r="CE34" i="25"/>
  <c r="CF34" i="25" s="1"/>
  <c r="CC34" i="25"/>
  <c r="CD34" i="25" s="1"/>
  <c r="X35" i="27" s="1"/>
  <c r="CG41" i="26"/>
  <c r="T85" i="27" s="1"/>
  <c r="AI37" i="20" s="1"/>
  <c r="U85" i="27"/>
  <c r="CL41" i="26"/>
  <c r="U66" i="27"/>
  <c r="CL22" i="26"/>
  <c r="CG22" i="26"/>
  <c r="T66" i="27" s="1"/>
  <c r="AI18" i="20" s="1"/>
  <c r="CL38" i="25"/>
  <c r="CG38" i="25"/>
  <c r="T39" i="27" s="1"/>
  <c r="AH34" i="20" s="1"/>
  <c r="U39" i="27"/>
  <c r="W27" i="27"/>
  <c r="CE26" i="25"/>
  <c r="CF26" i="25" s="1"/>
  <c r="CC26" i="25"/>
  <c r="CD26" i="25" s="1"/>
  <c r="X27" i="27" s="1"/>
  <c r="CE41" i="31"/>
  <c r="CF41" i="31" s="1"/>
  <c r="W128" i="27"/>
  <c r="CC41" i="31"/>
  <c r="CD41" i="31" s="1"/>
  <c r="X128" i="27" s="1"/>
  <c r="CL41" i="25"/>
  <c r="CG41" i="25"/>
  <c r="T42" i="27" s="1"/>
  <c r="AH37" i="20" s="1"/>
  <c r="U42" i="27"/>
  <c r="CC39" i="31"/>
  <c r="CD39" i="31" s="1"/>
  <c r="X126" i="27" s="1"/>
  <c r="W126" i="27"/>
  <c r="CE39" i="31"/>
  <c r="CF39" i="31" s="1"/>
  <c r="CL39" i="25"/>
  <c r="CG39" i="25"/>
  <c r="T40" i="27" s="1"/>
  <c r="AH35" i="20" s="1"/>
  <c r="U40" i="27"/>
  <c r="U62" i="27"/>
  <c r="CL18" i="26"/>
  <c r="CG18" i="26"/>
  <c r="T62" i="27" s="1"/>
  <c r="AI14" i="20" s="1"/>
  <c r="CC37" i="25"/>
  <c r="CD37" i="25" s="1"/>
  <c r="X38" i="27" s="1"/>
  <c r="W38" i="27"/>
  <c r="CE37" i="25"/>
  <c r="CF37" i="25" s="1"/>
  <c r="CC27" i="31"/>
  <c r="CD27" i="31" s="1"/>
  <c r="X114" i="27" s="1"/>
  <c r="W114" i="27"/>
  <c r="CE27" i="31"/>
  <c r="CF27" i="31" s="1"/>
  <c r="CE42" i="26"/>
  <c r="CF42" i="26" s="1"/>
  <c r="CC42" i="26"/>
  <c r="CD42" i="26" s="1"/>
  <c r="X86" i="27" s="1"/>
  <c r="W86" i="27"/>
  <c r="U68" i="27"/>
  <c r="CG24" i="26"/>
  <c r="T68" i="27" s="1"/>
  <c r="AI20" i="20" s="1"/>
  <c r="CL24" i="26"/>
  <c r="CL20" i="25"/>
  <c r="U21" i="27"/>
  <c r="CG20" i="25"/>
  <c r="T21" i="27" s="1"/>
  <c r="AH16" i="20" s="1"/>
  <c r="CC38" i="31"/>
  <c r="CD38" i="31" s="1"/>
  <c r="X125" i="27" s="1"/>
  <c r="CE38" i="31"/>
  <c r="CF38" i="31" s="1"/>
  <c r="W125" i="27"/>
  <c r="W70" i="27"/>
  <c r="CC26" i="26"/>
  <c r="CD26" i="26" s="1"/>
  <c r="X70" i="27" s="1"/>
  <c r="CE26" i="26"/>
  <c r="CF26" i="26" s="1"/>
  <c r="W131" i="27"/>
  <c r="CC44" i="31"/>
  <c r="CD44" i="31" s="1"/>
  <c r="X131" i="27" s="1"/>
  <c r="CE44" i="31"/>
  <c r="CF44" i="31" s="1"/>
  <c r="CG17" i="26"/>
  <c r="T61" i="27" s="1"/>
  <c r="AI13" i="20" s="1"/>
  <c r="U61" i="27"/>
  <c r="CL17" i="26"/>
  <c r="CE43" i="31"/>
  <c r="CF43" i="31" s="1"/>
  <c r="W130" i="27"/>
  <c r="CC43" i="31"/>
  <c r="CD43" i="31" s="1"/>
  <c r="X130" i="27" s="1"/>
  <c r="W121" i="27"/>
  <c r="CE34" i="31"/>
  <c r="CF34" i="31" s="1"/>
  <c r="CC34" i="31"/>
  <c r="CD34" i="31" s="1"/>
  <c r="X121" i="27" s="1"/>
  <c r="CL23" i="31" l="1"/>
  <c r="U133" i="27"/>
  <c r="U107" i="27"/>
  <c r="CC28" i="31"/>
  <c r="CD28" i="31" s="1"/>
  <c r="X115" i="27" s="1"/>
  <c r="CG46" i="31"/>
  <c r="T133" i="27" s="1"/>
  <c r="AJ42" i="20" s="1"/>
  <c r="CL19" i="31"/>
  <c r="U106" i="27"/>
  <c r="U18" i="27"/>
  <c r="CG17" i="25"/>
  <c r="T18" i="27" s="1"/>
  <c r="AH13" i="20" s="1"/>
  <c r="U105" i="27"/>
  <c r="U108" i="27"/>
  <c r="CG21" i="31"/>
  <c r="T108" i="27" s="1"/>
  <c r="AJ17" i="20" s="1"/>
  <c r="CL20" i="26"/>
  <c r="CG20" i="26"/>
  <c r="T64" i="27" s="1"/>
  <c r="AI16" i="20" s="1"/>
  <c r="CG18" i="31"/>
  <c r="T105" i="27" s="1"/>
  <c r="AJ14" i="20" s="1"/>
  <c r="CL20" i="31"/>
  <c r="CG17" i="31"/>
  <c r="T104" i="27" s="1"/>
  <c r="AJ13" i="20" s="1"/>
  <c r="U104" i="27"/>
  <c r="CL28" i="31"/>
  <c r="U115" i="27"/>
  <c r="CG32" i="25"/>
  <c r="T33" i="27" s="1"/>
  <c r="AH28" i="20" s="1"/>
  <c r="CG45" i="31"/>
  <c r="T132" i="27" s="1"/>
  <c r="AJ41" i="20" s="1"/>
  <c r="CL32" i="25"/>
  <c r="CL45" i="31"/>
  <c r="CG35" i="31"/>
  <c r="T122" i="27" s="1"/>
  <c r="AJ31" i="20" s="1"/>
  <c r="CL35" i="31"/>
  <c r="U118" i="27"/>
  <c r="CL31" i="31"/>
  <c r="CG31" i="31"/>
  <c r="T118" i="27" s="1"/>
  <c r="AJ27" i="20" s="1"/>
  <c r="CL37" i="31"/>
  <c r="CG37" i="31"/>
  <c r="T124" i="27" s="1"/>
  <c r="AJ33" i="20" s="1"/>
  <c r="U124" i="27"/>
  <c r="CL37" i="26"/>
  <c r="CG37" i="26"/>
  <c r="T81" i="27" s="1"/>
  <c r="AI33" i="20" s="1"/>
  <c r="U81" i="27"/>
  <c r="U87" i="27"/>
  <c r="CL43" i="26"/>
  <c r="CG43" i="26"/>
  <c r="T87" i="27" s="1"/>
  <c r="AI39" i="20" s="1"/>
  <c r="CG44" i="25"/>
  <c r="T45" i="27" s="1"/>
  <c r="AH40" i="20" s="1"/>
  <c r="U45" i="27"/>
  <c r="CL44" i="25"/>
  <c r="CG31" i="26"/>
  <c r="T75" i="27" s="1"/>
  <c r="AI27" i="20" s="1"/>
  <c r="U75" i="27"/>
  <c r="CL31" i="26"/>
  <c r="U28" i="27"/>
  <c r="CL27" i="25"/>
  <c r="CG27" i="25"/>
  <c r="T28" i="27" s="1"/>
  <c r="AH23" i="20" s="1"/>
  <c r="CG43" i="25"/>
  <c r="T44" i="27" s="1"/>
  <c r="AH39" i="20" s="1"/>
  <c r="U44" i="27"/>
  <c r="CL43" i="25"/>
  <c r="U127" i="27"/>
  <c r="CL40" i="31"/>
  <c r="CG40" i="31"/>
  <c r="T127" i="27" s="1"/>
  <c r="AJ36" i="20" s="1"/>
  <c r="U72" i="27"/>
  <c r="CL28" i="26"/>
  <c r="CG28" i="26"/>
  <c r="T72" i="27" s="1"/>
  <c r="AI24" i="20" s="1"/>
  <c r="CG42" i="26"/>
  <c r="T86" i="27" s="1"/>
  <c r="AI38" i="20" s="1"/>
  <c r="U86" i="27"/>
  <c r="CL42" i="26"/>
  <c r="CL26" i="25"/>
  <c r="CG26" i="25"/>
  <c r="T27" i="27" s="1"/>
  <c r="AH22" i="20" s="1"/>
  <c r="U27" i="27"/>
  <c r="CL42" i="31"/>
  <c r="CG42" i="31"/>
  <c r="T129" i="27" s="1"/>
  <c r="AJ38" i="20" s="1"/>
  <c r="U129" i="27"/>
  <c r="U88" i="27"/>
  <c r="CL44" i="26"/>
  <c r="CG44" i="26"/>
  <c r="T88" i="27" s="1"/>
  <c r="AI40" i="20" s="1"/>
  <c r="U80" i="27"/>
  <c r="CL36" i="26"/>
  <c r="CG36" i="26"/>
  <c r="T80" i="27" s="1"/>
  <c r="AI32" i="20" s="1"/>
  <c r="U76" i="27"/>
  <c r="CL32" i="26"/>
  <c r="CG32" i="26"/>
  <c r="T76" i="27" s="1"/>
  <c r="AI28" i="20" s="1"/>
  <c r="U30" i="27"/>
  <c r="CL29" i="25"/>
  <c r="CG29" i="25"/>
  <c r="T30" i="27" s="1"/>
  <c r="AH25" i="20" s="1"/>
  <c r="U117" i="27"/>
  <c r="CL30" i="31"/>
  <c r="CG30" i="31"/>
  <c r="T117" i="27" s="1"/>
  <c r="AJ26" i="20" s="1"/>
  <c r="CG32" i="31"/>
  <c r="T119" i="27" s="1"/>
  <c r="AJ28" i="20" s="1"/>
  <c r="U119" i="27"/>
  <c r="CL32" i="31"/>
  <c r="CG40" i="26"/>
  <c r="T84" i="27" s="1"/>
  <c r="AI36" i="20" s="1"/>
  <c r="U84" i="27"/>
  <c r="CL40" i="26"/>
  <c r="U47" i="27"/>
  <c r="CL46" i="25"/>
  <c r="CG46" i="25"/>
  <c r="T47" i="27" s="1"/>
  <c r="AH42" i="20" s="1"/>
  <c r="U130" i="27"/>
  <c r="CL43" i="31"/>
  <c r="CG43" i="31"/>
  <c r="T130" i="27" s="1"/>
  <c r="AJ39" i="20" s="1"/>
  <c r="CL44" i="31"/>
  <c r="CG44" i="31"/>
  <c r="T131" i="27" s="1"/>
  <c r="AJ40" i="20" s="1"/>
  <c r="U131" i="27"/>
  <c r="CL37" i="25"/>
  <c r="CG37" i="25"/>
  <c r="T38" i="27" s="1"/>
  <c r="AH33" i="20" s="1"/>
  <c r="U38" i="27"/>
  <c r="U35" i="27"/>
  <c r="CL34" i="25"/>
  <c r="CG34" i="25"/>
  <c r="T35" i="27" s="1"/>
  <c r="AH30" i="20" s="1"/>
  <c r="U46" i="27"/>
  <c r="CL45" i="25"/>
  <c r="CG45" i="25"/>
  <c r="T46" i="27" s="1"/>
  <c r="AH41" i="20" s="1"/>
  <c r="U29" i="27"/>
  <c r="CL28" i="25"/>
  <c r="CG28" i="25"/>
  <c r="T29" i="27" s="1"/>
  <c r="AH24" i="20" s="1"/>
  <c r="U123" i="27"/>
  <c r="CL36" i="31"/>
  <c r="CG36" i="31"/>
  <c r="T123" i="27" s="1"/>
  <c r="AJ32" i="20" s="1"/>
  <c r="CL35" i="26"/>
  <c r="CG35" i="26"/>
  <c r="T79" i="27" s="1"/>
  <c r="AI31" i="20" s="1"/>
  <c r="U79" i="27"/>
  <c r="CL31" i="25"/>
  <c r="CG31" i="25"/>
  <c r="T32" i="27" s="1"/>
  <c r="AH27" i="20" s="1"/>
  <c r="U32" i="27"/>
  <c r="CL29" i="31"/>
  <c r="CG29" i="31"/>
  <c r="T116" i="27" s="1"/>
  <c r="AJ25" i="20" s="1"/>
  <c r="U116" i="27"/>
  <c r="CG39" i="26"/>
  <c r="T83" i="27" s="1"/>
  <c r="AI35" i="20" s="1"/>
  <c r="U83" i="27"/>
  <c r="CL39" i="26"/>
  <c r="CG33" i="25"/>
  <c r="T34" i="27" s="1"/>
  <c r="AH29" i="20" s="1"/>
  <c r="U34" i="27"/>
  <c r="CL33" i="25"/>
  <c r="U41" i="27"/>
  <c r="CL40" i="25"/>
  <c r="CG40" i="25"/>
  <c r="T41" i="27" s="1"/>
  <c r="AH36" i="20" s="1"/>
  <c r="CG34" i="31"/>
  <c r="T121" i="27" s="1"/>
  <c r="AJ30" i="20" s="1"/>
  <c r="U121" i="27"/>
  <c r="CL34" i="31"/>
  <c r="CL26" i="26"/>
  <c r="CG26" i="26"/>
  <c r="T70" i="27" s="1"/>
  <c r="AI22" i="20" s="1"/>
  <c r="U70" i="27"/>
  <c r="U125" i="27"/>
  <c r="CL38" i="31"/>
  <c r="CG38" i="31"/>
  <c r="T125" i="27" s="1"/>
  <c r="AJ34" i="20" s="1"/>
  <c r="CL27" i="31"/>
  <c r="CG27" i="31"/>
  <c r="T114" i="27" s="1"/>
  <c r="AJ23" i="20" s="1"/>
  <c r="U114" i="27"/>
  <c r="CL39" i="31"/>
  <c r="CG39" i="31"/>
  <c r="T126" i="27" s="1"/>
  <c r="AJ35" i="20" s="1"/>
  <c r="U126" i="27"/>
  <c r="CG41" i="31"/>
  <c r="T128" i="27" s="1"/>
  <c r="AJ37" i="20" s="1"/>
  <c r="U128" i="27"/>
  <c r="CL41" i="31"/>
  <c r="CL45" i="26"/>
  <c r="CG45" i="26"/>
  <c r="T89" i="27" s="1"/>
  <c r="AI41" i="20" s="1"/>
  <c r="U89" i="27"/>
  <c r="U90" i="27"/>
  <c r="CL46" i="26"/>
  <c r="CG46" i="26"/>
  <c r="T90" i="27" s="1"/>
  <c r="AI42" i="20" s="1"/>
  <c r="CG38" i="26"/>
  <c r="T82" i="27" s="1"/>
  <c r="AI34" i="20" s="1"/>
  <c r="U82" i="27"/>
  <c r="CL38" i="26"/>
  <c r="CG27" i="26"/>
  <c r="T71" i="27" s="1"/>
  <c r="AI23" i="20" s="1"/>
  <c r="U71" i="27"/>
  <c r="CL27" i="26"/>
  <c r="CG30" i="25"/>
  <c r="T31" i="27" s="1"/>
  <c r="AH26" i="20" s="1"/>
  <c r="U31" i="27"/>
  <c r="CL30" i="25"/>
  <c r="CG36" i="25"/>
  <c r="T37" i="27" s="1"/>
  <c r="AH32" i="20" s="1"/>
  <c r="U37" i="27"/>
  <c r="CL36" i="25"/>
  <c r="U78" i="27"/>
  <c r="CL34" i="26"/>
  <c r="CG34" i="26"/>
  <c r="T78" i="27" s="1"/>
  <c r="AI30" i="20" s="1"/>
  <c r="CG26" i="31"/>
  <c r="T113" i="27" s="1"/>
  <c r="AJ22" i="20" s="1"/>
  <c r="U113" i="27"/>
  <c r="CL26" i="31"/>
  <c r="BR11" i="20" l="1"/>
  <c r="BM11" i="20" l="1"/>
  <c r="BL11" i="20"/>
  <c r="BP11" i="20"/>
  <c r="BN11" i="20"/>
  <c r="BQ11" i="20"/>
  <c r="BO11" i="20"/>
  <c r="AM20" i="20"/>
  <c r="AS20" i="20" s="1"/>
  <c r="AM18" i="20"/>
  <c r="AS18" i="20" s="1"/>
  <c r="AM42" i="20"/>
  <c r="AS42" i="20" s="1"/>
  <c r="AM14" i="20"/>
  <c r="AS14" i="20" s="1"/>
  <c r="AM21" i="20"/>
  <c r="AS21" i="20" s="1"/>
  <c r="AM17" i="20"/>
  <c r="AS17" i="20" s="1"/>
  <c r="AM29" i="20"/>
  <c r="AS29" i="20" s="1"/>
  <c r="AM15" i="20"/>
  <c r="AS15" i="20" s="1"/>
  <c r="AM19" i="20"/>
  <c r="AS19" i="20" s="1"/>
  <c r="AM16" i="20"/>
  <c r="AS16" i="20" s="1"/>
  <c r="AM13" i="20"/>
  <c r="AS13" i="20" s="1"/>
  <c r="AM24" i="20"/>
  <c r="AS24" i="20" s="1"/>
  <c r="AL13" i="20"/>
  <c r="AM22" i="20"/>
  <c r="AS22" i="20" s="1"/>
  <c r="AM37" i="20"/>
  <c r="AS37" i="20" s="1"/>
  <c r="AM35" i="20"/>
  <c r="AS35" i="20" s="1"/>
  <c r="AM23" i="20"/>
  <c r="AS23" i="20" s="1"/>
  <c r="AM34" i="20"/>
  <c r="AS34" i="20" s="1"/>
  <c r="AM30" i="20"/>
  <c r="AS30" i="20" s="1"/>
  <c r="AM25" i="20"/>
  <c r="AS25" i="20" s="1"/>
  <c r="AM32" i="20"/>
  <c r="AS32" i="20" s="1"/>
  <c r="AM40" i="20"/>
  <c r="AS40" i="20" s="1"/>
  <c r="AM39" i="20"/>
  <c r="AS39" i="20" s="1"/>
  <c r="AM28" i="20"/>
  <c r="AS28" i="20" s="1"/>
  <c r="AM26" i="20"/>
  <c r="AS26" i="20" s="1"/>
  <c r="AM38" i="20"/>
  <c r="AS38" i="20" s="1"/>
  <c r="AM36" i="20"/>
  <c r="AS36" i="20" s="1"/>
  <c r="AM33" i="20"/>
  <c r="AS33" i="20" s="1"/>
  <c r="AM27" i="20"/>
  <c r="AS27" i="20" s="1"/>
  <c r="AM31" i="20"/>
  <c r="AS31" i="20" s="1"/>
  <c r="AM41" i="20"/>
  <c r="AS41" i="20" s="1"/>
  <c r="AK13" i="20"/>
  <c r="AQ13" i="20" s="1"/>
  <c r="AK21" i="20"/>
  <c r="AQ21" i="20" s="1"/>
  <c r="AK20" i="20"/>
  <c r="AQ20" i="20" s="1"/>
  <c r="AK19" i="20"/>
  <c r="AQ19" i="20" s="1"/>
  <c r="AK18" i="20"/>
  <c r="AQ18" i="20" s="1"/>
  <c r="AK17" i="20"/>
  <c r="AQ17" i="20" s="1"/>
  <c r="AK16" i="20"/>
  <c r="AQ16" i="20" s="1"/>
  <c r="AK15" i="20"/>
  <c r="AQ15" i="20" s="1"/>
  <c r="AK14" i="20"/>
  <c r="AQ14" i="20" s="1"/>
  <c r="AL14" i="20"/>
  <c r="AR14" i="20" s="1"/>
  <c r="AL21" i="20"/>
  <c r="AR21" i="20" s="1"/>
  <c r="AL20" i="20"/>
  <c r="AR20" i="20" s="1"/>
  <c r="AL19" i="20"/>
  <c r="AR19" i="20" s="1"/>
  <c r="AL18" i="20"/>
  <c r="AR18" i="20" s="1"/>
  <c r="AL17" i="20"/>
  <c r="AR17" i="20" s="1"/>
  <c r="AL16" i="20"/>
  <c r="AR16" i="20" s="1"/>
  <c r="AM12" i="20"/>
  <c r="AS12" i="20" s="1"/>
  <c r="BR12" i="20" s="1"/>
  <c r="AK22" i="20"/>
  <c r="AK41" i="20"/>
  <c r="AQ41" i="20" s="1"/>
  <c r="AK40" i="20"/>
  <c r="AQ40" i="20" s="1"/>
  <c r="AK39" i="20"/>
  <c r="AQ39" i="20" s="1"/>
  <c r="AK38" i="20"/>
  <c r="AQ38" i="20" s="1"/>
  <c r="AK37" i="20"/>
  <c r="AQ37" i="20" s="1"/>
  <c r="AK36" i="20"/>
  <c r="AQ36" i="20" s="1"/>
  <c r="AK35" i="20"/>
  <c r="AQ35" i="20" s="1"/>
  <c r="AK34" i="20"/>
  <c r="AQ34" i="20" s="1"/>
  <c r="AK33" i="20"/>
  <c r="AQ33" i="20" s="1"/>
  <c r="AK32" i="20"/>
  <c r="AQ32" i="20" s="1"/>
  <c r="AK31" i="20"/>
  <c r="AQ31" i="20" s="1"/>
  <c r="AK30" i="20"/>
  <c r="AQ30" i="20" s="1"/>
  <c r="AK29" i="20"/>
  <c r="AQ29" i="20" s="1"/>
  <c r="AK28" i="20"/>
  <c r="AQ28" i="20" s="1"/>
  <c r="AK27" i="20"/>
  <c r="AQ27" i="20" s="1"/>
  <c r="AK26" i="20"/>
  <c r="AQ26" i="20" s="1"/>
  <c r="AK25" i="20"/>
  <c r="AQ25" i="20" s="1"/>
  <c r="AK24" i="20"/>
  <c r="AQ24" i="20" s="1"/>
  <c r="AK23" i="20"/>
  <c r="AQ23" i="20" s="1"/>
  <c r="AL22" i="20"/>
  <c r="AR22" i="20" s="1"/>
  <c r="AL41" i="20"/>
  <c r="AR41" i="20" s="1"/>
  <c r="AL40" i="20"/>
  <c r="AR40" i="20" s="1"/>
  <c r="AL39" i="20"/>
  <c r="AR39" i="20" s="1"/>
  <c r="AL38" i="20"/>
  <c r="AR38" i="20" s="1"/>
  <c r="AL37" i="20"/>
  <c r="AR37" i="20" s="1"/>
  <c r="AL36" i="20"/>
  <c r="AR36" i="20" s="1"/>
  <c r="AL35" i="20"/>
  <c r="AR35" i="20" s="1"/>
  <c r="AL34" i="20"/>
  <c r="AR34" i="20" s="1"/>
  <c r="AL33" i="20"/>
  <c r="AR33" i="20" s="1"/>
  <c r="AL32" i="20"/>
  <c r="AR32" i="20" s="1"/>
  <c r="AL31" i="20"/>
  <c r="AR31" i="20" s="1"/>
  <c r="AL30" i="20"/>
  <c r="AR30" i="20" s="1"/>
  <c r="AL29" i="20"/>
  <c r="AR29" i="20" s="1"/>
  <c r="AL28" i="20"/>
  <c r="AR28" i="20" s="1"/>
  <c r="AL27" i="20"/>
  <c r="AR27" i="20" s="1"/>
  <c r="AL26" i="20"/>
  <c r="AR26" i="20" s="1"/>
  <c r="AL25" i="20"/>
  <c r="AR25" i="20" s="1"/>
  <c r="AL24" i="20"/>
  <c r="AR24" i="20" s="1"/>
  <c r="AL23" i="20"/>
  <c r="AR23" i="20" s="1"/>
  <c r="AL42" i="20"/>
  <c r="AR42" i="20" s="1"/>
  <c r="AK42" i="20"/>
  <c r="AQ42" i="20" s="1"/>
  <c r="BL12" i="20" l="1"/>
  <c r="BL13" i="20" s="1"/>
  <c r="BL14" i="20" s="1"/>
  <c r="BL15" i="20" s="1"/>
  <c r="BL16" i="20" s="1"/>
  <c r="BL17" i="20" s="1"/>
  <c r="BL18" i="20" s="1"/>
  <c r="BL19" i="20" s="1"/>
  <c r="BL20" i="20" s="1"/>
  <c r="BL21" i="20" s="1"/>
  <c r="BL22" i="20" s="1"/>
  <c r="BL23" i="20" s="1"/>
  <c r="BL24" i="20" s="1"/>
  <c r="BL25" i="20" s="1"/>
  <c r="BL26" i="20" s="1"/>
  <c r="BL27" i="20" s="1"/>
  <c r="BL28" i="20" s="1"/>
  <c r="BL29" i="20" s="1"/>
  <c r="BL30" i="20" s="1"/>
  <c r="BL31" i="20" s="1"/>
  <c r="BL32" i="20" s="1"/>
  <c r="BL33" i="20" s="1"/>
  <c r="BL34" i="20" s="1"/>
  <c r="BL35" i="20" s="1"/>
  <c r="BL36" i="20" s="1"/>
  <c r="BL37" i="20" s="1"/>
  <c r="BL38" i="20" s="1"/>
  <c r="BL39" i="20" s="1"/>
  <c r="BL40" i="20" s="1"/>
  <c r="BL41" i="20" s="1"/>
  <c r="BL42" i="20" s="1"/>
  <c r="BM12" i="20"/>
  <c r="BM13" i="20" s="1"/>
  <c r="BM14" i="20" s="1"/>
  <c r="BM15" i="20" s="1"/>
  <c r="BM16" i="20" s="1"/>
  <c r="BM17" i="20" s="1"/>
  <c r="BM18" i="20" s="1"/>
  <c r="BM19" i="20" s="1"/>
  <c r="BM20" i="20" s="1"/>
  <c r="BM21" i="20" s="1"/>
  <c r="BM22" i="20" s="1"/>
  <c r="BM23" i="20" s="1"/>
  <c r="BM24" i="20" s="1"/>
  <c r="BM25" i="20" s="1"/>
  <c r="BM26" i="20" s="1"/>
  <c r="BM27" i="20" s="1"/>
  <c r="BM28" i="20" s="1"/>
  <c r="BM29" i="20" s="1"/>
  <c r="BM30" i="20" s="1"/>
  <c r="BM31" i="20" s="1"/>
  <c r="BM32" i="20" s="1"/>
  <c r="BM33" i="20" s="1"/>
  <c r="BM34" i="20" s="1"/>
  <c r="BM35" i="20" s="1"/>
  <c r="BM36" i="20" s="1"/>
  <c r="BM37" i="20" s="1"/>
  <c r="BM38" i="20" s="1"/>
  <c r="BM39" i="20" s="1"/>
  <c r="BM40" i="20" s="1"/>
  <c r="BM41" i="20" s="1"/>
  <c r="BM42" i="20" s="1"/>
  <c r="AL12" i="20"/>
  <c r="BO12" i="20" s="1"/>
  <c r="BO13" i="20" s="1"/>
  <c r="BO14" i="20" s="1"/>
  <c r="BR13" i="20"/>
  <c r="BR14" i="20" s="1"/>
  <c r="BR15" i="20" s="1"/>
  <c r="BR16" i="20" s="1"/>
  <c r="BR17" i="20" s="1"/>
  <c r="BR18" i="20" s="1"/>
  <c r="BR19" i="20" s="1"/>
  <c r="BR20" i="20" s="1"/>
  <c r="BR21" i="20" s="1"/>
  <c r="BR22" i="20" s="1"/>
  <c r="BR23" i="20" s="1"/>
  <c r="BR24" i="20" s="1"/>
  <c r="BR25" i="20" s="1"/>
  <c r="BR26" i="20" s="1"/>
  <c r="BR27" i="20" s="1"/>
  <c r="BR28" i="20" s="1"/>
  <c r="BR29" i="20" s="1"/>
  <c r="BR30" i="20" s="1"/>
  <c r="BR31" i="20" s="1"/>
  <c r="BR32" i="20" s="1"/>
  <c r="BR33" i="20" s="1"/>
  <c r="BR34" i="20" s="1"/>
  <c r="BR35" i="20" s="1"/>
  <c r="BR36" i="20" s="1"/>
  <c r="BR37" i="20" s="1"/>
  <c r="BR38" i="20" s="1"/>
  <c r="BR39" i="20" s="1"/>
  <c r="BR40" i="20" s="1"/>
  <c r="BR41" i="20" s="1"/>
  <c r="BR42" i="20" s="1"/>
  <c r="AL15" i="20"/>
  <c r="AK12" i="20"/>
  <c r="AR13" i="20"/>
  <c r="E143" i="21"/>
  <c r="D166" i="21"/>
  <c r="K143" i="21"/>
  <c r="AQ22" i="20"/>
  <c r="AR12" i="20" l="1"/>
  <c r="BQ12" i="20" s="1"/>
  <c r="BQ13" i="20" s="1"/>
  <c r="BQ14" i="20" s="1"/>
  <c r="BN12" i="20"/>
  <c r="BN13" i="20" s="1"/>
  <c r="BN14" i="20" s="1"/>
  <c r="BN15" i="20" s="1"/>
  <c r="BN16" i="20" s="1"/>
  <c r="BN17" i="20" s="1"/>
  <c r="BN18" i="20" s="1"/>
  <c r="BN19" i="20" s="1"/>
  <c r="BN20" i="20" s="1"/>
  <c r="BN21" i="20" s="1"/>
  <c r="BN22" i="20" s="1"/>
  <c r="BN23" i="20" s="1"/>
  <c r="BN24" i="20" s="1"/>
  <c r="BN25" i="20" s="1"/>
  <c r="BN26" i="20" s="1"/>
  <c r="BN27" i="20" s="1"/>
  <c r="BN28" i="20" s="1"/>
  <c r="BN29" i="20" s="1"/>
  <c r="BN30" i="20" s="1"/>
  <c r="BN31" i="20" s="1"/>
  <c r="BN32" i="20" s="1"/>
  <c r="BN33" i="20" s="1"/>
  <c r="BN34" i="20" s="1"/>
  <c r="BN35" i="20" s="1"/>
  <c r="BN36" i="20" s="1"/>
  <c r="BN37" i="20" s="1"/>
  <c r="BN38" i="20" s="1"/>
  <c r="BN39" i="20" s="1"/>
  <c r="BN40" i="20" s="1"/>
  <c r="BN41" i="20" s="1"/>
  <c r="BN42" i="20" s="1"/>
  <c r="AQ12" i="20"/>
  <c r="BP12" i="20" s="1"/>
  <c r="BP13" i="20" s="1"/>
  <c r="BP14" i="20" s="1"/>
  <c r="BP15" i="20" s="1"/>
  <c r="BP16" i="20" s="1"/>
  <c r="BP17" i="20" s="1"/>
  <c r="BP18" i="20" s="1"/>
  <c r="BP19" i="20" s="1"/>
  <c r="BP20" i="20" s="1"/>
  <c r="BP21" i="20" s="1"/>
  <c r="BP22" i="20" s="1"/>
  <c r="BP23" i="20" s="1"/>
  <c r="BP24" i="20" s="1"/>
  <c r="BP25" i="20" s="1"/>
  <c r="BP26" i="20" s="1"/>
  <c r="BP27" i="20" s="1"/>
  <c r="BP28" i="20" s="1"/>
  <c r="BP29" i="20" s="1"/>
  <c r="BP30" i="20" s="1"/>
  <c r="BP31" i="20" s="1"/>
  <c r="BP32" i="20" s="1"/>
  <c r="BP33" i="20" s="1"/>
  <c r="BP34" i="20" s="1"/>
  <c r="BP35" i="20" s="1"/>
  <c r="BP36" i="20" s="1"/>
  <c r="BP37" i="20" s="1"/>
  <c r="BP38" i="20" s="1"/>
  <c r="BP39" i="20" s="1"/>
  <c r="BP40" i="20" s="1"/>
  <c r="BP41" i="20" s="1"/>
  <c r="BP42" i="20" s="1"/>
  <c r="Z2" i="20"/>
  <c r="BO15" i="20"/>
  <c r="BO16" i="20" s="1"/>
  <c r="BO17" i="20" s="1"/>
  <c r="BO18" i="20" s="1"/>
  <c r="BO19" i="20" s="1"/>
  <c r="BO20" i="20" s="1"/>
  <c r="BO21" i="20" s="1"/>
  <c r="BO22" i="20" s="1"/>
  <c r="BO23" i="20" s="1"/>
  <c r="BO24" i="20" s="1"/>
  <c r="BO25" i="20" s="1"/>
  <c r="BO26" i="20" s="1"/>
  <c r="BO27" i="20" s="1"/>
  <c r="BO28" i="20" s="1"/>
  <c r="BO29" i="20" s="1"/>
  <c r="BO30" i="20" s="1"/>
  <c r="BO31" i="20" s="1"/>
  <c r="BO32" i="20" s="1"/>
  <c r="BO33" i="20" s="1"/>
  <c r="BO34" i="20" s="1"/>
  <c r="BO35" i="20" s="1"/>
  <c r="BO36" i="20" s="1"/>
  <c r="BO37" i="20" s="1"/>
  <c r="BO38" i="20" s="1"/>
  <c r="BO39" i="20" s="1"/>
  <c r="BO40" i="20" s="1"/>
  <c r="BO41" i="20" s="1"/>
  <c r="BO42" i="20" s="1"/>
  <c r="AR15" i="20"/>
  <c r="BQ15" i="20" l="1"/>
  <c r="BQ16" i="20" s="1"/>
  <c r="BQ17" i="20" s="1"/>
  <c r="BQ18" i="20" s="1"/>
  <c r="BQ19" i="20" s="1"/>
  <c r="BQ20" i="20" s="1"/>
  <c r="BQ21" i="20" s="1"/>
  <c r="BQ22" i="20" s="1"/>
  <c r="BQ23" i="20" s="1"/>
  <c r="BQ24" i="20" s="1"/>
  <c r="BQ25" i="20" s="1"/>
  <c r="BQ26" i="20" s="1"/>
  <c r="BQ27" i="20" s="1"/>
  <c r="BQ28" i="20" s="1"/>
  <c r="BQ29" i="20" s="1"/>
  <c r="BQ30" i="20" s="1"/>
  <c r="BQ31" i="20" s="1"/>
  <c r="BQ32" i="20" s="1"/>
  <c r="BQ33" i="20" s="1"/>
  <c r="BQ34" i="20" s="1"/>
  <c r="BQ35" i="20" s="1"/>
  <c r="BQ36" i="20" s="1"/>
  <c r="BQ37" i="20" s="1"/>
  <c r="BQ38" i="20" s="1"/>
  <c r="BQ39" i="20" s="1"/>
  <c r="BQ40" i="20" s="1"/>
  <c r="BQ41" i="20" s="1"/>
  <c r="BQ42" i="20" s="1"/>
  <c r="AA2" i="20" s="1"/>
  <c r="Y2" i="20"/>
  <c r="AZ11" i="20" l="1"/>
  <c r="D12" i="20"/>
  <c r="D13" i="20" s="1"/>
  <c r="D14" i="20" s="1"/>
  <c r="D15" i="20" s="1"/>
  <c r="D16" i="20" s="1"/>
  <c r="D17" i="20" s="1"/>
  <c r="D18" i="20" s="1"/>
  <c r="D19" i="20" s="1"/>
  <c r="D20" i="20" s="1"/>
  <c r="D21" i="20" s="1"/>
  <c r="D22" i="20" s="1"/>
  <c r="D23" i="20" s="1"/>
  <c r="D24" i="20" s="1"/>
  <c r="D25" i="20" s="1"/>
  <c r="D26" i="20" s="1"/>
  <c r="D27" i="20" s="1"/>
  <c r="D28" i="20" s="1"/>
  <c r="D29" i="20" s="1"/>
  <c r="D30" i="20" s="1"/>
  <c r="D31" i="20" s="1"/>
  <c r="D32" i="20" s="1"/>
  <c r="D33" i="20" s="1"/>
  <c r="D34" i="20" s="1"/>
  <c r="D35" i="20" s="1"/>
  <c r="D36" i="20" s="1"/>
  <c r="D37" i="20" s="1"/>
  <c r="D38" i="20" s="1"/>
  <c r="D39" i="20" s="1"/>
  <c r="D40" i="20" s="1"/>
  <c r="D41" i="20" s="1"/>
  <c r="AZ12" i="20" l="1"/>
  <c r="AZ13" i="20" s="1"/>
  <c r="AZ14" i="20" s="1"/>
  <c r="AZ15" i="20" s="1"/>
  <c r="AZ16" i="20" s="1"/>
  <c r="AZ17" i="20" s="1"/>
  <c r="AZ18" i="20" s="1"/>
  <c r="AZ19" i="20" s="1"/>
  <c r="AZ20" i="20" s="1"/>
  <c r="AZ21" i="20" s="1"/>
  <c r="AZ22" i="20" s="1"/>
  <c r="AZ23" i="20" s="1"/>
  <c r="AZ24" i="20" s="1"/>
  <c r="AZ25" i="20" s="1"/>
  <c r="AZ26" i="20" s="1"/>
  <c r="AZ27" i="20" s="1"/>
  <c r="AZ28" i="20" s="1"/>
  <c r="AZ29" i="20" s="1"/>
  <c r="AZ30" i="20" s="1"/>
  <c r="AZ31" i="20" s="1"/>
  <c r="AZ32" i="20" s="1"/>
  <c r="AZ33" i="20" s="1"/>
  <c r="AZ34" i="20" s="1"/>
  <c r="AZ35" i="20" s="1"/>
  <c r="AZ36" i="20" s="1"/>
  <c r="AZ37" i="20" s="1"/>
  <c r="AZ38" i="20" s="1"/>
  <c r="AZ39" i="20" s="1"/>
  <c r="AZ40" i="20" s="1"/>
  <c r="AZ41" i="20" s="1"/>
  <c r="AZ4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tc={DCA55A17-6594-4B4A-8ADB-DC2553384F51}</author>
  </authors>
  <commentList>
    <comment ref="F86" authorId="0" shapeId="0" xr:uid="{DCA55A17-6594-4B4A-8ADB-DC2553384F51}">
      <text>
        <t>[Threaded comment]
Your version of Excel allows you to read this threaded comment; however, any edits to it will get removed if the file is opened in a newer version of Excel. Learn more: https://go.microsoft.com/fwlink/?linkid=870924
Comment:
    Résolution numérique de l’équation : Budget Global Monde à 2100 / Emissions Monde 2018 = (1-(1-x)^83)/x, selon la formule de la somme des termes d’une suite géométrique, les émissions de l’année n+1 étant multipliées par (1-x) par rapport à l’année 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tc={49C43C37-DF1E-4E55-A740-FF637F39E90E}</author>
    <author>tc={408E57FE-1A16-4460-AB02-2C6247D98C6D}</author>
    <author>tc={5E38A779-10F1-4CD4-AC04-1A45C0065F79}</author>
    <author>tc={3D1CC725-AD6C-428B-B132-E1C2C8F77C28}</author>
    <author>tc={235D41BB-784D-42CF-906A-137F021D159C}</author>
    <author>tc={70ED6ACD-F511-4FDF-8275-A50F5ACA7D5B}</author>
    <author>tc={9DD251D2-C5F2-45FE-807C-D030087FB51B}</author>
    <author>tc={FE6F3B6F-A66C-4F48-9AE2-D1855E51F8C5}</author>
    <author>tc={2480F11A-611C-4EB0-B79F-43E3302F79CD}</author>
    <author>tc={6A8467A2-DCD8-4991-9984-5BDF2BDA315C}</author>
  </authors>
  <commentList>
    <comment ref="P42" authorId="0" shapeId="0" xr:uid="{49C43C37-DF1E-4E55-A740-FF637F39E90E}">
      <text>
        <t>[Threaded comment]
Your version of Excel allows you to read this threaded comment; however, any edits to it will get removed if the file is opened in a newer version of Excel. Learn more: https://go.microsoft.com/fwlink/?linkid=870924
Comment:
    [14]</t>
      </text>
    </comment>
    <comment ref="H43" authorId="1" shapeId="0" xr:uid="{408E57FE-1A16-4460-AB02-2C6247D98C6D}">
      <text>
        <t>[Threaded comment]
Your version of Excel allows you to read this threaded comment; however, any edits to it will get removed if the file is opened in a newer version of Excel. Learn more: https://go.microsoft.com/fwlink/?linkid=870924
Comment:
    [4]</t>
      </text>
    </comment>
    <comment ref="I43" authorId="2" shapeId="0" xr:uid="{5E38A779-10F1-4CD4-AC04-1A45C0065F79}">
      <text>
        <t>[Threaded comment]
Your version of Excel allows you to read this threaded comment; however, any edits to it will get removed if the file is opened in a newer version of Excel. Learn more: https://go.microsoft.com/fwlink/?linkid=870924
Comment:
    [4]</t>
      </text>
    </comment>
    <comment ref="J43" authorId="3" shapeId="0" xr:uid="{3D1CC725-AD6C-428B-B132-E1C2C8F77C28}">
      <text>
        <t>[Threaded comment]
Your version of Excel allows you to read this threaded comment; however, any edits to it will get removed if the file is opened in a newer version of Excel. Learn more: https://go.microsoft.com/fwlink/?linkid=870924
Comment:
    [3] Table 14</t>
      </text>
    </comment>
    <comment ref="I45" authorId="4" shapeId="0" xr:uid="{235D41BB-784D-42CF-906A-137F021D159C}">
      <text>
        <t>[Threaded comment]
Your version of Excel allows you to read this threaded comment; however, any edits to it will get removed if the file is opened in a newer version of Excel. Learn more: https://go.microsoft.com/fwlink/?linkid=870924
Comment:
    [6]</t>
      </text>
    </comment>
    <comment ref="I46" authorId="5" shapeId="0" xr:uid="{70ED6ACD-F511-4FDF-8275-A50F5ACA7D5B}">
      <text>
        <t>[Threaded comment]
Your version of Excel allows you to read this threaded comment; however, any edits to it will get removed if the file is opened in a newer version of Excel. Learn more: https://go.microsoft.com/fwlink/?linkid=870924
Comment:
    [8]</t>
      </text>
    </comment>
    <comment ref="H47" authorId="6" shapeId="0" xr:uid="{9DD251D2-C5F2-45FE-807C-D030087FB51B}">
      <text>
        <t>[Threaded comment]
Your version of Excel allows you to read this threaded comment; however, any edits to it will get removed if the file is opened in a newer version of Excel. Learn more: https://go.microsoft.com/fwlink/?linkid=870924
Comment:
    [13]</t>
      </text>
    </comment>
    <comment ref="I47" authorId="7" shapeId="0" xr:uid="{FE6F3B6F-A66C-4F48-9AE2-D1855E51F8C5}">
      <text>
        <t>[Threaded comment]
Your version of Excel allows you to read this threaded comment; however, any edits to it will get removed if the file is opened in a newer version of Excel. Learn more: https://go.microsoft.com/fwlink/?linkid=870924
Comment:
    [8]</t>
      </text>
    </comment>
    <comment ref="L48" authorId="8" shapeId="0" xr:uid="{2480F11A-611C-4EB0-B79F-43E3302F79CD}">
      <text>
        <t>[Threaded comment]
Your version of Excel allows you to read this threaded comment; however, any edits to it will get removed if the file is opened in a newer version of Excel. Learn more: https://go.microsoft.com/fwlink/?linkid=870924
Comment:
    [15] figure 11</t>
      </text>
    </comment>
    <comment ref="G61" authorId="9" shapeId="0" xr:uid="{6A8467A2-DCD8-4991-9984-5BDF2BDA315C}">
      <text>
        <t>[Threaded comment]
Your version of Excel allows you to read this threaded comment; however, any edits to it will get removed if the file is opened in a newer version of Excel. Learn more: https://go.microsoft.com/fwlink/?linkid=870924
Comment:
    [15] indique 15Mt de captation pour le CSC (stockage) ce qui ferait environ 5Mt pour du PTL, 3Mt est donc conservatif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900-000001000000}">
      <text>
        <r>
          <rPr>
            <sz val="11"/>
            <color theme="1"/>
            <rFont val="Arial"/>
            <family val="2"/>
          </rPr>
          <t>======
ID#AAAAKfATOjE
JARROSSAY Clement (SAFRAN AIRCRAFT ENGINES)    (2020-10-09 17:45:06)
Point de départ : j'ai renouvelé ma flotte selon les scénarios Avion 2030</t>
        </r>
      </text>
    </comment>
    <comment ref="J2" authorId="0" shapeId="0" xr:uid="{00000000-0006-0000-0900-000002000000}">
      <text>
        <r>
          <rPr>
            <sz val="11"/>
            <color rgb="FF000000"/>
            <rFont val="Arial"/>
            <family val="2"/>
          </rPr>
          <t xml:space="preserve">======
</t>
        </r>
        <r>
          <rPr>
            <sz val="11"/>
            <color rgb="FF000000"/>
            <rFont val="Arial"/>
            <family val="2"/>
          </rPr>
          <t xml:space="preserve">ID#AAAAKfATOjc
</t>
        </r>
        <r>
          <rPr>
            <sz val="11"/>
            <color rgb="FF000000"/>
            <rFont val="Arial"/>
            <family val="2"/>
          </rPr>
          <t xml:space="preserve">JARROSSAY Clement (SAFRAN AIRCRAFT ENGINES)    (2020-10-09 17:45:06)
</t>
        </r>
        <r>
          <rPr>
            <sz val="11"/>
            <color rgb="FF000000"/>
            <rFont val="Arial"/>
            <family val="2"/>
          </rPr>
          <t>J'ai telle part de carburants disponibles</t>
        </r>
      </text>
    </comment>
    <comment ref="S4" authorId="0" shapeId="0" xr:uid="{00000000-0006-0000-0900-000003000000}">
      <text>
        <r>
          <rPr>
            <sz val="11"/>
            <color theme="1"/>
            <rFont val="Arial"/>
            <family val="2"/>
          </rPr>
          <t>======
ID#AAAAKfATOg0
JARROSSAY Clement (SAFRAN AIRCRAFT ENGINES)    (2020-10-09 17:45:06)
En fonction du renouvellement par des appareils qui peuvent emporter 100% (vs 50% sinon)</t>
        </r>
      </text>
    </comment>
    <comment ref="T4" authorId="0" shapeId="0" xr:uid="{00000000-0006-0000-0900-000004000000}">
      <text>
        <r>
          <rPr>
            <sz val="11"/>
            <color theme="1"/>
            <rFont val="Arial"/>
            <family val="2"/>
          </rPr>
          <t>======
ID#AAAAKfATOis
JARROSSAY Clement (SAFRAN AIRCRAFT ENGINES)    (2020-10-09 17:45:06)
Celle qu'on va vraiment utiliser</t>
        </r>
      </text>
    </comment>
    <comment ref="U4" authorId="0" shapeId="0" xr:uid="{00000000-0006-0000-0900-000005000000}">
      <text>
        <r>
          <rPr>
            <sz val="11"/>
            <color theme="1"/>
            <rFont val="Arial"/>
            <family val="2"/>
          </rPr>
          <t>======
ID#AAAAKfATOhM
JARROSSAY Clement (SAFRAN AIRCRAFT ENGINES)    (2020-10-09 17:45:06)
Celui que l'on peut vraiment utiliser</t>
        </r>
      </text>
    </comment>
    <comment ref="P5" authorId="0" shapeId="0" xr:uid="{00000000-0006-0000-0900-000006000000}">
      <text>
        <r>
          <rPr>
            <sz val="11"/>
            <color theme="1"/>
            <rFont val="Arial"/>
            <family val="2"/>
          </rPr>
          <t>======
ID#AAAAKfATOi8
JARROSSAY Clement (SAFRAN AIRCRAFT ENGINES)    (2020-10-09 17:45:06)
PCI de l'hydrogène 2,79 fois plus important. On remplace donc 2,79kg de kéro par 1kg de H2
Calculé selon les hypothèses avion 2030</t>
        </r>
      </text>
    </comment>
    <comment ref="R5" authorId="0" shapeId="0" xr:uid="{00000000-0006-0000-0900-000007000000}">
      <text>
        <r>
          <rPr>
            <sz val="11"/>
            <color theme="1"/>
            <rFont val="Arial"/>
            <family val="2"/>
          </rPr>
          <t>======
ID#AAAAKfATOjY
JARROSSAY Clement (SAFRAN AIRCRAFT ENGINES)    (2020-10-09 17:45:06)
On ne retranche pas le H2 qui n'était pas comptabilisé dans l'onglet Calcul_renouvellement</t>
        </r>
      </text>
    </comment>
    <comment ref="Z5" authorId="0" shapeId="0" xr:uid="{00000000-0006-0000-0900-000008000000}">
      <text>
        <r>
          <rPr>
            <sz val="11"/>
            <color theme="1"/>
            <rFont val="Arial"/>
            <family val="2"/>
          </rPr>
          <t>======
ID#AAAAKfATOik
JARROSSAY Clement (SAFRAN AIRCRAFT ENGINES)    (2020-10-09 17:45:06)
PCI de l'hydrogène 2,79 fois plus important. On remplace donc 2,79kg de kéro par 1kg de H2
Calculé selon les hypothèses avion 2030</t>
        </r>
      </text>
    </comment>
    <comment ref="AB5" authorId="0" shapeId="0" xr:uid="{00000000-0006-0000-0900-000009000000}">
      <text>
        <r>
          <rPr>
            <sz val="11"/>
            <color theme="1"/>
            <rFont val="Arial"/>
            <family val="2"/>
          </rPr>
          <t>======
ID#AAAAKfATOgw
JARROSSAY Clement (SAFRAN AIRCRAFT ENGINES)    (2020-10-09 17:45:06)
On ne retranche pas le H2 qui n'était pas comptabilisé dans l'onglet Calcul_renouvellement</t>
        </r>
      </text>
    </comment>
    <comment ref="P12" authorId="0" shapeId="0" xr:uid="{00000000-0006-0000-0900-00000A000000}">
      <text>
        <r>
          <rPr>
            <sz val="11"/>
            <color theme="1"/>
            <rFont val="Arial"/>
            <family val="2"/>
          </rPr>
          <t>======
ID#AAAAKfATOgY
JARROSSAY Clement (SAFRAN AIRCRAFT ENGINES)    (2020-10-09 17:45:06)
Ne pas toucher la quantité de H2 (déterminée ailleurs)</t>
        </r>
      </text>
    </comment>
    <comment ref="V12" authorId="0" shapeId="0" xr:uid="{00000000-0006-0000-0900-00000B000000}">
      <text>
        <r>
          <rPr>
            <sz val="11"/>
            <color theme="1"/>
            <rFont val="Arial"/>
            <family val="2"/>
          </rPr>
          <t>======
ID#AAAAKfATOic
JARROSSAY Clement (SAFRAN AIRCRAFT ENGINES)    (2020-10-09 17:45:06)
On utilise tel ou tel carburant selon le ratio de ce qui est disponible</t>
        </r>
      </text>
    </comment>
    <comment ref="W12" authorId="0" shapeId="0" xr:uid="{00000000-0006-0000-0900-00000C000000}">
      <text>
        <r>
          <rPr>
            <sz val="11"/>
            <color theme="1"/>
            <rFont val="Arial"/>
            <family val="2"/>
          </rPr>
          <t>======
ID#AAAAKfATOjg
JARROSSAY Clement (SAFRAN AIRCRAFT ENGINES)    (2020-10-09 17:45:06)
On utilise tel ou tel carburant selon le ratio de ce qui est disponible</t>
        </r>
      </text>
    </comment>
    <comment ref="X12" authorId="0" shapeId="0" xr:uid="{00000000-0006-0000-0900-00000D000000}">
      <text>
        <r>
          <rPr>
            <sz val="11"/>
            <color theme="1"/>
            <rFont val="Arial"/>
            <family val="2"/>
          </rPr>
          <t>======
ID#AAAAKfATOiw
JARROSSAY Clement (SAFRAN AIRCRAFT ENGINES)    (2020-10-09 17:45:06)
On utilise tel ou tel carburant selon le ratio de ce qui est disponible</t>
        </r>
      </text>
    </comment>
    <comment ref="Y12" authorId="0" shapeId="0" xr:uid="{00000000-0006-0000-0900-00000E000000}">
      <text>
        <r>
          <rPr>
            <sz val="11"/>
            <color theme="1"/>
            <rFont val="Arial"/>
            <family val="2"/>
          </rPr>
          <t>======
ID#AAAAKfATOjo
JARROSSAY Clement (SAFRAN AIRCRAFT ENGINES)    (2020-10-09 17:45:06)
On utilise tel ou tel carburant selon le ratio de ce qui est disponible</t>
        </r>
      </text>
    </comment>
    <comment ref="Z12" authorId="0" shapeId="0" xr:uid="{00000000-0006-0000-0900-00000F000000}">
      <text>
        <r>
          <rPr>
            <sz val="11"/>
            <color theme="1"/>
            <rFont val="Arial"/>
            <family val="2"/>
          </rPr>
          <t>======
ID#AAAAKfATOjs
JARROSSAY Clement (SAFRAN AIRCRAFT ENGINES)    (2020-10-09 17:45:06)
Ne pas toucher la quantité de H2 (déterminée ailleurs)</t>
        </r>
      </text>
    </comment>
  </commentList>
</comments>
</file>

<file path=xl/sharedStrings.xml><?xml version="1.0" encoding="utf-8"?>
<sst xmlns="http://schemas.openxmlformats.org/spreadsheetml/2006/main" count="2241" uniqueCount="1059">
  <si>
    <t>Onglet</t>
  </si>
  <si>
    <t>Contenu</t>
  </si>
  <si>
    <t>Hypothèses</t>
  </si>
  <si>
    <t>Hypothèses de calcul pour tout le fichier : émissions, trafic, données carburants, répartition flotte par type d'avion, mix énergétique, etc.</t>
  </si>
  <si>
    <t>Trajectoires</t>
  </si>
  <si>
    <t>L'ensemble des trajectoires d'évolution du trafic aérien : les cibles que l'on se donne, les trajectoires vues par le secteur aéronautique, les trajectoires prenant en compte les mesures proposées par les Supaéro-Décarbo, et le cumul des émissions pour chaque trajectoire comparé au budget carbone</t>
  </si>
  <si>
    <t>Graphes rapport</t>
  </si>
  <si>
    <t>Graphiques des trajectoires et des cumuls</t>
  </si>
  <si>
    <t>Roadmap_Avion</t>
  </si>
  <si>
    <t>Hypothèses d'incorporation des carburants alternatifs et de renouvellement des flottes par type d'avion, avec un scénario de base et un scénario décalé de 5 ans</t>
  </si>
  <si>
    <t>Prod_Carburant_Alt</t>
  </si>
  <si>
    <t>Hypothèses de capacité de production de carburants alternatifs, avec un scénario où 100% de la production est allouée à l'aviation et un autre où seulement 50% l'est.</t>
  </si>
  <si>
    <t>Synthèse scénarios</t>
  </si>
  <si>
    <t>Synthèse des hypothèses et des résultats pour les 3 scénarios Maverick, Charlie et Iceman</t>
  </si>
  <si>
    <t>Calculs scénario Maverick</t>
  </si>
  <si>
    <t>Calculs pour le scénario Maverick</t>
  </si>
  <si>
    <t>Calculs scénario Charlie</t>
  </si>
  <si>
    <t>Calculs pour le scénario Charlie</t>
  </si>
  <si>
    <t>Calculs scénario Iceman</t>
  </si>
  <si>
    <t>Calculs pour le scénario Iceman</t>
  </si>
  <si>
    <t>CA_Secteur</t>
  </si>
  <si>
    <t>Vision du secteur aéronautique sur l'utilisation des carburants alternatifs, en prenant en compte la crise COVID</t>
  </si>
  <si>
    <t>CA_Secteur_HorsCOVID</t>
  </si>
  <si>
    <t>Vision du secteur aéronautique sur l'utilisation des carburants alternatifs, sans prise en compte de la crise COVID</t>
  </si>
  <si>
    <t>Synthèses mesures</t>
  </si>
  <si>
    <t>Synthèse des mesures de sobriété énergétique et d'efficacité énergétique proposées par les Supaéro-Décarbo</t>
  </si>
  <si>
    <t>Densification</t>
  </si>
  <si>
    <t>Mesure de sobriété de densification des cabines</t>
  </si>
  <si>
    <t>Transfert modal</t>
  </si>
  <si>
    <t>Mesure de sobriété de transfert modal vers le train des vols inférieurs à 4h30</t>
  </si>
  <si>
    <t>Miles</t>
  </si>
  <si>
    <t>Mesure de sobriété de suppression de l'incitation à voyager par une politique de miles</t>
  </si>
  <si>
    <t>Opérations sol</t>
  </si>
  <si>
    <t>Mesure d'efficacité sur les opérations au sol (mise en place d'un système électrique de traction au roulage ou roulage sur un seul moteur)</t>
  </si>
  <si>
    <t>Fuel tankering</t>
  </si>
  <si>
    <t>Mesure d'efficacité interdisant le fuel tankering</t>
  </si>
  <si>
    <t>Turboprop</t>
  </si>
  <si>
    <t>Mesure d'efficacité visant à remplacer les avions régionaux à turboréacteur par des avions à turbopropulseurs</t>
  </si>
  <si>
    <t>Cost Index</t>
  </si>
  <si>
    <t>Mesure d'efficacité visant à voler le plus possible avec un Cost Index proche de 0</t>
  </si>
  <si>
    <t>Aviation d'affaire</t>
  </si>
  <si>
    <t>Mesure de sobriété sur l'aviation d'affaire, non comptabilisée dans les trajectoires car ce rapport se concentre sur le périmètre DGAC des vols commerciaux</t>
  </si>
  <si>
    <t>Paramètres</t>
  </si>
  <si>
    <t>onglet masqué de paramétrage de ce fichier</t>
  </si>
  <si>
    <t>Donnée</t>
  </si>
  <si>
    <t>Valeur</t>
  </si>
  <si>
    <t>Unité</t>
  </si>
  <si>
    <t>Source</t>
  </si>
  <si>
    <t>Commentaire</t>
  </si>
  <si>
    <t>Switch choix périmètre :</t>
  </si>
  <si>
    <t>Monde</t>
  </si>
  <si>
    <t>Données kérozène</t>
  </si>
  <si>
    <t>PCI kérozène jet A1/jet A</t>
  </si>
  <si>
    <t>GJ/t kéro</t>
  </si>
  <si>
    <t>[12] ADEME/Decision 2009/339/CE</t>
  </si>
  <si>
    <t>Masse volumique du kérosène</t>
  </si>
  <si>
    <t>kg/L</t>
  </si>
  <si>
    <t>[12] ADEME/circulaire n°9501 du 28 déc 2004</t>
  </si>
  <si>
    <t>H2O émis lors de combustion kérosène</t>
  </si>
  <si>
    <t>kg/kg</t>
  </si>
  <si>
    <t>NOx émis lors de la combustion kérosène</t>
  </si>
  <si>
    <t>Données H2</t>
  </si>
  <si>
    <t>PCI H2</t>
  </si>
  <si>
    <t>GJ/t H2</t>
  </si>
  <si>
    <t>Wikipédia</t>
  </si>
  <si>
    <t>H2O émis lors de combustion H2</t>
  </si>
  <si>
    <t>NOx émis lors de la combustion H2</t>
  </si>
  <si>
    <t>Energie nécessaire pour produire du LH2 (tout inclus)</t>
  </si>
  <si>
    <t>kWh/kWh</t>
  </si>
  <si>
    <t>[9] Rapport McKinsey</t>
  </si>
  <si>
    <t>Energie nécessaire pour 1kg de  LH2 (tout inclus)</t>
  </si>
  <si>
    <t>kWh/kg H2</t>
  </si>
  <si>
    <t>Calcul</t>
  </si>
  <si>
    <t>Données PtL</t>
  </si>
  <si>
    <t>Energie nécessaire pour produire PtL (tout inclus) en capture directe dans l'air</t>
  </si>
  <si>
    <t>Energie nécessaire pour produire PtL (tout inclus) en capture industrielle</t>
  </si>
  <si>
    <t>Emissions (kgCO2/kgPTL)</t>
  </si>
  <si>
    <t>Pouvoir décarbonant (/kérosène)</t>
  </si>
  <si>
    <t>Energie nécessaire pour 1kg de PtL (tout inclus) en capture directe dans l'air</t>
  </si>
  <si>
    <t>kWh/kg PtL</t>
  </si>
  <si>
    <t>Energie nécessaire pour 1kg de PtL (tout inclus) en capture industrielle</t>
  </si>
  <si>
    <r>
      <t>Facteur d’émissions du kérosène</t>
    </r>
    <r>
      <rPr>
        <b/>
        <sz val="10"/>
        <color rgb="FF00B0F0"/>
        <rFont val="Arial"/>
        <family val="2"/>
      </rPr>
      <t xml:space="preserve"> [12] </t>
    </r>
  </si>
  <si>
    <t>Combustion</t>
  </si>
  <si>
    <t>Amont</t>
  </si>
  <si>
    <t>Total</t>
  </si>
  <si>
    <t>Contribution amont</t>
  </si>
  <si>
    <t>massique en CO2 (kg CO2/kg)</t>
  </si>
  <si>
    <t>cohérent avec le calculateur TARMAAC de la DGAC</t>
  </si>
  <si>
    <r>
      <t xml:space="preserve">massique en CO2  </t>
    </r>
    <r>
      <rPr>
        <b/>
        <sz val="10"/>
        <color rgb="FF000000"/>
        <rFont val="Arial"/>
        <family val="2"/>
      </rPr>
      <t>équivalent*</t>
    </r>
    <r>
      <rPr>
        <sz val="10"/>
        <color rgb="FF000000"/>
        <rFont val="Arial"/>
        <family val="2"/>
      </rPr>
      <t xml:space="preserve"> (kg CO2</t>
    </r>
    <r>
      <rPr>
        <b/>
        <sz val="10"/>
        <color rgb="FF000000"/>
        <rFont val="Arial"/>
        <family val="2"/>
      </rPr>
      <t>e</t>
    </r>
    <r>
      <rPr>
        <sz val="10"/>
        <color rgb="FF000000"/>
        <rFont val="Arial"/>
        <family val="2"/>
      </rPr>
      <t>/kg)</t>
    </r>
  </si>
  <si>
    <t>DGAC utilise 1.22</t>
  </si>
  <si>
    <t>volumique en CO2 (kg CO2/L)</t>
  </si>
  <si>
    <r>
      <t xml:space="preserve">volumique en CO2 </t>
    </r>
    <r>
      <rPr>
        <b/>
        <sz val="10"/>
        <color rgb="FF000000"/>
        <rFont val="Arial"/>
        <family val="2"/>
      </rPr>
      <t>équivalent*</t>
    </r>
    <r>
      <rPr>
        <sz val="10"/>
        <color rgb="FF000000"/>
        <rFont val="Arial"/>
        <family val="2"/>
      </rPr>
      <t xml:space="preserve"> (kg CO2</t>
    </r>
    <r>
      <rPr>
        <b/>
        <sz val="10"/>
        <color rgb="FF000000"/>
        <rFont val="Arial"/>
        <family val="2"/>
      </rPr>
      <t>e</t>
    </r>
    <r>
      <rPr>
        <sz val="10"/>
        <color rgb="FF000000"/>
        <rFont val="Arial"/>
        <family val="2"/>
      </rPr>
      <t>/L)</t>
    </r>
  </si>
  <si>
    <t>*équivalent signifie pour l'ADEME qu'on prend en compte tous les GES émis lors de la combustion du kérosène, y compris le méthane et le protoxyde d'azote. Cependant cette estimation est indépendante de ce qu'on appelle plus largement les "effets hors CO2" tels que les interactions de ces gaz avec l'atmosphère, la génération de contrails, etc. Pour éviter toute ambigüité, on ne'utilisera pas ces chiffres CO2 équivalent dans notre rapport.</t>
  </si>
  <si>
    <t>Facteur de conversion CO2e / CO2 utilisé par l'ADEME</t>
  </si>
  <si>
    <t>calcul</t>
  </si>
  <si>
    <t>Facteur de conversion CO2e / CO2 utilisé par la DGAC</t>
  </si>
  <si>
    <t>[13] Calculateur DGAC</t>
  </si>
  <si>
    <t>Trafic aérien</t>
  </si>
  <si>
    <t>Trafic France 2019 intérieur</t>
  </si>
  <si>
    <t>mvts/an</t>
  </si>
  <si>
    <t>[7] Bulletin annuel DGAC 2019</t>
  </si>
  <si>
    <t>mouvement = décollage ou atterrissage</t>
  </si>
  <si>
    <t>Trafic France 2019 international</t>
  </si>
  <si>
    <t>Trafic France 2019 (intérieur+international/2)</t>
  </si>
  <si>
    <t>vols/jour</t>
  </si>
  <si>
    <t>Trafic mondial commercial début 2020</t>
  </si>
  <si>
    <t>Flightradar</t>
  </si>
  <si>
    <t>Commercial passenger flights + cargo flights + charter flights + some business jet flights.</t>
  </si>
  <si>
    <t>Trafic mondial début 2020</t>
  </si>
  <si>
    <t xml:space="preserve"> + rest of business jet flights + private flights + gliders + most helicopter flights + most ambulance flights + government flights + some military flights + drones</t>
  </si>
  <si>
    <t>Trafic, CO2 : évolution annuelle</t>
  </si>
  <si>
    <t>Gain technologique</t>
  </si>
  <si>
    <t>[8] CR du Comité Exécutif OACI de 2019</t>
  </si>
  <si>
    <t>Gain opérations seules</t>
  </si>
  <si>
    <t>Gain total ATM</t>
  </si>
  <si>
    <t>Taux de croissance PKT 2018/2019</t>
  </si>
  <si>
    <t>Hypothèses de croissance post crise</t>
  </si>
  <si>
    <t>Taux de croissannce entre 2013 et 2018</t>
  </si>
  <si>
    <t>[19] ICCT</t>
  </si>
  <si>
    <t>l'ICCT donne 707Mt en 2013, 903Mt en 2018 (soit une croissance de 5.02% par an) et 918Mt en 2019</t>
  </si>
  <si>
    <t>France</t>
  </si>
  <si>
    <t>Sélection des émissions en fonction du périmètre France ou Monde</t>
  </si>
  <si>
    <t>Emissions dues au trafic aérien commercial</t>
  </si>
  <si>
    <t>Chiffres DGAC (MtCO2eq*) [1] [24]</t>
  </si>
  <si>
    <t>Conversion en Mt CO2 uniquement</t>
  </si>
  <si>
    <t>Avec amont (Mt CO2)</t>
  </si>
  <si>
    <t>Mt CO2eq</t>
  </si>
  <si>
    <t xml:space="preserve"> Mt CO2</t>
  </si>
  <si>
    <t>Avec amont (Mt CO2 eq)</t>
  </si>
  <si>
    <t>2005 (estimation moyenne 2000-2010 pour France, source ATAG pour monde)</t>
  </si>
  <si>
    <t>dont trafic intérieur 2018</t>
  </si>
  <si>
    <t>dont trafic international 2018</t>
  </si>
  <si>
    <t>2014-2018 : [1] DGAC</t>
  </si>
  <si>
    <t>2005 : [23] ATAG</t>
  </si>
  <si>
    <t>2018 : [6] IATA (Pour info, l'ICCT donne 918Mt [20], l'EESI donne 905Mt [21], l'OACI donne 918Mt [22])</t>
  </si>
  <si>
    <t>2019 : [24] DGAC</t>
  </si>
  <si>
    <t>2019 : [25] IATA</t>
  </si>
  <si>
    <t>Hypothèses  des impacts de la crise COVID</t>
  </si>
  <si>
    <t>Prévision IATA chute de trafic europe 2020/2019</t>
  </si>
  <si>
    <t>[2] IATA</t>
  </si>
  <si>
    <t xml:space="preserve">Prévision IATA chute de trafic  2021/2019 </t>
  </si>
  <si>
    <t>[3] IATA</t>
  </si>
  <si>
    <t>Taux de croissance entre 2022 et 2024 pour revenir au niveau de 2019</t>
  </si>
  <si>
    <t>[5] IATA</t>
  </si>
  <si>
    <t>Emissions mondiales 2018</t>
  </si>
  <si>
    <t>Emissions tous secteurs hors AFOLU*</t>
  </si>
  <si>
    <t>Mt CO2</t>
  </si>
  <si>
    <t>[11] Le Quéré, 2019, Global Carbon Project</t>
  </si>
  <si>
    <t>*AFOLU = Agriculture, Forestry and Other Land Use</t>
  </si>
  <si>
    <t>Emissions tous secteurs avec AFOLU*</t>
  </si>
  <si>
    <t>Contribution de l'aviation aux émissions 2018</t>
  </si>
  <si>
    <t>Hors AFOLU</t>
  </si>
  <si>
    <t>Avec AFOLU</t>
  </si>
  <si>
    <t>Combustion seule</t>
  </si>
  <si>
    <t>Combustion + amont</t>
  </si>
  <si>
    <t>Répartition par type d'appareil, monde</t>
  </si>
  <si>
    <r>
      <t xml:space="preserve">Nb avions monde
</t>
    </r>
    <r>
      <rPr>
        <sz val="11"/>
        <color rgb="FF00B0F0"/>
        <rFont val="Calibri"/>
        <family val="2"/>
      </rPr>
      <t>[9] ICCT</t>
    </r>
  </si>
  <si>
    <r>
      <t>Répartition flotte monde</t>
    </r>
    <r>
      <rPr>
        <sz val="11"/>
        <color rgb="FF00B0F0"/>
        <rFont val="Calibri"/>
        <family val="2"/>
      </rPr>
      <t xml:space="preserve"> [9] ICCT</t>
    </r>
  </si>
  <si>
    <r>
      <t xml:space="preserve">Répartition émissions monde </t>
    </r>
    <r>
      <rPr>
        <sz val="11"/>
        <color rgb="FF00B0F0"/>
        <rFont val="Calibri"/>
        <family val="2"/>
      </rPr>
      <t>[9] ICCT</t>
    </r>
  </si>
  <si>
    <t>Répartition émissions France (calcul)</t>
  </si>
  <si>
    <t>Commentaire/source</t>
  </si>
  <si>
    <t>Sélection de la répartition en fonction du switch France ou monde</t>
  </si>
  <si>
    <t>Commuters (moins de 19pax/moins de 500km)</t>
  </si>
  <si>
    <t>Avion transport régional (20-80 pax/moins de 1000km)</t>
  </si>
  <si>
    <t>cohérent chiffre mesure Turboprop</t>
  </si>
  <si>
    <t>Court-courrier (81-165 pax/moins de 2000km)</t>
  </si>
  <si>
    <t>Moyen-courrier (166-250 pax/moins de 7000km)</t>
  </si>
  <si>
    <t>[24]DGAC</t>
  </si>
  <si>
    <t>Long-courrier (plus de 250pax/jusqu'à 12000km)</t>
  </si>
  <si>
    <t>[9] ICCT, dans rapport de McKinsey</t>
  </si>
  <si>
    <t>Budget Carbone restant à 2018 pour rester sous les +2°C (MtCO2)</t>
  </si>
  <si>
    <t>Budget Total à horizon 2100</t>
  </si>
  <si>
    <t>Taux de réduction annuel en progression géométrique à partir de 2018 correspondant</t>
  </si>
  <si>
    <t>Budget à horizon 2050 en progression géométrique</t>
  </si>
  <si>
    <t>Global Monde</t>
  </si>
  <si>
    <t>Aérien Monde (avec amont)</t>
  </si>
  <si>
    <t>Aérien  France (périmètre du rapport)</t>
  </si>
  <si>
    <t>Budget aérien selon sélection du switch France ou monde</t>
  </si>
  <si>
    <t>Aérien Monde</t>
  </si>
  <si>
    <t>Avec une probabilité de 84%, compatible RCP 2.6</t>
  </si>
  <si>
    <t>Avec une probabilité de 67%</t>
  </si>
  <si>
    <t>Avec une probabilité de 50%</t>
  </si>
  <si>
    <t>Avec une probabilité de 33%</t>
  </si>
  <si>
    <t>Emissions annuelles dues au trafic aérien commercial, par aéroport</t>
  </si>
  <si>
    <t>[1] DGAC</t>
  </si>
  <si>
    <t>Temps de roulage A+D (min)</t>
  </si>
  <si>
    <t>Emissions CO2 (kt)</t>
  </si>
  <si>
    <t>dont roulage (kt)</t>
  </si>
  <si>
    <t>Emissions APU (kt)</t>
  </si>
  <si>
    <t>CDG</t>
  </si>
  <si>
    <t>Orly</t>
  </si>
  <si>
    <t>Nice</t>
  </si>
  <si>
    <t>Lyon</t>
  </si>
  <si>
    <t>Marseille</t>
  </si>
  <si>
    <t>Toulouse</t>
  </si>
  <si>
    <t>Mulhouse</t>
  </si>
  <si>
    <t>Bordeaux</t>
  </si>
  <si>
    <t>Nantes</t>
  </si>
  <si>
    <t>Beauvais</t>
  </si>
  <si>
    <t>Lille</t>
  </si>
  <si>
    <t>Montpellier</t>
  </si>
  <si>
    <t>Sous-total (Mt) sans Outre-mer ni petits aéroports</t>
  </si>
  <si>
    <t>Total (Mt)</t>
  </si>
  <si>
    <t>Temps de roulage A+D moyen pondéré</t>
  </si>
  <si>
    <t>min</t>
  </si>
  <si>
    <t>Mix énergétique</t>
  </si>
  <si>
    <t>Facteur de charge 2019</t>
  </si>
  <si>
    <t>Emissions  2018/2019 [gCO2/kWh]</t>
  </si>
  <si>
    <t>Puissance installée 2019 [GW]</t>
  </si>
  <si>
    <t>Energie produite 2019 [TWh]</t>
  </si>
  <si>
    <t>[13] ADEME</t>
  </si>
  <si>
    <t>[14] RTE</t>
  </si>
  <si>
    <t>Eolien</t>
  </si>
  <si>
    <t>Eolien + PV</t>
  </si>
  <si>
    <t>Nucléaire</t>
  </si>
  <si>
    <t>Mix</t>
  </si>
  <si>
    <t>[15] GIEC 2014</t>
  </si>
  <si>
    <t>[16] GWEC 2019</t>
  </si>
  <si>
    <t>[17] AIE 2020</t>
  </si>
  <si>
    <t>Sélection selon le périmètre</t>
  </si>
  <si>
    <t>Nombre d'heures par an</t>
  </si>
  <si>
    <t>Emission de production d'énergie électrique (gCO2/kWh)</t>
  </si>
  <si>
    <t>Emissions pour produire 1GJ d'énergie utille (kgCO2)</t>
  </si>
  <si>
    <t>Jet A -1</t>
  </si>
  <si>
    <t>LH2</t>
  </si>
  <si>
    <t>PTL
(captation CO2 50% air et 50% industriel)</t>
  </si>
  <si>
    <t>Bascule PTL</t>
  </si>
  <si>
    <t>Bascule LH2</t>
  </si>
  <si>
    <t>Références</t>
  </si>
  <si>
    <t>[1]</t>
  </si>
  <si>
    <t>https://www.ecologique-solidaire.gouv.fr/sites/default/files/Emissions_gazeusesVF.pdf</t>
  </si>
  <si>
    <t>[2]</t>
  </si>
  <si>
    <t>https://www.iata.org/contentassets/6dfc19c3fdce4c9c8d5f1565c472b53f/2020-09-29-02-fr.pdf</t>
  </si>
  <si>
    <t>[3]</t>
  </si>
  <si>
    <t>https://www.iata.org/en/pressroom/pr/2020-05-13-03/</t>
  </si>
  <si>
    <t>[4]</t>
  </si>
  <si>
    <t>https://www.eurocontrol.int/sites/default/files/2020-04/eurocontrol-aviation-recovery-factsheet-27042020.pdf</t>
  </si>
  <si>
    <t>[5]</t>
  </si>
  <si>
    <t>https://www.iata.org/en/pressroom/pr/2020-07-28-02/</t>
  </si>
  <si>
    <t>[6]</t>
  </si>
  <si>
    <t>https://www.iata.org/en/iata-repository/pressroom/fact-sheets/fact-sheet---industry-statistics/</t>
  </si>
  <si>
    <t>[7]</t>
  </si>
  <si>
    <t>https://www.ecologie.gouv.fr/sites/default/files/bulletin_stat_trafic_aerien_2019.pdf</t>
  </si>
  <si>
    <t>[8]</t>
  </si>
  <si>
    <t>https://www.icao.int/Meetings/a40/Documents/WP/wp_054_fr.pdf</t>
  </si>
  <si>
    <t>[9]</t>
  </si>
  <si>
    <t>https://www.fch.europa.eu/publications/hydrogen-powered-aviation</t>
  </si>
  <si>
    <t>[10]</t>
  </si>
  <si>
    <t>https://www.iata.org/contentassets/060a388cfde24a83b7f38fda101a2239/2020-06-09-01-fr.pdf</t>
  </si>
  <si>
    <t>[11]</t>
  </si>
  <si>
    <t>https://www.globalcarbonproject.org/carbonbudget/</t>
  </si>
  <si>
    <t>[12]</t>
  </si>
  <si>
    <t xml:space="preserve">https://data.ademe.fr/datasets/base-carbone(r) </t>
  </si>
  <si>
    <t>[13]</t>
  </si>
  <si>
    <t>https://eco-calculateur.dta.aviation-civile.gouv.fr/</t>
  </si>
  <si>
    <t>[14]</t>
  </si>
  <si>
    <t>https://bilan-electrique-2019.rte-france.com/</t>
  </si>
  <si>
    <t>[15]</t>
  </si>
  <si>
    <t>TBC</t>
  </si>
  <si>
    <t>[16]</t>
  </si>
  <si>
    <t>https://gwec.net/global-wind-report-2019/</t>
  </si>
  <si>
    <t>[17]</t>
  </si>
  <si>
    <t>https://www.iea.org/reports/renewable-power</t>
  </si>
  <si>
    <t>(1390 TWh selon le GWEC)</t>
  </si>
  <si>
    <t>[18]</t>
  </si>
  <si>
    <t>https://www.icao.int/environmental-protection/Documents/Env_Report_07.pdf</t>
  </si>
  <si>
    <t>[19]</t>
  </si>
  <si>
    <t>https://theicct.org/sites/default/files/GACA-FS-FR-oct2020.pdf</t>
  </si>
  <si>
    <t>[20]</t>
  </si>
  <si>
    <t>https://theicct.org/publications/co2-emissions-commercial-aviation-2018</t>
  </si>
  <si>
    <t>[21]</t>
  </si>
  <si>
    <t>https://www.eesi.org/papers/view/fact-sheet-the-growth-in-greenhouse-gas-emissions-from-commercial-aviation#:~:text=Globally%2C%20aviation%20produced%202.4%20percent,world%20between%20Japan%20and%20Germany</t>
  </si>
  <si>
    <t>[22]</t>
  </si>
  <si>
    <t>https://www.icao.int/Meetings/a40/Documents/WP/wp_560_rev1_en.pdf</t>
  </si>
  <si>
    <t>[23]</t>
  </si>
  <si>
    <t>https://aviationbenefits.org/environmental-efficiency/climate-action/waypoint-2050/</t>
  </si>
  <si>
    <t>[24]</t>
  </si>
  <si>
    <t>https://www.ecologie.gouv.fr/sites/default/files/bilan_emissions_gazeuses_2019.pdf</t>
  </si>
  <si>
    <t>[25]</t>
  </si>
  <si>
    <t>https://www.iata.org/en/iata-repository/publications/economic-reports/airline-industry-economic-performance---november-2020---report/</t>
  </si>
  <si>
    <t>Mise en œuvre réduction d'offre</t>
  </si>
  <si>
    <t>Pilotage croissance post reprise</t>
  </si>
  <si>
    <t>Date de Pilotage de croissance</t>
  </si>
  <si>
    <t>Mise en œuvre de la stabilisation</t>
  </si>
  <si>
    <t>MAVERICK</t>
  </si>
  <si>
    <t>CHARLIE</t>
  </si>
  <si>
    <t>ICEMAN</t>
  </si>
  <si>
    <t xml:space="preserve">Taux de croissance budget post reprise </t>
  </si>
  <si>
    <t>Niveau d'émission stabilisé</t>
  </si>
  <si>
    <t>Année</t>
  </si>
  <si>
    <t>Trajectoires annuelles</t>
  </si>
  <si>
    <t>Cumul émissions vs budget carbone</t>
  </si>
  <si>
    <t>Cibles</t>
  </si>
  <si>
    <t>Trajectoires tendancielles et Secteur</t>
  </si>
  <si>
    <t>Trajectoires Sénarios</t>
  </si>
  <si>
    <t>Cible "-3,39%/an, +2°C à 67%"</t>
  </si>
  <si>
    <t>Cible "-50% en 2050 par rapport aux emissions 2005"</t>
  </si>
  <si>
    <t>Trajectoire Secteur - perf 2%</t>
  </si>
  <si>
    <t>Trajectoire reprise 2024, trafic +4%, sans gain techno</t>
  </si>
  <si>
    <t xml:space="preserve">Trajectoire +2% incluant techno hors crise COVID </t>
  </si>
  <si>
    <t>Trajectoire Secteur -  perf. 2% &amp; Carb Alt</t>
  </si>
  <si>
    <t xml:space="preserve">Trajectoire +2% incluant techno &amp; Carb Alt hors crise COVID </t>
  </si>
  <si>
    <t>A compenser CORSIA* (Secteur)</t>
  </si>
  <si>
    <t>A compenser CORSIA* (Secteur, hors crise COVID)</t>
  </si>
  <si>
    <t>Trajectoire crise COVID +2% incluant techno &amp; Carb Alt &amp; CORSIA*</t>
  </si>
  <si>
    <t xml:space="preserve">Trajectoire +2% incluant techno &amp; Carb Alt &amp; CORSIA* hors crise COVID </t>
  </si>
  <si>
    <t>Gains 1 "Densification cabine"</t>
  </si>
  <si>
    <t>Gains 2 transfert modal</t>
  </si>
  <si>
    <t>Gains 3 limitation des miles</t>
  </si>
  <si>
    <t xml:space="preserve">Taux de croissance  post reprise </t>
  </si>
  <si>
    <t>Réduction de l'offre</t>
  </si>
  <si>
    <t>Gains 5 "Décarbonation des opérations au sol"</t>
  </si>
  <si>
    <t>Gains 6 "Passage aux turbopropulseurs"</t>
  </si>
  <si>
    <t>Gains 7 "Limitation du Fuel Tankering"</t>
  </si>
  <si>
    <t>Gains 8 "Cost-Index"</t>
  </si>
  <si>
    <t>Contribution des mesures d'efficacité court-terme</t>
  </si>
  <si>
    <t>Gain 9 supplémentaire Moyen Terme ATM</t>
  </si>
  <si>
    <t>Contribution des mesures d'efficacité court-terme et ATM</t>
  </si>
  <si>
    <t>Gain énergetique Scénario convergent</t>
  </si>
  <si>
    <t>Gain énergérique Scénario convergent (décalage 5 ans)</t>
  </si>
  <si>
    <t>Gain énergérique Scénario convergent (MED)</t>
  </si>
  <si>
    <t>Contribution toutes mesures d'efficacité energetique (INDUS, 15 ans)</t>
  </si>
  <si>
    <t>Contribution toutes mesures d'efficacité énergétique (INDUS+5, 25 ans)</t>
  </si>
  <si>
    <t>Contribution toutes mesures d'efficacité énergétique (MED)</t>
  </si>
  <si>
    <t>Gain Carburants alternatifs (Scenario Max)</t>
  </si>
  <si>
    <t>Gain Carburants alternatifs (Scenario Min 50%)</t>
  </si>
  <si>
    <t>Gain Carburants alternatifs (Scenario Med)</t>
  </si>
  <si>
    <t>Contribution Carburants alternatifs (CAPA 100)</t>
  </si>
  <si>
    <t>Contribution Carburants alternatifs (CAPA 50)</t>
  </si>
  <si>
    <t>A compenser CORSIA (MAVERICK)</t>
  </si>
  <si>
    <t>A compenser CORSIA (ICEMAN)</t>
  </si>
  <si>
    <t>A compenser CORSIA (CHARLIE)</t>
  </si>
  <si>
    <t>Trajectoire + CORSIA*- MAVERICK</t>
  </si>
  <si>
    <t>Trajectoire + CORSIA*- ICEMAN</t>
  </si>
  <si>
    <t>Trajectoire+ CORSIA*- CHARLIE</t>
  </si>
  <si>
    <t>Niveau d'émission en 2019</t>
  </si>
  <si>
    <t>Budget carbone 2050 "+2°C à 67%"</t>
  </si>
  <si>
    <t>Budget carbone 2100 "+2°C à 84%"</t>
  </si>
  <si>
    <t>Budget carbone 2100 "+2°C à 67%"</t>
  </si>
  <si>
    <t>Budget carbone 2100 "+2°C à 50%"</t>
  </si>
  <si>
    <t>Cumulé "+2°C à 67%"</t>
  </si>
  <si>
    <t>Cumulé avec cible -50% en 2050 / 2005</t>
  </si>
  <si>
    <t>Cumulé Secteur (2% avec perf.)</t>
  </si>
  <si>
    <t xml:space="preserve">Cumulé croissance 2% sans crise COVID </t>
  </si>
  <si>
    <t>Cumulé Secteur (avec perf. et carburants alternatifs)</t>
  </si>
  <si>
    <t>Cumulé Secteur sans crise COVID</t>
  </si>
  <si>
    <t>Cumulé Secteur avec CORSIA*</t>
  </si>
  <si>
    <t>Cumulé 2% (avec perf. et CA) + CORSIA*, sans crise COVID</t>
  </si>
  <si>
    <t>Cumulé tendanciel (hors Perf)</t>
  </si>
  <si>
    <t>Cumulé tendanciel + Réduction de l'offre</t>
  </si>
  <si>
    <t>Cumulé tendanciel + Sobriété 2</t>
  </si>
  <si>
    <t>Cumulé - Mesures efficacité court terme</t>
  </si>
  <si>
    <t>Cumulé - Mesures efficacité court terme et ATM</t>
  </si>
  <si>
    <t>Cumulé - Toutes mesures d'efficacité énergétique (INDUS, 15 ans)</t>
  </si>
  <si>
    <t>Cumulé - Toutes mesures d'efficacité énergétique (INDUS+5, 25ans)</t>
  </si>
  <si>
    <t>Cumulé - Contribution Carburants alternatifs (CAPA 100)</t>
  </si>
  <si>
    <t>Cumulé - Contribution Carburants alternatifs (CAPA 50)</t>
  </si>
  <si>
    <t>Cumulé + CORSIA*- MAVERICK</t>
  </si>
  <si>
    <t>Cumulé + CORSIA*- ICEMAN</t>
  </si>
  <si>
    <t>Cumulé + CORSIA*- CHARLIE</t>
  </si>
  <si>
    <t>Maverick</t>
  </si>
  <si>
    <t>Iceman</t>
  </si>
  <si>
    <t>Charlie</t>
  </si>
  <si>
    <t>Taux de croissance moyen hors perf</t>
  </si>
  <si>
    <t xml:space="preserve">Efficacité annuelle moyenne SC MAX: </t>
  </si>
  <si>
    <t xml:space="preserve">Efficacité annuelle moyenne SC MIN: </t>
  </si>
  <si>
    <t xml:space="preserve">Efficacité annuelle moyenne SC 2: </t>
  </si>
  <si>
    <t>Scénario</t>
  </si>
  <si>
    <t>sce1</t>
  </si>
  <si>
    <t>INDUS</t>
  </si>
  <si>
    <t>INDUS+5</t>
  </si>
  <si>
    <t>Commuters</t>
  </si>
  <si>
    <t>Regional</t>
  </si>
  <si>
    <t>CMC</t>
  </si>
  <si>
    <t xml:space="preserve">Long Courrier </t>
  </si>
  <si>
    <t>Perf. avion</t>
  </si>
  <si>
    <t>Taux d'incorporation SAF</t>
  </si>
  <si>
    <t>Taux H2</t>
  </si>
  <si>
    <t>CAPA100</t>
  </si>
  <si>
    <t>CAPA50</t>
  </si>
  <si>
    <t>Mix Biocarburant</t>
  </si>
  <si>
    <t>Forestry residues</t>
  </si>
  <si>
    <t>Agricultural residues (wheat straw)</t>
  </si>
  <si>
    <t>Agricultural residues (corn stover)</t>
  </si>
  <si>
    <t>Municipal Solid Waste</t>
  </si>
  <si>
    <t>PTL</t>
  </si>
  <si>
    <t>Masse disponible France (Mt)</t>
  </si>
  <si>
    <t>Pouvoir décarbonnant (%/Jet-A1)</t>
  </si>
  <si>
    <t>Croissance annuelle de production</t>
  </si>
  <si>
    <t>Impact décarbonnant des différents carburant alternatif</t>
  </si>
  <si>
    <r>
      <t xml:space="preserve">Limites Physiques de production France 2020
</t>
    </r>
    <r>
      <rPr>
        <sz val="12"/>
        <rFont val="Arial"/>
        <family val="2"/>
      </rPr>
      <t>(qu'on considère identique en 2050 : pas d'augmentation des surfaces agricoles ou forestières)</t>
    </r>
  </si>
  <si>
    <t>Sélection France/monde selon switch</t>
  </si>
  <si>
    <t>Masse Volumique Biofuel (kg/m3)</t>
  </si>
  <si>
    <t>FAMILLE</t>
  </si>
  <si>
    <t>BIOFUEL</t>
  </si>
  <si>
    <t>Emissions Totales en %, p/r au jet conventionel 
(sans 83gCO2e/MJ combustion non-CO2)</t>
  </si>
  <si>
    <t>Déchet Municipaux France/an (Mt)</t>
  </si>
  <si>
    <t>Utilisation max de la production des déchets pour l'aérien</t>
  </si>
  <si>
    <t>Rendement (L fuel/tonne de déchets)</t>
  </si>
  <si>
    <t>Fuel Capacity (Mt)</t>
  </si>
  <si>
    <t>Fuel Capacity (TWh)</t>
  </si>
  <si>
    <t>Min</t>
  </si>
  <si>
    <t>Max</t>
  </si>
  <si>
    <t>Jet A-1 Conventionnel</t>
  </si>
  <si>
    <t>Biomass</t>
  </si>
  <si>
    <t>Surface - fuel equivalent (ha/L)</t>
  </si>
  <si>
    <t>Cultivated area in France (ha)</t>
  </si>
  <si>
    <t>Fuel capacity (L)</t>
  </si>
  <si>
    <t>Fuel capacity (Mt)</t>
  </si>
  <si>
    <t>Date d'atteinte de la production Max</t>
  </si>
  <si>
    <t>FT-Synthesis</t>
  </si>
  <si>
    <t>Coal w/o CCS</t>
  </si>
  <si>
    <t>Sélection</t>
  </si>
  <si>
    <t>Coal w CCS</t>
  </si>
  <si>
    <t>Natural Gas</t>
  </si>
  <si>
    <t>Herbaceous Energy crops</t>
  </si>
  <si>
    <t>HEFA</t>
  </si>
  <si>
    <t>Huiles végétales</t>
  </si>
  <si>
    <t>Palm</t>
  </si>
  <si>
    <t>Corn</t>
  </si>
  <si>
    <t>Jatropha</t>
  </si>
  <si>
    <t>Camelina</t>
  </si>
  <si>
    <t>Colza</t>
  </si>
  <si>
    <t>Soybean</t>
  </si>
  <si>
    <t>Hypothèses PTL</t>
  </si>
  <si>
    <t>Tallow (graisses animales)</t>
  </si>
  <si>
    <t>Used cooking oil</t>
  </si>
  <si>
    <t>Cible production PTL  2050 (Mt)</t>
  </si>
  <si>
    <t>Taux de production par captation de CO2 industriel</t>
  </si>
  <si>
    <t>Energie nécessaire pour 1kg de PtL Mix (tout inclus) (kWh/kg PtL)</t>
  </si>
  <si>
    <t>Emissions avec  éolienne (kgCO2/kgPTL)</t>
  </si>
  <si>
    <t>Pouvoir décarbonant (en éolien/kérosène)</t>
  </si>
  <si>
    <t>Emissions avec  selon Mix utilisé (kgCO2/kgPTL)</t>
  </si>
  <si>
    <t>Cible production PTL France 2050 (Mt)</t>
  </si>
  <si>
    <t>Palm Fatty Acid Distillates (PFAD)</t>
  </si>
  <si>
    <t>Microalgues</t>
  </si>
  <si>
    <t>Levures</t>
  </si>
  <si>
    <t>?</t>
  </si>
  <si>
    <t>Sugar to alkanes</t>
  </si>
  <si>
    <t>SIP/DSHC/Farnesane</t>
  </si>
  <si>
    <t>Sugarbeet</t>
  </si>
  <si>
    <t>Sugarcane</t>
  </si>
  <si>
    <t>Alcohol to Jet</t>
  </si>
  <si>
    <t>Agricultural Residues</t>
  </si>
  <si>
    <t>Sugar cane</t>
  </si>
  <si>
    <t>Herbaceous energy crops</t>
  </si>
  <si>
    <t>Forestry Residues</t>
  </si>
  <si>
    <t>Huiles Pyrolysées</t>
  </si>
  <si>
    <t>Corn stover</t>
  </si>
  <si>
    <t>Mix Biocarburant 2050</t>
  </si>
  <si>
    <t>SOURCES</t>
  </si>
  <si>
    <t>Rendements surfaciques</t>
  </si>
  <si>
    <t xml:space="preserve">[1] Brandon Graver Et Al, CO2 emissions from commercial aviation 2018, ICCT 2019 </t>
  </si>
  <si>
    <t>[2] M. Cames et Al., Emission Reduction Targets for International Aviation and Shipping, 2015</t>
  </si>
  <si>
    <t> [3] W. Wang, Ling Tao, J. Markham, Review of Biojet Fuel Conversion Technologies, Renewable Energy Laboratory, Juin 2016 </t>
  </si>
  <si>
    <t>[4] 'https://www.ademe.fr/sites/default/files/assets/documents/dechets_chiffrescles_essentiel2018_010690.pdf</t>
  </si>
  <si>
    <t>[5] La Tribune, https://www.latribune.fr/entreprises-finance/services/transport-logistique/la-france-envisage-d-obliger-les-compagnies-aeriennes-a-utiliser-des-biocarburants-821160.html</t>
  </si>
  <si>
    <t xml:space="preserve">Ressources : surfaces agricoles, forestières, déchets </t>
  </si>
  <si>
    <t>[4] OCDE, https://data.oecd.org/fr/waste/dechets-municipaux.htm</t>
  </si>
  <si>
    <t>[6] https://www.caminteresse.fr/environnement/foret-francaise-quelques-chiffres-cles-1166116/</t>
  </si>
  <si>
    <t>[7] https://www.groupementsforestiers.com/linvestissement-forestier/</t>
  </si>
  <si>
    <t>[8] https://vert-lavenir.com</t>
  </si>
  <si>
    <t>Emissions carbone carburants</t>
  </si>
  <si>
    <t>[9] FlightPath - Alternative Fuels for Europe, 2019</t>
  </si>
  <si>
    <t>[10] FlightPath - Alternative Fuels for Europe, 2018</t>
  </si>
  <si>
    <t>[11] Aviation biofuels: strategically important, technically achievable, tough to deliver, Grantham Institute Briefing paper No 23, 2017</t>
  </si>
  <si>
    <t>[12] Review of the potential for biofuels in aviation, E4Tech, 2009</t>
  </si>
  <si>
    <t>[13] Life Cycle Greenhouse Gaz Emissions from Alternative Jet Fuels, PARTNER Project 28, 2010</t>
  </si>
  <si>
    <t>[15] https://www.ademe.fr/sites/default/files/assets/documents/captage-stockage-geologique-co2_csc_avis-technique_2020.pdf</t>
  </si>
  <si>
    <t>Densité biofuel</t>
  </si>
  <si>
    <t>[14] Pratt &amp; Whitney, Evaluation of Amyris Direct Sugar to Hydrocarbon (DSHC) Fuel, U.S. Department of Transportation</t>
  </si>
  <si>
    <t>[15] Rapport McKinsey : https://www.mckinsey.com/industries/travel-logistics-and-transport-infrastructure/our-insights/scaling-sustainable-aviation-fuel-today-for-clean-skies-tomorrow</t>
  </si>
  <si>
    <t>Général</t>
  </si>
  <si>
    <t>Roadmap Avion</t>
  </si>
  <si>
    <t>Carburant alternatifs</t>
  </si>
  <si>
    <t>Renouvellement</t>
  </si>
  <si>
    <t>Début renouvellement accéléré</t>
  </si>
  <si>
    <t>Mix Energétique</t>
  </si>
  <si>
    <t>15 ans</t>
  </si>
  <si>
    <t>25 ans</t>
  </si>
  <si>
    <t>Mix Energétique (MAX)</t>
  </si>
  <si>
    <t>Scenario</t>
  </si>
  <si>
    <t>Roadmap AVION</t>
  </si>
  <si>
    <t>Production Carburants Alternatifs</t>
  </si>
  <si>
    <t>Résultat Scénario</t>
  </si>
  <si>
    <t>Gain renouvellement de flotte</t>
  </si>
  <si>
    <t>Emissions après renouvellement (MtCO2)</t>
  </si>
  <si>
    <t>Gain Carburants Alternatifs</t>
  </si>
  <si>
    <t>Emissions après Carburant Alternatifs (MtCO2)</t>
  </si>
  <si>
    <t>A compenser CORSIA (MtCO2)</t>
  </si>
  <si>
    <t>Electricité de production (TWh)</t>
  </si>
  <si>
    <t>% Puissance installée en 2019</t>
  </si>
  <si>
    <t>Mix Energétique (MIN)</t>
  </si>
  <si>
    <t>Mix Energétique (MED)</t>
  </si>
  <si>
    <t>Scenario Global</t>
  </si>
  <si>
    <t>Fréquence renouvellement</t>
  </si>
  <si>
    <t>Années</t>
  </si>
  <si>
    <t>Données d'entrée du scenario</t>
  </si>
  <si>
    <t>Renouvellement Commuters</t>
  </si>
  <si>
    <t>Renouvellement Régionaux</t>
  </si>
  <si>
    <t>Renouvellement Courts Courriers</t>
  </si>
  <si>
    <t>Renouvellement Moyens Courriers</t>
  </si>
  <si>
    <t>Renouvellement Longs Courriers</t>
  </si>
  <si>
    <t>Bilan renouvellement de la flotte</t>
  </si>
  <si>
    <t>Carburants alternatifs disponibles</t>
  </si>
  <si>
    <t>Consommation Carburants</t>
  </si>
  <si>
    <t>Production et externalités de production électrique</t>
  </si>
  <si>
    <t>Bilan du Scenario</t>
  </si>
  <si>
    <t>Evolution Avion</t>
  </si>
  <si>
    <t>Total  (hors H2)</t>
  </si>
  <si>
    <t>Mix Biocarburants 2G (FT résidus agricoles, forestiers et municipaux)</t>
  </si>
  <si>
    <t>JetA restant</t>
  </si>
  <si>
    <t>Carburant alternatif (hors H2) consommé (Mt)</t>
  </si>
  <si>
    <t>% du carburant disponible</t>
  </si>
  <si>
    <t>H2</t>
  </si>
  <si>
    <t>Jet A-1</t>
  </si>
  <si>
    <t>Emissions CO2 Combustion + productions (MtCO2)</t>
  </si>
  <si>
    <t>Gains Carburants alternatifs</t>
  </si>
  <si>
    <t>Emissions en Combustion seule (MtCO2)</t>
  </si>
  <si>
    <t>A compenser CORSIA (Mt CO2)</t>
  </si>
  <si>
    <t>Emissions NOx (Mt)</t>
  </si>
  <si>
    <t>Emissions H20 (Mt)</t>
  </si>
  <si>
    <t>Gains relatifs Perf + carburants</t>
  </si>
  <si>
    <t>Emissions post mesures d'efficacité court-terme et ATM (Mt CO2)</t>
  </si>
  <si>
    <t>MtJet1A</t>
  </si>
  <si>
    <t>MtCO2 combustion</t>
  </si>
  <si>
    <t>MtH2O</t>
  </si>
  <si>
    <t>MtNOx</t>
  </si>
  <si>
    <t>Taux de renouvellement annuel</t>
  </si>
  <si>
    <t>Nb cellule à ajouter dans le sommeprod pour arriver au plus près de  100% de la flotte</t>
  </si>
  <si>
    <t>Flotte renouvelée</t>
  </si>
  <si>
    <t>Part des émissions</t>
  </si>
  <si>
    <t>MtCO2</t>
  </si>
  <si>
    <t>Gain Flotte</t>
  </si>
  <si>
    <t>Capacité d'emport CA flotte (%Energie Utile)</t>
  </si>
  <si>
    <t>Capacité d'emport H2 flotte (%Energie utile)</t>
  </si>
  <si>
    <t>Emissions combustion (MtCO2)</t>
  </si>
  <si>
    <t>Emissions Totales (MtCO2)</t>
  </si>
  <si>
    <t>Gain relatif</t>
  </si>
  <si>
    <t>Besoin Jet-A1 (Mt)</t>
  </si>
  <si>
    <t>Capacité d'emport CA flotte (%Energie utile)</t>
  </si>
  <si>
    <t>Capacité d'emport CA (hors H2) en Masse de carburants alternatifs [Mt]</t>
  </si>
  <si>
    <t>Masse disponible (Mt)</t>
  </si>
  <si>
    <t>Taux disponible (%)</t>
  </si>
  <si>
    <t>%</t>
  </si>
  <si>
    <t>Masse (Mt)</t>
  </si>
  <si>
    <t>Masse Biocarburants (Mt)</t>
  </si>
  <si>
    <t>Masse PTL (Mt)</t>
  </si>
  <si>
    <t>Masse Kerosène évitée par l'H2 (Mt)</t>
  </si>
  <si>
    <t>Masse H2 nécessaire (Mt)</t>
  </si>
  <si>
    <t>Masse de Kérosène nécessaire restante (Mt)</t>
  </si>
  <si>
    <t>Energie électrique nécessaire (TWh)</t>
  </si>
  <si>
    <t>Puissance électrique installée nécessaire (GW)</t>
  </si>
  <si>
    <t>Ratio vs puissance installée</t>
  </si>
  <si>
    <t>Emissions CO2 induites par la production électrique (MtCO2)</t>
  </si>
  <si>
    <t>Scénario renouvellement 25 ans</t>
  </si>
  <si>
    <t>Carburants disponibles</t>
  </si>
  <si>
    <t>Carburants utilisés</t>
  </si>
  <si>
    <t>Trajectoire crise COVID +2% incluant techno (MtCO2)</t>
  </si>
  <si>
    <t>Cumul émissions de CO2 MtCO2 (total)</t>
  </si>
  <si>
    <t>MtCO2 (combustion)</t>
  </si>
  <si>
    <t>Cumul émissions de CO2 MtCO2 (combustion)</t>
  </si>
  <si>
    <t>MtJetA-1
(besoin)</t>
  </si>
  <si>
    <t>Masse de carburants alternatifs [Mt]</t>
  </si>
  <si>
    <t>Taux de carburants alternatifs [%]</t>
  </si>
  <si>
    <t>Masse</t>
  </si>
  <si>
    <t xml:space="preserve">% </t>
  </si>
  <si>
    <t>Capacité d'emport des appareils au kéro [%Réservoir]</t>
  </si>
  <si>
    <t>Mt-biocarburant (FT résidus agricoles et forestiers)</t>
  </si>
  <si>
    <t>Mt-PtL</t>
  </si>
  <si>
    <t>Mt-H2</t>
  </si>
  <si>
    <t>MtJetA</t>
  </si>
  <si>
    <t>Mha_surface</t>
  </si>
  <si>
    <t>Energie nécessaire (TWh)</t>
  </si>
  <si>
    <t>Puissance éolienne installée nécessaire (GW)</t>
  </si>
  <si>
    <t>Emissions CO2 induites par la production (MtCO2)</t>
  </si>
  <si>
    <t>Emissions CO2 rejets + productions (MtCO2)</t>
  </si>
  <si>
    <t>Emission en Fuel Burn</t>
  </si>
  <si>
    <t>A compenser CORSIA</t>
  </si>
  <si>
    <t>Cumul des émissions CO2 rejets + productions (MtCO2)</t>
  </si>
  <si>
    <t>N/A</t>
  </si>
  <si>
    <t>Trajectoire +2% incluant techno hors crise COVID (MtCO2)</t>
  </si>
  <si>
    <t>Densification de cabine : scenario fin de la first et reduction de 50% de la business</t>
  </si>
  <si>
    <t>Transfert Modal</t>
  </si>
  <si>
    <t>Décarbonation des opérations au sol</t>
  </si>
  <si>
    <t>Limiter le fuel tankering</t>
  </si>
  <si>
    <t>Remplacement des turbojets de petite capacité par des turbopropulseurs</t>
  </si>
  <si>
    <t>Ramener le cost index proche de 0</t>
  </si>
  <si>
    <t>Année de référence</t>
  </si>
  <si>
    <t>Gain CO2 si 100% mesure effective (Hors amont) (Mt CO2)</t>
  </si>
  <si>
    <t>Avec Amont (MtCO2)</t>
  </si>
  <si>
    <t>% de la conso</t>
  </si>
  <si>
    <t>Rythme de mise en œuvre</t>
  </si>
  <si>
    <t>Répartition des classes et nb de siège associé dans la flotte AF</t>
  </si>
  <si>
    <t>Type d'appareil</t>
  </si>
  <si>
    <t>Nombre d'appareils</t>
  </si>
  <si>
    <t>Classe</t>
  </si>
  <si>
    <t>Economy</t>
  </si>
  <si>
    <t>Premium eco</t>
  </si>
  <si>
    <t>Business</t>
  </si>
  <si>
    <t>First</t>
  </si>
  <si>
    <t>Sièges</t>
  </si>
  <si>
    <t>Y ou C ou M</t>
  </si>
  <si>
    <t>W</t>
  </si>
  <si>
    <t>J</t>
  </si>
  <si>
    <t>P</t>
  </si>
  <si>
    <t>A330</t>
  </si>
  <si>
    <t>A340</t>
  </si>
  <si>
    <t>B787</t>
  </si>
  <si>
    <t>B777</t>
  </si>
  <si>
    <t>A380</t>
  </si>
  <si>
    <t>Moyenne pondérée</t>
  </si>
  <si>
    <t>C et M = utilisé pour la flotte intra caraïbe</t>
  </si>
  <si>
    <t>A noter que sur les avions monocouloirs, les versions décrites sont en général le max possible de la cabine Eco (rideau mobile)</t>
  </si>
  <si>
    <t>Facteur de conversion en classe éco</t>
  </si>
  <si>
    <t>Configuration</t>
  </si>
  <si>
    <t>Delta PAX</t>
  </si>
  <si>
    <t>Emission/PAX</t>
  </si>
  <si>
    <t>Emport pax en plus par rapport à l'ancienne configuration</t>
  </si>
  <si>
    <t>100% Eco</t>
  </si>
  <si>
    <t>50% de business</t>
  </si>
  <si>
    <t>3% supplémentaire de remplissage</t>
  </si>
  <si>
    <t>Arrivée (au départ de Paris)</t>
  </si>
  <si>
    <t xml:space="preserve">Passagers (vols commerciaux) </t>
  </si>
  <si>
    <t>Distance aller</t>
  </si>
  <si>
    <t>Emissions totales passager moyen</t>
  </si>
  <si>
    <t>Emissions 100% eco</t>
  </si>
  <si>
    <t>Emissions 50% business</t>
  </si>
  <si>
    <t>Émission meilleur taux de remplissage (+3%)</t>
  </si>
  <si>
    <t>passagers</t>
  </si>
  <si>
    <t>km</t>
  </si>
  <si>
    <t>kgCO2/ pax eq</t>
  </si>
  <si>
    <t>DGAC 2018</t>
  </si>
  <si>
    <t>calculateur DGAC</t>
  </si>
  <si>
    <t>Afrique</t>
  </si>
  <si>
    <t>Afrique du Sud</t>
  </si>
  <si>
    <t>Algérie</t>
  </si>
  <si>
    <t>Angola</t>
  </si>
  <si>
    <t>Benin</t>
  </si>
  <si>
    <t>Burkina Faso</t>
  </si>
  <si>
    <t>Cameroun</t>
  </si>
  <si>
    <t>Cap Vert</t>
  </si>
  <si>
    <t>Centrafricaine (Rép.)</t>
  </si>
  <si>
    <t>Congo-Brazzaville (Rép.)</t>
  </si>
  <si>
    <t>Congo-Kinshasa (Rép. dém.)</t>
  </si>
  <si>
    <t>Côte d'Ivoire</t>
  </si>
  <si>
    <t>Djibouti</t>
  </si>
  <si>
    <t>Egypte</t>
  </si>
  <si>
    <t>Ethiopie</t>
  </si>
  <si>
    <t>Gabon</t>
  </si>
  <si>
    <t>Ghana</t>
  </si>
  <si>
    <t>Guinée (Conakry)</t>
  </si>
  <si>
    <t>Guinée Equatoriale</t>
  </si>
  <si>
    <t>Kenya</t>
  </si>
  <si>
    <t>Madagascar</t>
  </si>
  <si>
    <t>Mali</t>
  </si>
  <si>
    <t>Maroc</t>
  </si>
  <si>
    <t>Maurice</t>
  </si>
  <si>
    <t>Mauritanie</t>
  </si>
  <si>
    <t>Niger</t>
  </si>
  <si>
    <t>Nigeria</t>
  </si>
  <si>
    <t>Sénégal</t>
  </si>
  <si>
    <t>Seychelles</t>
  </si>
  <si>
    <t>Sierra Leone</t>
  </si>
  <si>
    <t>Tchad</t>
  </si>
  <si>
    <t>Togo</t>
  </si>
  <si>
    <t>Tunisie</t>
  </si>
  <si>
    <t>Amérique</t>
  </si>
  <si>
    <t>Argentine</t>
  </si>
  <si>
    <t>Bahamas (Nassau)</t>
  </si>
  <si>
    <t>Brésil (Rio)</t>
  </si>
  <si>
    <t>Canada (Montréal)</t>
  </si>
  <si>
    <t>Chili</t>
  </si>
  <si>
    <t>Colombie</t>
  </si>
  <si>
    <t>Costa Rica</t>
  </si>
  <si>
    <t>Cuba</t>
  </si>
  <si>
    <t>Dominicaine (Rép.)</t>
  </si>
  <si>
    <t>Etats-Unis (NYC)</t>
  </si>
  <si>
    <t>Haïti</t>
  </si>
  <si>
    <t>Mexique</t>
  </si>
  <si>
    <t>Panama</t>
  </si>
  <si>
    <t>Pays-Bas (ex Antilles néerl.) (Willemstad)</t>
  </si>
  <si>
    <t>Pérou</t>
  </si>
  <si>
    <t>Venezuela</t>
  </si>
  <si>
    <t>Asie</t>
  </si>
  <si>
    <t>Arabie Saoudite</t>
  </si>
  <si>
    <t>Bahreïn</t>
  </si>
  <si>
    <t>Chine</t>
  </si>
  <si>
    <t>Corée du Sud</t>
  </si>
  <si>
    <t>Emirats Arabes Unis (Abou Dhabi)</t>
  </si>
  <si>
    <t>Hong Kong (Chine)</t>
  </si>
  <si>
    <t>Inde</t>
  </si>
  <si>
    <t>Iran</t>
  </si>
  <si>
    <t>Israël</t>
  </si>
  <si>
    <t>Japon</t>
  </si>
  <si>
    <t>Jordanie</t>
  </si>
  <si>
    <t>Koweït</t>
  </si>
  <si>
    <t>Liban</t>
  </si>
  <si>
    <t>Maldives</t>
  </si>
  <si>
    <t>Oman</t>
  </si>
  <si>
    <t>Pakistan</t>
  </si>
  <si>
    <t>Qatar</t>
  </si>
  <si>
    <t>Singapour</t>
  </si>
  <si>
    <t>Taiwan</t>
  </si>
  <si>
    <t>Thaïlande</t>
  </si>
  <si>
    <t>Viet Nam</t>
  </si>
  <si>
    <t>Europe</t>
  </si>
  <si>
    <t>Albanie</t>
  </si>
  <si>
    <t>Allemagne</t>
  </si>
  <si>
    <t>Arménie</t>
  </si>
  <si>
    <t>Autriche</t>
  </si>
  <si>
    <t>Azerbaïdjan</t>
  </si>
  <si>
    <t>Belgique</t>
  </si>
  <si>
    <t>Biélorussie</t>
  </si>
  <si>
    <t>Bosnie-Herzégovine</t>
  </si>
  <si>
    <t>Bulgarie</t>
  </si>
  <si>
    <t>Chypre</t>
  </si>
  <si>
    <t>Croatie</t>
  </si>
  <si>
    <t>Danemark</t>
  </si>
  <si>
    <t>Espagne</t>
  </si>
  <si>
    <t>Estonie</t>
  </si>
  <si>
    <t>Finlande</t>
  </si>
  <si>
    <t>Georgie</t>
  </si>
  <si>
    <t>Grèce</t>
  </si>
  <si>
    <t>Hongrie</t>
  </si>
  <si>
    <t>Irlande</t>
  </si>
  <si>
    <t>Islande</t>
  </si>
  <si>
    <t>Italie</t>
  </si>
  <si>
    <t>Kazakhstan</t>
  </si>
  <si>
    <t>Kosovo</t>
  </si>
  <si>
    <t>Lettonie</t>
  </si>
  <si>
    <t>Lituanie</t>
  </si>
  <si>
    <t>Luxembourg</t>
  </si>
  <si>
    <t>Macédoine du Nord</t>
  </si>
  <si>
    <t>Malte</t>
  </si>
  <si>
    <t>Moldavie</t>
  </si>
  <si>
    <t>Monaco</t>
  </si>
  <si>
    <t>Monténégro</t>
  </si>
  <si>
    <t>Norvège</t>
  </si>
  <si>
    <t>Ouzbékistan</t>
  </si>
  <si>
    <t>Pays-Bas</t>
  </si>
  <si>
    <t>Pologne</t>
  </si>
  <si>
    <t>Portugal</t>
  </si>
  <si>
    <t>Roumanie</t>
  </si>
  <si>
    <t>Royaume-Uni</t>
  </si>
  <si>
    <t>Russie (Féd. de)</t>
  </si>
  <si>
    <t>Serbie</t>
  </si>
  <si>
    <t>Slovaquie</t>
  </si>
  <si>
    <t>Slovénie</t>
  </si>
  <si>
    <t>Suède</t>
  </si>
  <si>
    <t>Suisse</t>
  </si>
  <si>
    <t>Tchéquie</t>
  </si>
  <si>
    <t>Turkménistan</t>
  </si>
  <si>
    <t>Turquie</t>
  </si>
  <si>
    <t>Ukraine</t>
  </si>
  <si>
    <t>Émissions avec taux de remplissage +3%</t>
  </si>
  <si>
    <t>Emissions internationales
(Mt CO2)</t>
  </si>
  <si>
    <t xml:space="preserve"> totales</t>
  </si>
  <si>
    <t>ramenées au périmètre France (/2)</t>
  </si>
  <si>
    <t>ramenées aux valeurs DGAC</t>
  </si>
  <si>
    <t>Emissions totales France (nationales et internationales)</t>
  </si>
  <si>
    <t>Ratio par rapport aux émissions internationales françaises de 2018</t>
  </si>
  <si>
    <t>Ratio par rapport aux émissions totales françaises de 2018</t>
  </si>
  <si>
    <t>Total des gains estimés sur le périmètre DGAC, hors amont  (MtCO2)</t>
  </si>
  <si>
    <t>Ville 1</t>
  </si>
  <si>
    <t>Ville 2</t>
  </si>
  <si>
    <t>Passagers (vols commerciaux)</t>
  </si>
  <si>
    <t>Passagers hors correspondance (vol direct)</t>
  </si>
  <si>
    <t>Emissions totales</t>
  </si>
  <si>
    <t>Temps de trajet train</t>
  </si>
  <si>
    <t>Distance du trajet en train</t>
  </si>
  <si>
    <t>Emissions train par passager</t>
  </si>
  <si>
    <t>Emissions totales train</t>
  </si>
  <si>
    <t>kgCO2/ passager eq</t>
  </si>
  <si>
    <t>tCO2</t>
  </si>
  <si>
    <t>minutes</t>
  </si>
  <si>
    <t>kgCO2e/p.</t>
  </si>
  <si>
    <t>tCO2e</t>
  </si>
  <si>
    <t>dgac 2018</t>
  </si>
  <si>
    <t>hors amont</t>
  </si>
  <si>
    <r>
      <t xml:space="preserve">https://ressources.data.sncf.com/explore/dataset/meilleurs-temps-des-parcours-des-trains/table/?disjunctive.relations&amp;sort=annee, </t>
    </r>
    <r>
      <rPr>
        <i/>
        <sz val="8"/>
        <rFont val="Calibri"/>
        <family val="2"/>
        <scheme val="minor"/>
      </rPr>
      <t>ouisncf</t>
    </r>
  </si>
  <si>
    <t>https://data.sncf.com/explore/dataset/emission-co2-tgv/table/</t>
  </si>
  <si>
    <t>Radiale 2h30</t>
  </si>
  <si>
    <t xml:space="preserve">PARIS </t>
  </si>
  <si>
    <t xml:space="preserve">BORDEAUX </t>
  </si>
  <si>
    <t xml:space="preserve">LYON </t>
  </si>
  <si>
    <t xml:space="preserve">NANTES </t>
  </si>
  <si>
    <t xml:space="preserve">RENNES </t>
  </si>
  <si>
    <t>Totaux</t>
  </si>
  <si>
    <t>Transversale 2h30</t>
  </si>
  <si>
    <t xml:space="preserve">MARSEILLE </t>
  </si>
  <si>
    <t xml:space="preserve">NICE </t>
  </si>
  <si>
    <t xml:space="preserve">ST TROPEZ/HEL </t>
  </si>
  <si>
    <t>Radiale 4h30 - 16 lignes</t>
  </si>
  <si>
    <t xml:space="preserve">MONTPELLIER </t>
  </si>
  <si>
    <t xml:space="preserve">BREST </t>
  </si>
  <si>
    <t xml:space="preserve">TOULON </t>
  </si>
  <si>
    <t xml:space="preserve">CLERMONT-FERRAND </t>
  </si>
  <si>
    <t xml:space="preserve">BALE/MULHOUSE </t>
  </si>
  <si>
    <t xml:space="preserve">LORIENT </t>
  </si>
  <si>
    <t xml:space="preserve">AGEN </t>
  </si>
  <si>
    <t xml:space="preserve">LA ROCHELLE </t>
  </si>
  <si>
    <t xml:space="preserve">LIMOGES </t>
  </si>
  <si>
    <t xml:space="preserve">TOULOUSE </t>
  </si>
  <si>
    <t xml:space="preserve">BIARRITZ </t>
  </si>
  <si>
    <t xml:space="preserve">PAU </t>
  </si>
  <si>
    <t xml:space="preserve">QUIMPER </t>
  </si>
  <si>
    <t xml:space="preserve">BRIVE </t>
  </si>
  <si>
    <t xml:space="preserve">LE PUY-EN-VELAY </t>
  </si>
  <si>
    <t>Transversale 4h30 - 14 lignes</t>
  </si>
  <si>
    <t xml:space="preserve">STRASBOURG </t>
  </si>
  <si>
    <t xml:space="preserve">LILLE </t>
  </si>
  <si>
    <t xml:space="preserve">ROUEN </t>
  </si>
  <si>
    <t xml:space="preserve">METZ/NANCY </t>
  </si>
  <si>
    <t xml:space="preserve">POITIERS </t>
  </si>
  <si>
    <t>Internationale 4h30</t>
  </si>
  <si>
    <t>Gatewick</t>
  </si>
  <si>
    <t>Heathrow</t>
  </si>
  <si>
    <t>Luton</t>
  </si>
  <si>
    <t>Southend</t>
  </si>
  <si>
    <t>Genève</t>
  </si>
  <si>
    <t>Zurich</t>
  </si>
  <si>
    <t>Francfort</t>
  </si>
  <si>
    <t>Amsterdam</t>
  </si>
  <si>
    <t>Bruxelles</t>
  </si>
  <si>
    <t>ORY</t>
  </si>
  <si>
    <t>London city</t>
  </si>
  <si>
    <t>FE TGV (gCO2/km/pass.)</t>
  </si>
  <si>
    <t>avion</t>
  </si>
  <si>
    <t>train</t>
  </si>
  <si>
    <t>FE Eurostar (gCO2/km/pass.)</t>
  </si>
  <si>
    <t>net</t>
  </si>
  <si>
    <t>tCO2 (avion - train)</t>
  </si>
  <si>
    <t>FE Thalys (gCO2/km/pass.)</t>
  </si>
  <si>
    <t>FE CFF (gCO2/km/pass.)</t>
  </si>
  <si>
    <t>Total sans international</t>
  </si>
  <si>
    <t>international divisé par 2</t>
  </si>
  <si>
    <t>Emissions CO2 de Air France (sans KLM) pour les activités aériennes, hors amont</t>
  </si>
  <si>
    <t xml:space="preserve">Rapport annuel 2019 </t>
  </si>
  <si>
    <t>https://www.airfranceklm.com/fr/system/files/documentdenregistrementuniversel_2019_0.pdf</t>
  </si>
  <si>
    <t>Part du trafic AF-KLM en pax km réalisé en miles</t>
  </si>
  <si>
    <t>Rapport McKinsey + entretien expert</t>
  </si>
  <si>
    <t xml:space="preserve">https://www.mckinsey.com/industries/travel-transport-and-logistics/our-insights/miles-ahead-how-to-improve-airline-customer-loyalty-programs </t>
  </si>
  <si>
    <t>Part du trafic opportuniste (ne serait pas réalisé si pas "gratuit")</t>
  </si>
  <si>
    <t>Entretien expert</t>
  </si>
  <si>
    <t>Production de CO2 du système de miles</t>
  </si>
  <si>
    <t>#</t>
  </si>
  <si>
    <t>Contreparties</t>
  </si>
  <si>
    <t>Hypothèse réduction de miles utilisés</t>
  </si>
  <si>
    <t>Réduction de CO2</t>
  </si>
  <si>
    <t>Commentaires</t>
  </si>
  <si>
    <t>Proposer systématiquement aux voyageurs de ne pas recevoir leurs miles et de les transformer soit en compensation carbone soit en don pour de la  R&amp;D pour une aéronautique moins carbonée</t>
  </si>
  <si>
    <t>Existe déjà la possibilité de donner à des ONGs mais pas visible</t>
  </si>
  <si>
    <t>Interdire la commercialisation de miles auprès d’acteurs tiers (cartes AMERICAN EXPRESS, etc)</t>
  </si>
  <si>
    <t>Pas d'information à date mais c'est une hypothèse très conservatrice vs. marché</t>
  </si>
  <si>
    <t>Appliquer une surprime de 20% sur les billets miles comme une taxe carbone  (au moment de la réservation), ce qui revient à réduire de 20% la valeur CO2 du stock de miles et tous les billets miles à venir</t>
  </si>
  <si>
    <t>Effet mécanique et s'applique aussi au stock historique (donc ici minimisé)</t>
  </si>
  <si>
    <t>Baisser le nombre de miles gagnés en classe affaire (exemple : même que pour la classe économie au lieu de 4 fois comme c’est souvent le cas)</t>
  </si>
  <si>
    <t>Pas d'information mais problement plus au regard du nb de miles gagnés</t>
  </si>
  <si>
    <t>Interdire l’usage à titre personnel de miles collectés par un voyage professionnel (en menaçant d’une imposition pour avantage en nature)  </t>
  </si>
  <si>
    <t>Total sans suppression du modèle</t>
  </si>
  <si>
    <t>Une approche plus radicale serait de supprimer complètement le systèmes de miles. Les compagnies Low Cost à titre d’exemple fonctionnent sans</t>
  </si>
  <si>
    <t>Levier 1 : Utilisation du SETI, SETO ou STAR</t>
  </si>
  <si>
    <t>SETI</t>
  </si>
  <si>
    <t>Single-Engine Taxi-In</t>
  </si>
  <si>
    <t>SETO</t>
  </si>
  <si>
    <t>Single-Engine Taxi-Out</t>
  </si>
  <si>
    <t>STAR</t>
  </si>
  <si>
    <t>Système de Traction d'Avion au Roulage</t>
  </si>
  <si>
    <t>Conso STAR diesel (kg/h)</t>
  </si>
  <si>
    <t>Durée taxi (min)</t>
  </si>
  <si>
    <t>Fuel Burn moteurs (kg)</t>
  </si>
  <si>
    <t>Fuel Burn APU (kg)</t>
  </si>
  <si>
    <t>Masse avion (t)*</t>
  </si>
  <si>
    <t>kg/t/h*</t>
  </si>
  <si>
    <t>Fuel Burn STAR diesel (kg)</t>
  </si>
  <si>
    <t>*source wikipedia</t>
  </si>
  <si>
    <t>Répartition émissions</t>
  </si>
  <si>
    <t>Taxi-in</t>
  </si>
  <si>
    <t>Taxi-out</t>
  </si>
  <si>
    <t>Conso ralenti sol (kg/h)</t>
  </si>
  <si>
    <t>Conso 2 moteurs (kg/h)</t>
  </si>
  <si>
    <t>Conso APU (kg/h)</t>
  </si>
  <si>
    <t>pas mis en place sur avions régionaux et aviation d'affaire</t>
  </si>
  <si>
    <t>Avion transport régional</t>
  </si>
  <si>
    <t>Court-courrier</t>
  </si>
  <si>
    <t>Moyen-courrier</t>
  </si>
  <si>
    <t>Long-courrier</t>
  </si>
  <si>
    <t>Total/jour (t)</t>
  </si>
  <si>
    <t>Total/an (t)</t>
  </si>
  <si>
    <t>Total Mt CO2/an sans amont</t>
  </si>
  <si>
    <t xml:space="preserve">1 moteur éteint + 1 moteur à poussée augmentée --&gt; économie de : </t>
  </si>
  <si>
    <t>Bilan</t>
  </si>
  <si>
    <t>coeff mise en oeuvre actuelle</t>
  </si>
  <si>
    <t>coeff mise en œuvre en pratique</t>
  </si>
  <si>
    <t>coeff temps moteur éteint</t>
  </si>
  <si>
    <t>FB économisé/jr avant coeff (t)</t>
  </si>
  <si>
    <t>FB économisé/jr (t)</t>
  </si>
  <si>
    <t>CO2 économisé/jr (t CO2) sans amont</t>
  </si>
  <si>
    <t>CO2 économisé/an (Mt CO2)</t>
  </si>
  <si>
    <t>% des émissions en France</t>
  </si>
  <si>
    <t>SETI&amp;SETO</t>
  </si>
  <si>
    <t>STAR diesel au taxi-out (2025)</t>
  </si>
  <si>
    <t>+ SETI</t>
  </si>
  <si>
    <t>STAR élec au taxi-out (2025)</t>
  </si>
  <si>
    <t>STAR élec au taxi-out (2030)</t>
  </si>
  <si>
    <t>STAR élec au taxi-out (2035)</t>
  </si>
  <si>
    <t>Levier 2 : Utilisation d'un groupe électrique au lieu de l'APU</t>
  </si>
  <si>
    <t>Scénario A 2025</t>
  </si>
  <si>
    <t>Aéroport CDG et ORLY équipés de goupe électrique</t>
  </si>
  <si>
    <t>Scénario B 2030</t>
  </si>
  <si>
    <t>Tous les aéroports de France équipés de goupe électrique</t>
  </si>
  <si>
    <t>Facteur vs 2025</t>
  </si>
  <si>
    <t>Total des gains estimés sur le périmètre DGAC, hors amont (MtCO2)</t>
  </si>
  <si>
    <t>Valeur min</t>
  </si>
  <si>
    <t>Emissions de CO2 2018 (Mt CO2)</t>
  </si>
  <si>
    <t>Pourcentage des vols avec double emport en Europe</t>
  </si>
  <si>
    <t>Eurocontrol : https://www.eurocontrol.int/sites/default/files/2020-01/eurocontrol-think-paper-1-fuel-tankering.pdf</t>
  </si>
  <si>
    <t>Surconsommation (Eurocontrol) MIN</t>
  </si>
  <si>
    <t>Surconsommation (Eurocontrol) MAX</t>
  </si>
  <si>
    <t>non utilisé</t>
  </si>
  <si>
    <t>Pourcentage des émissions supplémentaires dues au fuel tankering</t>
  </si>
  <si>
    <t>cohérent avec source compagnie</t>
  </si>
  <si>
    <t>Emissions supplémentaires</t>
  </si>
  <si>
    <t>Prix IATA de la tonne de kérosène jet A</t>
  </si>
  <si>
    <t>€/t</t>
  </si>
  <si>
    <t>Coût supplémentaire lié à l'emport</t>
  </si>
  <si>
    <t>Facteur de gain</t>
  </si>
  <si>
    <t>Net Savings (tankering - extra cost)</t>
  </si>
  <si>
    <t>Gain € par tCO2</t>
  </si>
  <si>
    <t>€/t CO2</t>
  </si>
  <si>
    <t>Données générales de référence</t>
  </si>
  <si>
    <t>CRJ 1000</t>
  </si>
  <si>
    <t>CRJ 700</t>
  </si>
  <si>
    <t>Embraer 145</t>
  </si>
  <si>
    <t>Embraer 170</t>
  </si>
  <si>
    <t>Embraer 190</t>
  </si>
  <si>
    <t>ATR 42</t>
  </si>
  <si>
    <t>ATR 72</t>
  </si>
  <si>
    <t>Trafic Hop! 2019</t>
  </si>
  <si>
    <t>pax.km</t>
  </si>
  <si>
    <t>https://www.ecologique-solidaire.gouv.fr/sites/default/files/bulletin_stat_trafic_aerien_2019.pdf</t>
  </si>
  <si>
    <t>Caractéristiques avion</t>
  </si>
  <si>
    <t>Capacité (pax) - AF</t>
  </si>
  <si>
    <t>Trafic Hop! 2017</t>
  </si>
  <si>
    <t>https://www.ecologique-solidaire.gouv.fr/sites/default/files/Bulletin_Stat_trafic_aerien_2017.pdf</t>
  </si>
  <si>
    <t>Consommation avion à capacité max (L/pax.100km) - min</t>
  </si>
  <si>
    <t>Equivalent kérosène - CO2 hors amont</t>
  </si>
  <si>
    <t>KgCO2/L</t>
  </si>
  <si>
    <t>BaseCarbone ADEME (référence française pour les facteurs d’émission)</t>
  </si>
  <si>
    <t>Consommation avion à capacité max (L/pax.100km) -max</t>
  </si>
  <si>
    <t>Scénario Hop! 2019</t>
  </si>
  <si>
    <t>Flotte</t>
  </si>
  <si>
    <t>Hypothèses de réduction de flotte après transfert modal</t>
  </si>
  <si>
    <t>(analyse données FR24 2019)</t>
  </si>
  <si>
    <t>Capacité flotte (pax)</t>
  </si>
  <si>
    <t>Estimation du trafic (pax.km)</t>
  </si>
  <si>
    <t>Consommation min (L)</t>
  </si>
  <si>
    <t>Consommation max (L)</t>
  </si>
  <si>
    <t>% émissions France 2019</t>
  </si>
  <si>
    <t>Hypothèses de flotte avant et après transfert modal</t>
  </si>
  <si>
    <t>Emission CO2 min (t)</t>
  </si>
  <si>
    <t>Emission CO2 max (t)</t>
  </si>
  <si>
    <t>Scénario équivalent Hop! 2019 après transfert modal vers le train</t>
  </si>
  <si>
    <t>% trafic maintenu (d'après le calcul sur le report modal</t>
  </si>
  <si>
    <t>Flotte Hop! 31 dec 2019</t>
  </si>
  <si>
    <t>Source : Air France KLM rapport d'enregistrement 2019</t>
  </si>
  <si>
    <t>Ratio trafic par type d'avion maintenu (pax.km)</t>
  </si>
  <si>
    <t>Flotte Hop! 2019 après transfert modal</t>
  </si>
  <si>
    <t>Besoin capacité flotte (pax)</t>
  </si>
  <si>
    <t>Avant report modal</t>
  </si>
  <si>
    <t>Remplacement régionaux &lt; 105 pax</t>
  </si>
  <si>
    <t>Flotte nécessaire</t>
  </si>
  <si>
    <t>Remplacement régionaux &lt; 120 pax</t>
  </si>
  <si>
    <t>Après report modal</t>
  </si>
  <si>
    <t>Chiffrage gain minimal</t>
  </si>
  <si>
    <t>Avant transfert modal</t>
  </si>
  <si>
    <t>Remplacement des turbojets de moins de 105 places par des turbopropulseurs</t>
  </si>
  <si>
    <t>Flotte (hypothèse)</t>
  </si>
  <si>
    <t>Emissions C02 (kt)</t>
  </si>
  <si>
    <t>Trafic Hop! 2019 après report modal</t>
  </si>
  <si>
    <t>Flotte Hop! actuelle</t>
  </si>
  <si>
    <t>/</t>
  </si>
  <si>
    <t>Ratio trafic par type d'avion  (pax.km)</t>
  </si>
  <si>
    <t>Remplacement turbojets &lt; 105 places par turbopropulseurs</t>
  </si>
  <si>
    <t>Remplacement turbojets &lt; 120 places par turbopropulseurs</t>
  </si>
  <si>
    <t>Chiffrage gain maximal</t>
  </si>
  <si>
    <t>Traffic Hop! 2019</t>
  </si>
  <si>
    <t>Traffic Hop! 2019 après report modal</t>
  </si>
  <si>
    <t>Economie carburant annuelle min à iso trafic 2019 (L)</t>
  </si>
  <si>
    <t>Economie CO2 annuelle min à iso trafic 2019 (t)</t>
  </si>
  <si>
    <t>Economie carburant annuelle max à iso trafic 2019 (L)</t>
  </si>
  <si>
    <t>Economie CO2 annuelle max à iso trafic 2019 (t)</t>
  </si>
  <si>
    <t>Remplacement des turbojets de moins de 120 places par des turbopropulseurs</t>
  </si>
  <si>
    <t>Après transfert modal</t>
  </si>
  <si>
    <t>Transfert modal vers le train
+
Remplacement des turbojets de moins de 105 places par des turbopropulseurs</t>
  </si>
  <si>
    <t>Transfert modal vers le train
+
Remplacement des turbojets de moins de 120 places par des turbopropulseurs</t>
  </si>
  <si>
    <t>%vols</t>
  </si>
  <si>
    <t>Surconsommation</t>
  </si>
  <si>
    <t>Surconsommation cible</t>
  </si>
  <si>
    <t>Delta</t>
  </si>
  <si>
    <t>Description</t>
  </si>
  <si>
    <t>vols effectués à une survitesse limitée jusqu’à la vitesse LRC</t>
  </si>
  <si>
    <t>vols effectués à une vitesse proche de la vitesse maximum de l’avion pour rattraper des retards importants</t>
  </si>
  <si>
    <t>vols effectués à une vitesse proche de CI=0</t>
  </si>
  <si>
    <t>Réaliste</t>
  </si>
  <si>
    <t>Applicabilité mesure</t>
  </si>
  <si>
    <t>Gain</t>
  </si>
  <si>
    <t>Emissions évitées</t>
  </si>
  <si>
    <t>Méthode 1</t>
  </si>
  <si>
    <t>Emissions de l'aérien français (DGAC)</t>
  </si>
  <si>
    <t>Poids additionnel de l'aviation privée (2%, EBAA)</t>
  </si>
  <si>
    <t>Méthode 2</t>
  </si>
  <si>
    <t>Coefficient de conversion du kérosène (kg/L)</t>
  </si>
  <si>
    <t>Source EBAA</t>
  </si>
  <si>
    <t>Nombre de
sièges (min)</t>
  </si>
  <si>
    <t>Nombre de
sièges (max)</t>
  </si>
  <si>
    <t>Nombre
d'appareils (FR)</t>
  </si>
  <si>
    <t>Pourcentage
de la flotte (FR)</t>
  </si>
  <si>
    <t>Consommation
min (gal/h)</t>
  </si>
  <si>
    <t>Consommation
max (gal/h)</t>
  </si>
  <si>
    <t>Consommation
moyenne (L/h)</t>
  </si>
  <si>
    <t>Nombre moyen de passagers par vol (EBAA,2017)</t>
  </si>
  <si>
    <t>pax/vol</t>
  </si>
  <si>
    <t>Turbopropulseur</t>
  </si>
  <si>
    <t>Conversion gal à L (L/gal)</t>
  </si>
  <si>
    <t>L/gal</t>
  </si>
  <si>
    <t>Light jet</t>
  </si>
  <si>
    <t>Nombre de vols privés en France (EBAA,2017)</t>
  </si>
  <si>
    <t>vols</t>
  </si>
  <si>
    <t>Mid-size jet</t>
  </si>
  <si>
    <t>Pax total du trafic aérien civil 2018 (DGAC,2018)</t>
  </si>
  <si>
    <t>pax</t>
  </si>
  <si>
    <t>Heavy jet</t>
  </si>
  <si>
    <t>Durée moyenne d'un vol d'affaires (EBAA)</t>
  </si>
  <si>
    <t>Business airliner</t>
  </si>
  <si>
    <t>Consommation moyenne pondérée d'un jet (EBAA)</t>
  </si>
  <si>
    <t>L/h</t>
  </si>
  <si>
    <t>Emissions de l'aviation privée en France</t>
  </si>
  <si>
    <t>Méthode 3</t>
  </si>
  <si>
    <t>Emissions CO2 totales 2018 pour Le Bourget</t>
  </si>
  <si>
    <t>Nombre de départs au Bourget</t>
  </si>
  <si>
    <t>départs</t>
  </si>
  <si>
    <t>https://www.ebaa.org/app/uploads/2018/01/EBAA-Economic-report-2017_compressed.pdf</t>
  </si>
  <si>
    <t xml:space="preserve">Nombre total de départs de France </t>
  </si>
  <si>
    <t>ibid</t>
  </si>
  <si>
    <t>et il y a autant d'arrivées</t>
  </si>
  <si>
    <t>Part du Bourget dans le total des départs de France</t>
  </si>
  <si>
    <t>Emissions CO2 aviation d'affaires vol intérieurs+internationaux</t>
  </si>
  <si>
    <t>Scenarios Globaux</t>
  </si>
  <si>
    <t>Scenarios Roadmap Avion</t>
  </si>
  <si>
    <t>Scenarios Carburants alternatifs</t>
  </si>
  <si>
    <t>Scenarios Renouvellement</t>
  </si>
  <si>
    <t>Params Mix Energetique</t>
  </si>
  <si>
    <t>Carburants</t>
  </si>
  <si>
    <t>Params Biocarburants</t>
  </si>
  <si>
    <t>Type Avion</t>
  </si>
  <si>
    <t>Caractérisituque Avion</t>
  </si>
  <si>
    <t>Périmètre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</si>
</sst>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
    <numFmt numFmtId="168" formatCode="0.E+00"/>
    <numFmt numFmtId="169" formatCode="_-* #,##0.0_-;\-* #,##0.0_-;_-* &quot;-&quot;??_-;_-@"/>
    <numFmt numFmtId="170" formatCode="_-* #,##0.0\ _€_-;\-* #,##0.0\ _€_-;_-* &quot;-&quot;?\ _€_-;_-@"/>
    <numFmt numFmtId="171" formatCode="0.000%"/>
    <numFmt numFmtId="172" formatCode="_-* #,##0\ &quot;€&quot;_-;\-* #,##0\ &quot;€&quot;_-;_-* &quot;-&quot;??\ &quot;€&quot;_-;_-@"/>
    <numFmt numFmtId="173" formatCode="_-* #,##0_-;\-* #,##0_-;_-* &quot;-&quot;??_-;_-@"/>
    <numFmt numFmtId="174" formatCode="_-* #,##0.00_-;\-* #,##0.00_-;_-* &quot;-&quot;??_-;_-@"/>
    <numFmt numFmtId="175" formatCode="#,##0&quot; kt CO2&quot;"/>
    <numFmt numFmtId="176" formatCode="#,##0.000"/>
  </numFmts>
  <fonts count="78">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color rgb="FF000000"/>
      <name val="Calibri"/>
      <family val="2"/>
    </font>
    <font>
      <sz val="8"/>
      <color theme="1"/>
      <name val="Calibri"/>
      <family val="2"/>
    </font>
    <font>
      <b/>
      <sz val="11"/>
      <color rgb="FF000000"/>
      <name val="Calibri"/>
      <family val="2"/>
    </font>
    <font>
      <sz val="10"/>
      <color theme="1"/>
      <name val="Arial"/>
      <family val="2"/>
    </font>
    <font>
      <b/>
      <sz val="10"/>
      <color theme="1"/>
      <name val="Arial"/>
      <family val="2"/>
    </font>
    <font>
      <sz val="11"/>
      <name val="Arial"/>
      <family val="2"/>
    </font>
    <font>
      <sz val="11"/>
      <color rgb="FF434343"/>
      <name val="Roboto"/>
    </font>
    <font>
      <b/>
      <sz val="10"/>
      <color rgb="FFFF0000"/>
      <name val="Arial"/>
      <family val="2"/>
    </font>
    <font>
      <sz val="11"/>
      <color rgb="FFFF0000"/>
      <name val="Roboto"/>
    </font>
    <font>
      <u/>
      <sz val="10"/>
      <color rgb="FF0000FF"/>
      <name val="Arial"/>
      <family val="2"/>
    </font>
    <font>
      <b/>
      <sz val="11"/>
      <color theme="1"/>
      <name val="Arial"/>
      <family val="2"/>
    </font>
    <font>
      <sz val="10"/>
      <color rgb="FF000000"/>
      <name val="Arial"/>
      <family val="2"/>
    </font>
    <font>
      <b/>
      <sz val="10"/>
      <color rgb="FF000000"/>
      <name val="Arial"/>
      <family val="2"/>
    </font>
    <font>
      <b/>
      <sz val="8"/>
      <color rgb="FF000000"/>
      <name val="Arial"/>
      <family val="2"/>
    </font>
    <font>
      <u/>
      <sz val="10"/>
      <color rgb="FF000000"/>
      <name val="Arial"/>
      <family val="2"/>
    </font>
    <font>
      <sz val="8"/>
      <color rgb="FF000000"/>
      <name val="Arial"/>
      <family val="2"/>
    </font>
    <font>
      <i/>
      <u/>
      <sz val="10"/>
      <color rgb="FF000000"/>
      <name val="Arial"/>
      <family val="2"/>
    </font>
    <font>
      <u/>
      <sz val="11"/>
      <color theme="10"/>
      <name val="Arial"/>
      <family val="2"/>
    </font>
    <font>
      <sz val="11"/>
      <color theme="1"/>
      <name val="Arial"/>
      <family val="2"/>
    </font>
    <font>
      <sz val="11"/>
      <color theme="1"/>
      <name val="Arial"/>
      <family val="2"/>
    </font>
    <font>
      <b/>
      <sz val="11"/>
      <color theme="1"/>
      <name val="Calibri"/>
      <family val="2"/>
      <scheme val="minor"/>
    </font>
    <font>
      <sz val="11"/>
      <name val="Calibri"/>
      <family val="2"/>
    </font>
    <font>
      <sz val="11"/>
      <color rgb="FF00B0F0"/>
      <name val="Calibri"/>
      <family val="2"/>
    </font>
    <font>
      <sz val="11"/>
      <color theme="0"/>
      <name val="Calibri"/>
      <family val="2"/>
    </font>
    <font>
      <b/>
      <sz val="11"/>
      <color theme="0"/>
      <name val="Calibri"/>
      <family val="2"/>
    </font>
    <font>
      <sz val="8"/>
      <color theme="1"/>
      <name val="Arial"/>
      <family val="2"/>
    </font>
    <font>
      <u/>
      <sz val="8"/>
      <color rgb="FF0000FF"/>
      <name val="Arial"/>
      <family val="2"/>
    </font>
    <font>
      <sz val="8"/>
      <name val="Arial"/>
      <family val="2"/>
    </font>
    <font>
      <u/>
      <sz val="8"/>
      <color rgb="FF1155CC"/>
      <name val="Arial"/>
      <family val="2"/>
    </font>
    <font>
      <sz val="8"/>
      <color rgb="FF1D1C1D"/>
      <name val="Arial"/>
      <family val="2"/>
    </font>
    <font>
      <sz val="11"/>
      <name val="Calibri"/>
      <family val="2"/>
      <scheme val="minor"/>
    </font>
    <font>
      <sz val="11"/>
      <color rgb="FF000000"/>
      <name val="Calibri"/>
      <family val="2"/>
      <scheme val="minor"/>
    </font>
    <font>
      <sz val="8"/>
      <color theme="1"/>
      <name val="Calibri"/>
      <family val="2"/>
      <scheme val="minor"/>
    </font>
    <font>
      <sz val="8"/>
      <color rgb="FF000000"/>
      <name val="Calibri"/>
      <family val="2"/>
      <scheme val="minor"/>
    </font>
    <font>
      <i/>
      <sz val="8"/>
      <name val="Calibri"/>
      <family val="2"/>
      <scheme val="minor"/>
    </font>
    <font>
      <u/>
      <sz val="8"/>
      <color theme="1"/>
      <name val="Calibri"/>
      <family val="2"/>
      <scheme val="minor"/>
    </font>
    <font>
      <b/>
      <sz val="11"/>
      <color rgb="FF000000"/>
      <name val="Calibri"/>
      <family val="2"/>
      <scheme val="minor"/>
    </font>
    <font>
      <u/>
      <sz val="11"/>
      <color rgb="FF1155CC"/>
      <name val="Calibri"/>
      <family val="2"/>
      <scheme val="minor"/>
    </font>
    <font>
      <sz val="11"/>
      <color rgb="FF00B0F0"/>
      <name val="Calibri"/>
      <family val="2"/>
      <scheme val="minor"/>
    </font>
    <font>
      <b/>
      <sz val="11"/>
      <color rgb="FF00B0F0"/>
      <name val="Calibri"/>
      <family val="2"/>
    </font>
    <font>
      <b/>
      <sz val="12"/>
      <color theme="1"/>
      <name val="Arial"/>
      <family val="2"/>
    </font>
    <font>
      <sz val="10"/>
      <name val="Arial"/>
      <family val="2"/>
    </font>
    <font>
      <b/>
      <sz val="11"/>
      <color theme="0"/>
      <name val="Arial"/>
      <family val="2"/>
    </font>
    <font>
      <sz val="10"/>
      <color theme="1"/>
      <name val="Calibri"/>
      <family val="2"/>
    </font>
    <font>
      <b/>
      <sz val="12"/>
      <name val="Arial"/>
      <family val="2"/>
    </font>
    <font>
      <sz val="12"/>
      <name val="Arial"/>
      <family val="2"/>
    </font>
    <font>
      <b/>
      <sz val="11"/>
      <name val="Arial"/>
      <family val="2"/>
    </font>
    <font>
      <b/>
      <sz val="10"/>
      <name val="Arial"/>
      <family val="2"/>
    </font>
    <font>
      <sz val="10"/>
      <color theme="0"/>
      <name val="Arial"/>
      <family val="2"/>
    </font>
    <font>
      <sz val="11"/>
      <color theme="0"/>
      <name val="Arial"/>
      <family val="2"/>
    </font>
    <font>
      <b/>
      <sz val="10"/>
      <color theme="0"/>
      <name val="Arial"/>
      <family val="2"/>
    </font>
    <font>
      <b/>
      <sz val="10"/>
      <color theme="1"/>
      <name val="Calibri"/>
      <family val="2"/>
    </font>
    <font>
      <b/>
      <sz val="9"/>
      <color theme="1"/>
      <name val="Arial"/>
      <family val="2"/>
    </font>
    <font>
      <b/>
      <sz val="9"/>
      <color rgb="FF000000"/>
      <name val="Arial"/>
      <family val="2"/>
    </font>
    <font>
      <i/>
      <sz val="10"/>
      <color theme="1"/>
      <name val="Arial"/>
      <family val="2"/>
    </font>
    <font>
      <sz val="14"/>
      <color theme="0"/>
      <name val="Arial"/>
      <family val="2"/>
    </font>
    <font>
      <b/>
      <sz val="12"/>
      <color theme="0"/>
      <name val="Arial"/>
      <family val="2"/>
    </font>
    <font>
      <b/>
      <sz val="14"/>
      <color theme="0"/>
      <name val="Arial"/>
      <family val="2"/>
    </font>
    <font>
      <sz val="14"/>
      <color theme="1"/>
      <name val="Arial"/>
      <family val="2"/>
    </font>
    <font>
      <b/>
      <sz val="16"/>
      <color theme="1"/>
      <name val="Arial"/>
      <family val="2"/>
    </font>
    <font>
      <b/>
      <sz val="10"/>
      <color rgb="FF00B0F0"/>
      <name val="Arial"/>
      <family val="2"/>
    </font>
    <font>
      <sz val="10"/>
      <color rgb="FF00B0F0"/>
      <name val="Calibri"/>
      <family val="2"/>
    </font>
    <font>
      <sz val="11"/>
      <color theme="0"/>
      <name val="Calibri"/>
      <family val="2"/>
      <scheme val="minor"/>
    </font>
    <font>
      <b/>
      <u/>
      <sz val="11"/>
      <color rgb="FF000000"/>
      <name val="Calibri"/>
      <family val="2"/>
      <charset val="1"/>
    </font>
    <font>
      <i/>
      <sz val="11"/>
      <color rgb="FF000000"/>
      <name val="Calibri"/>
      <family val="2"/>
      <charset val="1"/>
    </font>
    <font>
      <sz val="11"/>
      <color rgb="FF000000"/>
      <name val="Calibri"/>
      <family val="2"/>
      <charset val="1"/>
    </font>
    <font>
      <sz val="11"/>
      <color rgb="FF000000"/>
      <name val="Arial"/>
      <family val="2"/>
    </font>
    <font>
      <i/>
      <sz val="11"/>
      <color rgb="FF000000"/>
      <name val="Calibri"/>
      <family val="2"/>
    </font>
    <font>
      <i/>
      <sz val="11"/>
      <color theme="1"/>
      <name val="Calibri"/>
      <family val="2"/>
    </font>
    <font>
      <b/>
      <sz val="14"/>
      <color rgb="FF000000"/>
      <name val="Calibri"/>
      <family val="2"/>
    </font>
    <font>
      <u/>
      <sz val="11"/>
      <color theme="10"/>
      <name val="Arial"/>
      <family val="2"/>
    </font>
    <font>
      <b/>
      <sz val="26"/>
      <color theme="1"/>
      <name val="Arial"/>
      <family val="2"/>
    </font>
    <font>
      <sz val="11"/>
      <color rgb="FF434343"/>
      <name val="Arial"/>
      <family val="2"/>
    </font>
  </fonts>
  <fills count="92">
    <fill>
      <patternFill patternType="none"/>
    </fill>
    <fill>
      <patternFill patternType="gray125"/>
    </fill>
    <fill>
      <patternFill patternType="solid">
        <fgColor rgb="FFB4C6E7"/>
        <bgColor rgb="FFB4C6E7"/>
      </patternFill>
    </fill>
    <fill>
      <patternFill patternType="solid">
        <fgColor rgb="FFFFFF00"/>
        <bgColor rgb="FFFFFF00"/>
      </patternFill>
    </fill>
    <fill>
      <patternFill patternType="solid">
        <fgColor rgb="FFFFFFFF"/>
        <bgColor rgb="FFFFFFFF"/>
      </patternFill>
    </fill>
    <fill>
      <patternFill patternType="solid">
        <fgColor rgb="FFD8D8D8"/>
        <bgColor rgb="FFD8D8D8"/>
      </patternFill>
    </fill>
    <fill>
      <patternFill patternType="solid">
        <fgColor rgb="FFE2EFD9"/>
        <bgColor rgb="FFE2EFD9"/>
      </patternFill>
    </fill>
    <fill>
      <patternFill patternType="solid">
        <fgColor rgb="FFDEEAF6"/>
        <bgColor rgb="FFDEEAF6"/>
      </patternFill>
    </fill>
    <fill>
      <patternFill patternType="solid">
        <fgColor rgb="FFD6DCE4"/>
        <bgColor rgb="FFD6DCE4"/>
      </patternFill>
    </fill>
    <fill>
      <patternFill patternType="solid">
        <fgColor rgb="FFFFE598"/>
        <bgColor rgb="FFFFE598"/>
      </patternFill>
    </fill>
    <fill>
      <patternFill patternType="solid">
        <fgColor rgb="FFF3F3F3"/>
        <bgColor rgb="FFF3F3F3"/>
      </patternFill>
    </fill>
    <fill>
      <patternFill patternType="solid">
        <fgColor rgb="FFCFE2F3"/>
        <bgColor rgb="FFCFE2F3"/>
      </patternFill>
    </fill>
    <fill>
      <patternFill patternType="solid">
        <fgColor rgb="FFD9D9D9"/>
        <bgColor rgb="FFD9D9D9"/>
      </patternFill>
    </fill>
    <fill>
      <patternFill patternType="solid">
        <fgColor rgb="FFFFC000"/>
        <bgColor rgb="FFFFC000"/>
      </patternFill>
    </fill>
    <fill>
      <patternFill patternType="solid">
        <fgColor rgb="FF0000FF"/>
        <bgColor rgb="FF0000FF"/>
      </patternFill>
    </fill>
    <fill>
      <patternFill patternType="solid">
        <fgColor rgb="FF00FF00"/>
        <bgColor rgb="FF00FF00"/>
      </patternFill>
    </fill>
    <fill>
      <patternFill patternType="solid">
        <fgColor rgb="FFA4C2F4"/>
        <bgColor rgb="FFA4C2F4"/>
      </patternFill>
    </fill>
    <fill>
      <patternFill patternType="solid">
        <fgColor rgb="FFEFEFEF"/>
        <bgColor rgb="FFEFEFEF"/>
      </patternFill>
    </fill>
    <fill>
      <patternFill patternType="solid">
        <fgColor rgb="FFF2F2F2"/>
        <bgColor rgb="FFF2F2F2"/>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5" tint="0.59999389629810485"/>
        <bgColor indexed="64"/>
      </patternFill>
    </fill>
    <fill>
      <patternFill patternType="solid">
        <fgColor theme="1"/>
        <bgColor indexed="64"/>
      </patternFill>
    </fill>
    <fill>
      <patternFill patternType="solid">
        <fgColor theme="1"/>
        <bgColor rgb="FFD6DCE4"/>
      </patternFill>
    </fill>
    <fill>
      <patternFill patternType="solid">
        <fgColor theme="2" tint="-0.249977111117893"/>
        <bgColor indexed="64"/>
      </patternFill>
    </fill>
    <fill>
      <patternFill patternType="solid">
        <fgColor theme="2" tint="-0.249977111117893"/>
        <bgColor rgb="FFD6DCE4"/>
      </patternFill>
    </fill>
    <fill>
      <patternFill patternType="solid">
        <fgColor theme="5" tint="0.79998168889431442"/>
        <bgColor indexed="64"/>
      </patternFill>
    </fill>
    <fill>
      <patternFill patternType="solid">
        <fgColor theme="9" tint="0.59999389629810485"/>
        <bgColor rgb="FFCCCCCC"/>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rgb="FFC9DAF8"/>
      </patternFill>
    </fill>
    <fill>
      <patternFill patternType="solid">
        <fgColor rgb="FF92D050"/>
        <bgColor rgb="FFC9DAF8"/>
      </patternFill>
    </fill>
    <fill>
      <patternFill patternType="solid">
        <fgColor rgb="FFC5540F"/>
        <bgColor rgb="FFC9DAF8"/>
      </patternFill>
    </fill>
    <fill>
      <patternFill patternType="solid">
        <fgColor rgb="FFC5540F"/>
        <bgColor indexed="64"/>
      </patternFill>
    </fill>
    <fill>
      <patternFill patternType="solid">
        <fgColor theme="7"/>
        <bgColor rgb="FFC9DAF8"/>
      </patternFill>
    </fill>
    <fill>
      <patternFill patternType="solid">
        <fgColor theme="0" tint="-0.249977111117893"/>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9900"/>
        <bgColor rgb="FFFF9900"/>
      </patternFill>
    </fill>
    <fill>
      <patternFill patternType="solid">
        <fgColor rgb="FF00F701"/>
        <bgColor rgb="FFFF9900"/>
      </patternFill>
    </fill>
    <fill>
      <patternFill patternType="solid">
        <fgColor theme="4" tint="0.79998168889431442"/>
        <bgColor indexed="64"/>
      </patternFill>
    </fill>
    <fill>
      <patternFill patternType="solid">
        <fgColor theme="7"/>
        <bgColor indexed="64"/>
      </patternFill>
    </fill>
    <fill>
      <patternFill patternType="solid">
        <fgColor theme="4" tint="0.39997558519241921"/>
        <bgColor indexed="64"/>
      </patternFill>
    </fill>
    <fill>
      <patternFill patternType="solid">
        <fgColor theme="7"/>
        <bgColor rgb="FFDEEAF6"/>
      </patternFill>
    </fill>
    <fill>
      <patternFill patternType="solid">
        <fgColor theme="4" tint="0.39997558519241921"/>
        <bgColor rgb="FFDEEAF6"/>
      </patternFill>
    </fill>
    <fill>
      <patternFill patternType="solid">
        <fgColor theme="9" tint="0.79998168889431442"/>
        <bgColor indexed="64"/>
      </patternFill>
    </fill>
    <fill>
      <patternFill patternType="solid">
        <fgColor theme="6" tint="0.59999389629810485"/>
        <bgColor rgb="FF434343"/>
      </patternFill>
    </fill>
    <fill>
      <patternFill patternType="solid">
        <fgColor rgb="FF00B050"/>
        <bgColor indexed="64"/>
      </patternFill>
    </fill>
    <fill>
      <patternFill patternType="solid">
        <fgColor theme="8"/>
        <bgColor indexed="64"/>
      </patternFill>
    </fill>
    <fill>
      <patternFill patternType="solid">
        <fgColor theme="4" tint="0.59999389629810485"/>
        <bgColor rgb="FFDEEAF6"/>
      </patternFill>
    </fill>
    <fill>
      <patternFill patternType="solid">
        <fgColor theme="4" tint="0.59999389629810485"/>
        <bgColor indexed="64"/>
      </patternFill>
    </fill>
    <fill>
      <patternFill patternType="solid">
        <fgColor rgb="FFFBE4D5"/>
        <bgColor rgb="FFFBE4D5"/>
      </patternFill>
    </fill>
    <fill>
      <patternFill patternType="solid">
        <fgColor theme="5" tint="0.39997558519241921"/>
        <bgColor indexed="64"/>
      </patternFill>
    </fill>
    <fill>
      <patternFill patternType="solid">
        <fgColor theme="9" tint="0.59999389629810485"/>
        <bgColor rgb="FFFBE4D5"/>
      </patternFill>
    </fill>
    <fill>
      <patternFill patternType="solid">
        <fgColor rgb="FFEA9999"/>
        <bgColor rgb="FFFBE4D5"/>
      </patternFill>
    </fill>
    <fill>
      <patternFill patternType="solid">
        <fgColor rgb="FFEA9999"/>
        <bgColor indexed="64"/>
      </patternFill>
    </fill>
    <fill>
      <patternFill patternType="solid">
        <fgColor theme="5" tint="0.39997558519241921"/>
        <bgColor rgb="FFDEEAF6"/>
      </patternFill>
    </fill>
    <fill>
      <patternFill patternType="solid">
        <fgColor rgb="FFEA9999"/>
        <bgColor rgb="FFB6D7A8"/>
      </patternFill>
    </fill>
    <fill>
      <patternFill patternType="solid">
        <fgColor rgb="FFB7B7B7"/>
        <bgColor rgb="FFB7B7B7"/>
      </patternFill>
    </fill>
    <fill>
      <patternFill patternType="solid">
        <fgColor theme="0" tint="-0.249977111117893"/>
        <bgColor rgb="FFFFFF00"/>
      </patternFill>
    </fill>
    <fill>
      <patternFill patternType="solid">
        <fgColor rgb="FFEA9999"/>
        <bgColor rgb="FFEA9999"/>
      </patternFill>
    </fill>
    <fill>
      <patternFill patternType="solid">
        <fgColor rgb="FFEA9999"/>
        <bgColor rgb="FFB7B7B7"/>
      </patternFill>
    </fill>
    <fill>
      <patternFill patternType="solid">
        <fgColor theme="5" tint="-0.499984740745262"/>
        <bgColor rgb="FFC9DAF8"/>
      </patternFill>
    </fill>
    <fill>
      <patternFill patternType="solid">
        <fgColor theme="5" tint="0.39997558519241921"/>
        <bgColor rgb="FFC9DAF8"/>
      </patternFill>
    </fill>
    <fill>
      <patternFill patternType="solid">
        <fgColor theme="7" tint="0.59999389629810485"/>
        <bgColor rgb="FFC9DAF8"/>
      </patternFill>
    </fill>
    <fill>
      <patternFill patternType="solid">
        <fgColor theme="7" tint="-0.249977111117893"/>
        <bgColor rgb="FFC9DAF8"/>
      </patternFill>
    </fill>
    <fill>
      <patternFill patternType="solid">
        <fgColor theme="9" tint="0.39997558519241921"/>
        <bgColor rgb="FFC9DAF8"/>
      </patternFill>
    </fill>
    <fill>
      <patternFill patternType="solid">
        <fgColor theme="9" tint="0.39997558519241921"/>
        <bgColor rgb="FFF3F3F3"/>
      </patternFill>
    </fill>
    <fill>
      <patternFill patternType="solid">
        <fgColor theme="9" tint="0.39997558519241921"/>
        <bgColor indexed="64"/>
      </patternFill>
    </fill>
    <fill>
      <patternFill patternType="solid">
        <fgColor theme="8"/>
        <bgColor theme="8"/>
      </patternFill>
    </fill>
    <fill>
      <patternFill patternType="solid">
        <fgColor rgb="FF4A86E8"/>
        <bgColor rgb="FF4A86E8"/>
      </patternFill>
    </fill>
    <fill>
      <patternFill patternType="solid">
        <fgColor rgb="FF7030A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B4C6E7"/>
        <bgColor indexed="64"/>
      </patternFill>
    </fill>
    <fill>
      <patternFill patternType="solid">
        <fgColor rgb="FFC6E0B4"/>
        <bgColor indexed="64"/>
      </patternFill>
    </fill>
    <fill>
      <patternFill patternType="solid">
        <fgColor rgb="FFFFF2CC"/>
        <bgColor indexed="64"/>
      </patternFill>
    </fill>
    <fill>
      <patternFill patternType="solid">
        <fgColor rgb="FFACB9CA"/>
        <bgColor indexed="64"/>
      </patternFill>
    </fill>
    <fill>
      <patternFill patternType="solid">
        <fgColor rgb="FFAEAAAA"/>
        <bgColor indexed="64"/>
      </patternFill>
    </fill>
    <fill>
      <patternFill patternType="solid">
        <fgColor rgb="FFFFE699"/>
        <bgColor indexed="64"/>
      </patternFill>
    </fill>
    <fill>
      <patternFill patternType="solid">
        <fgColor rgb="FFF8CBAD"/>
        <bgColor indexed="64"/>
      </patternFill>
    </fill>
  </fills>
  <borders count="18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right/>
      <top style="thin">
        <color rgb="FF000000"/>
      </top>
      <bottom style="thin">
        <color rgb="FFFFFFFF"/>
      </bottom>
      <diagonal/>
    </border>
    <border>
      <left style="thin">
        <color rgb="FF000000"/>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FFFFFF"/>
      </top>
      <bottom style="thin">
        <color rgb="FFFFFFFF"/>
      </bottom>
      <diagonal/>
    </border>
    <border>
      <left/>
      <right/>
      <top style="thin">
        <color rgb="FFFFFFFF"/>
      </top>
      <bottom style="thin">
        <color rgb="FFFFFFFF"/>
      </bottom>
      <diagonal/>
    </border>
    <border>
      <left style="thin">
        <color rgb="FF000000"/>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style="thin">
        <color rgb="FF000000"/>
      </right>
      <top style="thin">
        <color rgb="FFFFFFFF"/>
      </top>
      <bottom style="thin">
        <color rgb="FF000000"/>
      </bottom>
      <diagonal/>
    </border>
    <border>
      <left/>
      <right/>
      <top style="thin">
        <color rgb="FFFFFFFF"/>
      </top>
      <bottom style="thin">
        <color rgb="FF000000"/>
      </bottom>
      <diagonal/>
    </border>
    <border>
      <left style="thin">
        <color rgb="FF000000"/>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medium">
        <color rgb="FF000000"/>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indexed="64"/>
      </right>
      <top style="medium">
        <color rgb="FF000000"/>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indexed="64"/>
      </top>
      <bottom/>
      <diagonal/>
    </border>
    <border>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rgb="FF000000"/>
      </right>
      <top/>
      <bottom style="medium">
        <color rgb="FF000000"/>
      </bottom>
      <diagonal/>
    </border>
    <border>
      <left style="thin">
        <color rgb="FF000000"/>
      </left>
      <right/>
      <top/>
      <bottom style="slantDashDot">
        <color rgb="FF000000"/>
      </bottom>
      <diagonal/>
    </border>
    <border>
      <left/>
      <right/>
      <top/>
      <bottom style="slantDashDot">
        <color rgb="FF000000"/>
      </bottom>
      <diagonal/>
    </border>
    <border>
      <left/>
      <right style="medium">
        <color rgb="FF000000"/>
      </right>
      <top/>
      <bottom style="medium">
        <color indexed="64"/>
      </bottom>
      <diagonal/>
    </border>
    <border>
      <left style="thin">
        <color indexed="64"/>
      </left>
      <right/>
      <top/>
      <bottom/>
      <diagonal/>
    </border>
    <border>
      <left style="thin">
        <color rgb="FF000000"/>
      </left>
      <right/>
      <top/>
      <bottom style="medium">
        <color indexed="64"/>
      </bottom>
      <diagonal/>
    </border>
    <border>
      <left/>
      <right style="thin">
        <color rgb="FF000000"/>
      </right>
      <top/>
      <bottom style="slantDashDot">
        <color rgb="FF000000"/>
      </bottom>
      <diagonal/>
    </border>
    <border>
      <left style="thin">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style="thin">
        <color indexed="64"/>
      </right>
      <top/>
      <bottom style="thin">
        <color indexed="64"/>
      </bottom>
      <diagonal/>
    </border>
    <border>
      <left/>
      <right/>
      <top/>
      <bottom style="thin">
        <color indexed="64"/>
      </bottom>
      <diagonal/>
    </border>
    <border>
      <left style="medium">
        <color rgb="FF000000"/>
      </left>
      <right style="medium">
        <color rgb="FF000000"/>
      </right>
      <top/>
      <bottom style="thin">
        <color rgb="FF000000"/>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rgb="FF000000"/>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style="medium">
        <color rgb="FF000000"/>
      </top>
      <bottom style="medium">
        <color rgb="FF000000"/>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s>
  <cellStyleXfs count="7">
    <xf numFmtId="0" fontId="0" fillId="0" borderId="0"/>
    <xf numFmtId="0" fontId="22" fillId="0" borderId="0" applyNumberFormat="0" applyFill="0" applyBorder="0" applyAlignment="0" applyProtection="0"/>
    <xf numFmtId="9" fontId="24" fillId="0" borderId="0" applyFont="0" applyFill="0" applyBorder="0" applyAlignment="0" applyProtection="0"/>
    <xf numFmtId="0" fontId="23" fillId="0" borderId="16"/>
    <xf numFmtId="9" fontId="23" fillId="0" borderId="16" applyFont="0" applyFill="0" applyBorder="0" applyAlignment="0" applyProtection="0"/>
    <xf numFmtId="0" fontId="22" fillId="0" borderId="16" applyNumberFormat="0" applyFill="0" applyBorder="0" applyAlignment="0" applyProtection="0"/>
    <xf numFmtId="0" fontId="75" fillId="0" borderId="0" applyNumberFormat="0" applyFill="0" applyBorder="0" applyAlignment="0" applyProtection="0"/>
  </cellStyleXfs>
  <cellXfs count="1467">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2" fontId="4" fillId="0" borderId="0" xfId="0" applyNumberFormat="1" applyFont="1" applyAlignment="1">
      <alignment vertical="center"/>
    </xf>
    <xf numFmtId="1"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10" fontId="4" fillId="0" borderId="0" xfId="0" applyNumberFormat="1" applyFont="1" applyAlignment="1">
      <alignment vertical="center"/>
    </xf>
    <xf numFmtId="0" fontId="0" fillId="0" borderId="0" xfId="0" applyFont="1"/>
    <xf numFmtId="0" fontId="8" fillId="0" borderId="0" xfId="0" applyFont="1"/>
    <xf numFmtId="9" fontId="4" fillId="0" borderId="0" xfId="0" applyNumberFormat="1" applyFont="1"/>
    <xf numFmtId="0" fontId="4" fillId="0" borderId="0" xfId="0" applyFont="1"/>
    <xf numFmtId="164" fontId="4" fillId="0" borderId="0" xfId="0" applyNumberFormat="1" applyFont="1"/>
    <xf numFmtId="2" fontId="0" fillId="0" borderId="20" xfId="0" applyNumberFormat="1" applyFont="1" applyBorder="1" applyAlignment="1">
      <alignment vertical="center"/>
    </xf>
    <xf numFmtId="0" fontId="0" fillId="0" borderId="8" xfId="0" applyFont="1" applyBorder="1" applyAlignment="1">
      <alignment vertical="center"/>
    </xf>
    <xf numFmtId="0" fontId="16" fillId="0" borderId="0" xfId="0" applyFont="1"/>
    <xf numFmtId="0" fontId="17" fillId="10" borderId="5" xfId="0" applyFont="1" applyFill="1" applyBorder="1" applyAlignment="1">
      <alignment horizontal="center" vertical="center" wrapText="1"/>
    </xf>
    <xf numFmtId="0" fontId="16" fillId="0" borderId="0" xfId="0" applyFont="1" applyAlignment="1">
      <alignment vertical="center"/>
    </xf>
    <xf numFmtId="0" fontId="16" fillId="0" borderId="5" xfId="0" applyFont="1" applyBorder="1" applyAlignment="1">
      <alignment horizontal="center" vertical="center"/>
    </xf>
    <xf numFmtId="0" fontId="18" fillId="10"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6" fillId="10" borderId="5" xfId="0" applyFont="1" applyFill="1" applyBorder="1" applyAlignment="1">
      <alignment vertical="center" wrapText="1"/>
    </xf>
    <xf numFmtId="0" fontId="19" fillId="0" borderId="5" xfId="0" applyFont="1" applyBorder="1" applyAlignment="1">
      <alignment horizontal="center" vertical="center"/>
    </xf>
    <xf numFmtId="11" fontId="16" fillId="4" borderId="5" xfId="0" applyNumberFormat="1"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16" fillId="11" borderId="5" xfId="0" applyFont="1" applyFill="1" applyBorder="1" applyAlignment="1">
      <alignment horizontal="center" vertical="center"/>
    </xf>
    <xf numFmtId="4" fontId="20" fillId="0" borderId="5" xfId="0" applyNumberFormat="1" applyFont="1" applyBorder="1" applyAlignment="1">
      <alignment horizontal="center" vertical="center" wrapText="1"/>
    </xf>
    <xf numFmtId="164" fontId="20" fillId="0" borderId="5" xfId="0" applyNumberFormat="1" applyFont="1" applyBorder="1" applyAlignment="1">
      <alignment horizontal="center" vertical="center" wrapText="1"/>
    </xf>
    <xf numFmtId="0" fontId="16" fillId="0" borderId="0" xfId="0" applyFont="1" applyAlignment="1">
      <alignment vertical="center" wrapText="1"/>
    </xf>
    <xf numFmtId="0" fontId="21" fillId="0" borderId="0" xfId="0" applyFont="1" applyAlignment="1">
      <alignment vertical="center"/>
    </xf>
    <xf numFmtId="3" fontId="20" fillId="0" borderId="5" xfId="0" applyNumberFormat="1" applyFont="1" applyBorder="1" applyAlignment="1">
      <alignment horizontal="center" vertical="center" wrapText="1"/>
    </xf>
    <xf numFmtId="3" fontId="18" fillId="11" borderId="5" xfId="0" applyNumberFormat="1" applyFont="1" applyFill="1" applyBorder="1" applyAlignment="1">
      <alignment horizontal="center" vertical="center" wrapText="1"/>
    </xf>
    <xf numFmtId="0" fontId="9" fillId="10" borderId="5" xfId="0" applyFont="1" applyFill="1" applyBorder="1" applyAlignment="1">
      <alignment horizontal="center" vertical="center" wrapText="1"/>
    </xf>
    <xf numFmtId="11" fontId="20" fillId="0" borderId="5" xfId="0" applyNumberFormat="1" applyFont="1" applyBorder="1" applyAlignment="1">
      <alignment horizontal="center" vertical="center" wrapText="1"/>
    </xf>
    <xf numFmtId="11" fontId="18" fillId="11" borderId="5" xfId="0" applyNumberFormat="1" applyFont="1" applyFill="1" applyBorder="1" applyAlignment="1">
      <alignment horizontal="center" vertical="center" wrapText="1"/>
    </xf>
    <xf numFmtId="11" fontId="18" fillId="14" borderId="5" xfId="0" applyNumberFormat="1" applyFont="1" applyFill="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vertical="center"/>
    </xf>
    <xf numFmtId="0" fontId="18" fillId="0" borderId="5" xfId="0" applyFont="1" applyBorder="1" applyAlignment="1">
      <alignment horizontal="center" vertical="center" wrapText="1"/>
    </xf>
    <xf numFmtId="11" fontId="18" fillId="15" borderId="5" xfId="0" applyNumberFormat="1" applyFont="1" applyFill="1" applyBorder="1" applyAlignment="1">
      <alignment horizontal="center" vertical="center" wrapText="1"/>
    </xf>
    <xf numFmtId="168" fontId="20" fillId="0" borderId="5" xfId="0" applyNumberFormat="1" applyFont="1" applyBorder="1" applyAlignment="1">
      <alignment horizontal="center" vertical="center" wrapText="1"/>
    </xf>
    <xf numFmtId="0" fontId="17" fillId="12" borderId="5"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16" fillId="7" borderId="5" xfId="0" applyFont="1" applyFill="1" applyBorder="1" applyAlignment="1">
      <alignment horizontal="center" vertical="center"/>
    </xf>
    <xf numFmtId="9" fontId="16" fillId="6" borderId="5" xfId="0" applyNumberFormat="1" applyFont="1" applyFill="1" applyBorder="1" applyAlignment="1">
      <alignment horizontal="center" vertical="center"/>
    </xf>
    <xf numFmtId="9" fontId="16" fillId="7" borderId="5" xfId="0" applyNumberFormat="1" applyFont="1" applyFill="1" applyBorder="1" applyAlignment="1">
      <alignment horizontal="center" vertical="center"/>
    </xf>
    <xf numFmtId="0" fontId="8" fillId="17" borderId="5" xfId="0" applyFont="1" applyFill="1" applyBorder="1"/>
    <xf numFmtId="0" fontId="8" fillId="17" borderId="28" xfId="0" applyFont="1" applyFill="1" applyBorder="1"/>
    <xf numFmtId="2" fontId="8" fillId="0" borderId="4" xfId="0" applyNumberFormat="1" applyFont="1" applyBorder="1"/>
    <xf numFmtId="2" fontId="8" fillId="0" borderId="5" xfId="0" applyNumberFormat="1" applyFont="1" applyBorder="1"/>
    <xf numFmtId="0" fontId="9" fillId="17" borderId="5" xfId="0" applyFont="1" applyFill="1" applyBorder="1" applyAlignment="1">
      <alignment horizontal="center" vertical="center"/>
    </xf>
    <xf numFmtId="0" fontId="9" fillId="17" borderId="29" xfId="0" applyFont="1" applyFill="1" applyBorder="1" applyAlignment="1">
      <alignment horizontal="center" vertical="center"/>
    </xf>
    <xf numFmtId="0" fontId="9" fillId="17" borderId="30" xfId="0" applyFont="1" applyFill="1" applyBorder="1" applyAlignment="1">
      <alignment horizontal="center" vertical="center"/>
    </xf>
    <xf numFmtId="0" fontId="9" fillId="17" borderId="5" xfId="0" applyFont="1" applyFill="1" applyBorder="1" applyAlignment="1">
      <alignment horizontal="center"/>
    </xf>
    <xf numFmtId="0" fontId="9" fillId="17" borderId="24" xfId="0" applyFont="1" applyFill="1" applyBorder="1" applyAlignment="1">
      <alignment horizontal="center"/>
    </xf>
    <xf numFmtId="0" fontId="8" fillId="0" borderId="5" xfId="0" applyFont="1" applyBorder="1"/>
    <xf numFmtId="0" fontId="9" fillId="17" borderId="5" xfId="0" applyFont="1" applyFill="1" applyBorder="1"/>
    <xf numFmtId="0" fontId="8" fillId="0" borderId="31" xfId="0" applyFont="1" applyBorder="1"/>
    <xf numFmtId="0" fontId="8" fillId="0" borderId="32" xfId="0" applyFont="1" applyBorder="1"/>
    <xf numFmtId="0" fontId="8" fillId="0" borderId="33" xfId="0" applyFont="1" applyBorder="1"/>
    <xf numFmtId="167" fontId="8" fillId="0" borderId="33" xfId="0" applyNumberFormat="1" applyFont="1" applyBorder="1"/>
    <xf numFmtId="0" fontId="8" fillId="0" borderId="34" xfId="0" applyFont="1" applyBorder="1"/>
    <xf numFmtId="1" fontId="8" fillId="0" borderId="34" xfId="0" applyNumberFormat="1" applyFont="1" applyBorder="1"/>
    <xf numFmtId="0" fontId="8" fillId="0" borderId="35" xfId="0" applyFont="1" applyBorder="1"/>
    <xf numFmtId="0" fontId="8" fillId="0" borderId="36" xfId="0" applyFont="1" applyBorder="1"/>
    <xf numFmtId="0" fontId="8" fillId="0" borderId="37" xfId="0" applyFont="1" applyBorder="1"/>
    <xf numFmtId="167" fontId="8" fillId="0" borderId="37" xfId="0" applyNumberFormat="1" applyFont="1" applyBorder="1"/>
    <xf numFmtId="0" fontId="8" fillId="0" borderId="38" xfId="0" applyFont="1" applyBorder="1"/>
    <xf numFmtId="1" fontId="8" fillId="0" borderId="38" xfId="0" applyNumberFormat="1" applyFont="1" applyBorder="1"/>
    <xf numFmtId="11" fontId="8" fillId="0" borderId="5" xfId="0" applyNumberFormat="1" applyFont="1" applyBorder="1"/>
    <xf numFmtId="0" fontId="9" fillId="17" borderId="28" xfId="0" applyFont="1" applyFill="1" applyBorder="1"/>
    <xf numFmtId="0" fontId="8" fillId="0" borderId="39" xfId="0" applyFont="1" applyBorder="1"/>
    <xf numFmtId="0" fontId="8" fillId="0" borderId="40" xfId="0" applyFont="1" applyBorder="1"/>
    <xf numFmtId="0" fontId="8" fillId="0" borderId="41" xfId="0" applyFont="1" applyBorder="1"/>
    <xf numFmtId="167" fontId="8" fillId="0" borderId="41" xfId="0" applyNumberFormat="1" applyFont="1" applyBorder="1"/>
    <xf numFmtId="0" fontId="8" fillId="0" borderId="42" xfId="0" applyFont="1" applyBorder="1"/>
    <xf numFmtId="1" fontId="8" fillId="0" borderId="42" xfId="0" applyNumberFormat="1" applyFont="1" applyBorder="1"/>
    <xf numFmtId="1" fontId="8" fillId="0" borderId="5" xfId="0" applyNumberFormat="1" applyFont="1" applyBorder="1"/>
    <xf numFmtId="0" fontId="8" fillId="0" borderId="43" xfId="0" applyFont="1" applyBorder="1"/>
    <xf numFmtId="0" fontId="8" fillId="0" borderId="44" xfId="0" applyFont="1" applyBorder="1"/>
    <xf numFmtId="10" fontId="8" fillId="0" borderId="44" xfId="0" applyNumberFormat="1" applyFont="1" applyBorder="1"/>
    <xf numFmtId="166" fontId="16" fillId="0" borderId="5" xfId="0" applyNumberFormat="1" applyFont="1" applyBorder="1" applyAlignment="1">
      <alignment horizontal="right"/>
    </xf>
    <xf numFmtId="10" fontId="8" fillId="0" borderId="5" xfId="0" applyNumberFormat="1" applyFont="1" applyBorder="1"/>
    <xf numFmtId="0" fontId="16" fillId="17" borderId="5" xfId="0" applyFont="1" applyFill="1" applyBorder="1"/>
    <xf numFmtId="164" fontId="0" fillId="0" borderId="0" xfId="0" applyNumberFormat="1" applyFont="1" applyAlignment="1">
      <alignment horizontal="right"/>
    </xf>
    <xf numFmtId="0" fontId="16" fillId="0" borderId="5" xfId="0" applyFont="1" applyBorder="1" applyAlignment="1">
      <alignment horizontal="left" vertical="center" wrapText="1"/>
    </xf>
    <xf numFmtId="0" fontId="17" fillId="0" borderId="5" xfId="0" applyFont="1" applyBorder="1" applyAlignment="1">
      <alignment horizontal="left" vertical="center" wrapText="1"/>
    </xf>
    <xf numFmtId="0" fontId="4" fillId="0" borderId="0" xfId="0" applyFont="1" applyAlignment="1">
      <alignment horizontal="center" vertical="center"/>
    </xf>
    <xf numFmtId="0" fontId="16" fillId="0" borderId="47" xfId="0" applyFont="1" applyBorder="1" applyAlignment="1">
      <alignment horizontal="justify" vertical="center" wrapText="1"/>
    </xf>
    <xf numFmtId="2" fontId="4" fillId="0" borderId="47" xfId="0" applyNumberFormat="1" applyFont="1" applyBorder="1" applyAlignment="1">
      <alignment vertical="center"/>
    </xf>
    <xf numFmtId="2" fontId="4" fillId="0" borderId="47" xfId="0" applyNumberFormat="1" applyFont="1" applyFill="1" applyBorder="1" applyAlignment="1">
      <alignment vertical="center"/>
    </xf>
    <xf numFmtId="9" fontId="4" fillId="0" borderId="47" xfId="2" applyFont="1" applyBorder="1" applyAlignment="1">
      <alignment vertical="center"/>
    </xf>
    <xf numFmtId="9" fontId="4" fillId="0" borderId="47" xfId="2" applyNumberFormat="1" applyFont="1" applyBorder="1" applyAlignment="1">
      <alignment vertical="center"/>
    </xf>
    <xf numFmtId="0" fontId="27" fillId="0" borderId="0" xfId="0" applyFont="1" applyAlignment="1">
      <alignment vertical="center"/>
    </xf>
    <xf numFmtId="9" fontId="4" fillId="0" borderId="0" xfId="2" applyFont="1" applyAlignment="1">
      <alignment vertical="center"/>
    </xf>
    <xf numFmtId="0" fontId="22" fillId="0" borderId="0" xfId="1" applyAlignment="1">
      <alignment vertical="center"/>
    </xf>
    <xf numFmtId="164" fontId="4" fillId="0" borderId="0" xfId="0" applyNumberFormat="1" applyFont="1" applyAlignment="1">
      <alignment vertical="center"/>
    </xf>
    <xf numFmtId="9" fontId="5" fillId="0" borderId="47" xfId="0" applyNumberFormat="1" applyFont="1" applyBorder="1" applyAlignment="1">
      <alignment vertical="center"/>
    </xf>
    <xf numFmtId="1" fontId="4" fillId="0" borderId="16" xfId="0" applyNumberFormat="1" applyFont="1" applyFill="1" applyBorder="1" applyAlignment="1">
      <alignment vertical="center"/>
    </xf>
    <xf numFmtId="0" fontId="17" fillId="21" borderId="47" xfId="0" applyFont="1" applyFill="1" applyBorder="1" applyAlignment="1">
      <alignment horizontal="justify" vertical="center" wrapText="1"/>
    </xf>
    <xf numFmtId="0" fontId="17" fillId="21" borderId="47" xfId="0" applyFont="1" applyFill="1" applyBorder="1" applyAlignment="1">
      <alignment horizontal="center" vertical="center" wrapText="1"/>
    </xf>
    <xf numFmtId="0" fontId="4" fillId="22" borderId="47" xfId="0" applyFont="1" applyFill="1" applyBorder="1" applyAlignment="1">
      <alignment vertical="center" wrapText="1"/>
    </xf>
    <xf numFmtId="0" fontId="3" fillId="21" borderId="0" xfId="0" applyFont="1" applyFill="1" applyAlignment="1">
      <alignment vertical="center"/>
    </xf>
    <xf numFmtId="0" fontId="3" fillId="23" borderId="0" xfId="0" applyFont="1" applyFill="1" applyAlignment="1">
      <alignment vertical="center"/>
    </xf>
    <xf numFmtId="0" fontId="23" fillId="0" borderId="16" xfId="3" applyFont="1" applyAlignment="1"/>
    <xf numFmtId="0" fontId="4" fillId="0" borderId="16" xfId="3" applyFont="1" applyAlignment="1">
      <alignment vertical="center" wrapText="1"/>
    </xf>
    <xf numFmtId="0" fontId="4" fillId="0" borderId="16" xfId="3" applyFont="1" applyAlignment="1">
      <alignment horizontal="center" vertical="center" wrapText="1"/>
    </xf>
    <xf numFmtId="0" fontId="4" fillId="0" borderId="16" xfId="3" applyFont="1"/>
    <xf numFmtId="0" fontId="23" fillId="0" borderId="47" xfId="3" applyFont="1" applyBorder="1" applyAlignment="1"/>
    <xf numFmtId="0" fontId="23" fillId="0" borderId="16" xfId="3" applyFont="1" applyBorder="1" applyAlignment="1"/>
    <xf numFmtId="167" fontId="4" fillId="9" borderId="16" xfId="3" applyNumberFormat="1" applyFont="1" applyFill="1" applyBorder="1"/>
    <xf numFmtId="2" fontId="4" fillId="9" borderId="16" xfId="3" applyNumberFormat="1" applyFont="1" applyFill="1" applyBorder="1"/>
    <xf numFmtId="1" fontId="4" fillId="0" borderId="16" xfId="3" applyNumberFormat="1" applyFont="1"/>
    <xf numFmtId="0" fontId="4" fillId="9" borderId="16" xfId="3" applyFont="1" applyFill="1" applyBorder="1"/>
    <xf numFmtId="9" fontId="4" fillId="0" borderId="16" xfId="3" applyNumberFormat="1" applyFont="1"/>
    <xf numFmtId="0" fontId="4" fillId="9" borderId="16" xfId="3" applyFont="1" applyFill="1" applyBorder="1" applyAlignment="1">
      <alignment vertical="center" wrapText="1"/>
    </xf>
    <xf numFmtId="0" fontId="7" fillId="9" borderId="16" xfId="3" applyFont="1" applyFill="1" applyBorder="1" applyAlignment="1">
      <alignment vertical="center" wrapText="1"/>
    </xf>
    <xf numFmtId="0" fontId="3" fillId="0" borderId="16" xfId="3" applyFont="1" applyAlignment="1">
      <alignment vertical="center" wrapText="1"/>
    </xf>
    <xf numFmtId="0" fontId="3" fillId="9" borderId="16" xfId="3" applyFont="1" applyFill="1" applyBorder="1" applyAlignment="1">
      <alignment vertical="center" wrapText="1"/>
    </xf>
    <xf numFmtId="0" fontId="4" fillId="0" borderId="16" xfId="3" applyFont="1" applyAlignment="1">
      <alignment horizontal="right"/>
    </xf>
    <xf numFmtId="164" fontId="28" fillId="24" borderId="16" xfId="3" applyNumberFormat="1" applyFont="1" applyFill="1" applyAlignment="1"/>
    <xf numFmtId="1" fontId="4" fillId="26" borderId="16" xfId="3" applyNumberFormat="1" applyFont="1" applyFill="1" applyAlignment="1"/>
    <xf numFmtId="0" fontId="3" fillId="27" borderId="16" xfId="3" applyFont="1" applyFill="1" applyBorder="1" applyAlignment="1"/>
    <xf numFmtId="1" fontId="4" fillId="8" borderId="16" xfId="3" applyNumberFormat="1" applyFont="1" applyFill="1" applyBorder="1"/>
    <xf numFmtId="0" fontId="3" fillId="8" borderId="16" xfId="3" applyFont="1" applyFill="1" applyBorder="1" applyAlignment="1"/>
    <xf numFmtId="164" fontId="4" fillId="7" borderId="16" xfId="3" applyNumberFormat="1" applyFont="1" applyFill="1" applyBorder="1"/>
    <xf numFmtId="164" fontId="4" fillId="0" borderId="16" xfId="3" applyNumberFormat="1" applyFont="1"/>
    <xf numFmtId="0" fontId="5" fillId="0" borderId="16" xfId="3" applyFont="1"/>
    <xf numFmtId="164" fontId="4" fillId="6" borderId="16" xfId="3" applyNumberFormat="1" applyFont="1" applyFill="1" applyBorder="1"/>
    <xf numFmtId="0" fontId="4" fillId="6" borderId="16" xfId="3" applyFont="1" applyFill="1" applyBorder="1"/>
    <xf numFmtId="0" fontId="4" fillId="2" borderId="16" xfId="3" applyFont="1" applyFill="1" applyBorder="1" applyAlignment="1">
      <alignment vertical="center" wrapText="1"/>
    </xf>
    <xf numFmtId="0" fontId="4" fillId="2" borderId="16" xfId="3" applyFont="1" applyFill="1" applyBorder="1" applyAlignment="1">
      <alignment horizontal="left" vertical="center"/>
    </xf>
    <xf numFmtId="0" fontId="29" fillId="25" borderId="16" xfId="3" applyFont="1" applyFill="1" applyBorder="1" applyAlignment="1">
      <alignment horizontal="right"/>
    </xf>
    <xf numFmtId="164" fontId="23" fillId="0" borderId="16" xfId="3" applyNumberFormat="1" applyFont="1" applyAlignment="1"/>
    <xf numFmtId="0" fontId="5" fillId="0" borderId="47" xfId="0" applyFont="1" applyBorder="1" applyAlignment="1">
      <alignment vertical="center" wrapText="1"/>
    </xf>
    <xf numFmtId="164" fontId="5" fillId="0" borderId="0" xfId="0" applyNumberFormat="1" applyFont="1" applyAlignment="1">
      <alignment vertical="center" wrapText="1"/>
    </xf>
    <xf numFmtId="9" fontId="4" fillId="0" borderId="16" xfId="3" applyNumberFormat="1" applyFont="1" applyAlignment="1">
      <alignment vertical="center"/>
    </xf>
    <xf numFmtId="0" fontId="4" fillId="9" borderId="16" xfId="3" quotePrefix="1" applyFont="1" applyFill="1" applyBorder="1" applyAlignment="1">
      <alignment horizontal="right"/>
    </xf>
    <xf numFmtId="0" fontId="4" fillId="9" borderId="16" xfId="3" applyFont="1" applyFill="1" applyBorder="1" applyAlignment="1">
      <alignment horizontal="right"/>
    </xf>
    <xf numFmtId="0" fontId="10" fillId="30" borderId="16" xfId="3" applyFont="1" applyFill="1" applyBorder="1" applyAlignment="1"/>
    <xf numFmtId="0" fontId="23" fillId="0" borderId="47" xfId="0" applyFont="1" applyBorder="1" applyAlignment="1">
      <alignment horizontal="right" vertical="center" wrapText="1"/>
    </xf>
    <xf numFmtId="0" fontId="4" fillId="20" borderId="16" xfId="3" applyFont="1" applyFill="1" applyBorder="1" applyAlignment="1">
      <alignment horizontal="left"/>
    </xf>
    <xf numFmtId="0" fontId="4" fillId="20" borderId="16" xfId="3" applyFont="1" applyFill="1" applyBorder="1" applyAlignment="1">
      <alignment horizontal="left" vertical="center" wrapText="1"/>
    </xf>
    <xf numFmtId="0" fontId="3" fillId="29" borderId="16" xfId="3" applyFont="1" applyFill="1" applyBorder="1" applyAlignment="1">
      <alignment vertical="center"/>
    </xf>
    <xf numFmtId="0" fontId="4" fillId="0" borderId="16" xfId="3" applyFont="1" applyFill="1" applyBorder="1"/>
    <xf numFmtId="2" fontId="23" fillId="0" borderId="47" xfId="0" applyNumberFormat="1" applyFont="1" applyBorder="1" applyAlignment="1">
      <alignment horizontal="right" vertical="center" wrapText="1"/>
    </xf>
    <xf numFmtId="0" fontId="9" fillId="0" borderId="1" xfId="0" applyFont="1" applyBorder="1" applyAlignment="1">
      <alignment vertical="center" textRotation="45" wrapText="1"/>
    </xf>
    <xf numFmtId="0" fontId="0" fillId="0" borderId="0" xfId="0" applyFont="1" applyAlignment="1">
      <alignment textRotation="45" wrapText="1"/>
    </xf>
    <xf numFmtId="0" fontId="0" fillId="0" borderId="16" xfId="0" applyFont="1" applyBorder="1" applyAlignment="1">
      <alignment textRotation="45" wrapText="1"/>
    </xf>
    <xf numFmtId="0" fontId="10" fillId="0" borderId="10" xfId="0" applyFont="1" applyBorder="1" applyAlignment="1">
      <alignment textRotation="45" wrapText="1"/>
    </xf>
    <xf numFmtId="0" fontId="9" fillId="0" borderId="46" xfId="0" applyFont="1" applyBorder="1" applyAlignment="1">
      <alignment vertical="center" textRotation="45" wrapText="1"/>
    </xf>
    <xf numFmtId="2" fontId="8" fillId="0" borderId="47" xfId="0" applyNumberFormat="1" applyFont="1" applyBorder="1"/>
    <xf numFmtId="2" fontId="8" fillId="0" borderId="47" xfId="0" applyNumberFormat="1" applyFont="1" applyBorder="1" applyAlignment="1">
      <alignment horizontal="right" vertical="center"/>
    </xf>
    <xf numFmtId="2" fontId="8" fillId="0" borderId="47" xfId="0" applyNumberFormat="1" applyFont="1" applyBorder="1" applyAlignment="1">
      <alignment vertical="center"/>
    </xf>
    <xf numFmtId="9" fontId="8" fillId="0" borderId="47" xfId="0" applyNumberFormat="1" applyFont="1" applyBorder="1" applyAlignment="1">
      <alignment vertical="center"/>
    </xf>
    <xf numFmtId="9" fontId="8" fillId="0" borderId="47" xfId="0" applyNumberFormat="1" applyFont="1" applyBorder="1"/>
    <xf numFmtId="0" fontId="15" fillId="0" borderId="47" xfId="0" applyFont="1" applyBorder="1" applyAlignment="1"/>
    <xf numFmtId="0" fontId="9" fillId="0" borderId="47" xfId="0" applyFont="1" applyBorder="1" applyAlignment="1">
      <alignment horizontal="right" vertical="center"/>
    </xf>
    <xf numFmtId="0" fontId="9" fillId="0" borderId="47" xfId="0" applyFont="1" applyBorder="1" applyAlignment="1">
      <alignment vertical="center"/>
    </xf>
    <xf numFmtId="0" fontId="4" fillId="0" borderId="0" xfId="0" applyFont="1" applyAlignment="1"/>
    <xf numFmtId="169" fontId="4" fillId="0" borderId="0" xfId="0" applyNumberFormat="1" applyFont="1"/>
    <xf numFmtId="170" fontId="4" fillId="0" borderId="0" xfId="0" applyNumberFormat="1" applyFont="1"/>
    <xf numFmtId="171" fontId="26" fillId="0" borderId="0" xfId="0" applyNumberFormat="1" applyFont="1"/>
    <xf numFmtId="2" fontId="4" fillId="0" borderId="0" xfId="0" applyNumberFormat="1" applyFont="1"/>
    <xf numFmtId="172" fontId="4" fillId="0" borderId="0" xfId="0" applyNumberFormat="1" applyFont="1"/>
    <xf numFmtId="173" fontId="4" fillId="0" borderId="0" xfId="0" applyNumberFormat="1" applyFont="1"/>
    <xf numFmtId="2" fontId="4" fillId="0" borderId="20" xfId="0" applyNumberFormat="1" applyFont="1" applyBorder="1" applyAlignment="1">
      <alignment vertical="center"/>
    </xf>
    <xf numFmtId="0" fontId="4" fillId="0" borderId="8" xfId="0" applyFont="1" applyBorder="1" applyAlignment="1">
      <alignment vertical="center"/>
    </xf>
    <xf numFmtId="0" fontId="4" fillId="20" borderId="0" xfId="0" applyFont="1" applyFill="1" applyAlignment="1"/>
    <xf numFmtId="2" fontId="4" fillId="0" borderId="16" xfId="0" applyNumberFormat="1" applyFont="1" applyBorder="1" applyAlignment="1">
      <alignment vertical="center"/>
    </xf>
    <xf numFmtId="0" fontId="4" fillId="0" borderId="16" xfId="0" applyFont="1" applyBorder="1" applyAlignment="1">
      <alignment vertical="center"/>
    </xf>
    <xf numFmtId="167" fontId="4" fillId="0" borderId="0" xfId="2" applyNumberFormat="1" applyFont="1"/>
    <xf numFmtId="174" fontId="4" fillId="0" borderId="0" xfId="0" applyNumberFormat="1" applyFont="1"/>
    <xf numFmtId="171" fontId="27" fillId="0" borderId="0" xfId="0" applyNumberFormat="1" applyFont="1"/>
    <xf numFmtId="9" fontId="23" fillId="0" borderId="16" xfId="2" applyFont="1" applyBorder="1" applyAlignment="1"/>
    <xf numFmtId="167" fontId="23" fillId="0" borderId="16" xfId="2" applyNumberFormat="1" applyFont="1" applyBorder="1" applyAlignment="1"/>
    <xf numFmtId="2" fontId="16" fillId="0" borderId="5" xfId="0" applyNumberFormat="1" applyFont="1" applyBorder="1" applyAlignment="1">
      <alignment horizontal="center" vertical="center"/>
    </xf>
    <xf numFmtId="0" fontId="16" fillId="0" borderId="5" xfId="0" applyFont="1" applyBorder="1" applyAlignment="1">
      <alignment vertical="center"/>
    </xf>
    <xf numFmtId="167" fontId="16" fillId="13" borderId="5" xfId="0" applyNumberFormat="1" applyFont="1" applyFill="1" applyBorder="1" applyAlignment="1">
      <alignment horizontal="right" vertical="center"/>
    </xf>
    <xf numFmtId="167" fontId="8" fillId="13" borderId="24" xfId="0" applyNumberFormat="1" applyFont="1" applyFill="1" applyBorder="1" applyAlignment="1">
      <alignment horizontal="right" vertical="center" wrapText="1"/>
    </xf>
    <xf numFmtId="167" fontId="8" fillId="13" borderId="5" xfId="0" applyNumberFormat="1" applyFont="1" applyFill="1" applyBorder="1" applyAlignment="1">
      <alignment horizontal="right" vertical="center"/>
    </xf>
    <xf numFmtId="0" fontId="30" fillId="0" borderId="0" xfId="0" applyFont="1" applyAlignment="1">
      <alignment vertical="center"/>
    </xf>
    <xf numFmtId="11" fontId="16" fillId="0" borderId="0" xfId="0" applyNumberFormat="1" applyFont="1" applyAlignment="1">
      <alignment vertical="center"/>
    </xf>
    <xf numFmtId="9" fontId="0" fillId="0" borderId="0" xfId="0" applyNumberFormat="1" applyFont="1" applyAlignment="1">
      <alignment vertical="center"/>
    </xf>
    <xf numFmtId="167" fontId="20" fillId="13" borderId="5" xfId="0" applyNumberFormat="1" applyFont="1" applyFill="1" applyBorder="1" applyAlignment="1">
      <alignment horizontal="center" vertical="center" wrapText="1"/>
    </xf>
    <xf numFmtId="0" fontId="2" fillId="0" borderId="0" xfId="0" applyFont="1" applyAlignment="1"/>
    <xf numFmtId="3" fontId="36" fillId="0" borderId="0" xfId="0" applyNumberFormat="1" applyFont="1"/>
    <xf numFmtId="0" fontId="36" fillId="0" borderId="2" xfId="0" applyFont="1" applyBorder="1" applyAlignment="1">
      <alignment horizontal="center" vertical="center" wrapText="1"/>
    </xf>
    <xf numFmtId="3" fontId="36" fillId="0" borderId="1" xfId="0" applyNumberFormat="1" applyFont="1" applyBorder="1" applyAlignment="1">
      <alignment horizontal="center" vertical="center" wrapText="1"/>
    </xf>
    <xf numFmtId="3" fontId="36" fillId="0" borderId="25" xfId="0" applyNumberFormat="1" applyFont="1" applyBorder="1" applyAlignment="1">
      <alignment horizontal="center"/>
    </xf>
    <xf numFmtId="0" fontId="36" fillId="0" borderId="0" xfId="0" applyFont="1" applyAlignment="1">
      <alignment horizontal="center"/>
    </xf>
    <xf numFmtId="3" fontId="36" fillId="0" borderId="13" xfId="0" applyNumberFormat="1" applyFont="1" applyBorder="1" applyAlignment="1">
      <alignment horizontal="center"/>
    </xf>
    <xf numFmtId="3" fontId="36" fillId="0" borderId="15" xfId="0" applyNumberFormat="1" applyFont="1" applyBorder="1" applyAlignment="1">
      <alignment horizontal="center"/>
    </xf>
    <xf numFmtId="164" fontId="36" fillId="3" borderId="11" xfId="0" applyNumberFormat="1" applyFont="1" applyFill="1" applyBorder="1" applyAlignment="1">
      <alignment horizontal="center"/>
    </xf>
    <xf numFmtId="1" fontId="36" fillId="0" borderId="0" xfId="0" applyNumberFormat="1" applyFont="1" applyAlignment="1">
      <alignment horizontal="center"/>
    </xf>
    <xf numFmtId="174" fontId="36" fillId="0" borderId="0" xfId="0" applyNumberFormat="1" applyFont="1"/>
    <xf numFmtId="0" fontId="36" fillId="0" borderId="46" xfId="0" applyFont="1" applyBorder="1" applyAlignment="1">
      <alignment horizontal="center" vertical="center" wrapText="1"/>
    </xf>
    <xf numFmtId="0" fontId="37" fillId="0" borderId="1" xfId="0" applyFont="1" applyBorder="1" applyAlignment="1">
      <alignment horizontal="center" vertical="center"/>
    </xf>
    <xf numFmtId="0" fontId="38" fillId="0" borderId="2" xfId="0" applyFont="1" applyBorder="1" applyAlignment="1">
      <alignment horizontal="center" vertical="center"/>
    </xf>
    <xf numFmtId="0" fontId="8" fillId="0" borderId="47" xfId="0" applyNumberFormat="1" applyFont="1" applyBorder="1"/>
    <xf numFmtId="0" fontId="8" fillId="0" borderId="47" xfId="0" applyNumberFormat="1"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0" fontId="0" fillId="0" borderId="0" xfId="0" applyNumberFormat="1" applyFont="1" applyAlignment="1">
      <alignment vertical="center"/>
    </xf>
    <xf numFmtId="0" fontId="4" fillId="0" borderId="5" xfId="0" applyFont="1" applyBorder="1" applyAlignment="1">
      <alignment vertical="center"/>
    </xf>
    <xf numFmtId="175" fontId="5" fillId="0" borderId="5" xfId="0" applyNumberFormat="1"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vertical="center"/>
    </xf>
    <xf numFmtId="9" fontId="4" fillId="0" borderId="5" xfId="0" applyNumberFormat="1" applyFont="1" applyBorder="1" applyAlignment="1">
      <alignment horizontal="center" vertical="center"/>
    </xf>
    <xf numFmtId="0" fontId="7" fillId="0" borderId="5" xfId="0" applyFont="1" applyBorder="1" applyAlignment="1">
      <alignment horizontal="right" vertical="center"/>
    </xf>
    <xf numFmtId="0" fontId="3" fillId="0" borderId="5" xfId="0" applyFont="1" applyBorder="1" applyAlignment="1">
      <alignment vertical="center"/>
    </xf>
    <xf numFmtId="0" fontId="7" fillId="0" borderId="5" xfId="0" applyFont="1" applyBorder="1" applyAlignment="1">
      <alignment vertical="center"/>
    </xf>
    <xf numFmtId="0" fontId="3" fillId="18" borderId="5" xfId="0" applyFont="1" applyFill="1" applyBorder="1" applyAlignment="1">
      <alignment vertical="center"/>
    </xf>
    <xf numFmtId="9" fontId="5" fillId="0" borderId="5" xfId="0" applyNumberFormat="1" applyFont="1" applyBorder="1" applyAlignment="1">
      <alignment horizontal="center" vertical="center"/>
    </xf>
    <xf numFmtId="9" fontId="3" fillId="0" borderId="5" xfId="0" applyNumberFormat="1" applyFont="1" applyBorder="1" applyAlignment="1">
      <alignment horizontal="center" vertical="center"/>
    </xf>
    <xf numFmtId="175" fontId="7" fillId="0" borderId="5" xfId="0" applyNumberFormat="1" applyFont="1" applyBorder="1" applyAlignment="1">
      <alignment horizontal="center" vertical="center"/>
    </xf>
    <xf numFmtId="0" fontId="2" fillId="0" borderId="0" xfId="0" applyFont="1" applyAlignment="1">
      <alignment vertical="center"/>
    </xf>
    <xf numFmtId="0" fontId="25" fillId="0" borderId="0" xfId="0" applyFont="1" applyAlignment="1">
      <alignment vertical="center"/>
    </xf>
    <xf numFmtId="0" fontId="25" fillId="21" borderId="0" xfId="0" applyFont="1" applyFill="1" applyAlignment="1">
      <alignment vertical="center" wrapText="1"/>
    </xf>
    <xf numFmtId="0" fontId="41" fillId="21" borderId="0" xfId="0" applyFont="1" applyFill="1" applyAlignment="1">
      <alignment vertical="center" wrapText="1"/>
    </xf>
    <xf numFmtId="0" fontId="25" fillId="20" borderId="0" xfId="0" applyFont="1" applyFill="1" applyAlignment="1">
      <alignment vertical="center"/>
    </xf>
    <xf numFmtId="0" fontId="25" fillId="0" borderId="0" xfId="0" applyFont="1" applyAlignment="1">
      <alignment horizontal="center" vertical="center"/>
    </xf>
    <xf numFmtId="0" fontId="25" fillId="0" borderId="0" xfId="0" applyFont="1"/>
    <xf numFmtId="0" fontId="25" fillId="0" borderId="0" xfId="0" applyFont="1" applyAlignment="1">
      <alignment horizontal="center"/>
    </xf>
    <xf numFmtId="0" fontId="25" fillId="5" borderId="65" xfId="0" applyFont="1" applyFill="1" applyBorder="1" applyAlignment="1">
      <alignment horizontal="right" vertical="center"/>
    </xf>
    <xf numFmtId="0" fontId="25" fillId="5" borderId="66" xfId="0" applyFont="1" applyFill="1" applyBorder="1" applyAlignment="1">
      <alignment horizontal="right" vertical="center"/>
    </xf>
    <xf numFmtId="0" fontId="25" fillId="5" borderId="67" xfId="0" applyFont="1" applyFill="1" applyBorder="1" applyAlignment="1">
      <alignment horizontal="right" vertical="center"/>
    </xf>
    <xf numFmtId="0" fontId="25" fillId="5" borderId="69" xfId="0" applyFont="1" applyFill="1" applyBorder="1" applyAlignment="1">
      <alignment horizontal="right" vertical="center"/>
    </xf>
    <xf numFmtId="0" fontId="25" fillId="5" borderId="71" xfId="0" applyFont="1" applyFill="1" applyBorder="1" applyAlignment="1">
      <alignment horizontal="right" vertical="center"/>
    </xf>
    <xf numFmtId="0" fontId="25" fillId="5" borderId="72" xfId="0" applyFont="1" applyFill="1" applyBorder="1" applyAlignment="1">
      <alignment horizontal="right" vertical="center"/>
    </xf>
    <xf numFmtId="0" fontId="25" fillId="5" borderId="73" xfId="0" applyFont="1" applyFill="1" applyBorder="1" applyAlignment="1">
      <alignment horizontal="right" vertical="center"/>
    </xf>
    <xf numFmtId="0" fontId="4" fillId="0" borderId="18" xfId="0" applyFont="1" applyBorder="1" applyAlignment="1">
      <alignment horizontal="right" vertical="center"/>
    </xf>
    <xf numFmtId="0" fontId="4" fillId="0" borderId="21" xfId="0" applyFont="1" applyBorder="1" applyAlignment="1">
      <alignment horizontal="right" vertical="center"/>
    </xf>
    <xf numFmtId="164" fontId="4" fillId="0" borderId="20" xfId="0" applyNumberFormat="1" applyFont="1" applyBorder="1" applyAlignment="1">
      <alignment vertical="center"/>
    </xf>
    <xf numFmtId="0" fontId="42" fillId="0" borderId="0" xfId="0" applyFont="1"/>
    <xf numFmtId="0" fontId="36" fillId="0" borderId="0" xfId="0" applyFont="1"/>
    <xf numFmtId="0" fontId="4" fillId="6" borderId="16" xfId="0" applyFont="1" applyFill="1" applyBorder="1"/>
    <xf numFmtId="167" fontId="4" fillId="0" borderId="0" xfId="0" applyNumberFormat="1" applyFont="1" applyAlignment="1">
      <alignment vertical="center"/>
    </xf>
    <xf numFmtId="0" fontId="43" fillId="0" borderId="16" xfId="0" applyFont="1" applyBorder="1"/>
    <xf numFmtId="0" fontId="8" fillId="32" borderId="74" xfId="3" applyFont="1" applyFill="1" applyBorder="1" applyAlignment="1">
      <alignment horizontal="center" vertical="center" wrapText="1"/>
    </xf>
    <xf numFmtId="0" fontId="8" fillId="0" borderId="16" xfId="3" applyFont="1" applyBorder="1" applyAlignment="1">
      <alignment horizontal="center" vertical="center"/>
    </xf>
    <xf numFmtId="0" fontId="8" fillId="0" borderId="16" xfId="3" applyFont="1" applyAlignment="1">
      <alignment horizontal="center" vertical="center"/>
    </xf>
    <xf numFmtId="0" fontId="8" fillId="32" borderId="55" xfId="3" applyFont="1" applyFill="1" applyBorder="1" applyAlignment="1">
      <alignment horizontal="center" vertical="center" wrapText="1"/>
    </xf>
    <xf numFmtId="20" fontId="9" fillId="32" borderId="57" xfId="3" applyNumberFormat="1" applyFont="1" applyFill="1" applyBorder="1" applyAlignment="1">
      <alignment horizontal="center" vertical="center" wrapText="1"/>
    </xf>
    <xf numFmtId="0" fontId="9" fillId="0" borderId="16" xfId="3" applyFont="1" applyBorder="1" applyAlignment="1">
      <alignment horizontal="center" vertical="center"/>
    </xf>
    <xf numFmtId="0" fontId="9" fillId="0" borderId="16" xfId="3" applyFont="1" applyAlignment="1">
      <alignment horizontal="center" vertical="center"/>
    </xf>
    <xf numFmtId="0" fontId="11" fillId="4" borderId="80" xfId="3" applyFont="1" applyFill="1" applyBorder="1" applyAlignment="1">
      <alignment horizontal="right" wrapText="1"/>
    </xf>
    <xf numFmtId="0" fontId="8" fillId="0" borderId="16" xfId="3" applyFont="1" applyBorder="1"/>
    <xf numFmtId="0" fontId="9" fillId="0" borderId="16" xfId="3" applyFont="1" applyBorder="1"/>
    <xf numFmtId="0" fontId="23" fillId="0" borderId="16" xfId="3" applyBorder="1"/>
    <xf numFmtId="0" fontId="23" fillId="0" borderId="16" xfId="3"/>
    <xf numFmtId="0" fontId="8" fillId="26" borderId="47" xfId="3" applyFont="1" applyFill="1" applyBorder="1" applyAlignment="1">
      <alignment vertical="center"/>
    </xf>
    <xf numFmtId="10" fontId="8" fillId="0" borderId="16" xfId="3" applyNumberFormat="1" applyFont="1" applyBorder="1"/>
    <xf numFmtId="10" fontId="23" fillId="0" borderId="16" xfId="3" applyNumberFormat="1" applyBorder="1"/>
    <xf numFmtId="9" fontId="23" fillId="0" borderId="16" xfId="3" applyNumberFormat="1"/>
    <xf numFmtId="0" fontId="8" fillId="0" borderId="80" xfId="3" applyFont="1" applyBorder="1"/>
    <xf numFmtId="10" fontId="8" fillId="26" borderId="47" xfId="4" applyNumberFormat="1" applyFont="1" applyFill="1" applyBorder="1" applyAlignment="1">
      <alignment vertical="center"/>
    </xf>
    <xf numFmtId="164" fontId="8" fillId="26" borderId="47" xfId="3" applyNumberFormat="1" applyFont="1" applyFill="1" applyBorder="1" applyAlignment="1">
      <alignment vertical="center"/>
    </xf>
    <xf numFmtId="10" fontId="8" fillId="26" borderId="47" xfId="3" applyNumberFormat="1" applyFont="1" applyFill="1" applyBorder="1" applyAlignment="1">
      <alignment vertical="center"/>
    </xf>
    <xf numFmtId="165" fontId="11" fillId="0" borderId="16" xfId="3" applyNumberFormat="1" applyFont="1" applyBorder="1" applyAlignment="1">
      <alignment vertical="center" wrapText="1"/>
    </xf>
    <xf numFmtId="10" fontId="12" fillId="0" borderId="16" xfId="3" applyNumberFormat="1" applyFont="1" applyBorder="1"/>
    <xf numFmtId="164" fontId="8" fillId="0" borderId="16" xfId="3" applyNumberFormat="1" applyFont="1"/>
    <xf numFmtId="0" fontId="13" fillId="4" borderId="80" xfId="3" applyFont="1" applyFill="1" applyBorder="1" applyAlignment="1">
      <alignment horizontal="left" wrapText="1"/>
    </xf>
    <xf numFmtId="10" fontId="8" fillId="0" borderId="47" xfId="4" applyNumberFormat="1" applyFont="1" applyBorder="1" applyAlignment="1">
      <alignment vertical="center"/>
    </xf>
    <xf numFmtId="164" fontId="8" fillId="0" borderId="47" xfId="3" applyNumberFormat="1" applyFont="1" applyBorder="1" applyAlignment="1">
      <alignment vertical="center"/>
    </xf>
    <xf numFmtId="10" fontId="8" fillId="0" borderId="47" xfId="4" applyNumberFormat="1" applyFont="1" applyFill="1" applyBorder="1" applyAlignment="1">
      <alignment vertical="center"/>
    </xf>
    <xf numFmtId="0" fontId="14" fillId="0" borderId="16" xfId="3" applyFont="1" applyBorder="1"/>
    <xf numFmtId="0" fontId="22" fillId="0" borderId="16" xfId="5" applyBorder="1"/>
    <xf numFmtId="164" fontId="8" fillId="0" borderId="16" xfId="3" applyNumberFormat="1" applyFont="1" applyBorder="1"/>
    <xf numFmtId="0" fontId="11" fillId="4" borderId="65" xfId="3" applyFont="1" applyFill="1" applyBorder="1" applyAlignment="1">
      <alignment horizontal="right" wrapText="1"/>
    </xf>
    <xf numFmtId="10" fontId="8" fillId="0" borderId="61" xfId="4" applyNumberFormat="1" applyFont="1" applyBorder="1" applyAlignment="1">
      <alignment vertical="center"/>
    </xf>
    <xf numFmtId="164" fontId="8" fillId="0" borderId="61" xfId="3" applyNumberFormat="1" applyFont="1" applyBorder="1" applyAlignment="1">
      <alignment vertical="center"/>
    </xf>
    <xf numFmtId="10" fontId="8" fillId="0" borderId="61" xfId="4" applyNumberFormat="1" applyFont="1" applyFill="1" applyBorder="1" applyAlignment="1">
      <alignment vertical="center"/>
    </xf>
    <xf numFmtId="0" fontId="8" fillId="0" borderId="16" xfId="3" applyFont="1" applyBorder="1" applyAlignment="1">
      <alignment wrapText="1"/>
    </xf>
    <xf numFmtId="0" fontId="8" fillId="0" borderId="16" xfId="3" applyFont="1" applyAlignment="1">
      <alignment wrapText="1"/>
    </xf>
    <xf numFmtId="9" fontId="8" fillId="31" borderId="47" xfId="0" applyNumberFormat="1" applyFont="1" applyFill="1" applyBorder="1" applyAlignment="1">
      <alignment vertical="center"/>
    </xf>
    <xf numFmtId="9" fontId="8" fillId="31" borderId="47" xfId="0" applyNumberFormat="1" applyFont="1" applyFill="1" applyBorder="1"/>
    <xf numFmtId="167" fontId="0" fillId="0" borderId="16" xfId="4" applyNumberFormat="1" applyFont="1" applyAlignment="1"/>
    <xf numFmtId="10" fontId="0" fillId="0" borderId="16" xfId="4" applyNumberFormat="1" applyFont="1" applyAlignment="1"/>
    <xf numFmtId="9" fontId="0" fillId="0" borderId="16" xfId="4" applyFont="1" applyAlignment="1"/>
    <xf numFmtId="0" fontId="36" fillId="0" borderId="9" xfId="0" applyFont="1" applyBorder="1" applyAlignment="1">
      <alignment horizontal="center" vertical="center" wrapText="1"/>
    </xf>
    <xf numFmtId="3" fontId="36"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8" fillId="0" borderId="9" xfId="0" applyFont="1" applyBorder="1" applyAlignment="1">
      <alignment horizontal="center" vertical="center"/>
    </xf>
    <xf numFmtId="0" fontId="40" fillId="0" borderId="9" xfId="0" applyFont="1" applyBorder="1" applyAlignment="1">
      <alignment horizontal="center" vertical="center"/>
    </xf>
    <xf numFmtId="0" fontId="36" fillId="0" borderId="10" xfId="0" applyFont="1" applyBorder="1" applyAlignment="1">
      <alignment horizontal="center"/>
    </xf>
    <xf numFmtId="0" fontId="36" fillId="0" borderId="11" xfId="0" applyFont="1" applyBorder="1" applyAlignment="1">
      <alignment horizontal="center"/>
    </xf>
    <xf numFmtId="1" fontId="36" fillId="0" borderId="11" xfId="0" applyNumberFormat="1" applyFont="1" applyBorder="1" applyAlignment="1">
      <alignment horizontal="center"/>
    </xf>
    <xf numFmtId="3" fontId="20" fillId="0" borderId="24" xfId="0" applyNumberFormat="1" applyFont="1" applyBorder="1" applyAlignment="1">
      <alignment horizontal="center" vertical="center" wrapText="1"/>
    </xf>
    <xf numFmtId="0" fontId="41" fillId="12" borderId="16" xfId="0" applyFont="1" applyFill="1" applyBorder="1" applyAlignment="1">
      <alignment wrapText="1"/>
    </xf>
    <xf numFmtId="0" fontId="41" fillId="12" borderId="16" xfId="0" applyFont="1" applyFill="1" applyBorder="1"/>
    <xf numFmtId="0" fontId="25" fillId="12" borderId="16" xfId="0" applyFont="1" applyFill="1" applyBorder="1"/>
    <xf numFmtId="0" fontId="25" fillId="12" borderId="16" xfId="0" applyFont="1" applyFill="1" applyBorder="1" applyAlignment="1">
      <alignment horizontal="left"/>
    </xf>
    <xf numFmtId="0" fontId="25" fillId="5" borderId="16" xfId="0" applyFont="1" applyFill="1" applyBorder="1" applyAlignment="1">
      <alignment horizontal="right"/>
    </xf>
    <xf numFmtId="0" fontId="16" fillId="16" borderId="16" xfId="0" applyFont="1" applyFill="1" applyBorder="1"/>
    <xf numFmtId="164" fontId="8" fillId="0" borderId="24" xfId="0" applyNumberFormat="1" applyFont="1" applyBorder="1"/>
    <xf numFmtId="0" fontId="0" fillId="0" borderId="0" xfId="0" applyFont="1" applyAlignment="1"/>
    <xf numFmtId="165" fontId="23" fillId="0" borderId="16" xfId="3" applyNumberFormat="1" applyBorder="1"/>
    <xf numFmtId="0" fontId="0" fillId="0" borderId="0" xfId="0" applyFont="1" applyAlignment="1"/>
    <xf numFmtId="0" fontId="5" fillId="0" borderId="84" xfId="0" applyFont="1" applyBorder="1" applyAlignment="1">
      <alignment vertical="center" wrapText="1"/>
    </xf>
    <xf numFmtId="0" fontId="5" fillId="0" borderId="85" xfId="0" applyFont="1" applyBorder="1" applyAlignment="1">
      <alignment vertical="center" wrapText="1"/>
    </xf>
    <xf numFmtId="0" fontId="3" fillId="21" borderId="78" xfId="0" applyFont="1" applyFill="1" applyBorder="1" applyAlignment="1">
      <alignment horizontal="center" vertical="center" wrapText="1"/>
    </xf>
    <xf numFmtId="0" fontId="3" fillId="21" borderId="61" xfId="0" applyFont="1" applyFill="1" applyBorder="1" applyAlignment="1">
      <alignment horizontal="center" vertical="center" wrapText="1"/>
    </xf>
    <xf numFmtId="0" fontId="3" fillId="21" borderId="79" xfId="0" applyFont="1" applyFill="1" applyBorder="1" applyAlignment="1">
      <alignment horizontal="center" vertical="center" wrapText="1"/>
    </xf>
    <xf numFmtId="10" fontId="23" fillId="0" borderId="16" xfId="2" applyNumberFormat="1" applyFont="1" applyBorder="1" applyAlignment="1"/>
    <xf numFmtId="0" fontId="0" fillId="0" borderId="0" xfId="0" applyFont="1" applyAlignment="1"/>
    <xf numFmtId="10" fontId="0" fillId="0" borderId="16" xfId="2" applyNumberFormat="1" applyFont="1" applyBorder="1" applyAlignment="1"/>
    <xf numFmtId="10" fontId="8" fillId="0" borderId="47" xfId="2" applyNumberFormat="1" applyFont="1" applyBorder="1" applyAlignment="1">
      <alignment vertical="center"/>
    </xf>
    <xf numFmtId="10" fontId="8" fillId="26" borderId="47" xfId="2" applyNumberFormat="1" applyFont="1" applyFill="1" applyBorder="1" applyAlignment="1">
      <alignment vertical="center"/>
    </xf>
    <xf numFmtId="164" fontId="5" fillId="0" borderId="0" xfId="0" applyNumberFormat="1" applyFont="1" applyAlignment="1">
      <alignment vertical="center"/>
    </xf>
    <xf numFmtId="0" fontId="26" fillId="0" borderId="0" xfId="0" applyFont="1" applyAlignment="1">
      <alignment vertical="center"/>
    </xf>
    <xf numFmtId="3" fontId="4" fillId="0" borderId="77" xfId="0" applyNumberFormat="1" applyFont="1" applyBorder="1" applyAlignment="1">
      <alignment vertical="center"/>
    </xf>
    <xf numFmtId="3" fontId="4" fillId="0" borderId="47" xfId="0" applyNumberFormat="1" applyFont="1" applyBorder="1" applyAlignment="1">
      <alignment vertical="center"/>
    </xf>
    <xf numFmtId="10" fontId="4" fillId="0" borderId="84" xfId="2" applyNumberFormat="1" applyFont="1" applyBorder="1" applyAlignment="1">
      <alignment vertical="center"/>
    </xf>
    <xf numFmtId="3" fontId="4" fillId="0" borderId="77" xfId="0" applyNumberFormat="1" applyFont="1" applyBorder="1" applyAlignment="1">
      <alignment horizontal="right" vertical="center" wrapText="1"/>
    </xf>
    <xf numFmtId="3" fontId="4" fillId="0" borderId="78" xfId="0" applyNumberFormat="1" applyFont="1" applyBorder="1" applyAlignment="1">
      <alignment vertical="center"/>
    </xf>
    <xf numFmtId="3" fontId="4" fillId="0" borderId="61" xfId="0" applyNumberFormat="1" applyFont="1" applyBorder="1" applyAlignment="1">
      <alignment vertical="center"/>
    </xf>
    <xf numFmtId="10" fontId="4" fillId="0" borderId="85" xfId="2" applyNumberFormat="1" applyFont="1" applyBorder="1" applyAlignment="1">
      <alignment vertical="center"/>
    </xf>
    <xf numFmtId="3" fontId="4" fillId="0" borderId="78" xfId="0" applyNumberFormat="1" applyFont="1" applyBorder="1" applyAlignment="1">
      <alignment horizontal="right" vertical="center" wrapText="1"/>
    </xf>
    <xf numFmtId="0" fontId="4" fillId="0" borderId="47" xfId="0" applyFont="1" applyBorder="1" applyAlignment="1">
      <alignment vertical="center"/>
    </xf>
    <xf numFmtId="10" fontId="4" fillId="0" borderId="47" xfId="2" applyNumberFormat="1" applyFont="1" applyBorder="1" applyAlignment="1">
      <alignment vertical="center"/>
    </xf>
    <xf numFmtId="0" fontId="25" fillId="0" borderId="0" xfId="0" applyFont="1" applyAlignment="1">
      <alignment horizontal="left" vertical="center" wrapText="1"/>
    </xf>
    <xf numFmtId="0" fontId="4" fillId="44" borderId="0" xfId="0" applyFont="1" applyFill="1" applyAlignment="1">
      <alignment vertical="center"/>
    </xf>
    <xf numFmtId="0" fontId="4" fillId="0" borderId="47" xfId="0" applyNumberFormat="1" applyFont="1" applyBorder="1" applyAlignment="1">
      <alignment vertical="center"/>
    </xf>
    <xf numFmtId="0" fontId="3" fillId="0" borderId="16" xfId="3" applyFont="1" applyAlignment="1">
      <alignment horizontal="center"/>
    </xf>
    <xf numFmtId="0" fontId="3" fillId="3" borderId="16" xfId="3" applyFont="1" applyFill="1" applyBorder="1" applyAlignment="1">
      <alignment horizontal="center"/>
    </xf>
    <xf numFmtId="10" fontId="4" fillId="0" borderId="16" xfId="3" applyNumberFormat="1" applyFont="1"/>
    <xf numFmtId="0" fontId="23" fillId="0" borderId="16" xfId="3" applyFont="1" applyAlignment="1">
      <alignment horizontal="center" vertical="center"/>
    </xf>
    <xf numFmtId="0" fontId="23" fillId="0" borderId="16" xfId="3" applyFont="1" applyAlignment="1">
      <alignment horizontal="center" vertical="center" wrapText="1"/>
    </xf>
    <xf numFmtId="0" fontId="10" fillId="0" borderId="16" xfId="3" applyFont="1" applyFill="1" applyBorder="1" applyAlignment="1">
      <alignment horizontal="center" vertical="center" wrapText="1"/>
    </xf>
    <xf numFmtId="0" fontId="23" fillId="7" borderId="87" xfId="3" applyFont="1" applyFill="1" applyBorder="1" applyAlignment="1">
      <alignment horizontal="center" vertical="center" wrapText="1"/>
    </xf>
    <xf numFmtId="0" fontId="23" fillId="7" borderId="23" xfId="3" applyFont="1" applyFill="1" applyBorder="1" applyAlignment="1">
      <alignment horizontal="center" vertical="center" wrapText="1"/>
    </xf>
    <xf numFmtId="0" fontId="23" fillId="7" borderId="88" xfId="3" applyFont="1" applyFill="1" applyBorder="1" applyAlignment="1">
      <alignment horizontal="center" vertical="center" wrapText="1"/>
    </xf>
    <xf numFmtId="0" fontId="23" fillId="7" borderId="89" xfId="3" applyFont="1" applyFill="1" applyBorder="1" applyAlignment="1">
      <alignment horizontal="center" vertical="center" wrapText="1"/>
    </xf>
    <xf numFmtId="0" fontId="23" fillId="7" borderId="18" xfId="3" applyFont="1" applyFill="1" applyBorder="1" applyAlignment="1">
      <alignment horizontal="center" vertical="center"/>
    </xf>
    <xf numFmtId="167" fontId="23" fillId="45" borderId="82" xfId="3" applyNumberFormat="1" applyFont="1" applyFill="1" applyBorder="1" applyAlignment="1">
      <alignment horizontal="center" vertical="center"/>
    </xf>
    <xf numFmtId="9" fontId="23" fillId="45" borderId="58" xfId="3" applyNumberFormat="1" applyFont="1" applyFill="1" applyBorder="1" applyAlignment="1">
      <alignment horizontal="center" vertical="center"/>
    </xf>
    <xf numFmtId="9" fontId="23" fillId="45" borderId="59" xfId="3" applyNumberFormat="1" applyFont="1" applyFill="1" applyBorder="1" applyAlignment="1">
      <alignment horizontal="center" vertical="center"/>
    </xf>
    <xf numFmtId="167" fontId="23" fillId="46" borderId="82" xfId="3" applyNumberFormat="1" applyFont="1" applyFill="1" applyBorder="1" applyAlignment="1">
      <alignment horizontal="center" vertical="center"/>
    </xf>
    <xf numFmtId="9" fontId="23" fillId="46" borderId="58" xfId="3" applyNumberFormat="1" applyFont="1" applyFill="1" applyBorder="1" applyAlignment="1">
      <alignment horizontal="center" vertical="center"/>
    </xf>
    <xf numFmtId="9" fontId="23" fillId="46" borderId="59" xfId="3" applyNumberFormat="1" applyFont="1" applyFill="1" applyBorder="1" applyAlignment="1">
      <alignment horizontal="center" vertical="center"/>
    </xf>
    <xf numFmtId="0" fontId="23" fillId="7" borderId="90" xfId="3" applyFont="1" applyFill="1" applyBorder="1" applyAlignment="1">
      <alignment horizontal="center" vertical="center"/>
    </xf>
    <xf numFmtId="167" fontId="23" fillId="0" borderId="77" xfId="3" applyNumberFormat="1" applyFont="1" applyBorder="1" applyAlignment="1">
      <alignment horizontal="center" vertical="center"/>
    </xf>
    <xf numFmtId="9" fontId="23" fillId="0" borderId="47" xfId="3" applyNumberFormat="1" applyFont="1" applyBorder="1" applyAlignment="1">
      <alignment horizontal="center" vertical="center"/>
    </xf>
    <xf numFmtId="9" fontId="23" fillId="0" borderId="60" xfId="3" applyNumberFormat="1" applyFont="1" applyBorder="1" applyAlignment="1">
      <alignment horizontal="center" vertical="center"/>
    </xf>
    <xf numFmtId="0" fontId="23" fillId="7" borderId="21" xfId="3" applyFont="1" applyFill="1" applyBorder="1" applyAlignment="1">
      <alignment horizontal="center" vertical="center"/>
    </xf>
    <xf numFmtId="167" fontId="23" fillId="0" borderId="78" xfId="3" applyNumberFormat="1" applyFont="1" applyBorder="1" applyAlignment="1">
      <alignment horizontal="center" vertical="center"/>
    </xf>
    <xf numFmtId="9" fontId="23" fillId="0" borderId="61" xfId="3" applyNumberFormat="1" applyFont="1" applyBorder="1" applyAlignment="1">
      <alignment horizontal="center" vertical="center"/>
    </xf>
    <xf numFmtId="9" fontId="23" fillId="0" borderId="79" xfId="3" applyNumberFormat="1" applyFont="1" applyBorder="1" applyAlignment="1">
      <alignment horizontal="center" vertical="center"/>
    </xf>
    <xf numFmtId="0" fontId="4" fillId="0" borderId="16" xfId="3" applyFont="1" applyAlignment="1">
      <alignment horizontal="center"/>
    </xf>
    <xf numFmtId="0" fontId="15" fillId="0" borderId="16" xfId="3" applyFont="1" applyAlignment="1">
      <alignment horizontal="center" vertical="center" wrapText="1"/>
    </xf>
    <xf numFmtId="0" fontId="23" fillId="0" borderId="16" xfId="3" applyFont="1" applyAlignment="1">
      <alignment vertical="center" wrapText="1"/>
    </xf>
    <xf numFmtId="0" fontId="23" fillId="39" borderId="16" xfId="3" applyFont="1" applyFill="1" applyAlignment="1">
      <alignment horizontal="center" vertical="center" wrapText="1"/>
    </xf>
    <xf numFmtId="0" fontId="23" fillId="0" borderId="16" xfId="3" applyFont="1" applyAlignment="1">
      <alignment wrapText="1"/>
    </xf>
    <xf numFmtId="0" fontId="23" fillId="0" borderId="16" xfId="3" applyFont="1" applyBorder="1" applyAlignment="1">
      <alignment wrapText="1"/>
    </xf>
    <xf numFmtId="0" fontId="23" fillId="48" borderId="16" xfId="3" applyFont="1" applyFill="1" applyBorder="1" applyAlignment="1">
      <alignment horizontal="center" vertical="center" wrapText="1"/>
    </xf>
    <xf numFmtId="0" fontId="23" fillId="49" borderId="16" xfId="3" applyFont="1" applyFill="1" applyBorder="1" applyAlignment="1">
      <alignment horizontal="center" vertical="center" wrapText="1"/>
    </xf>
    <xf numFmtId="0" fontId="23" fillId="0" borderId="16" xfId="3" applyFont="1" applyFill="1" applyBorder="1" applyAlignment="1">
      <alignment wrapText="1"/>
    </xf>
    <xf numFmtId="0" fontId="23" fillId="0" borderId="16" xfId="3" applyFont="1" applyFill="1" applyBorder="1" applyAlignment="1">
      <alignment vertical="center" wrapText="1"/>
    </xf>
    <xf numFmtId="0" fontId="3" fillId="50" borderId="95" xfId="3" applyFont="1" applyFill="1" applyBorder="1" applyAlignment="1">
      <alignment horizontal="center" vertical="center" wrapText="1"/>
    </xf>
    <xf numFmtId="0" fontId="3" fillId="50" borderId="96" xfId="3" applyFont="1" applyFill="1" applyBorder="1" applyAlignment="1">
      <alignment horizontal="center" vertical="center" wrapText="1"/>
    </xf>
    <xf numFmtId="0" fontId="3" fillId="50" borderId="97" xfId="3" applyFont="1" applyFill="1" applyBorder="1" applyAlignment="1">
      <alignment horizontal="center" vertical="center" wrapText="1"/>
    </xf>
    <xf numFmtId="0" fontId="3" fillId="51" borderId="95" xfId="3" applyFont="1" applyFill="1" applyBorder="1" applyAlignment="1">
      <alignment horizontal="center" vertical="center" wrapText="1"/>
    </xf>
    <xf numFmtId="0" fontId="3" fillId="51" borderId="96" xfId="3" applyFont="1" applyFill="1" applyBorder="1" applyAlignment="1">
      <alignment horizontal="center" vertical="center" wrapText="1"/>
    </xf>
    <xf numFmtId="0" fontId="3" fillId="51" borderId="97" xfId="3" applyFont="1" applyFill="1" applyBorder="1" applyAlignment="1">
      <alignment horizontal="center" vertical="center" wrapText="1"/>
    </xf>
    <xf numFmtId="0" fontId="4" fillId="0" borderId="84" xfId="3" applyFont="1" applyBorder="1" applyAlignment="1">
      <alignment horizontal="center" vertical="center" wrapText="1"/>
    </xf>
    <xf numFmtId="2" fontId="25" fillId="48" borderId="47" xfId="3" applyNumberFormat="1" applyFont="1" applyFill="1" applyBorder="1" applyAlignment="1">
      <alignment horizontal="right" vertical="center" wrapText="1"/>
    </xf>
    <xf numFmtId="2" fontId="25" fillId="41" borderId="47" xfId="3" applyNumberFormat="1" applyFont="1" applyFill="1" applyBorder="1" applyAlignment="1">
      <alignment horizontal="right" vertical="center" wrapText="1"/>
    </xf>
    <xf numFmtId="0" fontId="4" fillId="0" borderId="85" xfId="3" applyFont="1" applyBorder="1" applyAlignment="1">
      <alignment horizontal="center" vertical="center" wrapText="1"/>
    </xf>
    <xf numFmtId="2" fontId="25" fillId="0" borderId="64" xfId="3" applyNumberFormat="1" applyFont="1" applyBorder="1" applyAlignment="1">
      <alignment horizontal="right" vertical="center" wrapText="1"/>
    </xf>
    <xf numFmtId="2" fontId="25" fillId="48" borderId="61" xfId="3" applyNumberFormat="1" applyFont="1" applyFill="1" applyBorder="1" applyAlignment="1">
      <alignment horizontal="right" wrapText="1"/>
    </xf>
    <xf numFmtId="2" fontId="25" fillId="41" borderId="61" xfId="3" applyNumberFormat="1" applyFont="1" applyFill="1" applyBorder="1" applyAlignment="1">
      <alignment horizontal="right" wrapText="1"/>
    </xf>
    <xf numFmtId="0" fontId="4" fillId="0" borderId="16" xfId="3" applyFont="1" applyFill="1" applyBorder="1" applyAlignment="1">
      <alignment horizontal="center" vertical="center" wrapText="1"/>
    </xf>
    <xf numFmtId="0" fontId="4" fillId="0" borderId="16" xfId="3" applyFont="1" applyBorder="1" applyAlignment="1">
      <alignment horizontal="center" vertical="center" wrapText="1"/>
    </xf>
    <xf numFmtId="0" fontId="4" fillId="0" borderId="66" xfId="3" applyFont="1" applyBorder="1" applyAlignment="1">
      <alignment horizontal="center" vertical="center" wrapText="1"/>
    </xf>
    <xf numFmtId="2" fontId="48" fillId="0" borderId="66" xfId="3" applyNumberFormat="1" applyFont="1" applyBorder="1" applyAlignment="1">
      <alignment horizontal="center" vertical="center" wrapText="1"/>
    </xf>
    <xf numFmtId="2" fontId="48" fillId="0" borderId="16" xfId="3" applyNumberFormat="1" applyFont="1" applyBorder="1" applyAlignment="1">
      <alignment horizontal="center" vertical="center" wrapText="1"/>
    </xf>
    <xf numFmtId="0" fontId="51" fillId="41" borderId="81" xfId="3" applyFont="1" applyFill="1" applyBorder="1" applyAlignment="1">
      <alignment horizontal="center" vertical="center" wrapText="1"/>
    </xf>
    <xf numFmtId="11" fontId="46" fillId="53" borderId="58" xfId="3" applyNumberFormat="1" applyFont="1" applyFill="1" applyBorder="1" applyAlignment="1">
      <alignment horizontal="center" vertical="center" wrapText="1"/>
    </xf>
    <xf numFmtId="11" fontId="46" fillId="53" borderId="59" xfId="3" applyNumberFormat="1" applyFont="1" applyFill="1" applyBorder="1" applyAlignment="1">
      <alignment horizontal="center" vertical="center" wrapText="1"/>
    </xf>
    <xf numFmtId="0" fontId="8" fillId="52" borderId="64" xfId="3" applyFont="1" applyFill="1" applyBorder="1" applyAlignment="1">
      <alignment horizontal="center" vertical="center" wrapText="1"/>
    </xf>
    <xf numFmtId="0" fontId="8" fillId="52" borderId="79" xfId="3" applyFont="1" applyFill="1" applyBorder="1" applyAlignment="1">
      <alignment horizontal="center" vertical="center" wrapText="1"/>
    </xf>
    <xf numFmtId="0" fontId="8" fillId="0" borderId="61" xfId="3" applyFont="1" applyFill="1" applyBorder="1" applyAlignment="1">
      <alignment horizontal="right" vertical="center" wrapText="1"/>
    </xf>
    <xf numFmtId="9" fontId="8" fillId="0" borderId="61" xfId="3" applyNumberFormat="1" applyFont="1" applyFill="1" applyBorder="1" applyAlignment="1">
      <alignment horizontal="right" vertical="center" wrapText="1"/>
    </xf>
    <xf numFmtId="11" fontId="8" fillId="0" borderId="61" xfId="3" applyNumberFormat="1" applyFont="1" applyFill="1" applyBorder="1" applyAlignment="1">
      <alignment horizontal="right" vertical="center" wrapText="1"/>
    </xf>
    <xf numFmtId="11" fontId="8" fillId="0" borderId="79" xfId="3" applyNumberFormat="1" applyFont="1" applyFill="1" applyBorder="1" applyAlignment="1">
      <alignment horizontal="right" vertical="center" wrapText="1"/>
    </xf>
    <xf numFmtId="10" fontId="9" fillId="0" borderId="91" xfId="3" applyNumberFormat="1" applyFont="1" applyFill="1" applyBorder="1" applyAlignment="1">
      <alignment vertical="center" wrapText="1"/>
    </xf>
    <xf numFmtId="10" fontId="9" fillId="0" borderId="93" xfId="3" applyNumberFormat="1" applyFont="1" applyFill="1" applyBorder="1" applyAlignment="1">
      <alignment vertical="center" wrapText="1"/>
    </xf>
    <xf numFmtId="0" fontId="52" fillId="42" borderId="82" xfId="3" applyFont="1" applyFill="1" applyBorder="1" applyAlignment="1">
      <alignment horizontal="center" vertical="center" wrapText="1"/>
    </xf>
    <xf numFmtId="0" fontId="46" fillId="53" borderId="58" xfId="3" applyFont="1" applyFill="1" applyBorder="1" applyAlignment="1">
      <alignment horizontal="center" vertical="center" wrapText="1"/>
    </xf>
    <xf numFmtId="0" fontId="46" fillId="53" borderId="59" xfId="3" applyFont="1" applyFill="1" applyBorder="1" applyAlignment="1">
      <alignment horizontal="center" vertical="center" wrapText="1"/>
    </xf>
    <xf numFmtId="10" fontId="8" fillId="0" borderId="82" xfId="3" applyNumberFormat="1" applyFont="1" applyFill="1" applyBorder="1" applyAlignment="1">
      <alignment vertical="center" wrapText="1"/>
    </xf>
    <xf numFmtId="10" fontId="8" fillId="0" borderId="59" xfId="3" applyNumberFormat="1" applyFont="1" applyFill="1" applyBorder="1" applyAlignment="1">
      <alignment vertical="center" wrapText="1"/>
    </xf>
    <xf numFmtId="0" fontId="46" fillId="42" borderId="77" xfId="3" applyFont="1" applyFill="1" applyBorder="1" applyAlignment="1">
      <alignment horizontal="center" vertical="center" wrapText="1"/>
    </xf>
    <xf numFmtId="11" fontId="8" fillId="0" borderId="47" xfId="3" applyNumberFormat="1" applyFont="1" applyBorder="1" applyAlignment="1">
      <alignment horizontal="right" vertical="center" wrapText="1"/>
    </xf>
    <xf numFmtId="11" fontId="8" fillId="0" borderId="60" xfId="3" applyNumberFormat="1" applyFont="1" applyBorder="1" applyAlignment="1">
      <alignment vertical="center" wrapText="1"/>
    </xf>
    <xf numFmtId="10" fontId="8" fillId="0" borderId="77" xfId="3" applyNumberFormat="1" applyFont="1" applyFill="1" applyBorder="1" applyAlignment="1">
      <alignment vertical="center" wrapText="1"/>
    </xf>
    <xf numFmtId="10" fontId="8" fillId="0" borderId="60" xfId="3" applyNumberFormat="1" applyFont="1" applyFill="1" applyBorder="1" applyAlignment="1">
      <alignment vertical="center" wrapText="1"/>
    </xf>
    <xf numFmtId="0" fontId="46" fillId="42" borderId="78" xfId="3" applyFont="1" applyFill="1" applyBorder="1" applyAlignment="1">
      <alignment horizontal="center" vertical="center" wrapText="1"/>
    </xf>
    <xf numFmtId="11" fontId="8" fillId="0" borderId="61" xfId="3" applyNumberFormat="1" applyFont="1" applyBorder="1" applyAlignment="1">
      <alignment horizontal="right" vertical="center" wrapText="1"/>
    </xf>
    <xf numFmtId="11" fontId="8" fillId="0" borderId="79" xfId="3" applyNumberFormat="1" applyFont="1" applyBorder="1" applyAlignment="1">
      <alignment vertical="center" wrapText="1"/>
    </xf>
    <xf numFmtId="10" fontId="53" fillId="54" borderId="77" xfId="3" applyNumberFormat="1" applyFont="1" applyFill="1" applyBorder="1" applyAlignment="1">
      <alignment vertical="center" wrapText="1"/>
    </xf>
    <xf numFmtId="10" fontId="53" fillId="54" borderId="60" xfId="3" applyNumberFormat="1" applyFont="1" applyFill="1" applyBorder="1" applyAlignment="1">
      <alignment vertical="center" wrapText="1"/>
    </xf>
    <xf numFmtId="10" fontId="8" fillId="0" borderId="16" xfId="3" applyNumberFormat="1" applyFont="1" applyFill="1" applyBorder="1" applyAlignment="1">
      <alignment vertical="center" wrapText="1"/>
    </xf>
    <xf numFmtId="0" fontId="8" fillId="0" borderId="86" xfId="3" applyFont="1" applyFill="1" applyBorder="1" applyAlignment="1">
      <alignment horizontal="center" vertical="center" wrapText="1"/>
    </xf>
    <xf numFmtId="0" fontId="53" fillId="54" borderId="86" xfId="3" applyFont="1" applyFill="1" applyBorder="1" applyAlignment="1">
      <alignment horizontal="center" vertical="center" wrapText="1"/>
    </xf>
    <xf numFmtId="0" fontId="53" fillId="54" borderId="106" xfId="3" applyFont="1" applyFill="1" applyBorder="1" applyAlignment="1">
      <alignment horizontal="center" vertical="center" wrapText="1"/>
    </xf>
    <xf numFmtId="10" fontId="53" fillId="54" borderId="78" xfId="3" applyNumberFormat="1" applyFont="1" applyFill="1" applyBorder="1" applyAlignment="1">
      <alignment vertical="center" wrapText="1"/>
    </xf>
    <xf numFmtId="10" fontId="53" fillId="54" borderId="79" xfId="3" applyNumberFormat="1" applyFont="1" applyFill="1" applyBorder="1" applyAlignment="1">
      <alignment vertical="center" wrapText="1"/>
    </xf>
    <xf numFmtId="0" fontId="8" fillId="0" borderId="105" xfId="3" applyFont="1" applyFill="1" applyBorder="1" applyAlignment="1">
      <alignment horizontal="center" vertical="center" wrapText="1"/>
    </xf>
    <xf numFmtId="10" fontId="8" fillId="0" borderId="78" xfId="3" applyNumberFormat="1" applyFont="1" applyFill="1" applyBorder="1" applyAlignment="1">
      <alignment vertical="center" wrapText="1"/>
    </xf>
    <xf numFmtId="10" fontId="8" fillId="0" borderId="79" xfId="3" applyNumberFormat="1" applyFont="1" applyFill="1" applyBorder="1" applyAlignment="1">
      <alignment vertical="center" wrapText="1"/>
    </xf>
    <xf numFmtId="10" fontId="8" fillId="0" borderId="95" xfId="3" applyNumberFormat="1" applyFont="1" applyFill="1" applyBorder="1" applyAlignment="1">
      <alignment vertical="center" wrapText="1"/>
    </xf>
    <xf numFmtId="10" fontId="16" fillId="0" borderId="96" xfId="3" applyNumberFormat="1" applyFont="1" applyFill="1" applyBorder="1" applyAlignment="1">
      <alignment vertical="center" wrapText="1"/>
    </xf>
    <xf numFmtId="0" fontId="55" fillId="55" borderId="81" xfId="3" applyFont="1" applyFill="1" applyBorder="1" applyAlignment="1">
      <alignment horizontal="center" vertical="center" wrapText="1"/>
    </xf>
    <xf numFmtId="0" fontId="56" fillId="49" borderId="62" xfId="3" applyFont="1" applyFill="1" applyBorder="1" applyAlignment="1">
      <alignment horizontal="center" vertical="center" wrapText="1"/>
    </xf>
    <xf numFmtId="0" fontId="56" fillId="49" borderId="58" xfId="3" applyFont="1" applyFill="1" applyBorder="1" applyAlignment="1">
      <alignment horizontal="center" vertical="center" wrapText="1"/>
    </xf>
    <xf numFmtId="0" fontId="55" fillId="55" borderId="85" xfId="3" applyFont="1" applyFill="1" applyBorder="1" applyAlignment="1">
      <alignment horizontal="center" vertical="center" wrapText="1"/>
    </xf>
    <xf numFmtId="0" fontId="23" fillId="0" borderId="64" xfId="3" applyFont="1" applyBorder="1" applyAlignment="1">
      <alignment horizontal="center" vertical="center"/>
    </xf>
    <xf numFmtId="0" fontId="23" fillId="0" borderId="61" xfId="3" applyFont="1" applyBorder="1" applyAlignment="1">
      <alignment horizontal="center" vertical="center"/>
    </xf>
    <xf numFmtId="0" fontId="23" fillId="0" borderId="61" xfId="3" applyFont="1" applyBorder="1" applyAlignment="1">
      <alignment horizontal="center" vertical="center" wrapText="1"/>
    </xf>
    <xf numFmtId="164" fontId="23" fillId="0" borderId="61" xfId="3" applyNumberFormat="1" applyFont="1" applyBorder="1" applyAlignment="1">
      <alignment horizontal="center" wrapText="1"/>
    </xf>
    <xf numFmtId="0" fontId="3" fillId="0" borderId="16" xfId="3" applyFont="1" applyAlignment="1">
      <alignment horizontal="center" vertical="center"/>
    </xf>
    <xf numFmtId="10" fontId="8" fillId="0" borderId="16" xfId="3" applyNumberFormat="1" applyFont="1" applyAlignment="1">
      <alignment horizontal="center" vertical="center"/>
    </xf>
    <xf numFmtId="2" fontId="8" fillId="0" borderId="16" xfId="3" applyNumberFormat="1" applyFont="1" applyAlignment="1">
      <alignment horizontal="center" vertical="center"/>
    </xf>
    <xf numFmtId="0" fontId="16" fillId="0" borderId="16" xfId="3" applyFont="1" applyAlignment="1">
      <alignment horizontal="center" vertical="center"/>
    </xf>
    <xf numFmtId="0" fontId="16" fillId="0" borderId="16" xfId="3" applyFont="1"/>
    <xf numFmtId="0" fontId="23" fillId="0" borderId="16" xfId="3" applyFont="1" applyFill="1" applyBorder="1" applyAlignment="1">
      <alignment horizontal="center" vertical="center"/>
    </xf>
    <xf numFmtId="0" fontId="10" fillId="0" borderId="110" xfId="3" applyFont="1" applyFill="1" applyBorder="1" applyAlignment="1">
      <alignment wrapText="1"/>
    </xf>
    <xf numFmtId="0" fontId="4" fillId="0" borderId="110" xfId="3" applyFont="1" applyFill="1" applyBorder="1" applyAlignment="1">
      <alignment horizontal="center" vertical="center" wrapText="1"/>
    </xf>
    <xf numFmtId="0" fontId="10" fillId="0" borderId="16" xfId="3" applyFont="1" applyFill="1" applyBorder="1" applyAlignment="1"/>
    <xf numFmtId="0" fontId="23" fillId="0" borderId="16" xfId="3" applyFont="1" applyFill="1" applyBorder="1" applyAlignment="1"/>
    <xf numFmtId="0" fontId="9" fillId="58" borderId="76" xfId="3" applyFont="1" applyFill="1" applyBorder="1" applyAlignment="1">
      <alignment horizontal="center" vertical="center"/>
    </xf>
    <xf numFmtId="0" fontId="9" fillId="63" borderId="10" xfId="3" applyFont="1" applyFill="1" applyBorder="1" applyAlignment="1">
      <alignment horizontal="center" vertical="center"/>
    </xf>
    <xf numFmtId="0" fontId="9" fillId="60" borderId="113" xfId="3" applyFont="1" applyFill="1" applyBorder="1" applyAlignment="1">
      <alignment horizontal="center" vertical="center"/>
    </xf>
    <xf numFmtId="0" fontId="9" fillId="60" borderId="10" xfId="3" applyFont="1" applyFill="1" applyBorder="1" applyAlignment="1">
      <alignment horizontal="center" vertical="center"/>
    </xf>
    <xf numFmtId="0" fontId="9" fillId="60" borderId="116" xfId="3" applyFont="1" applyFill="1" applyBorder="1" applyAlignment="1">
      <alignment horizontal="center" vertical="center"/>
    </xf>
    <xf numFmtId="0" fontId="9" fillId="50" borderId="111" xfId="3" applyFont="1" applyFill="1" applyBorder="1" applyAlignment="1">
      <alignment horizontal="center" vertical="center" wrapText="1"/>
    </xf>
    <xf numFmtId="0" fontId="9" fillId="50" borderId="11" xfId="3" applyFont="1" applyFill="1" applyBorder="1" applyAlignment="1">
      <alignment horizontal="center" vertical="center" wrapText="1"/>
    </xf>
    <xf numFmtId="0" fontId="9" fillId="50" borderId="11" xfId="3" applyFont="1" applyFill="1" applyBorder="1" applyAlignment="1">
      <alignment horizontal="center" vertical="center"/>
    </xf>
    <xf numFmtId="0" fontId="9" fillId="56" borderId="111" xfId="3" applyFont="1" applyFill="1" applyBorder="1" applyAlignment="1">
      <alignment horizontal="center" vertical="center" wrapText="1"/>
    </xf>
    <xf numFmtId="0" fontId="9" fillId="56" borderId="122" xfId="3" applyFont="1" applyFill="1" applyBorder="1" applyAlignment="1">
      <alignment horizontal="center" vertical="center" wrapText="1"/>
    </xf>
    <xf numFmtId="0" fontId="9" fillId="56" borderId="123" xfId="3" applyFont="1" applyFill="1" applyBorder="1" applyAlignment="1">
      <alignment horizontal="center" vertical="center" wrapText="1"/>
    </xf>
    <xf numFmtId="0" fontId="9" fillId="56" borderId="11" xfId="3" applyFont="1" applyFill="1" applyBorder="1" applyAlignment="1">
      <alignment horizontal="center" vertical="center" wrapText="1"/>
    </xf>
    <xf numFmtId="0" fontId="57" fillId="56" borderId="11" xfId="3" applyFont="1" applyFill="1" applyBorder="1" applyAlignment="1">
      <alignment horizontal="center" vertical="center" wrapText="1"/>
    </xf>
    <xf numFmtId="0" fontId="57" fillId="56" borderId="112" xfId="3" applyFont="1" applyFill="1" applyBorder="1" applyAlignment="1">
      <alignment horizontal="center" vertical="center" wrapText="1"/>
    </xf>
    <xf numFmtId="0" fontId="58" fillId="56" borderId="11" xfId="3" applyFont="1" applyFill="1" applyBorder="1" applyAlignment="1">
      <alignment horizontal="center" vertical="center" wrapText="1"/>
    </xf>
    <xf numFmtId="0" fontId="9" fillId="56" borderId="80" xfId="3" applyFont="1" applyFill="1" applyBorder="1" applyAlignment="1">
      <alignment horizontal="center" vertical="center" wrapText="1"/>
    </xf>
    <xf numFmtId="0" fontId="9" fillId="56" borderId="16" xfId="3" applyFont="1" applyFill="1" applyBorder="1" applyAlignment="1">
      <alignment horizontal="center" vertical="center" wrapText="1"/>
    </xf>
    <xf numFmtId="0" fontId="9" fillId="56" borderId="75" xfId="3" applyFont="1" applyFill="1" applyBorder="1" applyAlignment="1">
      <alignment horizontal="center" vertical="center" wrapText="1"/>
    </xf>
    <xf numFmtId="0" fontId="57" fillId="56" borderId="16" xfId="3" applyFont="1" applyFill="1" applyBorder="1" applyAlignment="1">
      <alignment horizontal="center" vertical="center" wrapText="1"/>
    </xf>
    <xf numFmtId="0" fontId="9" fillId="58" borderId="65" xfId="3" applyFont="1" applyFill="1" applyBorder="1" applyAlignment="1">
      <alignment horizontal="center" vertical="center" wrapText="1"/>
    </xf>
    <xf numFmtId="0" fontId="9" fillId="58" borderId="66" xfId="3" applyFont="1" applyFill="1" applyBorder="1" applyAlignment="1">
      <alignment horizontal="center" vertical="center" wrapText="1"/>
    </xf>
    <xf numFmtId="2" fontId="9" fillId="58" borderId="108" xfId="3" applyNumberFormat="1" applyFont="1" applyFill="1" applyBorder="1" applyAlignment="1">
      <alignment horizontal="center" vertical="center" wrapText="1"/>
    </xf>
    <xf numFmtId="2" fontId="9" fillId="58" borderId="66" xfId="3" applyNumberFormat="1" applyFont="1" applyFill="1" applyBorder="1" applyAlignment="1">
      <alignment horizontal="center" vertical="center" wrapText="1"/>
    </xf>
    <xf numFmtId="2" fontId="9" fillId="58" borderId="124" xfId="3" applyNumberFormat="1" applyFont="1" applyFill="1" applyBorder="1" applyAlignment="1">
      <alignment horizontal="center" vertical="center" wrapText="1"/>
    </xf>
    <xf numFmtId="0" fontId="9" fillId="58" borderId="67" xfId="3" applyFont="1" applyFill="1" applyBorder="1" applyAlignment="1">
      <alignment horizontal="center" vertical="center"/>
    </xf>
    <xf numFmtId="0" fontId="9" fillId="63" borderId="89" xfId="3" applyFont="1" applyFill="1" applyBorder="1" applyAlignment="1">
      <alignment horizontal="center" vertical="center"/>
    </xf>
    <xf numFmtId="0" fontId="9" fillId="63" borderId="6" xfId="3" applyFont="1" applyFill="1" applyBorder="1" applyAlignment="1">
      <alignment horizontal="center" vertical="center" wrapText="1"/>
    </xf>
    <xf numFmtId="0" fontId="9" fillId="63" borderId="126" xfId="3" applyFont="1" applyFill="1" applyBorder="1" applyAlignment="1">
      <alignment horizontal="center" vertical="center"/>
    </xf>
    <xf numFmtId="0" fontId="9" fillId="63" borderId="127" xfId="3" applyFont="1" applyFill="1" applyBorder="1" applyAlignment="1">
      <alignment horizontal="center" vertical="center" wrapText="1"/>
    </xf>
    <xf numFmtId="0" fontId="9" fillId="63" borderId="108" xfId="3" applyFont="1" applyFill="1" applyBorder="1" applyAlignment="1">
      <alignment horizontal="center" vertical="center" wrapText="1"/>
    </xf>
    <xf numFmtId="0" fontId="9" fillId="63" borderId="124" xfId="3" applyFont="1" applyFill="1" applyBorder="1" applyAlignment="1">
      <alignment horizontal="center" vertical="center" wrapText="1"/>
    </xf>
    <xf numFmtId="0" fontId="9" fillId="63" borderId="11" xfId="3" applyFont="1" applyFill="1" applyBorder="1" applyAlignment="1">
      <alignment horizontal="center" vertical="center" wrapText="1"/>
    </xf>
    <xf numFmtId="0" fontId="9" fillId="60" borderId="111" xfId="3" applyFont="1" applyFill="1" applyBorder="1" applyAlignment="1">
      <alignment horizontal="center" vertical="center" wrapText="1"/>
    </xf>
    <xf numFmtId="0" fontId="9" fillId="60" borderId="11" xfId="3" applyFont="1" applyFill="1" applyBorder="1" applyAlignment="1">
      <alignment horizontal="center" vertical="center" wrapText="1"/>
    </xf>
    <xf numFmtId="0" fontId="9" fillId="60" borderId="112" xfId="3" applyFont="1" applyFill="1" applyBorder="1" applyAlignment="1">
      <alignment horizontal="center" vertical="center" wrapText="1"/>
    </xf>
    <xf numFmtId="0" fontId="8" fillId="65" borderId="12" xfId="3" applyFont="1" applyFill="1" applyBorder="1" applyAlignment="1">
      <alignment horizontal="center" vertical="center" wrapText="1"/>
    </xf>
    <xf numFmtId="2" fontId="8" fillId="65" borderId="16" xfId="3" applyNumberFormat="1" applyFont="1" applyFill="1" applyBorder="1" applyAlignment="1">
      <alignment horizontal="center" vertical="center" wrapText="1"/>
    </xf>
    <xf numFmtId="9" fontId="4" fillId="65" borderId="80" xfId="3" applyNumberFormat="1" applyFont="1" applyFill="1" applyBorder="1" applyAlignment="1">
      <alignment horizontal="center" vertical="center" wrapText="1"/>
    </xf>
    <xf numFmtId="2" fontId="4" fillId="65" borderId="52" xfId="3" applyNumberFormat="1" applyFont="1" applyFill="1" applyBorder="1" applyAlignment="1">
      <alignment horizontal="center" vertical="center" wrapText="1"/>
    </xf>
    <xf numFmtId="9" fontId="4" fillId="66" borderId="115" xfId="3" applyNumberFormat="1" applyFont="1" applyFill="1" applyBorder="1" applyAlignment="1">
      <alignment horizontal="center" vertical="center" wrapText="1"/>
    </xf>
    <xf numFmtId="9" fontId="4" fillId="66" borderId="10" xfId="3" applyNumberFormat="1" applyFont="1" applyFill="1" applyBorder="1" applyAlignment="1">
      <alignment horizontal="center" vertical="center" wrapText="1"/>
    </xf>
    <xf numFmtId="9" fontId="4" fillId="66" borderId="114" xfId="3" applyNumberFormat="1" applyFont="1" applyFill="1" applyBorder="1" applyAlignment="1">
      <alignment horizontal="center" vertical="center" wrapText="1"/>
    </xf>
    <xf numFmtId="9" fontId="4" fillId="65" borderId="16" xfId="3" applyNumberFormat="1" applyFont="1" applyFill="1" applyBorder="1" applyAlignment="1">
      <alignment horizontal="center" vertical="center" wrapText="1"/>
    </xf>
    <xf numFmtId="2" fontId="4" fillId="65" borderId="16" xfId="3" applyNumberFormat="1" applyFont="1" applyFill="1" applyBorder="1" applyAlignment="1">
      <alignment horizontal="center" vertical="center" wrapText="1"/>
    </xf>
    <xf numFmtId="167" fontId="4" fillId="65" borderId="16" xfId="4" applyNumberFormat="1" applyFont="1" applyFill="1" applyBorder="1" applyAlignment="1">
      <alignment horizontal="center" vertical="center" wrapText="1"/>
    </xf>
    <xf numFmtId="167" fontId="4" fillId="65" borderId="83" xfId="4" applyNumberFormat="1" applyFont="1" applyFill="1" applyBorder="1" applyAlignment="1">
      <alignment horizontal="center" vertical="center" wrapText="1"/>
    </xf>
    <xf numFmtId="2" fontId="8" fillId="65" borderId="109" xfId="3" applyNumberFormat="1" applyFont="1" applyFill="1" applyBorder="1" applyAlignment="1">
      <alignment horizontal="center" vertical="center" wrapText="1"/>
    </xf>
    <xf numFmtId="2" fontId="8" fillId="65" borderId="75" xfId="3" applyNumberFormat="1" applyFont="1" applyFill="1" applyBorder="1" applyAlignment="1">
      <alignment horizontal="center" vertical="center" wrapText="1"/>
    </xf>
    <xf numFmtId="167" fontId="8" fillId="65" borderId="75" xfId="3" applyNumberFormat="1" applyFont="1" applyFill="1" applyBorder="1" applyAlignment="1">
      <alignment horizontal="center" vertical="center" wrapText="1"/>
    </xf>
    <xf numFmtId="10" fontId="59" fillId="65" borderId="80" xfId="3" applyNumberFormat="1" applyFont="1" applyFill="1" applyBorder="1" applyAlignment="1">
      <alignment horizontal="center" vertical="center"/>
    </xf>
    <xf numFmtId="10" fontId="59" fillId="65" borderId="16" xfId="3" applyNumberFormat="1" applyFont="1" applyFill="1" applyBorder="1" applyAlignment="1">
      <alignment horizontal="center" vertical="center"/>
    </xf>
    <xf numFmtId="2" fontId="8" fillId="65" borderId="89" xfId="3" applyNumberFormat="1" applyFont="1" applyFill="1" applyBorder="1" applyAlignment="1">
      <alignment horizontal="center" vertical="center"/>
    </xf>
    <xf numFmtId="10" fontId="8" fillId="65" borderId="16" xfId="3" applyNumberFormat="1" applyFont="1" applyFill="1" applyBorder="1" applyAlignment="1">
      <alignment horizontal="center" vertical="center"/>
    </xf>
    <xf numFmtId="10" fontId="8" fillId="65" borderId="52" xfId="3" applyNumberFormat="1" applyFont="1" applyFill="1" applyBorder="1" applyAlignment="1">
      <alignment horizontal="center" vertical="center"/>
    </xf>
    <xf numFmtId="0" fontId="8" fillId="65" borderId="117" xfId="3" applyFont="1" applyFill="1" applyBorder="1" applyAlignment="1">
      <alignment horizontal="center" vertical="center"/>
    </xf>
    <xf numFmtId="0" fontId="8" fillId="65" borderId="118" xfId="3" applyFont="1" applyFill="1" applyBorder="1" applyAlignment="1">
      <alignment horizontal="center" vertical="center"/>
    </xf>
    <xf numFmtId="2" fontId="8" fillId="65" borderId="83" xfId="3" applyNumberFormat="1" applyFont="1" applyFill="1" applyBorder="1" applyAlignment="1">
      <alignment horizontal="center" vertical="center"/>
    </xf>
    <xf numFmtId="10" fontId="59" fillId="65" borderId="10" xfId="3" applyNumberFormat="1" applyFont="1" applyFill="1" applyBorder="1" applyAlignment="1">
      <alignment horizontal="center" vertical="center"/>
    </xf>
    <xf numFmtId="10" fontId="59" fillId="65" borderId="119" xfId="3" applyNumberFormat="1" applyFont="1" applyFill="1" applyBorder="1" applyAlignment="1">
      <alignment horizontal="center" vertical="center"/>
    </xf>
    <xf numFmtId="10" fontId="59" fillId="65" borderId="120" xfId="3" applyNumberFormat="1" applyFont="1" applyFill="1" applyBorder="1" applyAlignment="1">
      <alignment horizontal="center" vertical="center"/>
    </xf>
    <xf numFmtId="0" fontId="8" fillId="65" borderId="89" xfId="3" applyFont="1" applyFill="1" applyBorder="1" applyAlignment="1">
      <alignment horizontal="center" vertical="center"/>
    </xf>
    <xf numFmtId="0" fontId="8" fillId="65" borderId="6" xfId="3" applyFont="1" applyFill="1" applyBorder="1" applyAlignment="1">
      <alignment horizontal="center" vertical="center"/>
    </xf>
    <xf numFmtId="0" fontId="8" fillId="65" borderId="16" xfId="3" applyFont="1" applyFill="1" applyBorder="1" applyAlignment="1">
      <alignment horizontal="center" vertical="center"/>
    </xf>
    <xf numFmtId="0" fontId="8" fillId="65" borderId="52" xfId="3" applyFont="1" applyFill="1" applyBorder="1" applyAlignment="1">
      <alignment horizontal="center" vertical="center"/>
    </xf>
    <xf numFmtId="2" fontId="8" fillId="65" borderId="16" xfId="3" applyNumberFormat="1" applyFont="1" applyFill="1" applyBorder="1" applyAlignment="1">
      <alignment horizontal="center" vertical="center"/>
    </xf>
    <xf numFmtId="0" fontId="8" fillId="65" borderId="80" xfId="3" applyFont="1" applyFill="1" applyBorder="1" applyAlignment="1">
      <alignment horizontal="center" vertical="center"/>
    </xf>
    <xf numFmtId="0" fontId="8" fillId="65" borderId="83" xfId="3" applyFont="1" applyFill="1" applyBorder="1" applyAlignment="1">
      <alignment horizontal="center" vertical="center"/>
    </xf>
    <xf numFmtId="164" fontId="8" fillId="67" borderId="16" xfId="3" applyNumberFormat="1" applyFont="1" applyFill="1" applyBorder="1" applyAlignment="1">
      <alignment horizontal="center" vertical="center"/>
    </xf>
    <xf numFmtId="167" fontId="8" fillId="67" borderId="16" xfId="3" applyNumberFormat="1" applyFont="1" applyFill="1" applyBorder="1" applyAlignment="1">
      <alignment horizontal="center" vertical="center"/>
    </xf>
    <xf numFmtId="2" fontId="8" fillId="67" borderId="16" xfId="3" applyNumberFormat="1" applyFont="1" applyFill="1" applyBorder="1" applyAlignment="1">
      <alignment horizontal="center" vertical="center"/>
    </xf>
    <xf numFmtId="0" fontId="8" fillId="67" borderId="16" xfId="3" applyFont="1" applyFill="1" applyBorder="1" applyAlignment="1">
      <alignment horizontal="center" vertical="center"/>
    </xf>
    <xf numFmtId="167" fontId="59" fillId="68" borderId="13" xfId="3" applyNumberFormat="1" applyFont="1" applyFill="1" applyBorder="1" applyAlignment="1">
      <alignment horizontal="center" vertical="center"/>
    </xf>
    <xf numFmtId="2" fontId="8" fillId="65" borderId="80" xfId="3" applyNumberFormat="1" applyFont="1" applyFill="1" applyBorder="1" applyAlignment="1">
      <alignment horizontal="center" vertical="center" wrapText="1"/>
    </xf>
    <xf numFmtId="9" fontId="4" fillId="66" borderId="129" xfId="3" applyNumberFormat="1" applyFont="1" applyFill="1" applyBorder="1" applyAlignment="1">
      <alignment horizontal="center" vertical="center" wrapText="1"/>
    </xf>
    <xf numFmtId="9" fontId="4" fillId="66" borderId="16" xfId="3" applyNumberFormat="1" applyFont="1" applyFill="1" applyBorder="1" applyAlignment="1">
      <alignment horizontal="center" vertical="center" wrapText="1"/>
    </xf>
    <xf numFmtId="9" fontId="4" fillId="66" borderId="52" xfId="3" applyNumberFormat="1" applyFont="1" applyFill="1" applyBorder="1" applyAlignment="1">
      <alignment horizontal="center" vertical="center" wrapText="1"/>
    </xf>
    <xf numFmtId="167" fontId="8" fillId="65" borderId="16" xfId="3" applyNumberFormat="1" applyFont="1" applyFill="1" applyBorder="1" applyAlignment="1">
      <alignment horizontal="center" vertical="center" wrapText="1"/>
    </xf>
    <xf numFmtId="0" fontId="8" fillId="65" borderId="129" xfId="3" applyFont="1" applyFill="1" applyBorder="1" applyAlignment="1">
      <alignment horizontal="center" vertical="center"/>
    </xf>
    <xf numFmtId="10" fontId="59" fillId="65" borderId="6" xfId="3" applyNumberFormat="1" applyFont="1" applyFill="1" applyBorder="1" applyAlignment="1">
      <alignment horizontal="center" vertical="center"/>
    </xf>
    <xf numFmtId="10" fontId="59" fillId="65" borderId="89" xfId="3" applyNumberFormat="1" applyFont="1" applyFill="1" applyBorder="1" applyAlignment="1">
      <alignment horizontal="center" vertical="center"/>
    </xf>
    <xf numFmtId="0" fontId="8" fillId="0" borderId="12" xfId="3" applyFont="1" applyBorder="1" applyAlignment="1">
      <alignment horizontal="center" vertical="center" wrapText="1"/>
    </xf>
    <xf numFmtId="2" fontId="8" fillId="0" borderId="80" xfId="3" applyNumberFormat="1" applyFont="1" applyBorder="1" applyAlignment="1">
      <alignment horizontal="center" vertical="center" wrapText="1"/>
    </xf>
    <xf numFmtId="2" fontId="8" fillId="0" borderId="16" xfId="3" applyNumberFormat="1" applyFont="1" applyBorder="1" applyAlignment="1">
      <alignment horizontal="center" vertical="center" wrapText="1"/>
    </xf>
    <xf numFmtId="10" fontId="8" fillId="0" borderId="16" xfId="4" applyNumberFormat="1" applyFont="1" applyBorder="1" applyAlignment="1">
      <alignment horizontal="center" vertical="center" wrapText="1"/>
    </xf>
    <xf numFmtId="1" fontId="8" fillId="0" borderId="16" xfId="4" applyNumberFormat="1" applyFont="1" applyBorder="1" applyAlignment="1">
      <alignment horizontal="center" vertical="center" wrapText="1"/>
    </xf>
    <xf numFmtId="9" fontId="8" fillId="0" borderId="16" xfId="4" applyNumberFormat="1" applyFont="1" applyBorder="1" applyAlignment="1">
      <alignment horizontal="center" vertical="center" wrapText="1"/>
    </xf>
    <xf numFmtId="9" fontId="4" fillId="0" borderId="80" xfId="3" applyNumberFormat="1" applyFont="1" applyBorder="1" applyAlignment="1">
      <alignment horizontal="center" vertical="center" wrapText="1"/>
    </xf>
    <xf numFmtId="2" fontId="4" fillId="0" borderId="52" xfId="3" applyNumberFormat="1" applyFont="1" applyBorder="1" applyAlignment="1">
      <alignment horizontal="center" vertical="center" wrapText="1"/>
    </xf>
    <xf numFmtId="9" fontId="4" fillId="3" borderId="129" xfId="3" applyNumberFormat="1" applyFont="1" applyFill="1" applyBorder="1" applyAlignment="1">
      <alignment horizontal="center" vertical="center" wrapText="1"/>
    </xf>
    <xf numFmtId="9" fontId="4" fillId="3" borderId="16" xfId="3" applyNumberFormat="1" applyFont="1" applyFill="1" applyBorder="1" applyAlignment="1">
      <alignment horizontal="center" vertical="center" wrapText="1"/>
    </xf>
    <xf numFmtId="9" fontId="4" fillId="3" borderId="52" xfId="3" applyNumberFormat="1" applyFont="1" applyFill="1" applyBorder="1" applyAlignment="1">
      <alignment horizontal="center" vertical="center" wrapText="1"/>
    </xf>
    <xf numFmtId="167" fontId="4" fillId="0" borderId="16" xfId="3" applyNumberFormat="1" applyFont="1" applyBorder="1" applyAlignment="1">
      <alignment horizontal="center" vertical="center" wrapText="1"/>
    </xf>
    <xf numFmtId="2" fontId="4" fillId="0" borderId="16" xfId="3" applyNumberFormat="1" applyFont="1" applyBorder="1" applyAlignment="1">
      <alignment horizontal="center" vertical="center" wrapText="1"/>
    </xf>
    <xf numFmtId="167" fontId="4" fillId="0" borderId="16" xfId="4" applyNumberFormat="1" applyFont="1" applyBorder="1" applyAlignment="1">
      <alignment horizontal="center" vertical="center" wrapText="1"/>
    </xf>
    <xf numFmtId="167" fontId="4" fillId="0" borderId="83" xfId="4" applyNumberFormat="1" applyFont="1" applyBorder="1" applyAlignment="1">
      <alignment horizontal="center" vertical="center" wrapText="1"/>
    </xf>
    <xf numFmtId="9" fontId="4" fillId="0" borderId="16" xfId="3" applyNumberFormat="1" applyFont="1" applyBorder="1" applyAlignment="1">
      <alignment horizontal="center" vertical="center" wrapText="1"/>
    </xf>
    <xf numFmtId="167" fontId="8" fillId="0" borderId="16" xfId="3" applyNumberFormat="1" applyFont="1" applyBorder="1" applyAlignment="1">
      <alignment horizontal="center" vertical="center" wrapText="1"/>
    </xf>
    <xf numFmtId="2" fontId="8" fillId="0" borderId="80" xfId="3" applyNumberFormat="1" applyFont="1" applyBorder="1" applyAlignment="1">
      <alignment horizontal="center" vertical="center"/>
    </xf>
    <xf numFmtId="167" fontId="8" fillId="0" borderId="16" xfId="3" applyNumberFormat="1" applyFont="1" applyBorder="1" applyAlignment="1">
      <alignment horizontal="center" vertical="center"/>
    </xf>
    <xf numFmtId="2" fontId="8" fillId="0" borderId="89" xfId="3" applyNumberFormat="1" applyFont="1" applyBorder="1" applyAlignment="1">
      <alignment horizontal="center" vertical="center"/>
    </xf>
    <xf numFmtId="167" fontId="8" fillId="0" borderId="52" xfId="3" applyNumberFormat="1" applyFont="1" applyBorder="1" applyAlignment="1">
      <alignment horizontal="center" vertical="center"/>
    </xf>
    <xf numFmtId="2" fontId="8" fillId="0" borderId="83" xfId="3" applyNumberFormat="1" applyFont="1" applyBorder="1" applyAlignment="1">
      <alignment horizontal="center" vertical="center"/>
    </xf>
    <xf numFmtId="2" fontId="8" fillId="0" borderId="16" xfId="3" applyNumberFormat="1" applyFont="1" applyBorder="1" applyAlignment="1">
      <alignment horizontal="center" vertical="center"/>
    </xf>
    <xf numFmtId="167" fontId="8" fillId="0" borderId="6" xfId="3" applyNumberFormat="1" applyFont="1" applyBorder="1" applyAlignment="1">
      <alignment horizontal="center" vertical="center"/>
    </xf>
    <xf numFmtId="2" fontId="8" fillId="0" borderId="52" xfId="3" applyNumberFormat="1" applyFont="1" applyBorder="1" applyAlignment="1">
      <alignment horizontal="center" vertical="center"/>
    </xf>
    <xf numFmtId="9" fontId="8" fillId="0" borderId="16" xfId="3" applyNumberFormat="1" applyFont="1" applyBorder="1" applyAlignment="1">
      <alignment horizontal="center" vertical="center"/>
    </xf>
    <xf numFmtId="167" fontId="59" fillId="62" borderId="13" xfId="3" applyNumberFormat="1" applyFont="1" applyFill="1" applyBorder="1" applyAlignment="1">
      <alignment horizontal="center" vertical="center"/>
    </xf>
    <xf numFmtId="2" fontId="8" fillId="0" borderId="129" xfId="3" applyNumberFormat="1" applyFont="1" applyBorder="1" applyAlignment="1">
      <alignment horizontal="center" vertical="center"/>
    </xf>
    <xf numFmtId="1" fontId="23" fillId="0" borderId="16" xfId="3" applyNumberFormat="1" applyFont="1" applyAlignment="1">
      <alignment horizontal="center" vertical="center"/>
    </xf>
    <xf numFmtId="0" fontId="8" fillId="0" borderId="7" xfId="3" applyFont="1" applyBorder="1" applyAlignment="1">
      <alignment horizontal="center" vertical="center" wrapText="1"/>
    </xf>
    <xf numFmtId="2" fontId="8" fillId="0" borderId="65" xfId="3" applyNumberFormat="1" applyFont="1" applyBorder="1" applyAlignment="1">
      <alignment horizontal="center" vertical="center" wrapText="1"/>
    </xf>
    <xf numFmtId="2" fontId="8" fillId="0" borderId="66" xfId="3" applyNumberFormat="1" applyFont="1" applyBorder="1" applyAlignment="1">
      <alignment horizontal="center" vertical="center" wrapText="1"/>
    </xf>
    <xf numFmtId="10" fontId="8" fillId="0" borderId="66" xfId="4" applyNumberFormat="1" applyFont="1" applyBorder="1" applyAlignment="1">
      <alignment horizontal="center" vertical="center" wrapText="1"/>
    </xf>
    <xf numFmtId="1" fontId="8" fillId="0" borderId="66" xfId="4" applyNumberFormat="1" applyFont="1" applyBorder="1" applyAlignment="1">
      <alignment horizontal="center" vertical="center" wrapText="1"/>
    </xf>
    <xf numFmtId="9" fontId="8" fillId="0" borderId="66" xfId="4" applyNumberFormat="1" applyFont="1" applyBorder="1" applyAlignment="1">
      <alignment horizontal="center" vertical="center" wrapText="1"/>
    </xf>
    <xf numFmtId="9" fontId="4" fillId="0" borderId="65" xfId="3" applyNumberFormat="1" applyFont="1" applyBorder="1" applyAlignment="1">
      <alignment horizontal="center" vertical="center" wrapText="1"/>
    </xf>
    <xf numFmtId="2" fontId="4" fillId="0" borderId="124" xfId="3" applyNumberFormat="1" applyFont="1" applyBorder="1" applyAlignment="1">
      <alignment horizontal="center" vertical="center" wrapText="1"/>
    </xf>
    <xf numFmtId="9" fontId="4" fillId="3" borderId="108" xfId="3" applyNumberFormat="1" applyFont="1" applyFill="1" applyBorder="1" applyAlignment="1">
      <alignment horizontal="center" vertical="center" wrapText="1"/>
    </xf>
    <xf numFmtId="9" fontId="4" fillId="3" borderId="66" xfId="3" applyNumberFormat="1" applyFont="1" applyFill="1" applyBorder="1" applyAlignment="1">
      <alignment horizontal="center" vertical="center" wrapText="1"/>
    </xf>
    <xf numFmtId="9" fontId="4" fillId="3" borderId="124" xfId="3" applyNumberFormat="1" applyFont="1" applyFill="1" applyBorder="1" applyAlignment="1">
      <alignment horizontal="center" vertical="center" wrapText="1"/>
    </xf>
    <xf numFmtId="167" fontId="4" fillId="0" borderId="66" xfId="3" applyNumberFormat="1" applyFont="1" applyBorder="1" applyAlignment="1">
      <alignment horizontal="center" vertical="center" wrapText="1"/>
    </xf>
    <xf numFmtId="2" fontId="4" fillId="0" borderId="66" xfId="3" applyNumberFormat="1" applyFont="1" applyBorder="1" applyAlignment="1">
      <alignment horizontal="center" vertical="center" wrapText="1"/>
    </xf>
    <xf numFmtId="167" fontId="4" fillId="0" borderId="66" xfId="4" applyNumberFormat="1" applyFont="1" applyBorder="1" applyAlignment="1">
      <alignment horizontal="center" vertical="center" wrapText="1"/>
    </xf>
    <xf numFmtId="167" fontId="4" fillId="0" borderId="67" xfId="4" applyNumberFormat="1" applyFont="1" applyBorder="1" applyAlignment="1">
      <alignment horizontal="center" vertical="center" wrapText="1"/>
    </xf>
    <xf numFmtId="9" fontId="4" fillId="0" borderId="66" xfId="3" applyNumberFormat="1" applyFont="1" applyBorder="1" applyAlignment="1">
      <alignment horizontal="center" vertical="center" wrapText="1"/>
    </xf>
    <xf numFmtId="167" fontId="8" fillId="0" borderId="66" xfId="3" applyNumberFormat="1" applyFont="1" applyBorder="1" applyAlignment="1">
      <alignment horizontal="center" vertical="center" wrapText="1"/>
    </xf>
    <xf numFmtId="2" fontId="8" fillId="0" borderId="65" xfId="3" applyNumberFormat="1" applyFont="1" applyBorder="1" applyAlignment="1">
      <alignment horizontal="center" vertical="center"/>
    </xf>
    <xf numFmtId="167" fontId="8" fillId="0" borderId="66" xfId="3" applyNumberFormat="1" applyFont="1" applyBorder="1" applyAlignment="1">
      <alignment horizontal="center" vertical="center"/>
    </xf>
    <xf numFmtId="2" fontId="8" fillId="0" borderId="130" xfId="3" applyNumberFormat="1" applyFont="1" applyBorder="1" applyAlignment="1">
      <alignment horizontal="center" vertical="center"/>
    </xf>
    <xf numFmtId="167" fontId="8" fillId="0" borderId="124" xfId="3" applyNumberFormat="1" applyFont="1" applyBorder="1" applyAlignment="1">
      <alignment horizontal="center" vertical="center"/>
    </xf>
    <xf numFmtId="2" fontId="8" fillId="0" borderId="108" xfId="3" applyNumberFormat="1" applyFont="1" applyBorder="1" applyAlignment="1">
      <alignment horizontal="center" vertical="center"/>
    </xf>
    <xf numFmtId="2" fontId="8" fillId="0" borderId="67" xfId="3" applyNumberFormat="1" applyFont="1" applyBorder="1" applyAlignment="1">
      <alignment horizontal="center" vertical="center"/>
    </xf>
    <xf numFmtId="2" fontId="8" fillId="0" borderId="11" xfId="3" applyNumberFormat="1" applyFont="1" applyBorder="1" applyAlignment="1">
      <alignment horizontal="center" vertical="center"/>
    </xf>
    <xf numFmtId="167" fontId="8" fillId="0" borderId="125" xfId="3" applyNumberFormat="1" applyFont="1" applyBorder="1" applyAlignment="1">
      <alignment horizontal="center" vertical="center"/>
    </xf>
    <xf numFmtId="2" fontId="8" fillId="0" borderId="126" xfId="3" applyNumberFormat="1" applyFont="1" applyBorder="1" applyAlignment="1">
      <alignment horizontal="center" vertical="center"/>
    </xf>
    <xf numFmtId="167" fontId="8" fillId="0" borderId="131" xfId="3" applyNumberFormat="1" applyFont="1" applyBorder="1" applyAlignment="1">
      <alignment horizontal="center" vertical="center"/>
    </xf>
    <xf numFmtId="2" fontId="8" fillId="0" borderId="132" xfId="3" applyNumberFormat="1" applyFont="1" applyBorder="1" applyAlignment="1">
      <alignment horizontal="center" vertical="center"/>
    </xf>
    <xf numFmtId="2" fontId="8" fillId="0" borderId="122" xfId="3" applyNumberFormat="1" applyFont="1" applyBorder="1" applyAlignment="1">
      <alignment horizontal="center" vertical="center"/>
    </xf>
    <xf numFmtId="2" fontId="8" fillId="0" borderId="66" xfId="3" applyNumberFormat="1" applyFont="1" applyBorder="1" applyAlignment="1">
      <alignment horizontal="center" vertical="center"/>
    </xf>
    <xf numFmtId="9" fontId="8" fillId="0" borderId="66" xfId="3" applyNumberFormat="1" applyFont="1" applyBorder="1" applyAlignment="1">
      <alignment horizontal="center" vertical="center"/>
    </xf>
    <xf numFmtId="2" fontId="8" fillId="67" borderId="11" xfId="3" applyNumberFormat="1" applyFont="1" applyFill="1" applyBorder="1" applyAlignment="1">
      <alignment horizontal="center" vertical="center"/>
    </xf>
    <xf numFmtId="167" fontId="8" fillId="67" borderId="11" xfId="3" applyNumberFormat="1" applyFont="1" applyFill="1" applyBorder="1" applyAlignment="1">
      <alignment horizontal="center" vertical="center"/>
    </xf>
    <xf numFmtId="167" fontId="59" fillId="62" borderId="15" xfId="3" applyNumberFormat="1" applyFont="1" applyFill="1" applyBorder="1" applyAlignment="1">
      <alignment horizontal="center" vertical="center"/>
    </xf>
    <xf numFmtId="166" fontId="4" fillId="0" borderId="16" xfId="3" applyNumberFormat="1" applyFont="1" applyAlignment="1">
      <alignment horizontal="center" vertical="center" wrapText="1"/>
    </xf>
    <xf numFmtId="2" fontId="16" fillId="0" borderId="16" xfId="3" applyNumberFormat="1" applyFont="1" applyAlignment="1">
      <alignment horizontal="center" vertical="center"/>
    </xf>
    <xf numFmtId="10" fontId="8" fillId="0" borderId="16" xfId="3" applyNumberFormat="1" applyFont="1"/>
    <xf numFmtId="2" fontId="8" fillId="0" borderId="16" xfId="3" applyNumberFormat="1" applyFont="1"/>
    <xf numFmtId="0" fontId="55" fillId="55" borderId="133" xfId="3" applyFont="1" applyFill="1" applyBorder="1" applyAlignment="1">
      <alignment horizontal="center" vertical="center" wrapText="1"/>
    </xf>
    <xf numFmtId="0" fontId="56" fillId="49" borderId="134" xfId="3" applyFont="1" applyFill="1" applyBorder="1" applyAlignment="1">
      <alignment horizontal="center" vertical="center" wrapText="1"/>
    </xf>
    <xf numFmtId="0" fontId="56" fillId="49" borderId="92" xfId="3" applyFont="1" applyFill="1" applyBorder="1" applyAlignment="1">
      <alignment horizontal="center" vertical="center" wrapText="1"/>
    </xf>
    <xf numFmtId="0" fontId="23" fillId="0" borderId="57" xfId="3" applyFont="1" applyBorder="1" applyAlignment="1">
      <alignment horizontal="center" vertical="center" wrapText="1"/>
    </xf>
    <xf numFmtId="2" fontId="4" fillId="0" borderId="124" xfId="3" applyNumberFormat="1" applyFont="1" applyBorder="1" applyAlignment="1">
      <alignment horizontal="center" vertical="center"/>
    </xf>
    <xf numFmtId="164" fontId="4" fillId="0" borderId="97" xfId="3" applyNumberFormat="1" applyFont="1" applyBorder="1" applyAlignment="1">
      <alignment horizontal="center" vertical="center"/>
    </xf>
    <xf numFmtId="0" fontId="54" fillId="55" borderId="85" xfId="3" applyFont="1" applyFill="1" applyBorder="1" applyAlignment="1">
      <alignment horizontal="center" vertical="center" wrapText="1"/>
    </xf>
    <xf numFmtId="0" fontId="23" fillId="0" borderId="64" xfId="3" applyFont="1" applyBorder="1" applyAlignment="1">
      <alignment horizontal="center" vertical="center" wrapText="1"/>
    </xf>
    <xf numFmtId="0" fontId="23" fillId="0" borderId="79" xfId="3" applyFont="1" applyBorder="1" applyAlignment="1">
      <alignment horizontal="center" vertical="center" wrapText="1"/>
    </xf>
    <xf numFmtId="0" fontId="10" fillId="0" borderId="16" xfId="3" applyFont="1" applyFill="1" applyAlignment="1">
      <alignment vertical="center" wrapText="1"/>
    </xf>
    <xf numFmtId="0" fontId="23" fillId="0" borderId="55" xfId="3" applyFont="1" applyBorder="1" applyAlignment="1">
      <alignment vertical="center" wrapText="1"/>
    </xf>
    <xf numFmtId="0" fontId="10" fillId="0" borderId="80" xfId="3" applyFont="1" applyFill="1" applyBorder="1" applyAlignment="1">
      <alignment vertical="center" wrapText="1"/>
    </xf>
    <xf numFmtId="0" fontId="10" fillId="0" borderId="16" xfId="3" applyFont="1" applyFill="1" applyBorder="1" applyAlignment="1">
      <alignment vertical="center" wrapText="1"/>
    </xf>
    <xf numFmtId="0" fontId="10" fillId="0" borderId="83" xfId="3" applyFont="1" applyFill="1" applyBorder="1" applyAlignment="1">
      <alignment vertical="center" wrapText="1"/>
    </xf>
    <xf numFmtId="0" fontId="23" fillId="0" borderId="16" xfId="3" applyFont="1" applyBorder="1" applyAlignment="1">
      <alignment vertical="center" wrapText="1"/>
    </xf>
    <xf numFmtId="0" fontId="15" fillId="48" borderId="109" xfId="3" applyFont="1" applyFill="1" applyBorder="1" applyAlignment="1">
      <alignment horizontal="center" vertical="center" wrapText="1"/>
    </xf>
    <xf numFmtId="0" fontId="51" fillId="0" borderId="16" xfId="3"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15" fillId="7" borderId="137" xfId="3" applyFont="1" applyFill="1" applyBorder="1" applyAlignment="1">
      <alignment horizontal="center" vertical="center" wrapText="1"/>
    </xf>
    <xf numFmtId="0" fontId="15" fillId="7" borderId="138" xfId="3" applyFont="1" applyFill="1" applyBorder="1" applyAlignment="1">
      <alignment horizontal="center" vertical="center" wrapText="1"/>
    </xf>
    <xf numFmtId="0" fontId="15" fillId="7" borderId="139" xfId="3" applyFont="1" applyFill="1" applyBorder="1" applyAlignment="1">
      <alignment horizontal="center" vertical="center" wrapText="1"/>
    </xf>
    <xf numFmtId="0" fontId="15" fillId="7" borderId="132" xfId="3" applyFont="1" applyFill="1" applyBorder="1" applyAlignment="1">
      <alignment horizontal="center" vertical="center" wrapText="1"/>
    </xf>
    <xf numFmtId="0" fontId="3" fillId="50" borderId="108" xfId="3" applyFont="1" applyFill="1" applyBorder="1" applyAlignment="1">
      <alignment horizontal="center" vertical="center" wrapText="1"/>
    </xf>
    <xf numFmtId="0" fontId="23" fillId="7" borderId="140" xfId="3" applyFont="1" applyFill="1" applyBorder="1" applyAlignment="1">
      <alignment horizontal="center" vertical="center" wrapText="1"/>
    </xf>
    <xf numFmtId="167" fontId="23" fillId="45" borderId="141" xfId="3" applyNumberFormat="1" applyFont="1" applyFill="1" applyBorder="1" applyAlignment="1">
      <alignment horizontal="center" vertical="center" wrapText="1"/>
    </xf>
    <xf numFmtId="9" fontId="23" fillId="45" borderId="4" xfId="3" applyNumberFormat="1" applyFont="1" applyFill="1" applyBorder="1" applyAlignment="1">
      <alignment horizontal="center" vertical="center" wrapText="1"/>
    </xf>
    <xf numFmtId="9" fontId="23" fillId="45" borderId="142" xfId="3" applyNumberFormat="1" applyFont="1" applyFill="1" applyBorder="1" applyAlignment="1">
      <alignment horizontal="center" vertical="center" wrapText="1"/>
    </xf>
    <xf numFmtId="167" fontId="23" fillId="15" borderId="143" xfId="3" applyNumberFormat="1" applyFont="1" applyFill="1" applyBorder="1" applyAlignment="1">
      <alignment horizontal="center" vertical="center" wrapText="1"/>
    </xf>
    <xf numFmtId="9" fontId="23" fillId="15" borderId="144" xfId="3" applyNumberFormat="1" applyFont="1" applyFill="1" applyBorder="1" applyAlignment="1">
      <alignment horizontal="center" vertical="center" wrapText="1"/>
    </xf>
    <xf numFmtId="167" fontId="23" fillId="15" borderId="141" xfId="3" applyNumberFormat="1" applyFont="1" applyFill="1" applyBorder="1" applyAlignment="1">
      <alignment horizontal="center" vertical="center" wrapText="1"/>
    </xf>
    <xf numFmtId="9" fontId="23" fillId="15" borderId="28" xfId="3" applyNumberFormat="1" applyFont="1" applyFill="1" applyBorder="1" applyAlignment="1">
      <alignment horizontal="center" vertical="center" wrapText="1"/>
    </xf>
    <xf numFmtId="9" fontId="23" fillId="15" borderId="145" xfId="3" applyNumberFormat="1" applyFont="1" applyFill="1" applyBorder="1" applyAlignment="1">
      <alignment horizontal="center" vertical="center" wrapText="1"/>
    </xf>
    <xf numFmtId="167" fontId="10" fillId="43" borderId="146" xfId="4" applyNumberFormat="1" applyFont="1" applyFill="1" applyBorder="1" applyAlignment="1">
      <alignment vertical="center" wrapText="1"/>
    </xf>
    <xf numFmtId="2" fontId="10" fillId="43" borderId="50" xfId="4" applyNumberFormat="1" applyFont="1" applyFill="1" applyBorder="1" applyAlignment="1">
      <alignment vertical="center" wrapText="1"/>
    </xf>
    <xf numFmtId="167" fontId="10" fillId="43" borderId="50" xfId="4" applyNumberFormat="1" applyFont="1" applyFill="1" applyBorder="1" applyAlignment="1">
      <alignment vertical="center" wrapText="1"/>
    </xf>
    <xf numFmtId="2" fontId="10" fillId="43" borderId="50" xfId="3" applyNumberFormat="1" applyFont="1" applyFill="1" applyBorder="1" applyAlignment="1">
      <alignment vertical="center" wrapText="1"/>
    </xf>
    <xf numFmtId="9" fontId="10" fillId="43" borderId="99" xfId="4" applyFont="1" applyFill="1" applyBorder="1" applyAlignment="1">
      <alignment vertical="center" wrapText="1"/>
    </xf>
    <xf numFmtId="0" fontId="23" fillId="7" borderId="90" xfId="3" applyFont="1" applyFill="1" applyBorder="1" applyAlignment="1">
      <alignment horizontal="center" vertical="center" wrapText="1"/>
    </xf>
    <xf numFmtId="167" fontId="10" fillId="43" borderId="77" xfId="4" applyNumberFormat="1" applyFont="1" applyFill="1" applyBorder="1" applyAlignment="1">
      <alignment vertical="center" wrapText="1"/>
    </xf>
    <xf numFmtId="2" fontId="10" fillId="43" borderId="47" xfId="4" applyNumberFormat="1" applyFont="1" applyFill="1" applyBorder="1" applyAlignment="1">
      <alignment vertical="center" wrapText="1"/>
    </xf>
    <xf numFmtId="167" fontId="10" fillId="43" borderId="47" xfId="4" applyNumberFormat="1" applyFont="1" applyFill="1" applyBorder="1" applyAlignment="1">
      <alignment vertical="center" wrapText="1"/>
    </xf>
    <xf numFmtId="2" fontId="10" fillId="43" borderId="47" xfId="3" applyNumberFormat="1" applyFont="1" applyFill="1" applyBorder="1" applyAlignment="1">
      <alignment vertical="center" wrapText="1"/>
    </xf>
    <xf numFmtId="9" fontId="10" fillId="43" borderId="60" xfId="4" applyFont="1" applyFill="1" applyBorder="1" applyAlignment="1">
      <alignment vertical="center" wrapText="1"/>
    </xf>
    <xf numFmtId="2" fontId="25" fillId="48" borderId="86" xfId="3" applyNumberFormat="1" applyFont="1" applyFill="1" applyBorder="1" applyAlignment="1">
      <alignment horizontal="right" vertical="center" wrapText="1"/>
    </xf>
    <xf numFmtId="0" fontId="23" fillId="7" borderId="21" xfId="3" applyFont="1" applyFill="1" applyBorder="1" applyAlignment="1">
      <alignment horizontal="center" vertical="center" wrapText="1"/>
    </xf>
    <xf numFmtId="167" fontId="10" fillId="43" borderId="78" xfId="4" applyNumberFormat="1" applyFont="1" applyFill="1" applyBorder="1" applyAlignment="1">
      <alignment vertical="center" wrapText="1"/>
    </xf>
    <xf numFmtId="2" fontId="10" fillId="43" borderId="61" xfId="4" applyNumberFormat="1" applyFont="1" applyFill="1" applyBorder="1" applyAlignment="1">
      <alignment vertical="center" wrapText="1"/>
    </xf>
    <xf numFmtId="167" fontId="10" fillId="43" borderId="61" xfId="4" applyNumberFormat="1" applyFont="1" applyFill="1" applyBorder="1" applyAlignment="1">
      <alignment vertical="center" wrapText="1"/>
    </xf>
    <xf numFmtId="2" fontId="10" fillId="43" borderId="61" xfId="3" applyNumberFormat="1" applyFont="1" applyFill="1" applyBorder="1" applyAlignment="1">
      <alignment vertical="center" wrapText="1"/>
    </xf>
    <xf numFmtId="9" fontId="10" fillId="43" borderId="79" xfId="4" applyFont="1" applyFill="1" applyBorder="1" applyAlignment="1">
      <alignment vertical="center" wrapText="1"/>
    </xf>
    <xf numFmtId="0" fontId="23" fillId="7" borderId="125" xfId="3" applyFont="1" applyFill="1" applyBorder="1" applyAlignment="1">
      <alignment horizontal="center" vertical="center" wrapText="1"/>
    </xf>
    <xf numFmtId="0" fontId="23" fillId="7" borderId="137" xfId="3" applyFont="1" applyFill="1" applyBorder="1" applyAlignment="1">
      <alignment horizontal="center" vertical="center" wrapText="1"/>
    </xf>
    <xf numFmtId="0" fontId="23" fillId="7" borderId="138" xfId="3" applyFont="1" applyFill="1" applyBorder="1" applyAlignment="1">
      <alignment horizontal="center" vertical="center" wrapText="1"/>
    </xf>
    <xf numFmtId="0" fontId="23" fillId="7" borderId="139" xfId="3" applyFont="1" applyFill="1" applyBorder="1" applyAlignment="1">
      <alignment horizontal="center" vertical="center" wrapText="1"/>
    </xf>
    <xf numFmtId="0" fontId="23" fillId="7" borderId="132" xfId="3" applyFont="1" applyFill="1" applyBorder="1" applyAlignment="1">
      <alignment horizontal="center" vertical="center" wrapText="1"/>
    </xf>
    <xf numFmtId="10" fontId="8" fillId="43" borderId="61" xfId="2" applyNumberFormat="1" applyFont="1" applyFill="1" applyBorder="1" applyAlignment="1">
      <alignment vertical="center"/>
    </xf>
    <xf numFmtId="166" fontId="4" fillId="0" borderId="0" xfId="0" applyNumberFormat="1" applyFont="1" applyAlignment="1">
      <alignment vertical="center"/>
    </xf>
    <xf numFmtId="0" fontId="4" fillId="0" borderId="47" xfId="0" applyFont="1" applyBorder="1" applyAlignment="1">
      <alignment horizontal="right" vertical="center" wrapText="1"/>
    </xf>
    <xf numFmtId="164" fontId="4" fillId="0" borderId="47" xfId="0" applyNumberFormat="1" applyFont="1" applyBorder="1" applyAlignment="1">
      <alignment vertical="center"/>
    </xf>
    <xf numFmtId="0" fontId="43" fillId="0" borderId="47" xfId="0" applyFont="1" applyBorder="1"/>
    <xf numFmtId="167" fontId="5" fillId="0" borderId="47" xfId="0" applyNumberFormat="1" applyFont="1" applyBorder="1" applyAlignment="1">
      <alignment vertical="center"/>
    </xf>
    <xf numFmtId="167" fontId="27" fillId="0" borderId="47" xfId="0" applyNumberFormat="1" applyFont="1" applyBorder="1" applyAlignment="1">
      <alignment vertical="center"/>
    </xf>
    <xf numFmtId="167" fontId="16" fillId="0" borderId="0" xfId="2" applyNumberFormat="1" applyFont="1" applyAlignment="1">
      <alignment vertical="center"/>
    </xf>
    <xf numFmtId="9" fontId="0" fillId="0" borderId="47" xfId="2" applyFont="1" applyBorder="1" applyAlignment="1"/>
    <xf numFmtId="0" fontId="5" fillId="0" borderId="47" xfId="0" applyFont="1" applyBorder="1" applyAlignment="1">
      <alignment vertical="center"/>
    </xf>
    <xf numFmtId="0" fontId="23" fillId="75" borderId="16" xfId="3" applyFont="1" applyFill="1" applyAlignment="1"/>
    <xf numFmtId="9" fontId="23" fillId="75" borderId="16" xfId="3" applyNumberFormat="1" applyFont="1" applyFill="1" applyAlignment="1"/>
    <xf numFmtId="9" fontId="15" fillId="75" borderId="16" xfId="3" applyNumberFormat="1" applyFont="1" applyFill="1" applyAlignment="1">
      <alignment horizontal="right"/>
    </xf>
    <xf numFmtId="10" fontId="23" fillId="75" borderId="16" xfId="3" applyNumberFormat="1" applyFont="1" applyFill="1" applyAlignment="1">
      <alignment horizontal="center"/>
    </xf>
    <xf numFmtId="0" fontId="15" fillId="75" borderId="16" xfId="3" applyFont="1" applyFill="1" applyAlignment="1">
      <alignment horizontal="left"/>
    </xf>
    <xf numFmtId="164" fontId="8" fillId="65" borderId="113" xfId="3" applyNumberFormat="1" applyFont="1" applyFill="1" applyBorder="1" applyAlignment="1">
      <alignment horizontal="center" vertical="center" wrapText="1"/>
    </xf>
    <xf numFmtId="164" fontId="8" fillId="65" borderId="80" xfId="3" applyNumberFormat="1" applyFont="1" applyFill="1" applyBorder="1" applyAlignment="1">
      <alignment horizontal="center" vertical="center" wrapText="1"/>
    </xf>
    <xf numFmtId="164" fontId="8" fillId="0" borderId="80" xfId="3" applyNumberFormat="1" applyFont="1" applyBorder="1" applyAlignment="1">
      <alignment horizontal="center" vertical="center" wrapText="1"/>
    </xf>
    <xf numFmtId="164" fontId="8" fillId="0" borderId="65" xfId="3" applyNumberFormat="1" applyFont="1" applyBorder="1" applyAlignment="1">
      <alignment horizontal="center" vertical="center" wrapText="1"/>
    </xf>
    <xf numFmtId="164" fontId="8" fillId="65" borderId="10" xfId="3" applyNumberFormat="1" applyFont="1" applyFill="1" applyBorder="1" applyAlignment="1">
      <alignment horizontal="center" vertical="center" wrapText="1"/>
    </xf>
    <xf numFmtId="164" fontId="8" fillId="65" borderId="16" xfId="3" applyNumberFormat="1" applyFont="1" applyFill="1" applyBorder="1" applyAlignment="1">
      <alignment horizontal="center" vertical="center" wrapText="1"/>
    </xf>
    <xf numFmtId="164" fontId="8" fillId="0" borderId="16" xfId="3" applyNumberFormat="1" applyFont="1" applyBorder="1" applyAlignment="1">
      <alignment horizontal="center" vertical="center" wrapText="1"/>
    </xf>
    <xf numFmtId="164" fontId="8" fillId="0" borderId="66" xfId="3" applyNumberFormat="1" applyFont="1" applyBorder="1" applyAlignment="1">
      <alignment horizontal="center" vertical="center" wrapText="1"/>
    </xf>
    <xf numFmtId="164" fontId="8" fillId="67" borderId="11" xfId="3" applyNumberFormat="1" applyFont="1" applyFill="1" applyBorder="1" applyAlignment="1">
      <alignment horizontal="center" vertical="center"/>
    </xf>
    <xf numFmtId="10" fontId="46" fillId="0" borderId="47" xfId="3" applyNumberFormat="1" applyFont="1" applyBorder="1" applyAlignment="1">
      <alignment vertical="center"/>
    </xf>
    <xf numFmtId="10" fontId="46" fillId="0" borderId="61" xfId="3" applyNumberFormat="1" applyFont="1" applyBorder="1" applyAlignment="1">
      <alignment vertical="center"/>
    </xf>
    <xf numFmtId="10" fontId="46" fillId="0" borderId="47" xfId="4" applyNumberFormat="1" applyFont="1" applyBorder="1" applyAlignment="1">
      <alignment vertical="center"/>
    </xf>
    <xf numFmtId="10" fontId="46" fillId="0" borderId="61" xfId="4" applyNumberFormat="1" applyFont="1" applyBorder="1" applyAlignment="1">
      <alignment vertical="center"/>
    </xf>
    <xf numFmtId="164" fontId="46" fillId="0" borderId="47" xfId="3" applyNumberFormat="1" applyFont="1" applyBorder="1" applyAlignment="1">
      <alignment vertical="center"/>
    </xf>
    <xf numFmtId="164" fontId="46" fillId="0" borderId="61" xfId="3" applyNumberFormat="1" applyFont="1" applyBorder="1" applyAlignment="1">
      <alignment vertical="center"/>
    </xf>
    <xf numFmtId="2" fontId="9" fillId="0" borderId="16" xfId="3" applyNumberFormat="1" applyFont="1" applyAlignment="1">
      <alignment horizontal="center"/>
    </xf>
    <xf numFmtId="0" fontId="9" fillId="0" borderId="16" xfId="3" applyFont="1" applyAlignment="1">
      <alignment horizontal="center"/>
    </xf>
    <xf numFmtId="0" fontId="8" fillId="0" borderId="16" xfId="3" applyFont="1"/>
    <xf numFmtId="2" fontId="9" fillId="58" borderId="10" xfId="3" applyNumberFormat="1" applyFont="1" applyFill="1" applyBorder="1" applyAlignment="1">
      <alignment horizontal="center" vertical="center" wrapText="1"/>
    </xf>
    <xf numFmtId="10" fontId="9" fillId="58" borderId="10" xfId="3" applyNumberFormat="1" applyFont="1" applyFill="1" applyBorder="1" applyAlignment="1">
      <alignment horizontal="center" vertical="center" wrapText="1"/>
    </xf>
    <xf numFmtId="0" fontId="9" fillId="58" borderId="10" xfId="3" applyFont="1" applyFill="1" applyBorder="1" applyAlignment="1">
      <alignment horizontal="center" vertical="center"/>
    </xf>
    <xf numFmtId="0" fontId="9" fillId="58" borderId="120" xfId="3" applyFont="1" applyFill="1" applyBorder="1" applyAlignment="1">
      <alignment horizontal="center" vertical="center"/>
    </xf>
    <xf numFmtId="0" fontId="9" fillId="58" borderId="119" xfId="3" applyFont="1" applyFill="1" applyBorder="1" applyAlignment="1">
      <alignment horizontal="center" vertical="center"/>
    </xf>
    <xf numFmtId="0" fontId="9" fillId="58" borderId="25" xfId="3" applyFont="1" applyFill="1" applyBorder="1" applyAlignment="1">
      <alignment horizontal="center" vertical="center"/>
    </xf>
    <xf numFmtId="2" fontId="9" fillId="7" borderId="46" xfId="3" applyNumberFormat="1" applyFont="1" applyFill="1" applyBorder="1" applyAlignment="1">
      <alignment horizontal="center" vertical="center" wrapText="1"/>
    </xf>
    <xf numFmtId="10" fontId="9" fillId="7" borderId="10" xfId="3" applyNumberFormat="1" applyFont="1" applyFill="1" applyBorder="1" applyAlignment="1">
      <alignment horizontal="center" vertical="center" wrapText="1"/>
    </xf>
    <xf numFmtId="0" fontId="9" fillId="7" borderId="120" xfId="3" applyFont="1" applyFill="1" applyBorder="1" applyAlignment="1">
      <alignment horizontal="center" vertical="center"/>
    </xf>
    <xf numFmtId="0" fontId="9" fillId="7" borderId="119" xfId="3" applyFont="1" applyFill="1" applyBorder="1" applyAlignment="1">
      <alignment horizontal="center" vertical="center"/>
    </xf>
    <xf numFmtId="0" fontId="9" fillId="7" borderId="25" xfId="3" applyFont="1" applyFill="1" applyBorder="1" applyAlignment="1">
      <alignment horizontal="center" vertical="center"/>
    </xf>
    <xf numFmtId="0" fontId="9" fillId="58" borderId="15" xfId="3" applyFont="1" applyFill="1" applyBorder="1" applyAlignment="1">
      <alignment horizontal="center" vertical="center"/>
    </xf>
    <xf numFmtId="0" fontId="9" fillId="7" borderId="15" xfId="3" applyFont="1" applyFill="1" applyBorder="1" applyAlignment="1">
      <alignment horizontal="center" vertical="center"/>
    </xf>
    <xf numFmtId="0" fontId="9" fillId="58" borderId="11" xfId="3" applyFont="1" applyFill="1" applyBorder="1" applyAlignment="1">
      <alignment horizontal="center" vertical="center" wrapText="1"/>
    </xf>
    <xf numFmtId="0" fontId="9" fillId="58" borderId="15" xfId="3" applyFont="1" applyFill="1" applyBorder="1" applyAlignment="1">
      <alignment horizontal="center" vertical="center" wrapText="1"/>
    </xf>
    <xf numFmtId="0" fontId="9" fillId="0" borderId="16" xfId="3" applyFont="1" applyAlignment="1">
      <alignment horizontal="center" wrapText="1"/>
    </xf>
    <xf numFmtId="0" fontId="8" fillId="65" borderId="14" xfId="3" applyFont="1" applyFill="1" applyBorder="1" applyAlignment="1">
      <alignment horizontal="center" vertical="center"/>
    </xf>
    <xf numFmtId="4" fontId="8" fillId="65" borderId="12" xfId="3" applyNumberFormat="1" applyFont="1" applyFill="1" applyBorder="1" applyAlignment="1">
      <alignment horizontal="center" vertical="center"/>
    </xf>
    <xf numFmtId="4" fontId="8" fillId="65" borderId="89" xfId="3" applyNumberFormat="1" applyFont="1" applyFill="1" applyBorder="1" applyAlignment="1">
      <alignment horizontal="center" vertical="center"/>
    </xf>
    <xf numFmtId="2" fontId="8" fillId="65" borderId="13" xfId="3" applyNumberFormat="1" applyFont="1" applyFill="1" applyBorder="1" applyAlignment="1">
      <alignment horizontal="center" vertical="center"/>
    </xf>
    <xf numFmtId="10" fontId="59" fillId="65" borderId="12" xfId="3" applyNumberFormat="1" applyFont="1" applyFill="1" applyBorder="1" applyAlignment="1">
      <alignment horizontal="center" vertical="center"/>
    </xf>
    <xf numFmtId="10" fontId="59" fillId="65" borderId="13" xfId="3" applyNumberFormat="1" applyFont="1" applyFill="1" applyBorder="1" applyAlignment="1">
      <alignment horizontal="center" vertical="center"/>
    </xf>
    <xf numFmtId="2" fontId="8" fillId="65" borderId="12" xfId="3" applyNumberFormat="1" applyFont="1" applyFill="1" applyBorder="1" applyAlignment="1">
      <alignment horizontal="center" vertical="center"/>
    </xf>
    <xf numFmtId="0" fontId="8" fillId="67" borderId="13" xfId="3" applyFont="1" applyFill="1" applyBorder="1" applyAlignment="1">
      <alignment horizontal="center" vertical="center"/>
    </xf>
    <xf numFmtId="0" fontId="8" fillId="65" borderId="16" xfId="3" applyFont="1" applyFill="1" applyBorder="1" applyAlignment="1">
      <alignment horizontal="center"/>
    </xf>
    <xf numFmtId="0" fontId="8" fillId="65" borderId="16" xfId="3" applyFont="1" applyFill="1" applyBorder="1"/>
    <xf numFmtId="167" fontId="59" fillId="65" borderId="12" xfId="3" applyNumberFormat="1" applyFont="1" applyFill="1" applyBorder="1" applyAlignment="1">
      <alignment horizontal="center" vertical="center"/>
    </xf>
    <xf numFmtId="0" fontId="8" fillId="0" borderId="14" xfId="3" applyFont="1" applyBorder="1" applyAlignment="1">
      <alignment horizontal="center" vertical="center"/>
    </xf>
    <xf numFmtId="4" fontId="8" fillId="0" borderId="12" xfId="3" applyNumberFormat="1" applyFont="1" applyBorder="1" applyAlignment="1">
      <alignment horizontal="center" vertical="center"/>
    </xf>
    <xf numFmtId="4" fontId="8" fillId="0" borderId="89" xfId="3" applyNumberFormat="1" applyFont="1" applyBorder="1" applyAlignment="1">
      <alignment horizontal="center" vertical="center"/>
    </xf>
    <xf numFmtId="2" fontId="8" fillId="0" borderId="13" xfId="3" applyNumberFormat="1" applyFont="1" applyBorder="1" applyAlignment="1">
      <alignment horizontal="center" vertical="center"/>
    </xf>
    <xf numFmtId="2" fontId="8" fillId="76" borderId="12" xfId="3" applyNumberFormat="1" applyFont="1" applyFill="1" applyBorder="1" applyAlignment="1">
      <alignment horizontal="center" vertical="center"/>
    </xf>
    <xf numFmtId="167" fontId="8" fillId="0" borderId="16" xfId="3" applyNumberFormat="1" applyFont="1" applyAlignment="1">
      <alignment horizontal="center" vertical="center"/>
    </xf>
    <xf numFmtId="9" fontId="8" fillId="0" borderId="12" xfId="3" applyNumberFormat="1" applyFont="1" applyBorder="1" applyAlignment="1">
      <alignment horizontal="center" vertical="center"/>
    </xf>
    <xf numFmtId="167" fontId="8" fillId="0" borderId="13" xfId="3" applyNumberFormat="1" applyFont="1" applyBorder="1" applyAlignment="1">
      <alignment horizontal="center" vertical="center"/>
    </xf>
    <xf numFmtId="2" fontId="8" fillId="0" borderId="12" xfId="3" applyNumberFormat="1" applyFont="1" applyBorder="1" applyAlignment="1">
      <alignment horizontal="center" vertical="center"/>
    </xf>
    <xf numFmtId="0" fontId="8" fillId="0" borderId="6" xfId="3" applyFont="1" applyBorder="1" applyAlignment="1">
      <alignment horizontal="center" vertical="center"/>
    </xf>
    <xf numFmtId="9" fontId="8" fillId="0" borderId="16" xfId="3" applyNumberFormat="1" applyFont="1" applyAlignment="1">
      <alignment horizontal="center" vertical="center"/>
    </xf>
    <xf numFmtId="2" fontId="8" fillId="67" borderId="13" xfId="3" applyNumberFormat="1" applyFont="1" applyFill="1" applyBorder="1" applyAlignment="1">
      <alignment horizontal="center" vertical="center"/>
    </xf>
    <xf numFmtId="2" fontId="8" fillId="0" borderId="16" xfId="3" applyNumberFormat="1" applyFont="1" applyAlignment="1">
      <alignment horizontal="center"/>
    </xf>
    <xf numFmtId="2" fontId="8" fillId="77" borderId="12" xfId="3" applyNumberFormat="1" applyFont="1" applyFill="1" applyBorder="1" applyAlignment="1">
      <alignment horizontal="center" vertical="center"/>
    </xf>
    <xf numFmtId="0" fontId="8" fillId="0" borderId="45" xfId="3" applyFont="1" applyBorder="1" applyAlignment="1">
      <alignment horizontal="center" vertical="center"/>
    </xf>
    <xf numFmtId="4" fontId="8" fillId="0" borderId="7" xfId="3" applyNumberFormat="1" applyFont="1" applyBorder="1" applyAlignment="1">
      <alignment horizontal="center" vertical="center"/>
    </xf>
    <xf numFmtId="4" fontId="8" fillId="0" borderId="132" xfId="3" applyNumberFormat="1" applyFont="1" applyBorder="1" applyAlignment="1">
      <alignment horizontal="center" vertical="center"/>
    </xf>
    <xf numFmtId="2" fontId="8" fillId="0" borderId="15" xfId="3" applyNumberFormat="1" applyFont="1" applyBorder="1" applyAlignment="1">
      <alignment horizontal="center" vertical="center"/>
    </xf>
    <xf numFmtId="2" fontId="8" fillId="77" borderId="7" xfId="3" applyNumberFormat="1" applyFont="1" applyFill="1" applyBorder="1" applyAlignment="1">
      <alignment horizontal="center" vertical="center"/>
    </xf>
    <xf numFmtId="167" fontId="8" fillId="0" borderId="11" xfId="3" applyNumberFormat="1" applyFont="1" applyBorder="1" applyAlignment="1">
      <alignment horizontal="center" vertical="center"/>
    </xf>
    <xf numFmtId="9" fontId="8" fillId="0" borderId="7" xfId="3" applyNumberFormat="1" applyFont="1" applyBorder="1" applyAlignment="1">
      <alignment horizontal="center" vertical="center"/>
    </xf>
    <xf numFmtId="167" fontId="8" fillId="0" borderId="15" xfId="3" applyNumberFormat="1" applyFont="1" applyBorder="1" applyAlignment="1">
      <alignment horizontal="center" vertical="center"/>
    </xf>
    <xf numFmtId="2" fontId="8" fillId="0" borderId="7" xfId="3" applyNumberFormat="1" applyFont="1" applyBorder="1" applyAlignment="1">
      <alignment horizontal="center" vertical="center"/>
    </xf>
    <xf numFmtId="0" fontId="8" fillId="0" borderId="125" xfId="3" applyFont="1" applyBorder="1" applyAlignment="1">
      <alignment horizontal="center" vertical="center"/>
    </xf>
    <xf numFmtId="0" fontId="8" fillId="0" borderId="11" xfId="3" applyFont="1" applyBorder="1" applyAlignment="1">
      <alignment horizontal="center" vertical="center"/>
    </xf>
    <xf numFmtId="9" fontId="8" fillId="0" borderId="11" xfId="3" applyNumberFormat="1" applyFont="1" applyBorder="1" applyAlignment="1">
      <alignment horizontal="center" vertical="center"/>
    </xf>
    <xf numFmtId="2" fontId="8" fillId="67" borderId="15" xfId="3" applyNumberFormat="1" applyFont="1" applyFill="1" applyBorder="1" applyAlignment="1">
      <alignment horizontal="center" vertical="center"/>
    </xf>
    <xf numFmtId="2" fontId="8" fillId="0" borderId="16" xfId="3" applyNumberFormat="1" applyFont="1" applyAlignment="1">
      <alignment vertical="center"/>
    </xf>
    <xf numFmtId="2" fontId="9" fillId="7" borderId="10" xfId="3" applyNumberFormat="1" applyFont="1" applyFill="1" applyBorder="1" applyAlignment="1">
      <alignment horizontal="center" vertical="center" wrapText="1"/>
    </xf>
    <xf numFmtId="0" fontId="1" fillId="0" borderId="16" xfId="3" applyFont="1" applyFill="1" applyAlignment="1">
      <alignment vertical="center" wrapText="1"/>
    </xf>
    <xf numFmtId="0" fontId="25" fillId="0" borderId="16" xfId="3" applyFont="1" applyAlignment="1">
      <alignment vertical="center"/>
    </xf>
    <xf numFmtId="0" fontId="25" fillId="0" borderId="16" xfId="3" applyFont="1" applyAlignment="1">
      <alignment vertical="center" wrapText="1"/>
    </xf>
    <xf numFmtId="0" fontId="1" fillId="0" borderId="16" xfId="3" applyFont="1" applyAlignment="1">
      <alignment vertical="center"/>
    </xf>
    <xf numFmtId="0" fontId="1" fillId="0" borderId="16" xfId="3" applyFont="1" applyAlignment="1">
      <alignment vertical="center" wrapText="1"/>
    </xf>
    <xf numFmtId="0" fontId="67" fillId="78" borderId="16" xfId="3" applyFont="1" applyFill="1" applyAlignment="1">
      <alignment vertical="center" wrapText="1"/>
    </xf>
    <xf numFmtId="0" fontId="1" fillId="43" borderId="16" xfId="3" applyFont="1" applyFill="1" applyAlignment="1">
      <alignment vertical="center" wrapText="1"/>
    </xf>
    <xf numFmtId="0" fontId="1" fillId="43" borderId="16" xfId="3" applyFont="1" applyFill="1" applyAlignment="1">
      <alignment vertical="center"/>
    </xf>
    <xf numFmtId="0" fontId="1" fillId="79" borderId="16" xfId="3" applyFont="1" applyFill="1" applyAlignment="1">
      <alignment vertical="center"/>
    </xf>
    <xf numFmtId="0" fontId="67" fillId="81" borderId="16" xfId="3" applyFont="1" applyFill="1" applyAlignment="1">
      <alignment vertical="center"/>
    </xf>
    <xf numFmtId="0" fontId="67" fillId="82" borderId="16" xfId="3" applyFont="1" applyFill="1" applyAlignment="1">
      <alignment vertical="center"/>
    </xf>
    <xf numFmtId="0" fontId="1" fillId="21" borderId="16" xfId="3" applyFont="1" applyFill="1" applyAlignment="1">
      <alignment vertical="center"/>
    </xf>
    <xf numFmtId="0" fontId="1" fillId="30" borderId="16" xfId="3" applyFont="1" applyFill="1" applyAlignment="1">
      <alignment vertical="center"/>
    </xf>
    <xf numFmtId="0" fontId="1" fillId="20" borderId="16" xfId="3" applyFont="1" applyFill="1" applyAlignment="1">
      <alignment vertical="center"/>
    </xf>
    <xf numFmtId="0" fontId="67" fillId="80" borderId="16" xfId="3" applyFont="1" applyFill="1" applyAlignment="1">
      <alignment vertical="center"/>
    </xf>
    <xf numFmtId="0" fontId="67" fillId="83" borderId="16" xfId="3" applyFont="1" applyFill="1" applyAlignment="1">
      <alignment vertical="center"/>
    </xf>
    <xf numFmtId="0" fontId="23" fillId="0" borderId="16" xfId="3" applyFont="1" applyAlignment="1"/>
    <xf numFmtId="0" fontId="23" fillId="75" borderId="16" xfId="3" applyFont="1" applyFill="1" applyAlignment="1">
      <alignment vertical="center"/>
    </xf>
    <xf numFmtId="0" fontId="15" fillId="75" borderId="16" xfId="3" applyFont="1" applyFill="1" applyAlignment="1">
      <alignment horizontal="center" wrapText="1"/>
    </xf>
    <xf numFmtId="0" fontId="15" fillId="75" borderId="16" xfId="3" applyFont="1" applyFill="1" applyAlignment="1">
      <alignment horizontal="center" vertical="center" wrapText="1"/>
    </xf>
    <xf numFmtId="0" fontId="68" fillId="0" borderId="0" xfId="0" applyFont="1" applyAlignment="1">
      <alignment readingOrder="1"/>
    </xf>
    <xf numFmtId="0" fontId="69" fillId="0" borderId="0" xfId="0" applyFont="1" applyAlignment="1">
      <alignment readingOrder="1"/>
    </xf>
    <xf numFmtId="0" fontId="70" fillId="0" borderId="0" xfId="0" applyFont="1" applyAlignment="1">
      <alignment readingOrder="1"/>
    </xf>
    <xf numFmtId="0" fontId="70" fillId="0" borderId="0" xfId="0" quotePrefix="1" applyFont="1" applyAlignment="1">
      <alignment readingOrder="1"/>
    </xf>
    <xf numFmtId="0" fontId="22" fillId="0" borderId="0" xfId="1" applyAlignment="1">
      <alignment readingOrder="1"/>
    </xf>
    <xf numFmtId="2" fontId="4" fillId="0" borderId="16" xfId="0" applyNumberFormat="1" applyFont="1" applyFill="1" applyBorder="1" applyAlignment="1">
      <alignment vertical="center"/>
    </xf>
    <xf numFmtId="0" fontId="55" fillId="55" borderId="74" xfId="3" applyFont="1" applyFill="1" applyBorder="1" applyAlignment="1">
      <alignment horizontal="center" vertical="center" wrapText="1"/>
    </xf>
    <xf numFmtId="0" fontId="9" fillId="0" borderId="118" xfId="3" applyFont="1" applyBorder="1" applyAlignment="1">
      <alignment horizontal="center" vertical="center" wrapText="1"/>
    </xf>
    <xf numFmtId="0" fontId="9" fillId="0" borderId="149" xfId="3" applyFont="1" applyBorder="1" applyAlignment="1">
      <alignment horizontal="center" vertical="center" wrapText="1"/>
    </xf>
    <xf numFmtId="0" fontId="9" fillId="0" borderId="117" xfId="3" applyFont="1" applyBorder="1" applyAlignment="1">
      <alignment horizontal="center" vertical="center" wrapText="1"/>
    </xf>
    <xf numFmtId="0" fontId="9" fillId="0" borderId="136" xfId="3" applyFont="1" applyBorder="1" applyAlignment="1">
      <alignment horizontal="center" vertical="center" wrapText="1"/>
    </xf>
    <xf numFmtId="0" fontId="23" fillId="0" borderId="47" xfId="3" applyFont="1" applyBorder="1" applyAlignment="1">
      <alignment horizontal="center" vertical="center" wrapText="1"/>
    </xf>
    <xf numFmtId="0" fontId="23" fillId="0" borderId="58" xfId="3" applyFont="1" applyBorder="1" applyAlignment="1">
      <alignment horizontal="center" vertical="center" wrapText="1"/>
    </xf>
    <xf numFmtId="0" fontId="23" fillId="0" borderId="59" xfId="3" applyFont="1" applyBorder="1" applyAlignment="1">
      <alignment horizontal="center" vertical="center" wrapText="1"/>
    </xf>
    <xf numFmtId="0" fontId="23" fillId="0" borderId="60" xfId="3" applyFont="1" applyBorder="1" applyAlignment="1">
      <alignment horizontal="center" vertical="center" wrapText="1"/>
    </xf>
    <xf numFmtId="0" fontId="23" fillId="0" borderId="62" xfId="3" applyFont="1" applyBorder="1" applyAlignment="1">
      <alignment horizontal="center" vertical="center" wrapText="1"/>
    </xf>
    <xf numFmtId="0" fontId="23" fillId="0" borderId="63" xfId="3" applyFont="1" applyBorder="1" applyAlignment="1">
      <alignment horizontal="center" vertical="center" wrapText="1"/>
    </xf>
    <xf numFmtId="0" fontId="54" fillId="55" borderId="81" xfId="3" applyFont="1" applyFill="1" applyBorder="1" applyAlignment="1">
      <alignment horizontal="center" vertical="center" wrapText="1"/>
    </xf>
    <xf numFmtId="0" fontId="54" fillId="55" borderId="84" xfId="3" applyFont="1" applyFill="1" applyBorder="1" applyAlignment="1">
      <alignment horizontal="center" vertical="center" wrapText="1"/>
    </xf>
    <xf numFmtId="167" fontId="10" fillId="43" borderId="50" xfId="2" applyNumberFormat="1" applyFont="1" applyFill="1" applyBorder="1" applyAlignment="1">
      <alignment vertical="center" wrapText="1"/>
    </xf>
    <xf numFmtId="9" fontId="10" fillId="43" borderId="50" xfId="2" applyNumberFormat="1" applyFont="1" applyFill="1" applyBorder="1" applyAlignment="1">
      <alignment vertical="center" wrapText="1"/>
    </xf>
    <xf numFmtId="0" fontId="8" fillId="26" borderId="63" xfId="3" applyFont="1" applyFill="1" applyBorder="1" applyAlignment="1">
      <alignment vertical="center"/>
    </xf>
    <xf numFmtId="164" fontId="8" fillId="26" borderId="63" xfId="3" applyNumberFormat="1" applyFont="1" applyFill="1" applyBorder="1" applyAlignment="1">
      <alignment vertical="center"/>
    </xf>
    <xf numFmtId="0" fontId="1" fillId="0" borderId="47" xfId="0" applyFont="1" applyBorder="1" applyAlignment="1">
      <alignment horizontal="right" vertical="center" wrapText="1"/>
    </xf>
    <xf numFmtId="0" fontId="1" fillId="0" borderId="0" xfId="0" applyFont="1" applyAlignment="1">
      <alignment horizontal="left" vertical="center" wrapText="1"/>
    </xf>
    <xf numFmtId="10" fontId="1" fillId="0" borderId="47" xfId="2" applyNumberFormat="1" applyFont="1" applyBorder="1" applyAlignment="1"/>
    <xf numFmtId="0" fontId="1" fillId="0" borderId="98" xfId="3" applyFont="1" applyBorder="1" applyAlignment="1">
      <alignment horizontal="right" vertical="center" wrapText="1"/>
    </xf>
    <xf numFmtId="2" fontId="1" fillId="0" borderId="99" xfId="3" applyNumberFormat="1" applyFont="1" applyBorder="1" applyAlignment="1">
      <alignment horizontal="right" vertical="center" wrapText="1"/>
    </xf>
    <xf numFmtId="9" fontId="1" fillId="0" borderId="63" xfId="4" applyNumberFormat="1" applyFont="1" applyBorder="1" applyAlignment="1">
      <alignment horizontal="right" vertical="center" wrapText="1"/>
    </xf>
    <xf numFmtId="2" fontId="1" fillId="0" borderId="50" xfId="3" applyNumberFormat="1" applyFont="1" applyBorder="1" applyAlignment="1">
      <alignment horizontal="right" wrapText="1"/>
    </xf>
    <xf numFmtId="10" fontId="1" fillId="0" borderId="99" xfId="4" applyNumberFormat="1" applyFont="1" applyBorder="1" applyAlignment="1">
      <alignment horizontal="right" vertical="center" wrapText="1"/>
    </xf>
    <xf numFmtId="2" fontId="1" fillId="0" borderId="50" xfId="3" applyNumberFormat="1" applyFont="1" applyBorder="1" applyAlignment="1">
      <alignment horizontal="right" vertical="center" wrapText="1"/>
    </xf>
    <xf numFmtId="9" fontId="1" fillId="0" borderId="77" xfId="4" applyNumberFormat="1" applyFont="1" applyBorder="1" applyAlignment="1">
      <alignment horizontal="right" vertical="center" wrapText="1"/>
    </xf>
    <xf numFmtId="10" fontId="1" fillId="0" borderId="60" xfId="3" applyNumberFormat="1" applyFont="1" applyBorder="1" applyAlignment="1">
      <alignment horizontal="right" wrapText="1"/>
    </xf>
    <xf numFmtId="2" fontId="1" fillId="0" borderId="63" xfId="3" applyNumberFormat="1" applyFont="1" applyBorder="1" applyAlignment="1">
      <alignment horizontal="right" vertical="center" wrapText="1"/>
    </xf>
    <xf numFmtId="10" fontId="1" fillId="0" borderId="60" xfId="4" applyNumberFormat="1" applyFont="1" applyBorder="1" applyAlignment="1">
      <alignment horizontal="right" vertical="center" wrapText="1"/>
    </xf>
    <xf numFmtId="2" fontId="1" fillId="0" borderId="47" xfId="3" applyNumberFormat="1" applyFont="1" applyBorder="1" applyAlignment="1">
      <alignment horizontal="right" wrapText="1"/>
    </xf>
    <xf numFmtId="2" fontId="1" fillId="0" borderId="47" xfId="3" applyNumberFormat="1" applyFont="1" applyBorder="1" applyAlignment="1">
      <alignment horizontal="right" vertical="center" wrapText="1"/>
    </xf>
    <xf numFmtId="9" fontId="1" fillId="0" borderId="77" xfId="3" applyNumberFormat="1" applyFont="1" applyBorder="1" applyAlignment="1">
      <alignment horizontal="right" wrapText="1"/>
    </xf>
    <xf numFmtId="10" fontId="1" fillId="0" borderId="79" xfId="4" applyNumberFormat="1" applyFont="1" applyBorder="1" applyAlignment="1">
      <alignment horizontal="right" vertical="center" wrapText="1"/>
    </xf>
    <xf numFmtId="9" fontId="1" fillId="0" borderId="78" xfId="3" applyNumberFormat="1" applyFont="1" applyBorder="1" applyAlignment="1">
      <alignment horizontal="right" wrapText="1"/>
    </xf>
    <xf numFmtId="2" fontId="1" fillId="0" borderId="61" xfId="3" applyNumberFormat="1" applyFont="1" applyBorder="1" applyAlignment="1">
      <alignment horizontal="right" vertical="center" wrapText="1"/>
    </xf>
    <xf numFmtId="10" fontId="1" fillId="0" borderId="79" xfId="3" applyNumberFormat="1" applyFont="1" applyBorder="1" applyAlignment="1">
      <alignment horizontal="right" wrapText="1"/>
    </xf>
    <xf numFmtId="2" fontId="1" fillId="0" borderId="64" xfId="3" applyNumberFormat="1" applyFont="1" applyBorder="1" applyAlignment="1">
      <alignment horizontal="right" vertical="center" wrapText="1"/>
    </xf>
    <xf numFmtId="2" fontId="1" fillId="0" borderId="16" xfId="3" applyNumberFormat="1" applyFont="1" applyFill="1" applyBorder="1" applyAlignment="1">
      <alignment horizontal="right" vertical="center" wrapText="1"/>
    </xf>
    <xf numFmtId="10" fontId="1" fillId="0" borderId="16" xfId="4" applyNumberFormat="1" applyFont="1" applyFill="1" applyBorder="1" applyAlignment="1">
      <alignment horizontal="right" vertical="center" wrapText="1"/>
    </xf>
    <xf numFmtId="9" fontId="1" fillId="0" borderId="16" xfId="3" applyNumberFormat="1" applyFont="1" applyFill="1" applyBorder="1" applyAlignment="1">
      <alignment horizontal="right" wrapText="1"/>
    </xf>
    <xf numFmtId="11" fontId="1" fillId="0" borderId="16" xfId="3" applyNumberFormat="1" applyFont="1" applyFill="1" applyBorder="1" applyAlignment="1">
      <alignment horizontal="right" wrapText="1"/>
    </xf>
    <xf numFmtId="10" fontId="1" fillId="0" borderId="16" xfId="4" applyNumberFormat="1" applyFont="1" applyBorder="1" applyAlignment="1">
      <alignment horizontal="right" vertical="center" wrapText="1"/>
    </xf>
    <xf numFmtId="2" fontId="1" fillId="0" borderId="16" xfId="3" applyNumberFormat="1" applyFont="1" applyBorder="1" applyAlignment="1">
      <alignment horizontal="right" vertical="center" wrapText="1"/>
    </xf>
    <xf numFmtId="0" fontId="1" fillId="0" borderId="16" xfId="3" applyFont="1" applyBorder="1" applyAlignment="1">
      <alignment horizontal="right" wrapText="1"/>
    </xf>
    <xf numFmtId="2" fontId="1" fillId="0" borderId="98" xfId="3" applyNumberFormat="1" applyFont="1" applyBorder="1" applyAlignment="1">
      <alignment horizontal="right" vertical="center" wrapText="1"/>
    </xf>
    <xf numFmtId="2" fontId="1" fillId="0" borderId="135" xfId="3" applyNumberFormat="1" applyFont="1" applyBorder="1" applyAlignment="1">
      <alignment horizontal="right" vertical="center" wrapText="1"/>
    </xf>
    <xf numFmtId="2" fontId="1" fillId="0" borderId="86" xfId="3" applyNumberFormat="1" applyFont="1" applyBorder="1" applyAlignment="1">
      <alignment horizontal="right" vertical="center" wrapText="1"/>
    </xf>
    <xf numFmtId="2" fontId="1" fillId="0" borderId="106" xfId="3" applyNumberFormat="1" applyFont="1" applyBorder="1" applyAlignment="1">
      <alignment horizontal="right" vertical="center" wrapText="1"/>
    </xf>
    <xf numFmtId="0" fontId="1" fillId="20" borderId="0" xfId="0" applyFont="1" applyFill="1" applyAlignment="1">
      <alignment vertical="center"/>
    </xf>
    <xf numFmtId="0" fontId="1" fillId="0" borderId="0" xfId="0" applyFont="1" applyAlignment="1">
      <alignment vertical="center"/>
    </xf>
    <xf numFmtId="0" fontId="1" fillId="0" borderId="0" xfId="0" applyFont="1"/>
    <xf numFmtId="3" fontId="1" fillId="0" borderId="0" xfId="0" applyNumberFormat="1" applyFont="1"/>
    <xf numFmtId="3" fontId="1" fillId="10" borderId="16" xfId="0" applyNumberFormat="1" applyFont="1" applyFill="1" applyBorder="1"/>
    <xf numFmtId="0" fontId="1" fillId="19" borderId="0" xfId="0" applyFont="1" applyFill="1"/>
    <xf numFmtId="0" fontId="1" fillId="21" borderId="0" xfId="0" applyFont="1" applyFill="1"/>
    <xf numFmtId="1" fontId="1" fillId="21" borderId="0" xfId="0" applyNumberFormat="1" applyFont="1" applyFill="1"/>
    <xf numFmtId="2" fontId="1" fillId="21" borderId="0" xfId="0" applyNumberFormat="1" applyFont="1" applyFill="1"/>
    <xf numFmtId="0" fontId="1" fillId="0" borderId="0" xfId="0" applyFont="1" applyAlignment="1">
      <alignment wrapText="1"/>
    </xf>
    <xf numFmtId="0" fontId="1" fillId="28" borderId="0" xfId="0" applyFont="1" applyFill="1" applyAlignment="1">
      <alignment vertical="center"/>
    </xf>
    <xf numFmtId="1" fontId="1" fillId="0" borderId="0" xfId="0" applyNumberFormat="1" applyFont="1" applyAlignment="1">
      <alignment horizontal="right"/>
    </xf>
    <xf numFmtId="1" fontId="1" fillId="0" borderId="0" xfId="0" applyNumberFormat="1" applyFont="1"/>
    <xf numFmtId="167" fontId="1" fillId="0" borderId="0" xfId="0" applyNumberFormat="1" applyFont="1" applyAlignment="1">
      <alignment horizontal="right"/>
    </xf>
    <xf numFmtId="10" fontId="1" fillId="0" borderId="0" xfId="0" applyNumberFormat="1" applyFont="1" applyAlignment="1">
      <alignment wrapText="1"/>
    </xf>
    <xf numFmtId="10" fontId="1" fillId="0" borderId="0" xfId="0" applyNumberFormat="1" applyFont="1"/>
    <xf numFmtId="0" fontId="1" fillId="0" borderId="0" xfId="0" applyFont="1" applyAlignment="1">
      <alignment vertical="center" wrapText="1"/>
    </xf>
    <xf numFmtId="164" fontId="1" fillId="0" borderId="0" xfId="0" applyNumberFormat="1" applyFont="1" applyAlignment="1">
      <alignment vertical="center"/>
    </xf>
    <xf numFmtId="2" fontId="1" fillId="0" borderId="0" xfId="0" applyNumberFormat="1" applyFont="1" applyAlignment="1">
      <alignment vertical="center"/>
    </xf>
    <xf numFmtId="164" fontId="1" fillId="0" borderId="63" xfId="0" applyNumberFormat="1" applyFont="1" applyBorder="1" applyAlignment="1">
      <alignment vertical="center"/>
    </xf>
    <xf numFmtId="164" fontId="1" fillId="0" borderId="47" xfId="0" applyNumberFormat="1" applyFont="1" applyBorder="1" applyAlignment="1">
      <alignment vertical="center"/>
    </xf>
    <xf numFmtId="167" fontId="1" fillId="0" borderId="47" xfId="0" applyNumberFormat="1" applyFont="1" applyBorder="1" applyAlignment="1">
      <alignment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0" xfId="0" applyFont="1" applyBorder="1" applyAlignment="1">
      <alignment horizontal="center"/>
    </xf>
    <xf numFmtId="0" fontId="1" fillId="0" borderId="25" xfId="0" applyFont="1" applyBorder="1" applyAlignment="1">
      <alignment horizontal="center"/>
    </xf>
    <xf numFmtId="3" fontId="1" fillId="0" borderId="46" xfId="0" applyNumberFormat="1" applyFont="1" applyBorder="1" applyAlignment="1">
      <alignment horizontal="center"/>
    </xf>
    <xf numFmtId="3" fontId="1" fillId="0" borderId="10" xfId="0" applyNumberFormat="1" applyFont="1" applyBorder="1" applyAlignment="1">
      <alignment horizontal="center"/>
    </xf>
    <xf numFmtId="2" fontId="1" fillId="0" borderId="10" xfId="0" applyNumberFormat="1" applyFont="1" applyBorder="1" applyAlignment="1">
      <alignment horizontal="center"/>
    </xf>
    <xf numFmtId="1" fontId="1" fillId="0" borderId="25" xfId="0" applyNumberFormat="1"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3" fontId="1" fillId="0" borderId="12" xfId="0" applyNumberFormat="1" applyFont="1" applyBorder="1" applyAlignment="1">
      <alignment horizontal="center"/>
    </xf>
    <xf numFmtId="3" fontId="1" fillId="0" borderId="0" xfId="0" applyNumberFormat="1" applyFont="1" applyAlignment="1">
      <alignment horizontal="center"/>
    </xf>
    <xf numFmtId="2" fontId="1" fillId="0" borderId="0" xfId="0" applyNumberFormat="1" applyFont="1" applyAlignment="1">
      <alignment horizontal="center"/>
    </xf>
    <xf numFmtId="1" fontId="1" fillId="0" borderId="13" xfId="0" applyNumberFormat="1" applyFont="1" applyBorder="1" applyAlignment="1">
      <alignment horizontal="center"/>
    </xf>
    <xf numFmtId="0" fontId="1" fillId="0" borderId="11" xfId="0" applyFont="1" applyBorder="1" applyAlignment="1">
      <alignment horizontal="center"/>
    </xf>
    <xf numFmtId="0" fontId="1" fillId="0" borderId="15" xfId="0" applyFont="1" applyBorder="1" applyAlignment="1">
      <alignment horizontal="center"/>
    </xf>
    <xf numFmtId="3" fontId="1" fillId="0" borderId="7" xfId="0" applyNumberFormat="1" applyFont="1" applyBorder="1" applyAlignment="1">
      <alignment horizontal="center"/>
    </xf>
    <xf numFmtId="3" fontId="1" fillId="0" borderId="11" xfId="0" applyNumberFormat="1" applyFont="1" applyBorder="1" applyAlignment="1">
      <alignment horizontal="center"/>
    </xf>
    <xf numFmtId="2" fontId="1" fillId="0" borderId="11" xfId="0" applyNumberFormat="1" applyFont="1" applyBorder="1" applyAlignment="1">
      <alignment horizontal="center"/>
    </xf>
    <xf numFmtId="1" fontId="1" fillId="0" borderId="15" xfId="0" applyNumberFormat="1" applyFont="1" applyBorder="1" applyAlignment="1">
      <alignment horizontal="center"/>
    </xf>
    <xf numFmtId="3" fontId="1" fillId="0" borderId="1" xfId="0" applyNumberFormat="1" applyFont="1" applyBorder="1" applyAlignment="1">
      <alignment horizontal="center"/>
    </xf>
    <xf numFmtId="3" fontId="1" fillId="0" borderId="9" xfId="0" applyNumberFormat="1" applyFont="1" applyBorder="1" applyAlignment="1">
      <alignment horizontal="center"/>
    </xf>
    <xf numFmtId="3" fontId="1" fillId="0" borderId="2" xfId="0" applyNumberFormat="1" applyFont="1" applyBorder="1" applyAlignment="1">
      <alignment horizontal="center"/>
    </xf>
    <xf numFmtId="164" fontId="1" fillId="3" borderId="16" xfId="0" applyNumberFormat="1" applyFont="1" applyFill="1" applyBorder="1" applyAlignment="1">
      <alignment horizontal="center"/>
    </xf>
    <xf numFmtId="0" fontId="1" fillId="0" borderId="0" xfId="0" applyFont="1" applyAlignment="1">
      <alignment horizontal="center"/>
    </xf>
    <xf numFmtId="164" fontId="1" fillId="3" borderId="11" xfId="0" applyNumberFormat="1" applyFont="1" applyFill="1" applyBorder="1" applyAlignment="1">
      <alignment horizontal="center"/>
    </xf>
    <xf numFmtId="1" fontId="1" fillId="0" borderId="0" xfId="0" applyNumberFormat="1" applyFont="1" applyAlignment="1">
      <alignment horizontal="center"/>
    </xf>
    <xf numFmtId="3" fontId="1" fillId="0" borderId="25" xfId="0" applyNumberFormat="1" applyFont="1" applyBorder="1" applyAlignment="1">
      <alignment horizontal="center"/>
    </xf>
    <xf numFmtId="0" fontId="1" fillId="0" borderId="10" xfId="0" applyFont="1" applyBorder="1"/>
    <xf numFmtId="0" fontId="1" fillId="0" borderId="25" xfId="0" applyFont="1" applyBorder="1"/>
    <xf numFmtId="173" fontId="1" fillId="0" borderId="10" xfId="0" applyNumberFormat="1" applyFont="1" applyBorder="1" applyAlignment="1">
      <alignment horizontal="center"/>
    </xf>
    <xf numFmtId="0" fontId="1" fillId="0" borderId="16" xfId="0" applyFont="1" applyBorder="1"/>
    <xf numFmtId="0" fontId="1" fillId="0" borderId="13" xfId="0" applyFont="1" applyBorder="1"/>
    <xf numFmtId="173" fontId="1" fillId="0" borderId="0" xfId="0" applyNumberFormat="1" applyFont="1" applyAlignment="1">
      <alignment horizontal="center"/>
    </xf>
    <xf numFmtId="3" fontId="1" fillId="0" borderId="13" xfId="0" applyNumberFormat="1" applyFont="1" applyBorder="1" applyAlignment="1">
      <alignment horizontal="center"/>
    </xf>
    <xf numFmtId="0" fontId="1" fillId="0" borderId="0" xfId="0" applyFont="1" applyAlignment="1"/>
    <xf numFmtId="4" fontId="1" fillId="3" borderId="16" xfId="0" applyNumberFormat="1" applyFont="1" applyFill="1" applyBorder="1" applyAlignment="1">
      <alignment horizontal="center"/>
    </xf>
    <xf numFmtId="0" fontId="1" fillId="0" borderId="11" xfId="0" applyFont="1" applyBorder="1"/>
    <xf numFmtId="0" fontId="1" fillId="0" borderId="15" xfId="0" applyFont="1" applyBorder="1"/>
    <xf numFmtId="173" fontId="1" fillId="0" borderId="11" xfId="0" applyNumberFormat="1" applyFont="1" applyBorder="1" applyAlignment="1">
      <alignment horizontal="center"/>
    </xf>
    <xf numFmtId="3" fontId="1" fillId="0" borderId="15" xfId="0" applyNumberFormat="1" applyFont="1" applyBorder="1" applyAlignment="1">
      <alignment horizontal="center"/>
    </xf>
    <xf numFmtId="0" fontId="1" fillId="0" borderId="46" xfId="0" applyFont="1" applyBorder="1" applyAlignment="1">
      <alignment wrapText="1"/>
    </xf>
    <xf numFmtId="3" fontId="1" fillId="0" borderId="26" xfId="0" applyNumberFormat="1" applyFont="1" applyBorder="1"/>
    <xf numFmtId="9" fontId="1" fillId="0" borderId="0" xfId="0" applyNumberFormat="1" applyFont="1"/>
    <xf numFmtId="3" fontId="1" fillId="0" borderId="27" xfId="0" applyNumberFormat="1" applyFont="1" applyBorder="1"/>
    <xf numFmtId="0" fontId="1" fillId="0" borderId="12" xfId="0" applyFont="1" applyBorder="1" applyAlignment="1">
      <alignment wrapText="1"/>
    </xf>
    <xf numFmtId="3" fontId="1" fillId="20" borderId="27" xfId="0" applyNumberFormat="1" applyFont="1" applyFill="1" applyBorder="1"/>
    <xf numFmtId="4" fontId="1" fillId="21" borderId="27" xfId="0" applyNumberFormat="1" applyFont="1" applyFill="1" applyBorder="1"/>
    <xf numFmtId="0" fontId="1" fillId="0" borderId="7" xfId="0" applyFont="1" applyBorder="1" applyAlignment="1">
      <alignment wrapText="1"/>
    </xf>
    <xf numFmtId="3" fontId="1" fillId="0" borderId="15" xfId="0" applyNumberFormat="1" applyFont="1" applyBorder="1"/>
    <xf numFmtId="173" fontId="1" fillId="0" borderId="0" xfId="0" applyNumberFormat="1" applyFont="1" applyAlignment="1">
      <alignment horizontal="right"/>
    </xf>
    <xf numFmtId="9" fontId="1" fillId="0" borderId="0" xfId="0" applyNumberFormat="1" applyFont="1" applyAlignment="1"/>
    <xf numFmtId="167" fontId="1" fillId="0" borderId="0" xfId="0" applyNumberFormat="1" applyFont="1" applyAlignment="1"/>
    <xf numFmtId="171" fontId="1" fillId="0" borderId="0" xfId="0" applyNumberFormat="1" applyFont="1" applyAlignment="1"/>
    <xf numFmtId="167" fontId="1" fillId="0" borderId="0" xfId="2" applyNumberFormat="1" applyFont="1" applyAlignment="1"/>
    <xf numFmtId="164" fontId="1" fillId="0" borderId="0" xfId="0" applyNumberFormat="1" applyFont="1" applyAlignment="1"/>
    <xf numFmtId="2" fontId="1" fillId="0" borderId="20" xfId="0" applyNumberFormat="1" applyFont="1" applyBorder="1" applyAlignment="1">
      <alignment vertical="center"/>
    </xf>
    <xf numFmtId="0" fontId="1" fillId="0" borderId="8" xfId="0" applyFont="1" applyBorder="1" applyAlignment="1">
      <alignment vertical="center"/>
    </xf>
    <xf numFmtId="9" fontId="23" fillId="0" borderId="16" xfId="3" applyNumberFormat="1" applyFont="1" applyAlignment="1">
      <alignment wrapText="1"/>
    </xf>
    <xf numFmtId="167" fontId="0" fillId="0" borderId="0" xfId="0" applyNumberFormat="1" applyFont="1" applyAlignment="1">
      <alignment vertical="center"/>
    </xf>
    <xf numFmtId="3" fontId="16" fillId="0" borderId="0" xfId="0" applyNumberFormat="1" applyFont="1" applyAlignment="1">
      <alignment vertical="center"/>
    </xf>
    <xf numFmtId="0" fontId="1" fillId="5" borderId="70" xfId="0" applyFont="1" applyFill="1" applyBorder="1" applyAlignment="1">
      <alignment horizontal="right" vertical="center"/>
    </xf>
    <xf numFmtId="0" fontId="1" fillId="5" borderId="73" xfId="0" applyFont="1" applyFill="1" applyBorder="1" applyAlignment="1">
      <alignment horizontal="right" vertical="center"/>
    </xf>
    <xf numFmtId="164" fontId="1" fillId="0" borderId="151" xfId="0" applyNumberFormat="1" applyFont="1" applyBorder="1" applyAlignment="1">
      <alignment vertical="center"/>
    </xf>
    <xf numFmtId="164" fontId="1" fillId="0" borderId="152" xfId="0" applyNumberFormat="1" applyFont="1" applyBorder="1" applyAlignment="1">
      <alignment vertical="center"/>
    </xf>
    <xf numFmtId="164" fontId="1" fillId="0" borderId="153" xfId="0" applyNumberFormat="1" applyFont="1" applyBorder="1" applyAlignment="1">
      <alignment vertical="center"/>
    </xf>
    <xf numFmtId="164" fontId="1" fillId="0" borderId="154" xfId="0" applyNumberFormat="1" applyFont="1" applyBorder="1" applyAlignment="1">
      <alignment vertical="center"/>
    </xf>
    <xf numFmtId="164" fontId="1" fillId="0" borderId="155" xfId="0" applyNumberFormat="1" applyFont="1" applyBorder="1" applyAlignment="1">
      <alignment vertical="center"/>
    </xf>
    <xf numFmtId="10" fontId="1" fillId="0" borderId="154" xfId="0" applyNumberFormat="1" applyFont="1" applyBorder="1" applyAlignment="1">
      <alignment vertical="center"/>
    </xf>
    <xf numFmtId="167" fontId="1" fillId="0" borderId="155" xfId="0" applyNumberFormat="1" applyFont="1" applyBorder="1" applyAlignment="1">
      <alignment vertical="center"/>
    </xf>
    <xf numFmtId="0" fontId="1" fillId="0" borderId="156" xfId="0" applyFont="1" applyBorder="1" applyAlignment="1">
      <alignment vertical="center"/>
    </xf>
    <xf numFmtId="167" fontId="1" fillId="0" borderId="157" xfId="0" applyNumberFormat="1" applyFont="1" applyBorder="1" applyAlignment="1">
      <alignment vertical="center"/>
    </xf>
    <xf numFmtId="167" fontId="1" fillId="0" borderId="158" xfId="0" applyNumberFormat="1" applyFont="1" applyBorder="1" applyAlignment="1">
      <alignment vertical="center"/>
    </xf>
    <xf numFmtId="165" fontId="23" fillId="0" borderId="16" xfId="3" applyNumberFormat="1" applyFont="1" applyAlignment="1">
      <alignment horizontal="center" vertical="center"/>
    </xf>
    <xf numFmtId="0" fontId="4" fillId="0" borderId="0" xfId="0" applyFont="1" applyAlignment="1">
      <alignment vertical="center" wrapText="1"/>
    </xf>
    <xf numFmtId="176" fontId="1" fillId="0" borderId="0" xfId="0" applyNumberFormat="1" applyFont="1" applyAlignment="1"/>
    <xf numFmtId="0" fontId="0" fillId="0" borderId="16" xfId="0" applyFont="1" applyBorder="1" applyAlignment="1"/>
    <xf numFmtId="3" fontId="4" fillId="0" borderId="0" xfId="0" applyNumberFormat="1" applyFont="1" applyAlignment="1">
      <alignment vertical="center"/>
    </xf>
    <xf numFmtId="10" fontId="23" fillId="0" borderId="16" xfId="3" applyNumberFormat="1" applyFont="1" applyAlignment="1"/>
    <xf numFmtId="0" fontId="0" fillId="0" borderId="16" xfId="3" applyFont="1" applyBorder="1" applyAlignment="1">
      <alignment wrapText="1"/>
    </xf>
    <xf numFmtId="0" fontId="23" fillId="0" borderId="16" xfId="3" applyFont="1" applyAlignment="1"/>
    <xf numFmtId="0" fontId="5" fillId="0" borderId="16" xfId="0" applyFont="1" applyBorder="1" applyAlignment="1">
      <alignment vertical="center"/>
    </xf>
    <xf numFmtId="0" fontId="3" fillId="21" borderId="50" xfId="0" applyFont="1" applyFill="1" applyBorder="1" applyAlignment="1">
      <alignment vertical="center" wrapText="1"/>
    </xf>
    <xf numFmtId="0" fontId="3" fillId="86" borderId="50" xfId="0" applyFont="1" applyFill="1" applyBorder="1" applyAlignment="1">
      <alignment vertical="center" wrapText="1"/>
    </xf>
    <xf numFmtId="164" fontId="4" fillId="0" borderId="86" xfId="0" applyNumberFormat="1" applyFont="1" applyBorder="1" applyAlignment="1">
      <alignment vertical="center"/>
    </xf>
    <xf numFmtId="164" fontId="4" fillId="0" borderId="48" xfId="0" applyNumberFormat="1" applyFont="1" applyBorder="1" applyAlignment="1">
      <alignment vertical="center"/>
    </xf>
    <xf numFmtId="0" fontId="7" fillId="39" borderId="81" xfId="0" applyFont="1" applyFill="1" applyBorder="1" applyAlignment="1">
      <alignment vertical="center" wrapText="1"/>
    </xf>
    <xf numFmtId="167" fontId="5" fillId="39" borderId="73" xfId="0" applyNumberFormat="1" applyFont="1" applyFill="1" applyBorder="1" applyAlignment="1">
      <alignment vertical="center"/>
    </xf>
    <xf numFmtId="167" fontId="5" fillId="39" borderId="107" xfId="0" applyNumberFormat="1" applyFont="1" applyFill="1" applyBorder="1" applyAlignment="1">
      <alignment vertical="center"/>
    </xf>
    <xf numFmtId="0" fontId="70" fillId="0" borderId="16" xfId="0" applyFont="1" applyBorder="1" applyAlignment="1">
      <alignment readingOrder="1"/>
    </xf>
    <xf numFmtId="0" fontId="22" fillId="0" borderId="16" xfId="1" quotePrefix="1" applyFont="1" applyBorder="1" applyAlignment="1">
      <alignment readingOrder="1"/>
    </xf>
    <xf numFmtId="11" fontId="50" fillId="39" borderId="59" xfId="3" applyNumberFormat="1" applyFont="1" applyFill="1" applyBorder="1" applyAlignment="1">
      <alignment horizontal="center" vertical="center" wrapText="1"/>
    </xf>
    <xf numFmtId="11" fontId="46" fillId="39" borderId="59" xfId="3" applyNumberFormat="1" applyFont="1" applyFill="1" applyBorder="1" applyAlignment="1">
      <alignment horizontal="center" vertical="center" wrapText="1"/>
    </xf>
    <xf numFmtId="0" fontId="46" fillId="39" borderId="59" xfId="3" applyFont="1" applyFill="1" applyBorder="1" applyAlignment="1">
      <alignment horizontal="center" vertical="center" wrapText="1"/>
    </xf>
    <xf numFmtId="11" fontId="50" fillId="88" borderId="59" xfId="3" applyNumberFormat="1" applyFont="1" applyFill="1" applyBorder="1" applyAlignment="1">
      <alignment horizontal="center" vertical="center" wrapText="1"/>
    </xf>
    <xf numFmtId="11" fontId="46" fillId="88" borderId="59" xfId="3" applyNumberFormat="1" applyFont="1" applyFill="1" applyBorder="1" applyAlignment="1">
      <alignment horizontal="center" vertical="center" wrapText="1"/>
    </xf>
    <xf numFmtId="0" fontId="46" fillId="88" borderId="59" xfId="3" applyFont="1" applyFill="1" applyBorder="1" applyAlignment="1">
      <alignment horizontal="center" vertical="center" wrapText="1"/>
    </xf>
    <xf numFmtId="0" fontId="23" fillId="0" borderId="165" xfId="3" applyFont="1" applyBorder="1" applyAlignment="1">
      <alignment horizontal="center" vertical="center" wrapText="1"/>
    </xf>
    <xf numFmtId="9" fontId="23" fillId="0" borderId="166" xfId="2" applyFont="1" applyBorder="1" applyAlignment="1">
      <alignment horizontal="center" vertical="center" wrapText="1"/>
    </xf>
    <xf numFmtId="164" fontId="4" fillId="0" borderId="166" xfId="0" applyNumberFormat="1" applyFont="1" applyBorder="1" applyAlignment="1">
      <alignment horizontal="center" vertical="center" wrapText="1"/>
    </xf>
    <xf numFmtId="2" fontId="4" fillId="0" borderId="166" xfId="0" applyNumberFormat="1" applyFont="1" applyBorder="1" applyAlignment="1">
      <alignment horizontal="center" vertical="center"/>
    </xf>
    <xf numFmtId="0" fontId="23" fillId="84" borderId="167" xfId="3" applyFont="1" applyFill="1" applyBorder="1" applyAlignment="1">
      <alignment horizontal="center" vertical="center" wrapText="1"/>
    </xf>
    <xf numFmtId="0" fontId="23" fillId="84" borderId="49" xfId="3" applyFont="1" applyFill="1" applyBorder="1" applyAlignment="1">
      <alignment horizontal="center" vertical="center" wrapText="1"/>
    </xf>
    <xf numFmtId="0" fontId="4" fillId="84" borderId="49" xfId="0" applyFont="1" applyFill="1" applyBorder="1" applyAlignment="1">
      <alignment horizontal="center" vertical="center" wrapText="1"/>
    </xf>
    <xf numFmtId="0" fontId="3" fillId="39" borderId="79" xfId="0" applyFont="1" applyFill="1" applyBorder="1" applyAlignment="1">
      <alignment horizontal="center" vertical="center" wrapText="1"/>
    </xf>
    <xf numFmtId="3" fontId="4" fillId="39" borderId="60" xfId="0" applyNumberFormat="1" applyFont="1" applyFill="1" applyBorder="1" applyAlignment="1">
      <alignment horizontal="right" vertical="center" wrapText="1"/>
    </xf>
    <xf numFmtId="3" fontId="4" fillId="39" borderId="79" xfId="0" applyNumberFormat="1" applyFont="1" applyFill="1" applyBorder="1" applyAlignment="1">
      <alignment horizontal="right" vertical="center" wrapText="1"/>
    </xf>
    <xf numFmtId="0" fontId="4" fillId="84" borderId="129" xfId="0" applyFont="1" applyFill="1" applyBorder="1" applyAlignment="1">
      <alignment horizontal="center" vertical="center" wrapText="1"/>
    </xf>
    <xf numFmtId="9" fontId="23" fillId="0" borderId="169" xfId="3" applyNumberFormat="1" applyFont="1" applyBorder="1" applyAlignment="1">
      <alignment horizontal="center" vertical="center" wrapText="1"/>
    </xf>
    <xf numFmtId="11" fontId="10" fillId="88" borderId="82" xfId="3" applyNumberFormat="1" applyFont="1" applyFill="1" applyBorder="1" applyAlignment="1">
      <alignment horizontal="center" vertical="center" wrapText="1"/>
    </xf>
    <xf numFmtId="11" fontId="10" fillId="88" borderId="58" xfId="3" applyNumberFormat="1" applyFont="1" applyFill="1" applyBorder="1" applyAlignment="1">
      <alignment horizontal="center" vertical="center" wrapText="1"/>
    </xf>
    <xf numFmtId="11" fontId="10" fillId="88" borderId="59" xfId="3" applyNumberFormat="1" applyFont="1" applyFill="1" applyBorder="1" applyAlignment="1">
      <alignment horizontal="center" vertical="center" wrapText="1"/>
    </xf>
    <xf numFmtId="0" fontId="23" fillId="0" borderId="78" xfId="3" applyFont="1" applyBorder="1" applyAlignment="1">
      <alignment horizontal="center" vertical="center" wrapText="1"/>
    </xf>
    <xf numFmtId="2" fontId="23" fillId="0" borderId="61" xfId="3" applyNumberFormat="1" applyFont="1" applyBorder="1" applyAlignment="1">
      <alignment horizontal="center" vertical="center" wrapText="1"/>
    </xf>
    <xf numFmtId="9" fontId="23" fillId="0" borderId="79" xfId="3" applyNumberFormat="1" applyFont="1" applyBorder="1" applyAlignment="1">
      <alignment horizontal="center" vertical="center" wrapText="1"/>
    </xf>
    <xf numFmtId="11" fontId="10" fillId="39" borderId="82" xfId="3" applyNumberFormat="1" applyFont="1" applyFill="1" applyBorder="1" applyAlignment="1">
      <alignment horizontal="center" vertical="center" wrapText="1"/>
    </xf>
    <xf numFmtId="11" fontId="10" fillId="39" borderId="59" xfId="3" applyNumberFormat="1" applyFont="1" applyFill="1" applyBorder="1" applyAlignment="1">
      <alignment horizontal="center" vertical="center" wrapText="1"/>
    </xf>
    <xf numFmtId="11" fontId="10" fillId="88" borderId="62" xfId="3" applyNumberFormat="1" applyFont="1" applyFill="1" applyBorder="1" applyAlignment="1">
      <alignment horizontal="center" vertical="center" wrapText="1"/>
    </xf>
    <xf numFmtId="9" fontId="23" fillId="0" borderId="64" xfId="3" applyNumberFormat="1" applyFont="1" applyBorder="1" applyAlignment="1">
      <alignment horizontal="center" vertical="center" wrapText="1"/>
    </xf>
    <xf numFmtId="164" fontId="23" fillId="0" borderId="64" xfId="3" applyNumberFormat="1" applyFont="1" applyBorder="1" applyAlignment="1">
      <alignment horizontal="center" vertical="center" wrapText="1"/>
    </xf>
    <xf numFmtId="11" fontId="10" fillId="39" borderId="69" xfId="3" applyNumberFormat="1" applyFont="1" applyFill="1" applyBorder="1" applyAlignment="1">
      <alignment horizontal="center" vertical="center" wrapText="1"/>
    </xf>
    <xf numFmtId="164" fontId="23" fillId="0" borderId="170" xfId="3" applyNumberFormat="1" applyFont="1" applyBorder="1" applyAlignment="1">
      <alignment horizontal="center" vertical="center" wrapText="1"/>
    </xf>
    <xf numFmtId="1" fontId="23" fillId="0" borderId="161" xfId="3" applyNumberFormat="1" applyFont="1" applyBorder="1" applyAlignment="1">
      <alignment horizontal="center" vertical="center" wrapText="1"/>
    </xf>
    <xf numFmtId="0" fontId="23" fillId="0" borderId="159" xfId="3" applyFont="1" applyBorder="1" applyAlignment="1">
      <alignment horizontal="center" vertical="center" wrapText="1"/>
    </xf>
    <xf numFmtId="0" fontId="23" fillId="0" borderId="5" xfId="3" applyFont="1" applyBorder="1" applyAlignment="1">
      <alignment horizontal="center" vertical="center" wrapText="1"/>
    </xf>
    <xf numFmtId="0" fontId="23" fillId="39" borderId="160" xfId="3" applyFont="1" applyFill="1" applyBorder="1" applyAlignment="1">
      <alignment horizontal="center" vertical="center" wrapText="1"/>
    </xf>
    <xf numFmtId="0" fontId="23" fillId="0" borderId="162" xfId="3" applyFont="1" applyBorder="1" applyAlignment="1">
      <alignment horizontal="center" vertical="center" wrapText="1"/>
    </xf>
    <xf numFmtId="0" fontId="23" fillId="39" borderId="8" xfId="3" applyFont="1" applyFill="1" applyBorder="1" applyAlignment="1">
      <alignment horizontal="center" vertical="center" wrapText="1"/>
    </xf>
    <xf numFmtId="0" fontId="23" fillId="0" borderId="85" xfId="3" applyFont="1" applyBorder="1" applyAlignment="1">
      <alignment horizontal="center" vertical="center" wrapText="1"/>
    </xf>
    <xf numFmtId="0" fontId="22" fillId="0" borderId="0" xfId="1" applyAlignment="1"/>
    <xf numFmtId="0" fontId="3" fillId="23" borderId="0" xfId="0" applyFont="1" applyFill="1" applyAlignment="1">
      <alignment vertical="center" wrapText="1"/>
    </xf>
    <xf numFmtId="0" fontId="3" fillId="21" borderId="0" xfId="0" applyFont="1" applyFill="1" applyAlignment="1">
      <alignment vertical="center" wrapText="1"/>
    </xf>
    <xf numFmtId="0" fontId="0" fillId="0" borderId="0" xfId="0" applyFont="1" applyAlignment="1">
      <alignment wrapText="1"/>
    </xf>
    <xf numFmtId="0" fontId="3" fillId="0" borderId="0" xfId="0" applyFont="1" applyAlignment="1">
      <alignment vertical="center" wrapText="1"/>
    </xf>
    <xf numFmtId="0" fontId="3" fillId="21" borderId="47" xfId="0" applyFont="1" applyFill="1" applyBorder="1" applyAlignment="1">
      <alignment vertical="center" wrapText="1"/>
    </xf>
    <xf numFmtId="0" fontId="4" fillId="0" borderId="47" xfId="0" applyFont="1" applyBorder="1" applyAlignment="1">
      <alignment vertical="center" wrapText="1"/>
    </xf>
    <xf numFmtId="0" fontId="26" fillId="44" borderId="0" xfId="0" applyFont="1" applyFill="1" applyAlignment="1">
      <alignment vertical="center" wrapText="1"/>
    </xf>
    <xf numFmtId="0" fontId="4" fillId="0" borderId="0" xfId="0" applyFont="1" applyAlignment="1">
      <alignment horizontal="right" vertical="center" wrapText="1"/>
    </xf>
    <xf numFmtId="166" fontId="48" fillId="0" borderId="47" xfId="0" applyNumberFormat="1" applyFont="1" applyBorder="1" applyAlignment="1">
      <alignment horizontal="center" vertical="center"/>
    </xf>
    <xf numFmtId="164" fontId="48" fillId="0" borderId="47" xfId="0" applyNumberFormat="1" applyFont="1" applyBorder="1" applyAlignment="1">
      <alignment horizontal="center" vertical="center"/>
    </xf>
    <xf numFmtId="0" fontId="3" fillId="0" borderId="77" xfId="0" applyFont="1" applyBorder="1" applyAlignment="1">
      <alignment horizontal="center" vertical="center"/>
    </xf>
    <xf numFmtId="164" fontId="48" fillId="0" borderId="60" xfId="0" applyNumberFormat="1" applyFont="1" applyBorder="1" applyAlignment="1">
      <alignment horizontal="center" vertical="center"/>
    </xf>
    <xf numFmtId="0" fontId="3" fillId="0" borderId="78" xfId="0" applyFont="1" applyBorder="1" applyAlignment="1">
      <alignment horizontal="center" vertical="center"/>
    </xf>
    <xf numFmtId="166" fontId="48" fillId="0" borderId="61" xfId="0" applyNumberFormat="1" applyFont="1" applyBorder="1" applyAlignment="1">
      <alignment horizontal="center" vertical="center"/>
    </xf>
    <xf numFmtId="164" fontId="48" fillId="0" borderId="61" xfId="0" applyNumberFormat="1" applyFont="1" applyBorder="1" applyAlignment="1">
      <alignment horizontal="center" vertical="center"/>
    </xf>
    <xf numFmtId="164" fontId="48" fillId="0" borderId="79" xfId="0" applyNumberFormat="1" applyFont="1" applyBorder="1" applyAlignment="1">
      <alignment horizontal="center" vertical="center"/>
    </xf>
    <xf numFmtId="0" fontId="3" fillId="0" borderId="171" xfId="0" applyFont="1" applyBorder="1" applyAlignment="1">
      <alignment horizontal="center" vertical="center"/>
    </xf>
    <xf numFmtId="166" fontId="48" fillId="0" borderId="48" xfId="0" applyNumberFormat="1" applyFont="1" applyBorder="1" applyAlignment="1">
      <alignment horizontal="center" vertical="center"/>
    </xf>
    <xf numFmtId="164" fontId="48" fillId="0" borderId="48" xfId="0" applyNumberFormat="1" applyFont="1" applyBorder="1" applyAlignment="1">
      <alignment horizontal="center" vertical="center"/>
    </xf>
    <xf numFmtId="164" fontId="48" fillId="0" borderId="172" xfId="0" applyNumberFormat="1" applyFont="1" applyBorder="1" applyAlignment="1">
      <alignment horizontal="center" vertical="center"/>
    </xf>
    <xf numFmtId="0" fontId="44" fillId="47" borderId="82" xfId="0" applyFont="1" applyFill="1" applyBorder="1" applyAlignment="1">
      <alignment horizontal="center" vertical="center"/>
    </xf>
    <xf numFmtId="164" fontId="66" fillId="47" borderId="58" xfId="0" applyNumberFormat="1" applyFont="1" applyFill="1" applyBorder="1" applyAlignment="1">
      <alignment horizontal="center" vertical="center"/>
    </xf>
    <xf numFmtId="164" fontId="66" fillId="47" borderId="59" xfId="0" applyNumberFormat="1" applyFont="1" applyFill="1" applyBorder="1" applyAlignment="1">
      <alignment horizontal="center" vertical="center"/>
    </xf>
    <xf numFmtId="166" fontId="48" fillId="0" borderId="16" xfId="0" applyNumberFormat="1" applyFont="1" applyBorder="1" applyAlignment="1">
      <alignment horizontal="center" vertical="center"/>
    </xf>
    <xf numFmtId="164" fontId="48" fillId="0" borderId="16" xfId="0" applyNumberFormat="1" applyFont="1" applyBorder="1" applyAlignment="1">
      <alignment horizontal="center" vertical="center"/>
    </xf>
    <xf numFmtId="0" fontId="3" fillId="39" borderId="77" xfId="0" applyFont="1" applyFill="1" applyBorder="1" applyAlignment="1">
      <alignment horizontal="center" vertical="center"/>
    </xf>
    <xf numFmtId="166" fontId="48" fillId="39" borderId="47" xfId="0" applyNumberFormat="1" applyFont="1" applyFill="1" applyBorder="1" applyAlignment="1">
      <alignment horizontal="center" vertical="center"/>
    </xf>
    <xf numFmtId="164" fontId="48" fillId="39" borderId="47" xfId="0" applyNumberFormat="1" applyFont="1" applyFill="1" applyBorder="1" applyAlignment="1">
      <alignment horizontal="center" vertical="center"/>
    </xf>
    <xf numFmtId="164" fontId="48" fillId="39" borderId="60" xfId="0" applyNumberFormat="1" applyFont="1" applyFill="1" applyBorder="1" applyAlignment="1">
      <alignment horizontal="center" vertical="center"/>
    </xf>
    <xf numFmtId="0" fontId="3" fillId="39" borderId="78" xfId="0" applyFont="1" applyFill="1" applyBorder="1" applyAlignment="1">
      <alignment horizontal="center" vertical="center"/>
    </xf>
    <xf numFmtId="166" fontId="48" fillId="39" borderId="61" xfId="0" applyNumberFormat="1" applyFont="1" applyFill="1" applyBorder="1" applyAlignment="1">
      <alignment horizontal="center" vertical="center"/>
    </xf>
    <xf numFmtId="164" fontId="48" fillId="39" borderId="61" xfId="0" applyNumberFormat="1" applyFont="1" applyFill="1" applyBorder="1" applyAlignment="1">
      <alignment horizontal="center" vertical="center"/>
    </xf>
    <xf numFmtId="164" fontId="48" fillId="39" borderId="79" xfId="0" applyNumberFormat="1" applyFont="1" applyFill="1" applyBorder="1" applyAlignment="1">
      <alignment horizontal="center" vertical="center"/>
    </xf>
    <xf numFmtId="0" fontId="3" fillId="7" borderId="46"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39" borderId="146" xfId="0" applyFont="1" applyFill="1" applyBorder="1" applyAlignment="1">
      <alignment horizontal="center" vertical="center"/>
    </xf>
    <xf numFmtId="166" fontId="48" fillId="39" borderId="50" xfId="0" applyNumberFormat="1" applyFont="1" applyFill="1" applyBorder="1" applyAlignment="1">
      <alignment horizontal="center" vertical="center"/>
    </xf>
    <xf numFmtId="164" fontId="48" fillId="39" borderId="50" xfId="0" applyNumberFormat="1" applyFont="1" applyFill="1" applyBorder="1" applyAlignment="1">
      <alignment horizontal="center" vertical="center"/>
    </xf>
    <xf numFmtId="164" fontId="48" fillId="39" borderId="99" xfId="0" applyNumberFormat="1" applyFont="1" applyFill="1" applyBorder="1" applyAlignment="1">
      <alignment horizontal="center" vertical="center"/>
    </xf>
    <xf numFmtId="0" fontId="4" fillId="0" borderId="16" xfId="0" applyFont="1" applyFill="1" applyBorder="1" applyAlignment="1">
      <alignment vertical="center"/>
    </xf>
    <xf numFmtId="0" fontId="4" fillId="0" borderId="0" xfId="0" applyFont="1" applyFill="1" applyAlignment="1">
      <alignment vertical="center"/>
    </xf>
    <xf numFmtId="164" fontId="48" fillId="0" borderId="16" xfId="0" applyNumberFormat="1" applyFont="1" applyFill="1" applyBorder="1" applyAlignment="1">
      <alignment horizontal="center" vertical="center"/>
    </xf>
    <xf numFmtId="2" fontId="4" fillId="0" borderId="0" xfId="0" applyNumberFormat="1" applyFont="1" applyAlignment="1"/>
    <xf numFmtId="1" fontId="48" fillId="0" borderId="16" xfId="0" applyNumberFormat="1" applyFont="1" applyBorder="1" applyAlignment="1">
      <alignment horizontal="center" vertical="center"/>
    </xf>
    <xf numFmtId="1" fontId="0" fillId="0" borderId="0" xfId="0" applyNumberFormat="1" applyFont="1" applyAlignment="1"/>
    <xf numFmtId="1" fontId="4" fillId="0" borderId="0" xfId="0" applyNumberFormat="1" applyFont="1" applyFill="1" applyAlignment="1">
      <alignment vertical="center"/>
    </xf>
    <xf numFmtId="1" fontId="4" fillId="0" borderId="0" xfId="0" applyNumberFormat="1" applyFont="1" applyAlignment="1">
      <alignment horizontal="right"/>
    </xf>
    <xf numFmtId="1" fontId="48" fillId="0" borderId="16" xfId="0" applyNumberFormat="1" applyFont="1" applyBorder="1" applyAlignment="1">
      <alignment horizontal="right" vertical="center"/>
    </xf>
    <xf numFmtId="1" fontId="4" fillId="0" borderId="0" xfId="0" applyNumberFormat="1" applyFont="1" applyAlignment="1">
      <alignment horizontal="right" vertical="center"/>
    </xf>
    <xf numFmtId="166" fontId="48" fillId="0" borderId="16" xfId="0" applyNumberFormat="1" applyFont="1" applyBorder="1" applyAlignment="1">
      <alignment horizontal="center" vertical="center" wrapText="1"/>
    </xf>
    <xf numFmtId="164" fontId="48" fillId="0" borderId="16" xfId="0" applyNumberFormat="1" applyFont="1" applyBorder="1" applyAlignment="1">
      <alignment horizontal="center" vertical="center" wrapText="1"/>
    </xf>
    <xf numFmtId="2" fontId="48" fillId="0" borderId="16" xfId="0" applyNumberFormat="1" applyFont="1" applyBorder="1" applyAlignment="1">
      <alignment horizontal="right" vertical="center"/>
    </xf>
    <xf numFmtId="0" fontId="23" fillId="0" borderId="16" xfId="3" applyFont="1" applyAlignment="1"/>
    <xf numFmtId="1" fontId="4" fillId="0" borderId="0" xfId="0" applyNumberFormat="1" applyFont="1" applyAlignment="1"/>
    <xf numFmtId="0" fontId="0" fillId="0" borderId="0" xfId="0" applyFont="1" applyAlignment="1">
      <alignment horizontal="center"/>
    </xf>
    <xf numFmtId="1" fontId="0" fillId="0" borderId="0" xfId="0" applyNumberFormat="1" applyFont="1" applyAlignment="1">
      <alignment horizontal="center"/>
    </xf>
    <xf numFmtId="11" fontId="8" fillId="0" borderId="79" xfId="3" applyNumberFormat="1" applyFont="1" applyBorder="1" applyAlignment="1">
      <alignment horizontal="right" vertical="center" wrapText="1"/>
    </xf>
    <xf numFmtId="0" fontId="75" fillId="0" borderId="0" xfId="6" applyAlignment="1">
      <alignment vertical="center"/>
    </xf>
    <xf numFmtId="0" fontId="4" fillId="31" borderId="173" xfId="0" applyFont="1" applyFill="1" applyBorder="1" applyAlignment="1">
      <alignment vertical="center"/>
    </xf>
    <xf numFmtId="0" fontId="5" fillId="31" borderId="173" xfId="0" applyFont="1" applyFill="1" applyBorder="1" applyAlignment="1">
      <alignment vertical="center"/>
    </xf>
    <xf numFmtId="0" fontId="4" fillId="31" borderId="175" xfId="0" applyFont="1" applyFill="1" applyBorder="1" applyAlignment="1">
      <alignment vertical="center"/>
    </xf>
    <xf numFmtId="0" fontId="4" fillId="31" borderId="3" xfId="0" applyFont="1" applyFill="1" applyBorder="1" applyAlignment="1">
      <alignment vertical="center"/>
    </xf>
    <xf numFmtId="0" fontId="4" fillId="31" borderId="4" xfId="0" applyFont="1" applyFill="1" applyBorder="1" applyAlignment="1">
      <alignment vertical="center"/>
    </xf>
    <xf numFmtId="0" fontId="27" fillId="31" borderId="174" xfId="0" applyFont="1" applyFill="1" applyBorder="1" applyAlignment="1">
      <alignment vertical="center"/>
    </xf>
    <xf numFmtId="0" fontId="27" fillId="31" borderId="176" xfId="0" applyFont="1" applyFill="1" applyBorder="1" applyAlignment="1">
      <alignment vertical="center"/>
    </xf>
    <xf numFmtId="164" fontId="4" fillId="89" borderId="48" xfId="0" applyNumberFormat="1" applyFont="1" applyFill="1" applyBorder="1" applyAlignment="1">
      <alignment vertical="center"/>
    </xf>
    <xf numFmtId="164" fontId="4" fillId="89" borderId="47" xfId="0" applyNumberFormat="1" applyFont="1" applyFill="1" applyBorder="1" applyAlignment="1">
      <alignment vertical="center"/>
    </xf>
    <xf numFmtId="0" fontId="4" fillId="89" borderId="47" xfId="0" applyFont="1" applyFill="1" applyBorder="1" applyAlignment="1">
      <alignment vertical="center"/>
    </xf>
    <xf numFmtId="164" fontId="4" fillId="89" borderId="5" xfId="0" applyNumberFormat="1" applyFont="1" applyFill="1" applyBorder="1" applyAlignment="1">
      <alignment vertical="center"/>
    </xf>
    <xf numFmtId="164" fontId="4" fillId="39" borderId="5" xfId="0" applyNumberFormat="1" applyFont="1" applyFill="1" applyBorder="1" applyAlignment="1">
      <alignment vertical="center"/>
    </xf>
    <xf numFmtId="164" fontId="4" fillId="89" borderId="86" xfId="0" applyNumberFormat="1" applyFont="1" applyFill="1" applyBorder="1" applyAlignment="1">
      <alignment vertical="center"/>
    </xf>
    <xf numFmtId="0" fontId="3" fillId="39" borderId="49" xfId="0" applyFont="1" applyFill="1" applyBorder="1" applyAlignment="1">
      <alignment vertical="center" wrapText="1"/>
    </xf>
    <xf numFmtId="0" fontId="5" fillId="31" borderId="3" xfId="0" applyFont="1" applyFill="1" applyBorder="1" applyAlignment="1">
      <alignment vertical="center"/>
    </xf>
    <xf numFmtId="164" fontId="4" fillId="87" borderId="47" xfId="0" applyNumberFormat="1" applyFont="1" applyFill="1" applyBorder="1" applyAlignment="1">
      <alignment vertical="center"/>
    </xf>
    <xf numFmtId="164" fontId="4" fillId="0" borderId="5" xfId="0" applyNumberFormat="1" applyFont="1" applyBorder="1" applyAlignment="1">
      <alignment vertical="center"/>
    </xf>
    <xf numFmtId="167" fontId="8" fillId="0" borderId="47" xfId="0" applyNumberFormat="1" applyFont="1" applyBorder="1" applyAlignment="1">
      <alignment vertical="center"/>
    </xf>
    <xf numFmtId="167" fontId="0" fillId="0" borderId="0" xfId="0" applyNumberFormat="1" applyFont="1" applyAlignment="1"/>
    <xf numFmtId="10" fontId="8" fillId="90" borderId="47" xfId="2" applyNumberFormat="1" applyFont="1" applyFill="1" applyBorder="1" applyAlignment="1">
      <alignment vertical="center"/>
    </xf>
    <xf numFmtId="10" fontId="0" fillId="0" borderId="0" xfId="2" applyNumberFormat="1" applyFont="1" applyAlignment="1"/>
    <xf numFmtId="0" fontId="1" fillId="0" borderId="16" xfId="0" applyFont="1" applyBorder="1" applyAlignment="1">
      <alignment horizontal="right" vertical="center" wrapText="1"/>
    </xf>
    <xf numFmtId="164" fontId="4" fillId="0" borderId="16" xfId="0" applyNumberFormat="1" applyFont="1" applyBorder="1" applyAlignment="1">
      <alignment vertical="center"/>
    </xf>
    <xf numFmtId="164" fontId="4" fillId="87" borderId="5" xfId="0" applyNumberFormat="1" applyFont="1" applyFill="1" applyBorder="1" applyAlignment="1">
      <alignment vertical="center"/>
    </xf>
    <xf numFmtId="0" fontId="43" fillId="87" borderId="17" xfId="0" applyFont="1" applyFill="1" applyBorder="1"/>
    <xf numFmtId="0" fontId="43" fillId="87" borderId="28" xfId="0" applyFont="1" applyFill="1" applyBorder="1"/>
    <xf numFmtId="164" fontId="4" fillId="87" borderId="48" xfId="0" applyNumberFormat="1" applyFont="1" applyFill="1" applyBorder="1" applyAlignment="1">
      <alignment vertical="center"/>
    </xf>
    <xf numFmtId="0" fontId="4" fillId="87" borderId="47" xfId="0" applyFont="1" applyFill="1" applyBorder="1" applyAlignment="1">
      <alignment vertical="center"/>
    </xf>
    <xf numFmtId="0" fontId="72" fillId="0" borderId="0" xfId="0" applyFont="1" applyFill="1" applyAlignment="1">
      <alignment horizontal="right" vertical="center" wrapText="1"/>
    </xf>
    <xf numFmtId="164" fontId="73" fillId="0" borderId="0" xfId="0" applyNumberFormat="1" applyFont="1" applyFill="1" applyAlignment="1">
      <alignment vertical="center"/>
    </xf>
    <xf numFmtId="0" fontId="73" fillId="0" borderId="0" xfId="0" applyFont="1" applyFill="1" applyAlignment="1">
      <alignment vertical="center"/>
    </xf>
    <xf numFmtId="10" fontId="23" fillId="0" borderId="47" xfId="3" applyNumberFormat="1" applyBorder="1"/>
    <xf numFmtId="10" fontId="23" fillId="0" borderId="63" xfId="3" applyNumberFormat="1" applyBorder="1"/>
    <xf numFmtId="0" fontId="23" fillId="0" borderId="84" xfId="3" applyBorder="1"/>
    <xf numFmtId="0" fontId="23" fillId="0" borderId="85" xfId="3" applyBorder="1"/>
    <xf numFmtId="0" fontId="23" fillId="0" borderId="94" xfId="3" applyBorder="1"/>
    <xf numFmtId="10" fontId="23" fillId="0" borderId="98" xfId="3" applyNumberFormat="1" applyBorder="1"/>
    <xf numFmtId="10" fontId="23" fillId="0" borderId="50" xfId="3" applyNumberFormat="1" applyBorder="1"/>
    <xf numFmtId="0" fontId="23" fillId="0" borderId="134" xfId="3" applyBorder="1" applyAlignment="1">
      <alignment horizontal="center" vertical="center"/>
    </xf>
    <xf numFmtId="0" fontId="23" fillId="0" borderId="92" xfId="3" applyBorder="1" applyAlignment="1">
      <alignment horizontal="center" vertical="center"/>
    </xf>
    <xf numFmtId="0" fontId="23" fillId="0" borderId="93" xfId="3" applyBorder="1"/>
    <xf numFmtId="10" fontId="23" fillId="0" borderId="99" xfId="3" applyNumberFormat="1" applyBorder="1"/>
    <xf numFmtId="10" fontId="23" fillId="0" borderId="60" xfId="3" applyNumberFormat="1" applyBorder="1"/>
    <xf numFmtId="10" fontId="23" fillId="0" borderId="64" xfId="3" applyNumberFormat="1" applyBorder="1"/>
    <xf numFmtId="10" fontId="23" fillId="0" borderId="61" xfId="3" applyNumberFormat="1" applyBorder="1"/>
    <xf numFmtId="10" fontId="23" fillId="0" borderId="79" xfId="3" applyNumberFormat="1" applyBorder="1"/>
    <xf numFmtId="0" fontId="23" fillId="0" borderId="67" xfId="3" applyBorder="1"/>
    <xf numFmtId="0" fontId="23" fillId="0" borderId="16" xfId="3" applyFont="1" applyAlignment="1"/>
    <xf numFmtId="9" fontId="23" fillId="0" borderId="16" xfId="2" applyFont="1" applyBorder="1"/>
    <xf numFmtId="2" fontId="4" fillId="0" borderId="5" xfId="0" applyNumberFormat="1" applyFont="1" applyBorder="1" applyAlignment="1">
      <alignment vertical="center"/>
    </xf>
    <xf numFmtId="9" fontId="4" fillId="0" borderId="5" xfId="2" applyFont="1" applyBorder="1" applyAlignment="1">
      <alignment vertical="center"/>
    </xf>
    <xf numFmtId="0" fontId="4" fillId="0" borderId="5" xfId="0" applyFont="1" applyBorder="1" applyAlignment="1">
      <alignment vertical="center" wrapText="1"/>
    </xf>
    <xf numFmtId="0" fontId="1" fillId="0" borderId="5" xfId="0" applyFont="1" applyBorder="1" applyAlignment="1"/>
    <xf numFmtId="9" fontId="1" fillId="0" borderId="5" xfId="0" applyNumberFormat="1" applyFont="1" applyBorder="1" applyAlignment="1"/>
    <xf numFmtId="167" fontId="1" fillId="0" borderId="5" xfId="2" applyNumberFormat="1" applyFont="1" applyBorder="1" applyAlignment="1"/>
    <xf numFmtId="2" fontId="1" fillId="0" borderId="5" xfId="0" applyNumberFormat="1" applyFont="1" applyBorder="1" applyAlignment="1"/>
    <xf numFmtId="0" fontId="1" fillId="91" borderId="5" xfId="0" applyFont="1" applyFill="1" applyBorder="1" applyAlignment="1"/>
    <xf numFmtId="0" fontId="27" fillId="87" borderId="5" xfId="0" applyFont="1" applyFill="1" applyBorder="1" applyAlignment="1"/>
    <xf numFmtId="0" fontId="64" fillId="40" borderId="168" xfId="0" applyFont="1" applyFill="1" applyBorder="1" applyAlignment="1">
      <alignment horizontal="center" vertical="center" wrapText="1"/>
    </xf>
    <xf numFmtId="164" fontId="8" fillId="0" borderId="177" xfId="3" applyNumberFormat="1" applyFont="1" applyBorder="1" applyAlignment="1">
      <alignment vertical="center"/>
    </xf>
    <xf numFmtId="164" fontId="8" fillId="0" borderId="179" xfId="3" applyNumberFormat="1" applyFont="1" applyBorder="1" applyAlignment="1">
      <alignment vertical="center"/>
    </xf>
    <xf numFmtId="0" fontId="15" fillId="33" borderId="95" xfId="3" applyFont="1" applyFill="1" applyBorder="1" applyAlignment="1">
      <alignment horizontal="center" vertical="center" wrapText="1"/>
    </xf>
    <xf numFmtId="0" fontId="15" fillId="33" borderId="124" xfId="3" applyFont="1" applyFill="1" applyBorder="1" applyAlignment="1">
      <alignment horizontal="center" vertical="center" wrapText="1"/>
    </xf>
    <xf numFmtId="0" fontId="15" fillId="34" borderId="97" xfId="3" applyFont="1" applyFill="1" applyBorder="1" applyAlignment="1">
      <alignment horizontal="center" vertical="center" wrapText="1"/>
    </xf>
    <xf numFmtId="0" fontId="15" fillId="69" borderId="97" xfId="3" applyFont="1" applyFill="1" applyBorder="1" applyAlignment="1">
      <alignment horizontal="center" vertical="center" wrapText="1"/>
    </xf>
    <xf numFmtId="0" fontId="15" fillId="70" borderId="97" xfId="3" applyFont="1" applyFill="1" applyBorder="1" applyAlignment="1">
      <alignment horizontal="center" vertical="center" wrapText="1"/>
    </xf>
    <xf numFmtId="0" fontId="15" fillId="36" borderId="97" xfId="3" applyFont="1" applyFill="1" applyBorder="1" applyAlignment="1">
      <alignment horizontal="center" vertical="center" wrapText="1"/>
    </xf>
    <xf numFmtId="0" fontId="15" fillId="71" borderId="97" xfId="3" applyFont="1" applyFill="1" applyBorder="1" applyAlignment="1">
      <alignment horizontal="center" vertical="center" wrapText="1"/>
    </xf>
    <xf numFmtId="0" fontId="47" fillId="72" borderId="97" xfId="3" applyFont="1" applyFill="1" applyBorder="1" applyAlignment="1">
      <alignment horizontal="center" vertical="center" wrapText="1"/>
    </xf>
    <xf numFmtId="165" fontId="77" fillId="37" borderId="177" xfId="3" applyNumberFormat="1" applyFont="1" applyFill="1" applyBorder="1" applyAlignment="1">
      <alignment horizontal="right" vertical="center"/>
    </xf>
    <xf numFmtId="0" fontId="77" fillId="38" borderId="24" xfId="3" applyFont="1" applyFill="1" applyBorder="1" applyAlignment="1">
      <alignment vertical="center" wrapText="1"/>
    </xf>
    <xf numFmtId="0" fontId="77" fillId="38" borderId="5" xfId="3" applyFont="1" applyFill="1" applyBorder="1" applyAlignment="1">
      <alignment vertical="center" wrapText="1"/>
    </xf>
    <xf numFmtId="0" fontId="77" fillId="38" borderId="177" xfId="3" applyFont="1" applyFill="1" applyBorder="1" applyAlignment="1">
      <alignment vertical="center" wrapText="1"/>
    </xf>
    <xf numFmtId="0" fontId="77" fillId="4" borderId="71" xfId="3" applyFont="1" applyFill="1" applyBorder="1" applyAlignment="1">
      <alignment horizontal="center" vertical="center"/>
    </xf>
    <xf numFmtId="165" fontId="77" fillId="37" borderId="77" xfId="3" applyNumberFormat="1" applyFont="1" applyFill="1" applyBorder="1" applyAlignment="1">
      <alignment horizontal="right" vertical="center"/>
    </xf>
    <xf numFmtId="165" fontId="77" fillId="37" borderId="63" xfId="3" applyNumberFormat="1" applyFont="1" applyFill="1" applyBorder="1" applyAlignment="1">
      <alignment horizontal="right" vertical="center"/>
    </xf>
    <xf numFmtId="165" fontId="77" fillId="37" borderId="47" xfId="3" applyNumberFormat="1" applyFont="1" applyFill="1" applyBorder="1" applyAlignment="1">
      <alignment horizontal="right" vertical="center"/>
    </xf>
    <xf numFmtId="10" fontId="77" fillId="37" borderId="47" xfId="2" applyNumberFormat="1" applyFont="1" applyFill="1" applyBorder="1" applyAlignment="1">
      <alignment horizontal="right" vertical="center"/>
    </xf>
    <xf numFmtId="0" fontId="23" fillId="4" borderId="71" xfId="3" applyFont="1" applyFill="1" applyBorder="1" applyAlignment="1">
      <alignment horizontal="center" vertical="center"/>
    </xf>
    <xf numFmtId="165" fontId="77" fillId="4" borderId="24" xfId="3" applyNumberFormat="1" applyFont="1" applyFill="1" applyBorder="1" applyAlignment="1">
      <alignment horizontal="right" vertical="center"/>
    </xf>
    <xf numFmtId="165" fontId="77" fillId="0" borderId="5" xfId="3" applyNumberFormat="1" applyFont="1" applyBorder="1" applyAlignment="1">
      <alignment vertical="center" wrapText="1"/>
    </xf>
    <xf numFmtId="165" fontId="77" fillId="0" borderId="177" xfId="3" applyNumberFormat="1" applyFont="1" applyBorder="1" applyAlignment="1">
      <alignment vertical="center" wrapText="1"/>
    </xf>
    <xf numFmtId="165" fontId="10" fillId="4" borderId="77" xfId="3" applyNumberFormat="1" applyFont="1" applyFill="1" applyBorder="1" applyAlignment="1">
      <alignment horizontal="right" vertical="center"/>
    </xf>
    <xf numFmtId="164" fontId="77" fillId="0" borderId="5" xfId="3" applyNumberFormat="1" applyFont="1" applyBorder="1" applyAlignment="1">
      <alignment vertical="center" wrapText="1"/>
    </xf>
    <xf numFmtId="165" fontId="10" fillId="4" borderId="63" xfId="3" applyNumberFormat="1" applyFont="1" applyFill="1" applyBorder="1" applyAlignment="1">
      <alignment horizontal="right" vertical="center"/>
    </xf>
    <xf numFmtId="165" fontId="10" fillId="20" borderId="47" xfId="3" applyNumberFormat="1" applyFont="1" applyFill="1" applyBorder="1" applyAlignment="1">
      <alignment horizontal="right" vertical="center"/>
    </xf>
    <xf numFmtId="165" fontId="10" fillId="0" borderId="47" xfId="3" applyNumberFormat="1" applyFont="1" applyFill="1" applyBorder="1" applyAlignment="1">
      <alignment horizontal="right" vertical="center"/>
    </xf>
    <xf numFmtId="165" fontId="10" fillId="31" borderId="47" xfId="3" applyNumberFormat="1" applyFont="1" applyFill="1" applyBorder="1" applyAlignment="1">
      <alignment horizontal="right" vertical="center"/>
    </xf>
    <xf numFmtId="165" fontId="10" fillId="4" borderId="47" xfId="3" applyNumberFormat="1" applyFont="1" applyFill="1" applyBorder="1" applyAlignment="1">
      <alignment horizontal="right" vertical="center"/>
    </xf>
    <xf numFmtId="165" fontId="77" fillId="4" borderId="47" xfId="3" applyNumberFormat="1" applyFont="1" applyFill="1" applyBorder="1" applyAlignment="1">
      <alignment horizontal="right" vertical="center"/>
    </xf>
    <xf numFmtId="165" fontId="77" fillId="4" borderId="77" xfId="3" applyNumberFormat="1" applyFont="1" applyFill="1" applyBorder="1" applyAlignment="1">
      <alignment horizontal="right" vertical="center"/>
    </xf>
    <xf numFmtId="165" fontId="77" fillId="4" borderId="63" xfId="3" applyNumberFormat="1" applyFont="1" applyFill="1" applyBorder="1" applyAlignment="1">
      <alignment horizontal="right" vertical="center"/>
    </xf>
    <xf numFmtId="165" fontId="77" fillId="0" borderId="5" xfId="3" applyNumberFormat="1" applyFont="1" applyFill="1" applyBorder="1" applyAlignment="1">
      <alignment vertical="center" wrapText="1"/>
    </xf>
    <xf numFmtId="164" fontId="77" fillId="0" borderId="5" xfId="3" applyNumberFormat="1" applyFont="1" applyFill="1" applyBorder="1" applyAlignment="1">
      <alignment vertical="center" wrapText="1"/>
    </xf>
    <xf numFmtId="0" fontId="77" fillId="4" borderId="180" xfId="3" applyFont="1" applyFill="1" applyBorder="1" applyAlignment="1">
      <alignment horizontal="center" vertical="center"/>
    </xf>
    <xf numFmtId="165" fontId="77" fillId="4" borderId="78" xfId="3" applyNumberFormat="1" applyFont="1" applyFill="1" applyBorder="1" applyAlignment="1">
      <alignment horizontal="right" vertical="center"/>
    </xf>
    <xf numFmtId="165" fontId="77" fillId="4" borderId="64" xfId="3" applyNumberFormat="1" applyFont="1" applyFill="1" applyBorder="1" applyAlignment="1">
      <alignment horizontal="right" vertical="center"/>
    </xf>
    <xf numFmtId="165" fontId="77" fillId="4" borderId="61" xfId="3" applyNumberFormat="1" applyFont="1" applyFill="1" applyBorder="1" applyAlignment="1">
      <alignment horizontal="right" vertical="center"/>
    </xf>
    <xf numFmtId="165" fontId="10" fillId="4" borderId="61" xfId="3" applyNumberFormat="1" applyFont="1" applyFill="1" applyBorder="1" applyAlignment="1">
      <alignment horizontal="right" vertical="center"/>
    </xf>
    <xf numFmtId="165" fontId="77" fillId="4" borderId="181" xfId="3" applyNumberFormat="1" applyFont="1" applyFill="1" applyBorder="1" applyAlignment="1">
      <alignment horizontal="right" vertical="center"/>
    </xf>
    <xf numFmtId="165" fontId="77" fillId="0" borderId="178" xfId="3" applyNumberFormat="1" applyFont="1" applyBorder="1" applyAlignment="1">
      <alignment vertical="center" wrapText="1"/>
    </xf>
    <xf numFmtId="164" fontId="77" fillId="0" borderId="178" xfId="3" applyNumberFormat="1" applyFont="1" applyBorder="1" applyAlignment="1">
      <alignment vertical="center" wrapText="1"/>
    </xf>
    <xf numFmtId="165" fontId="77" fillId="0" borderId="179" xfId="3" applyNumberFormat="1" applyFont="1" applyBorder="1" applyAlignment="1">
      <alignment vertical="center" wrapText="1"/>
    </xf>
    <xf numFmtId="0" fontId="77" fillId="4" borderId="150" xfId="3" applyFont="1" applyFill="1" applyBorder="1" applyAlignment="1">
      <alignment horizontal="center" vertical="center"/>
    </xf>
    <xf numFmtId="165" fontId="77" fillId="37" borderId="146" xfId="3" applyNumberFormat="1" applyFont="1" applyFill="1" applyBorder="1" applyAlignment="1">
      <alignment horizontal="right" vertical="center"/>
    </xf>
    <xf numFmtId="165" fontId="77" fillId="37" borderId="98" xfId="3" applyNumberFormat="1" applyFont="1" applyFill="1" applyBorder="1" applyAlignment="1">
      <alignment horizontal="right" vertical="center"/>
    </xf>
    <xf numFmtId="165" fontId="77" fillId="37" borderId="50" xfId="3" applyNumberFormat="1" applyFont="1" applyFill="1" applyBorder="1" applyAlignment="1">
      <alignment horizontal="right" vertical="center"/>
    </xf>
    <xf numFmtId="0" fontId="8" fillId="26" borderId="50" xfId="3" applyFont="1" applyFill="1" applyBorder="1" applyAlignment="1">
      <alignment vertical="center"/>
    </xf>
    <xf numFmtId="10" fontId="77" fillId="37" borderId="50" xfId="2" applyNumberFormat="1" applyFont="1" applyFill="1" applyBorder="1" applyAlignment="1">
      <alignment horizontal="right" vertical="center"/>
    </xf>
    <xf numFmtId="0" fontId="8" fillId="26" borderId="98" xfId="3" applyFont="1" applyFill="1" applyBorder="1" applyAlignment="1">
      <alignment vertical="center"/>
    </xf>
    <xf numFmtId="165" fontId="77" fillId="37" borderId="182" xfId="3" applyNumberFormat="1" applyFont="1" applyFill="1" applyBorder="1" applyAlignment="1">
      <alignment horizontal="right" vertical="center"/>
    </xf>
    <xf numFmtId="0" fontId="77" fillId="38" borderId="4" xfId="3" applyFont="1" applyFill="1" applyBorder="1" applyAlignment="1">
      <alignment vertical="center" wrapText="1"/>
    </xf>
    <xf numFmtId="0" fontId="77" fillId="38" borderId="28" xfId="3" applyFont="1" applyFill="1" applyBorder="1" applyAlignment="1">
      <alignment vertical="center" wrapText="1"/>
    </xf>
    <xf numFmtId="0" fontId="77" fillId="38" borderId="182" xfId="3" applyFont="1" applyFill="1" applyBorder="1" applyAlignment="1">
      <alignment vertical="center" wrapText="1"/>
    </xf>
    <xf numFmtId="0" fontId="15" fillId="71" borderId="183" xfId="3" applyFont="1" applyFill="1" applyBorder="1" applyAlignment="1">
      <alignment horizontal="center" vertical="center" wrapText="1"/>
    </xf>
    <xf numFmtId="0" fontId="15" fillId="73" borderId="181" xfId="3" applyFont="1" applyFill="1" applyBorder="1" applyAlignment="1">
      <alignment horizontal="center" vertical="center" wrapText="1"/>
    </xf>
    <xf numFmtId="0" fontId="9" fillId="74" borderId="178" xfId="3" applyFont="1" applyFill="1" applyBorder="1" applyAlignment="1">
      <alignment horizontal="center" vertical="center" wrapText="1"/>
    </xf>
    <xf numFmtId="0" fontId="15" fillId="73" borderId="178" xfId="3" applyFont="1" applyFill="1" applyBorder="1" applyAlignment="1">
      <alignment horizontal="center" vertical="center" wrapText="1"/>
    </xf>
    <xf numFmtId="0" fontId="15" fillId="73" borderId="179" xfId="3" applyFont="1" applyFill="1" applyBorder="1" applyAlignment="1">
      <alignment horizontal="center" vertical="center" wrapText="1"/>
    </xf>
    <xf numFmtId="0" fontId="3" fillId="22" borderId="82" xfId="0" applyFont="1" applyFill="1" applyBorder="1" applyAlignment="1">
      <alignment vertical="center" wrapText="1"/>
    </xf>
    <xf numFmtId="0" fontId="4" fillId="22" borderId="58" xfId="0" applyNumberFormat="1" applyFont="1" applyFill="1" applyBorder="1" applyAlignment="1">
      <alignment vertical="center" wrapText="1"/>
    </xf>
    <xf numFmtId="0" fontId="4" fillId="22" borderId="58" xfId="0" applyFont="1" applyFill="1" applyBorder="1" applyAlignment="1">
      <alignment vertical="center" wrapText="1"/>
    </xf>
    <xf numFmtId="0" fontId="5" fillId="22" borderId="58" xfId="0" applyFont="1" applyFill="1" applyBorder="1" applyAlignment="1">
      <alignmen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4" fillId="0" borderId="61" xfId="0" applyNumberFormat="1" applyFont="1" applyBorder="1" applyAlignment="1">
      <alignment vertical="center"/>
    </xf>
    <xf numFmtId="9" fontId="5" fillId="0" borderId="61" xfId="0" applyNumberFormat="1" applyFont="1" applyBorder="1" applyAlignment="1">
      <alignment vertical="center"/>
    </xf>
    <xf numFmtId="167" fontId="27" fillId="0" borderId="61" xfId="0" applyNumberFormat="1" applyFont="1" applyBorder="1" applyAlignment="1">
      <alignment vertical="center"/>
    </xf>
    <xf numFmtId="0" fontId="43" fillId="0" borderId="61" xfId="0" applyFont="1" applyBorder="1"/>
    <xf numFmtId="0" fontId="74" fillId="39" borderId="0" xfId="0" applyFont="1" applyFill="1" applyAlignment="1">
      <alignment horizontal="center" vertical="center"/>
    </xf>
    <xf numFmtId="1" fontId="3" fillId="86" borderId="29" xfId="0" applyNumberFormat="1" applyFont="1" applyFill="1" applyBorder="1" applyAlignment="1">
      <alignment horizontal="center" vertical="center"/>
    </xf>
    <xf numFmtId="0" fontId="4" fillId="0" borderId="0" xfId="0" applyFont="1" applyAlignment="1">
      <alignment horizontal="center" vertical="center" wrapText="1"/>
    </xf>
    <xf numFmtId="0" fontId="13" fillId="4" borderId="80" xfId="3" applyFont="1" applyFill="1" applyBorder="1" applyAlignment="1">
      <alignment horizontal="left" vertical="center" wrapText="1"/>
    </xf>
    <xf numFmtId="0" fontId="8" fillId="0" borderId="106" xfId="3" applyFont="1" applyFill="1" applyBorder="1" applyAlignment="1">
      <alignment horizontal="center" vertical="center" wrapText="1"/>
    </xf>
    <xf numFmtId="0" fontId="15" fillId="48" borderId="103" xfId="3" applyFont="1" applyFill="1" applyBorder="1" applyAlignment="1">
      <alignment horizontal="center" vertical="center" wrapText="1"/>
    </xf>
    <xf numFmtId="0" fontId="23" fillId="0" borderId="16" xfId="3" applyFont="1" applyAlignment="1"/>
    <xf numFmtId="0" fontId="9" fillId="7" borderId="10" xfId="3" applyFont="1" applyFill="1" applyBorder="1" applyAlignment="1">
      <alignment horizontal="center" vertical="center"/>
    </xf>
    <xf numFmtId="0" fontId="9" fillId="58" borderId="11" xfId="3" applyFont="1" applyFill="1" applyBorder="1" applyAlignment="1">
      <alignment horizontal="center" vertical="center"/>
    </xf>
    <xf numFmtId="0" fontId="1" fillId="20" borderId="0" xfId="0" applyFont="1" applyFill="1" applyAlignment="1">
      <alignment horizontal="center" vertical="center"/>
    </xf>
    <xf numFmtId="0" fontId="4" fillId="2" borderId="16" xfId="3" applyFont="1" applyFill="1" applyBorder="1" applyAlignment="1">
      <alignment horizontal="center"/>
    </xf>
    <xf numFmtId="0" fontId="15" fillId="47" borderId="55" xfId="0" applyFont="1" applyFill="1" applyBorder="1" applyAlignment="1">
      <alignment horizontal="center" vertical="center" wrapText="1"/>
    </xf>
    <xf numFmtId="0" fontId="15" fillId="47" borderId="57" xfId="0" applyFont="1" applyFill="1" applyBorder="1" applyAlignment="1">
      <alignment horizontal="center" vertical="center" wrapText="1"/>
    </xf>
    <xf numFmtId="0" fontId="15" fillId="39" borderId="74" xfId="0" applyFont="1" applyFill="1" applyBorder="1" applyAlignment="1">
      <alignment horizontal="center" vertical="center" wrapText="1"/>
    </xf>
    <xf numFmtId="0" fontId="15" fillId="39" borderId="55" xfId="0" applyFont="1" applyFill="1" applyBorder="1" applyAlignment="1">
      <alignment horizontal="center" vertical="center" wrapText="1"/>
    </xf>
    <xf numFmtId="0" fontId="15" fillId="39" borderId="57"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3" fillId="21" borderId="81" xfId="0" applyFont="1" applyFill="1" applyBorder="1" applyAlignment="1">
      <alignment horizontal="center" vertical="center" wrapText="1"/>
    </xf>
    <xf numFmtId="0" fontId="0" fillId="0" borderId="85" xfId="0" applyFont="1" applyBorder="1" applyAlignment="1">
      <alignment horizontal="center" vertical="center" wrapText="1"/>
    </xf>
    <xf numFmtId="0" fontId="3" fillId="21" borderId="81" xfId="0" applyFont="1" applyFill="1" applyBorder="1" applyAlignment="1">
      <alignment vertical="center" wrapText="1"/>
    </xf>
    <xf numFmtId="0" fontId="0" fillId="0" borderId="85" xfId="0" applyFont="1" applyBorder="1" applyAlignment="1">
      <alignment vertical="center" wrapText="1"/>
    </xf>
    <xf numFmtId="1" fontId="3" fillId="39" borderId="30" xfId="0" applyNumberFormat="1" applyFont="1" applyFill="1" applyBorder="1" applyAlignment="1">
      <alignment horizontal="center" vertical="center"/>
    </xf>
    <xf numFmtId="1" fontId="3" fillId="39" borderId="29" xfId="0" applyNumberFormat="1" applyFont="1" applyFill="1" applyBorder="1" applyAlignment="1">
      <alignment horizontal="center" vertical="center"/>
    </xf>
    <xf numFmtId="1" fontId="3" fillId="39" borderId="24" xfId="0" applyNumberFormat="1" applyFont="1" applyFill="1" applyBorder="1" applyAlignment="1">
      <alignment horizontal="center" vertical="center"/>
    </xf>
    <xf numFmtId="0" fontId="3" fillId="21" borderId="68" xfId="0" applyFont="1" applyFill="1" applyBorder="1" applyAlignment="1">
      <alignment horizontal="center" vertical="center" wrapText="1"/>
    </xf>
    <xf numFmtId="0" fontId="3" fillId="21" borderId="69" xfId="0" applyFont="1" applyFill="1" applyBorder="1" applyAlignment="1">
      <alignment horizontal="center" vertical="center" wrapText="1"/>
    </xf>
    <xf numFmtId="0" fontId="3" fillId="21" borderId="70" xfId="0" applyFont="1" applyFill="1" applyBorder="1" applyAlignment="1">
      <alignment horizontal="center" vertical="center" wrapText="1"/>
    </xf>
    <xf numFmtId="0" fontId="74" fillId="39" borderId="0" xfId="0" applyFont="1" applyFill="1" applyAlignment="1">
      <alignment horizontal="center" vertical="center"/>
    </xf>
    <xf numFmtId="0" fontId="15" fillId="47" borderId="74" xfId="0" applyFont="1" applyFill="1" applyBorder="1" applyAlignment="1">
      <alignment horizontal="center" vertical="center" wrapText="1"/>
    </xf>
    <xf numFmtId="1" fontId="3" fillId="85" borderId="30" xfId="0" applyNumberFormat="1" applyFont="1" applyFill="1" applyBorder="1" applyAlignment="1">
      <alignment horizontal="center" vertical="center"/>
    </xf>
    <xf numFmtId="1" fontId="3" fillId="85" borderId="29" xfId="0" applyNumberFormat="1" applyFont="1" applyFill="1" applyBorder="1" applyAlignment="1">
      <alignment horizontal="center" vertical="center"/>
    </xf>
    <xf numFmtId="1" fontId="3" fillId="85" borderId="24" xfId="0" applyNumberFormat="1" applyFont="1" applyFill="1" applyBorder="1" applyAlignment="1">
      <alignment horizontal="center" vertical="center"/>
    </xf>
    <xf numFmtId="1" fontId="3" fillId="86" borderId="30" xfId="0" applyNumberFormat="1" applyFont="1" applyFill="1" applyBorder="1" applyAlignment="1">
      <alignment horizontal="center" vertical="center"/>
    </xf>
    <xf numFmtId="1" fontId="3" fillId="86" borderId="29" xfId="0" applyNumberFormat="1" applyFont="1" applyFill="1" applyBorder="1" applyAlignment="1">
      <alignment horizontal="center" vertical="center"/>
    </xf>
    <xf numFmtId="1" fontId="3" fillId="86" borderId="24" xfId="0" applyNumberFormat="1" applyFont="1" applyFill="1" applyBorder="1" applyAlignment="1">
      <alignment horizontal="center" vertical="center"/>
    </xf>
    <xf numFmtId="0" fontId="76" fillId="73" borderId="75" xfId="3" applyFont="1" applyFill="1" applyBorder="1" applyAlignment="1">
      <alignment horizontal="center" vertical="center" wrapText="1"/>
    </xf>
    <xf numFmtId="0" fontId="23" fillId="0" borderId="76" xfId="0" applyFont="1" applyBorder="1" applyAlignment="1">
      <alignment horizontal="center" vertical="center"/>
    </xf>
    <xf numFmtId="0" fontId="76" fillId="73" borderId="147" xfId="3" applyFont="1" applyFill="1" applyBorder="1" applyAlignment="1">
      <alignment horizontal="center" vertical="center" wrapText="1"/>
    </xf>
    <xf numFmtId="0" fontId="23" fillId="0" borderId="168" xfId="0" applyFont="1" applyBorder="1" applyAlignment="1">
      <alignment horizontal="center" vertical="center"/>
    </xf>
    <xf numFmtId="0" fontId="13" fillId="4" borderId="80" xfId="3" applyFont="1" applyFill="1" applyBorder="1" applyAlignment="1">
      <alignment horizontal="left" vertical="center" wrapText="1"/>
    </xf>
    <xf numFmtId="0" fontId="46" fillId="0" borderId="80" xfId="3" applyFont="1" applyBorder="1" applyAlignment="1">
      <alignment horizontal="left"/>
    </xf>
    <xf numFmtId="0" fontId="11" fillId="4" borderId="80" xfId="3" applyFont="1" applyFill="1" applyBorder="1" applyAlignment="1">
      <alignment horizontal="left" vertical="center" wrapText="1"/>
    </xf>
    <xf numFmtId="0" fontId="45" fillId="32" borderId="109" xfId="3" applyFont="1" applyFill="1" applyBorder="1" applyAlignment="1">
      <alignment horizontal="center" vertical="center"/>
    </xf>
    <xf numFmtId="0" fontId="45" fillId="32" borderId="80" xfId="3" applyFont="1" applyFill="1" applyBorder="1" applyAlignment="1">
      <alignment horizontal="center" vertical="center"/>
    </xf>
    <xf numFmtId="0" fontId="45" fillId="0" borderId="65" xfId="3" applyFont="1" applyBorder="1" applyAlignment="1">
      <alignment horizontal="center" vertical="center"/>
    </xf>
    <xf numFmtId="0" fontId="64" fillId="35" borderId="50" xfId="3" applyFont="1" applyFill="1" applyBorder="1" applyAlignment="1">
      <alignment horizontal="center" vertical="center" wrapText="1"/>
    </xf>
    <xf numFmtId="0" fontId="64" fillId="33" borderId="150" xfId="3" applyFont="1" applyFill="1" applyBorder="1" applyAlignment="1">
      <alignment horizontal="center" vertical="center" wrapText="1"/>
    </xf>
    <xf numFmtId="0" fontId="64" fillId="33" borderId="147" xfId="3" applyFont="1" applyFill="1" applyBorder="1" applyAlignment="1">
      <alignment horizontal="center" vertical="center" wrapText="1"/>
    </xf>
    <xf numFmtId="0" fontId="23" fillId="0" borderId="98" xfId="0" applyFont="1" applyBorder="1" applyAlignment="1">
      <alignment horizontal="center" vertical="center" wrapText="1"/>
    </xf>
    <xf numFmtId="0" fontId="64" fillId="40" borderId="135" xfId="3" applyFont="1" applyFill="1" applyBorder="1" applyAlignment="1">
      <alignment horizontal="center" vertical="center" wrapText="1"/>
    </xf>
    <xf numFmtId="0" fontId="64" fillId="40" borderId="147" xfId="3" applyFont="1" applyFill="1" applyBorder="1" applyAlignment="1">
      <alignment horizontal="center" vertical="center" wrapText="1"/>
    </xf>
    <xf numFmtId="0" fontId="64" fillId="40" borderId="147" xfId="0" applyFont="1" applyFill="1" applyBorder="1" applyAlignment="1">
      <alignment horizontal="center" vertical="center" wrapText="1"/>
    </xf>
    <xf numFmtId="0" fontId="64" fillId="32" borderId="68" xfId="3" applyFont="1" applyFill="1" applyBorder="1" applyAlignment="1">
      <alignment horizontal="center" vertical="center" wrapText="1"/>
    </xf>
    <xf numFmtId="0" fontId="64" fillId="32" borderId="69" xfId="3" applyFont="1" applyFill="1" applyBorder="1" applyAlignment="1">
      <alignment horizontal="center" vertical="center" wrapText="1"/>
    </xf>
    <xf numFmtId="0" fontId="23" fillId="0" borderId="70" xfId="0" applyFont="1" applyBorder="1" applyAlignment="1">
      <alignment horizontal="center" vertical="center" wrapText="1"/>
    </xf>
    <xf numFmtId="0" fontId="47" fillId="41" borderId="65" xfId="3" applyFont="1" applyFill="1" applyBorder="1" applyAlignment="1">
      <alignment horizontal="center" vertical="center" wrapText="1"/>
    </xf>
    <xf numFmtId="0" fontId="47" fillId="41" borderId="66" xfId="3" applyFont="1" applyFill="1" applyBorder="1" applyAlignment="1">
      <alignment horizontal="center" vertical="center" wrapText="1"/>
    </xf>
    <xf numFmtId="0" fontId="23" fillId="7" borderId="12" xfId="3" applyFont="1" applyFill="1" applyBorder="1" applyAlignment="1">
      <alignment horizontal="center" vertical="center" wrapText="1"/>
    </xf>
    <xf numFmtId="0" fontId="10" fillId="0" borderId="16" xfId="3" applyFont="1" applyBorder="1" applyAlignment="1">
      <alignment wrapText="1"/>
    </xf>
    <xf numFmtId="0" fontId="10" fillId="0" borderId="13" xfId="3" applyFont="1" applyBorder="1" applyAlignment="1">
      <alignment wrapText="1"/>
    </xf>
    <xf numFmtId="11" fontId="49" fillId="39" borderId="100" xfId="3" applyNumberFormat="1" applyFont="1" applyFill="1" applyBorder="1" applyAlignment="1">
      <alignment horizontal="center" vertical="center" wrapText="1"/>
    </xf>
    <xf numFmtId="0" fontId="15"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15" fillId="41" borderId="100" xfId="3" applyFont="1" applyFill="1" applyBorder="1" applyAlignment="1">
      <alignment horizontal="center" vertical="center" wrapText="1"/>
    </xf>
    <xf numFmtId="0" fontId="15" fillId="41" borderId="101" xfId="0" applyFont="1" applyFill="1" applyBorder="1" applyAlignment="1">
      <alignment horizontal="center" vertical="center" wrapText="1"/>
    </xf>
    <xf numFmtId="0" fontId="9" fillId="0" borderId="82" xfId="3" applyFont="1" applyFill="1" applyBorder="1" applyAlignment="1">
      <alignment horizontal="center" vertical="center" wrapText="1"/>
    </xf>
    <xf numFmtId="0" fontId="15" fillId="0" borderId="77" xfId="3" applyFont="1" applyFill="1" applyBorder="1" applyAlignment="1">
      <alignment horizontal="center" vertical="center" wrapText="1"/>
    </xf>
    <xf numFmtId="0" fontId="15" fillId="0" borderId="78" xfId="3" applyFont="1" applyFill="1" applyBorder="1" applyAlignment="1">
      <alignment horizontal="center" vertical="center" wrapText="1"/>
    </xf>
    <xf numFmtId="0" fontId="8" fillId="0" borderId="58" xfId="3" applyFont="1" applyFill="1" applyBorder="1" applyAlignment="1">
      <alignment horizontal="center" vertical="center" wrapText="1"/>
    </xf>
    <xf numFmtId="0" fontId="23" fillId="0" borderId="47" xfId="3" applyFont="1" applyFill="1" applyBorder="1" applyAlignment="1">
      <alignment horizontal="center" vertical="center" wrapText="1"/>
    </xf>
    <xf numFmtId="0" fontId="23" fillId="0" borderId="61" xfId="3" applyFont="1" applyFill="1" applyBorder="1" applyAlignment="1">
      <alignment horizontal="center" vertical="center" wrapText="1"/>
    </xf>
    <xf numFmtId="0" fontId="15" fillId="23" borderId="18" xfId="3" applyFont="1" applyFill="1" applyBorder="1" applyAlignment="1">
      <alignment horizontal="center" vertical="center" wrapText="1"/>
    </xf>
    <xf numFmtId="0" fontId="15" fillId="23" borderId="163" xfId="3" applyFont="1" applyFill="1" applyBorder="1" applyAlignment="1">
      <alignment horizontal="center" vertical="center" wrapText="1"/>
    </xf>
    <xf numFmtId="0" fontId="15" fillId="23" borderId="164" xfId="3" applyFont="1" applyFill="1" applyBorder="1" applyAlignment="1">
      <alignment horizontal="center" vertical="center" wrapText="1"/>
    </xf>
    <xf numFmtId="0" fontId="15" fillId="84" borderId="91" xfId="3" applyFont="1" applyFill="1" applyBorder="1" applyAlignment="1">
      <alignment horizontal="center" vertical="center" wrapText="1"/>
    </xf>
    <xf numFmtId="0" fontId="15" fillId="84" borderId="92" xfId="0" applyFont="1" applyFill="1" applyBorder="1" applyAlignment="1">
      <alignment horizontal="center" vertical="center" wrapText="1"/>
    </xf>
    <xf numFmtId="0" fontId="15" fillId="84" borderId="93" xfId="0" applyFont="1" applyFill="1" applyBorder="1" applyAlignment="1">
      <alignment horizontal="center" vertical="center" wrapText="1"/>
    </xf>
    <xf numFmtId="11" fontId="49" fillId="88" borderId="100" xfId="3" applyNumberFormat="1" applyFont="1" applyFill="1" applyBorder="1" applyAlignment="1">
      <alignment horizontal="center" vertical="center" wrapText="1"/>
    </xf>
    <xf numFmtId="11" fontId="49" fillId="88" borderId="101" xfId="3" applyNumberFormat="1" applyFont="1" applyFill="1" applyBorder="1" applyAlignment="1">
      <alignment horizontal="center" vertical="center" wrapText="1"/>
    </xf>
    <xf numFmtId="0" fontId="0" fillId="0" borderId="101" xfId="0" applyFont="1" applyBorder="1" applyAlignment="1">
      <alignment horizontal="center" vertical="center" wrapText="1"/>
    </xf>
    <xf numFmtId="0" fontId="9" fillId="0" borderId="95" xfId="3" applyFont="1" applyFill="1" applyBorder="1" applyAlignment="1">
      <alignment horizontal="center" vertical="center" wrapText="1"/>
    </xf>
    <xf numFmtId="0" fontId="15" fillId="0" borderId="97" xfId="3" applyFont="1" applyFill="1" applyBorder="1" applyAlignment="1">
      <alignment horizontal="center" vertical="center" wrapText="1"/>
    </xf>
    <xf numFmtId="0" fontId="15" fillId="0" borderId="108" xfId="3" applyFont="1" applyFill="1" applyBorder="1" applyAlignment="1">
      <alignment horizontal="center" vertical="center" wrapText="1"/>
    </xf>
    <xf numFmtId="0" fontId="23" fillId="0" borderId="105"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23" fillId="0" borderId="86" xfId="3" applyFont="1" applyFill="1" applyBorder="1" applyAlignment="1">
      <alignment horizontal="center" vertical="center" wrapText="1"/>
    </xf>
    <xf numFmtId="0" fontId="8" fillId="0" borderId="106" xfId="3" applyFont="1" applyFill="1" applyBorder="1" applyAlignment="1">
      <alignment horizontal="center" vertical="center" wrapText="1"/>
    </xf>
    <xf numFmtId="0" fontId="23" fillId="0" borderId="107" xfId="3" applyFont="1" applyBorder="1" applyAlignment="1">
      <alignment horizontal="center" vertical="center" wrapText="1"/>
    </xf>
    <xf numFmtId="0" fontId="8" fillId="0" borderId="61" xfId="3" applyFont="1" applyFill="1" applyBorder="1" applyAlignment="1">
      <alignment horizontal="center" vertical="center" wrapText="1"/>
    </xf>
    <xf numFmtId="0" fontId="23" fillId="0" borderId="106" xfId="3" applyFont="1" applyFill="1" applyBorder="1" applyAlignment="1">
      <alignment horizontal="center" vertical="center" wrapText="1"/>
    </xf>
    <xf numFmtId="0" fontId="9" fillId="52" borderId="82" xfId="3" applyFont="1" applyFill="1" applyBorder="1" applyAlignment="1">
      <alignment horizontal="center" vertical="center" wrapText="1"/>
    </xf>
    <xf numFmtId="0" fontId="23" fillId="52" borderId="78" xfId="3" applyFont="1" applyFill="1" applyBorder="1" applyAlignment="1">
      <alignment horizontal="center" vertical="center" wrapText="1"/>
    </xf>
    <xf numFmtId="0" fontId="9" fillId="52" borderId="58" xfId="3" applyFont="1" applyFill="1" applyBorder="1" applyAlignment="1">
      <alignment horizontal="center" vertical="center" wrapText="1"/>
    </xf>
    <xf numFmtId="0" fontId="23" fillId="52" borderId="59" xfId="3" applyFont="1" applyFill="1" applyBorder="1" applyAlignment="1">
      <alignment horizontal="center" vertical="center" wrapText="1"/>
    </xf>
    <xf numFmtId="0" fontId="23" fillId="52" borderId="61" xfId="3" applyFont="1" applyFill="1" applyBorder="1" applyAlignment="1">
      <alignment horizontal="center" vertical="center" wrapText="1"/>
    </xf>
    <xf numFmtId="0" fontId="23" fillId="52" borderId="79" xfId="3" applyFont="1" applyFill="1" applyBorder="1" applyAlignment="1">
      <alignment horizontal="center" vertical="center" wrapText="1"/>
    </xf>
    <xf numFmtId="0" fontId="8" fillId="52" borderId="62" xfId="3" applyFont="1" applyFill="1" applyBorder="1" applyAlignment="1">
      <alignment horizontal="center" vertical="center" wrapText="1"/>
    </xf>
    <xf numFmtId="0" fontId="15" fillId="49" borderId="91" xfId="3" applyFont="1" applyFill="1" applyBorder="1" applyAlignment="1">
      <alignment horizontal="center" wrapText="1"/>
    </xf>
    <xf numFmtId="0" fontId="23" fillId="49" borderId="92" xfId="3" applyFont="1" applyFill="1" applyBorder="1" applyAlignment="1">
      <alignment horizontal="center" wrapText="1"/>
    </xf>
    <xf numFmtId="0" fontId="23" fillId="49" borderId="93" xfId="3" applyFont="1" applyFill="1" applyBorder="1" applyAlignment="1">
      <alignment wrapText="1"/>
    </xf>
    <xf numFmtId="0" fontId="52" fillId="42" borderId="103" xfId="3" applyFont="1" applyFill="1" applyBorder="1" applyAlignment="1">
      <alignment vertical="center" wrapText="1"/>
    </xf>
    <xf numFmtId="0" fontId="15" fillId="42" borderId="95" xfId="3" applyFont="1" applyFill="1" applyBorder="1" applyAlignment="1">
      <alignment vertical="center" wrapText="1"/>
    </xf>
    <xf numFmtId="0" fontId="9" fillId="0" borderId="91" xfId="3" applyFont="1" applyFill="1" applyBorder="1" applyAlignment="1">
      <alignment horizontal="center" vertical="center" wrapText="1"/>
    </xf>
    <xf numFmtId="0" fontId="15" fillId="0" borderId="92" xfId="3" applyFont="1" applyFill="1" applyBorder="1" applyAlignment="1">
      <alignment horizontal="center" vertical="center" wrapText="1"/>
    </xf>
    <xf numFmtId="0" fontId="15" fillId="0" borderId="104" xfId="3" applyFont="1" applyFill="1" applyBorder="1" applyAlignment="1">
      <alignment horizontal="center" vertical="center" wrapText="1"/>
    </xf>
    <xf numFmtId="0" fontId="53" fillId="54" borderId="47" xfId="3" applyFont="1" applyFill="1" applyBorder="1" applyAlignment="1">
      <alignment horizontal="center" vertical="center" wrapText="1"/>
    </xf>
    <xf numFmtId="0" fontId="54" fillId="54" borderId="86" xfId="3" applyFont="1" applyFill="1" applyBorder="1" applyAlignment="1">
      <alignment horizontal="center" vertical="center" wrapText="1"/>
    </xf>
    <xf numFmtId="0" fontId="45" fillId="52" borderId="100" xfId="3" applyFont="1" applyFill="1" applyBorder="1" applyAlignment="1">
      <alignment horizontal="center" vertical="center" wrapText="1"/>
    </xf>
    <xf numFmtId="0" fontId="45" fillId="52" borderId="101" xfId="3" applyFont="1" applyFill="1" applyBorder="1" applyAlignment="1">
      <alignment horizontal="center" vertical="center" wrapText="1"/>
    </xf>
    <xf numFmtId="0" fontId="45" fillId="52" borderId="102" xfId="3" applyFont="1" applyFill="1" applyBorder="1" applyAlignment="1">
      <alignment horizontal="center" vertical="center" wrapText="1"/>
    </xf>
    <xf numFmtId="0" fontId="49" fillId="42" borderId="91" xfId="3" applyFont="1" applyFill="1" applyBorder="1" applyAlignment="1">
      <alignment horizontal="center" vertical="center" wrapText="1"/>
    </xf>
    <xf numFmtId="0" fontId="49" fillId="42" borderId="92" xfId="3" applyFont="1" applyFill="1" applyBorder="1" applyAlignment="1">
      <alignment horizontal="center" vertical="center" wrapText="1"/>
    </xf>
    <xf numFmtId="0" fontId="49" fillId="42" borderId="93" xfId="3" applyFont="1" applyFill="1" applyBorder="1" applyAlignment="1">
      <alignment horizontal="center" vertical="center" wrapText="1"/>
    </xf>
    <xf numFmtId="0" fontId="15" fillId="47" borderId="74" xfId="3" applyFont="1" applyFill="1" applyBorder="1" applyAlignment="1">
      <alignment horizontal="center" vertical="center" wrapText="1"/>
    </xf>
    <xf numFmtId="0" fontId="23" fillId="0" borderId="55" xfId="3" applyFont="1" applyBorder="1" applyAlignment="1">
      <alignment horizontal="center" vertical="center" wrapText="1"/>
    </xf>
    <xf numFmtId="0" fontId="23" fillId="0" borderId="94" xfId="3" applyFont="1" applyBorder="1" applyAlignment="1">
      <alignment horizontal="center" vertical="center" wrapText="1"/>
    </xf>
    <xf numFmtId="0" fontId="15" fillId="48" borderId="91" xfId="3" applyFont="1" applyFill="1" applyBorder="1" applyAlignment="1">
      <alignment horizontal="center" vertical="center" wrapText="1"/>
    </xf>
    <xf numFmtId="0" fontId="23" fillId="48" borderId="92" xfId="3" applyFont="1" applyFill="1" applyBorder="1" applyAlignment="1">
      <alignment vertical="center" wrapText="1"/>
    </xf>
    <xf numFmtId="0" fontId="23" fillId="48" borderId="92" xfId="3" applyFont="1" applyFill="1" applyBorder="1" applyAlignment="1">
      <alignment wrapText="1"/>
    </xf>
    <xf numFmtId="0" fontId="23" fillId="48" borderId="93" xfId="3" applyFont="1" applyFill="1" applyBorder="1" applyAlignment="1">
      <alignment wrapText="1"/>
    </xf>
    <xf numFmtId="0" fontId="15" fillId="49" borderId="91" xfId="3" applyFont="1" applyFill="1" applyBorder="1" applyAlignment="1">
      <alignment horizontal="center" vertical="center" wrapText="1"/>
    </xf>
    <xf numFmtId="0" fontId="23" fillId="49" borderId="92" xfId="3" applyFont="1" applyFill="1" applyBorder="1" applyAlignment="1">
      <alignment vertical="center" wrapText="1"/>
    </xf>
    <xf numFmtId="0" fontId="23" fillId="49" borderId="92" xfId="3" applyFont="1" applyFill="1" applyBorder="1" applyAlignment="1">
      <alignment wrapText="1"/>
    </xf>
    <xf numFmtId="0" fontId="15" fillId="48" borderId="91" xfId="3" applyFont="1" applyFill="1" applyBorder="1" applyAlignment="1">
      <alignment horizontal="center" wrapText="1"/>
    </xf>
    <xf numFmtId="0" fontId="23" fillId="48" borderId="93" xfId="3" applyFont="1" applyFill="1" applyBorder="1" applyAlignment="1">
      <alignment horizontal="center" wrapText="1"/>
    </xf>
    <xf numFmtId="0" fontId="23" fillId="48" borderId="92" xfId="3" applyFont="1" applyFill="1" applyBorder="1" applyAlignment="1">
      <alignment horizontal="center" wrapText="1"/>
    </xf>
    <xf numFmtId="0" fontId="23" fillId="49" borderId="93" xfId="3" applyFont="1" applyFill="1" applyBorder="1" applyAlignment="1">
      <alignment horizontal="center" wrapText="1"/>
    </xf>
    <xf numFmtId="0" fontId="51" fillId="43" borderId="59" xfId="3" applyFont="1" applyFill="1" applyBorder="1" applyAlignment="1">
      <alignment horizontal="center" vertical="center" wrapText="1"/>
    </xf>
    <xf numFmtId="0" fontId="51" fillId="43" borderId="60" xfId="3" applyFont="1" applyFill="1" applyBorder="1" applyAlignment="1">
      <alignment horizontal="center" vertical="center" wrapText="1"/>
    </xf>
    <xf numFmtId="0" fontId="51" fillId="43" borderId="79" xfId="3" applyFont="1" applyFill="1" applyBorder="1" applyAlignment="1">
      <alignment horizontal="center" vertical="center" wrapText="1"/>
    </xf>
    <xf numFmtId="0" fontId="51" fillId="43" borderId="82" xfId="3" applyFont="1" applyFill="1" applyBorder="1" applyAlignment="1">
      <alignment horizontal="center" vertical="center" wrapText="1"/>
    </xf>
    <xf numFmtId="0" fontId="51" fillId="43" borderId="77" xfId="3" applyFont="1" applyFill="1" applyBorder="1" applyAlignment="1">
      <alignment horizontal="center" vertical="center" wrapText="1"/>
    </xf>
    <xf numFmtId="0" fontId="51" fillId="43" borderId="78" xfId="3" applyFont="1" applyFill="1" applyBorder="1" applyAlignment="1">
      <alignment horizontal="center" vertical="center" wrapText="1"/>
    </xf>
    <xf numFmtId="0" fontId="51" fillId="43" borderId="58" xfId="3" applyFont="1" applyFill="1" applyBorder="1" applyAlignment="1">
      <alignment horizontal="center" vertical="center" wrapText="1"/>
    </xf>
    <xf numFmtId="0" fontId="51" fillId="43" borderId="47" xfId="3" applyFont="1" applyFill="1" applyBorder="1" applyAlignment="1">
      <alignment horizontal="center" vertical="center" wrapText="1"/>
    </xf>
    <xf numFmtId="0" fontId="51" fillId="43" borderId="61" xfId="3" applyFont="1" applyFill="1" applyBorder="1" applyAlignment="1">
      <alignment horizontal="center" vertical="center" wrapText="1"/>
    </xf>
    <xf numFmtId="0" fontId="62" fillId="55" borderId="55" xfId="3" applyFont="1" applyFill="1" applyBorder="1" applyAlignment="1">
      <alignment horizontal="center" vertical="center" wrapText="1"/>
    </xf>
    <xf numFmtId="0" fontId="62" fillId="55" borderId="57" xfId="3" applyFont="1" applyFill="1" applyBorder="1" applyAlignment="1">
      <alignment horizontal="center" vertical="center" wrapText="1"/>
    </xf>
    <xf numFmtId="0" fontId="15" fillId="7" borderId="16" xfId="3" applyFont="1" applyFill="1" applyBorder="1" applyAlignment="1">
      <alignment horizontal="center" vertical="center" wrapText="1"/>
    </xf>
    <xf numFmtId="0" fontId="51" fillId="0" borderId="16" xfId="3" applyFont="1" applyBorder="1" applyAlignment="1">
      <alignment wrapText="1"/>
    </xf>
    <xf numFmtId="0" fontId="51" fillId="0" borderId="13" xfId="3" applyFont="1" applyBorder="1" applyAlignment="1">
      <alignment wrapText="1"/>
    </xf>
    <xf numFmtId="0" fontId="23" fillId="7" borderId="16" xfId="3" applyFont="1" applyFill="1" applyBorder="1" applyAlignment="1">
      <alignment horizontal="center" vertical="center" wrapText="1"/>
    </xf>
    <xf numFmtId="0" fontId="60" fillId="55" borderId="74" xfId="3" applyFont="1" applyFill="1" applyBorder="1" applyAlignment="1">
      <alignment horizontal="center" vertical="center" wrapText="1"/>
    </xf>
    <xf numFmtId="0" fontId="60" fillId="55" borderId="55" xfId="3" applyFont="1" applyFill="1" applyBorder="1" applyAlignment="1">
      <alignment horizontal="center" vertical="center" wrapText="1"/>
    </xf>
    <xf numFmtId="0" fontId="61" fillId="55" borderId="75" xfId="3" applyFont="1" applyFill="1" applyBorder="1" applyAlignment="1">
      <alignment horizontal="center" vertical="center" wrapText="1"/>
    </xf>
    <xf numFmtId="0" fontId="47" fillId="55" borderId="109" xfId="3" applyFont="1" applyFill="1" applyBorder="1" applyAlignment="1">
      <alignment horizontal="center" vertical="center" wrapText="1"/>
    </xf>
    <xf numFmtId="0" fontId="47" fillId="55" borderId="75" xfId="3" applyFont="1" applyFill="1" applyBorder="1" applyAlignment="1">
      <alignment horizontal="center" vertical="center" wrapText="1"/>
    </xf>
    <xf numFmtId="0" fontId="15" fillId="48" borderId="103" xfId="3" applyFont="1" applyFill="1" applyBorder="1" applyAlignment="1">
      <alignment horizontal="center" vertical="center" wrapText="1"/>
    </xf>
    <xf numFmtId="0" fontId="23" fillId="48" borderId="136" xfId="3" applyFont="1" applyFill="1" applyBorder="1" applyAlignment="1">
      <alignment horizontal="center" vertical="center" wrapText="1"/>
    </xf>
    <xf numFmtId="0" fontId="47" fillId="55" borderId="76" xfId="3" applyFont="1" applyFill="1" applyBorder="1" applyAlignment="1">
      <alignment horizontal="center" vertical="center" wrapText="1"/>
    </xf>
    <xf numFmtId="0" fontId="62" fillId="55" borderId="109" xfId="3" applyFont="1" applyFill="1" applyBorder="1" applyAlignment="1">
      <alignment horizontal="center" vertical="center" wrapText="1"/>
    </xf>
    <xf numFmtId="0" fontId="62" fillId="55" borderId="75" xfId="3" applyFont="1" applyFill="1" applyBorder="1" applyAlignment="1">
      <alignment horizontal="center" vertical="center" wrapText="1"/>
    </xf>
    <xf numFmtId="0" fontId="62" fillId="55" borderId="76" xfId="3" applyFont="1" applyFill="1" applyBorder="1" applyAlignment="1">
      <alignment horizontal="center" vertical="center" wrapText="1"/>
    </xf>
    <xf numFmtId="0" fontId="63" fillId="0" borderId="65" xfId="3" applyFont="1" applyBorder="1" applyAlignment="1">
      <alignment horizontal="center" vertical="center" wrapText="1"/>
    </xf>
    <xf numFmtId="0" fontId="63" fillId="0" borderId="66" xfId="3" applyFont="1" applyBorder="1" applyAlignment="1">
      <alignment horizontal="center" vertical="center" wrapText="1"/>
    </xf>
    <xf numFmtId="0" fontId="63" fillId="0" borderId="67" xfId="3" applyFont="1" applyBorder="1" applyAlignment="1">
      <alignment horizontal="center" vertical="center" wrapText="1"/>
    </xf>
    <xf numFmtId="0" fontId="23" fillId="0" borderId="67" xfId="3" applyFont="1" applyBorder="1" applyAlignment="1">
      <alignment vertical="center" wrapText="1"/>
    </xf>
    <xf numFmtId="0" fontId="23" fillId="0" borderId="66" xfId="3" applyFont="1" applyBorder="1" applyAlignment="1">
      <alignment vertical="center" wrapText="1"/>
    </xf>
    <xf numFmtId="0" fontId="15" fillId="7" borderId="12" xfId="3" applyFont="1" applyFill="1" applyBorder="1" applyAlignment="1">
      <alignment horizontal="center" vertical="center" wrapText="1"/>
    </xf>
    <xf numFmtId="0" fontId="3" fillId="56" borderId="100" xfId="3" applyFont="1" applyFill="1" applyBorder="1" applyAlignment="1">
      <alignment horizontal="center" vertical="center" wrapText="1"/>
    </xf>
    <xf numFmtId="0" fontId="23" fillId="0" borderId="101" xfId="3" applyFont="1" applyBorder="1" applyAlignment="1">
      <alignment wrapText="1"/>
    </xf>
    <xf numFmtId="0" fontId="23" fillId="0" borderId="102" xfId="3" applyFont="1" applyBorder="1" applyAlignment="1">
      <alignment wrapText="1"/>
    </xf>
    <xf numFmtId="0" fontId="3" fillId="56" borderId="109" xfId="3" applyFont="1" applyFill="1" applyBorder="1" applyAlignment="1">
      <alignment horizontal="center" vertical="center" wrapText="1"/>
    </xf>
    <xf numFmtId="0" fontId="10" fillId="57" borderId="75" xfId="3" applyFont="1" applyFill="1" applyBorder="1" applyAlignment="1">
      <alignment wrapText="1"/>
    </xf>
    <xf numFmtId="0" fontId="23" fillId="57" borderId="80" xfId="3" applyFont="1" applyFill="1" applyBorder="1" applyAlignment="1">
      <alignment wrapText="1"/>
    </xf>
    <xf numFmtId="0" fontId="23" fillId="57" borderId="16" xfId="3" applyFont="1" applyFill="1" applyBorder="1" applyAlignment="1">
      <alignment wrapText="1"/>
    </xf>
    <xf numFmtId="0" fontId="23" fillId="57" borderId="111" xfId="3" applyFont="1" applyFill="1" applyBorder="1" applyAlignment="1">
      <alignment wrapText="1"/>
    </xf>
    <xf numFmtId="0" fontId="23" fillId="57" borderId="11" xfId="3" applyFont="1" applyFill="1" applyBorder="1" applyAlignment="1">
      <alignment wrapText="1"/>
    </xf>
    <xf numFmtId="10" fontId="9" fillId="58" borderId="109" xfId="3" applyNumberFormat="1" applyFont="1" applyFill="1" applyBorder="1" applyAlignment="1">
      <alignment horizontal="center" vertical="center"/>
    </xf>
    <xf numFmtId="0" fontId="23" fillId="0" borderId="75" xfId="3" applyFont="1" applyBorder="1" applyAlignment="1"/>
    <xf numFmtId="0" fontId="23" fillId="0" borderId="76" xfId="3" applyFont="1" applyBorder="1" applyAlignment="1"/>
    <xf numFmtId="0" fontId="51" fillId="59" borderId="10" xfId="3" applyFont="1" applyFill="1" applyBorder="1" applyAlignment="1">
      <alignment horizontal="center" vertical="center"/>
    </xf>
    <xf numFmtId="0" fontId="51" fillId="59" borderId="11" xfId="3" applyFont="1" applyFill="1" applyBorder="1" applyAlignment="1">
      <alignment horizontal="center" vertical="center"/>
    </xf>
    <xf numFmtId="0" fontId="51" fillId="59" borderId="16" xfId="3" applyFont="1" applyFill="1" applyBorder="1" applyAlignment="1">
      <alignment horizontal="center" vertical="center"/>
    </xf>
    <xf numFmtId="0" fontId="9" fillId="60" borderId="109" xfId="3" applyFont="1" applyFill="1" applyBorder="1" applyAlignment="1">
      <alignment horizontal="center" vertical="center"/>
    </xf>
    <xf numFmtId="0" fontId="23" fillId="30" borderId="75" xfId="3" applyFont="1" applyFill="1" applyBorder="1" applyAlignment="1">
      <alignment horizontal="center" vertical="center"/>
    </xf>
    <xf numFmtId="0" fontId="23" fillId="30" borderId="76" xfId="3" applyFont="1" applyFill="1" applyBorder="1" applyAlignment="1">
      <alignment horizontal="center" vertical="center"/>
    </xf>
    <xf numFmtId="0" fontId="23" fillId="30" borderId="111" xfId="3" applyFont="1" applyFill="1" applyBorder="1" applyAlignment="1">
      <alignment horizontal="center" vertical="center"/>
    </xf>
    <xf numFmtId="0" fontId="23" fillId="30" borderId="11" xfId="3" applyFont="1" applyFill="1" applyBorder="1" applyAlignment="1">
      <alignment horizontal="center" vertical="center"/>
    </xf>
    <xf numFmtId="0" fontId="23" fillId="30" borderId="112" xfId="3" applyFont="1" applyFill="1" applyBorder="1" applyAlignment="1">
      <alignment horizontal="center" vertical="center"/>
    </xf>
    <xf numFmtId="0" fontId="9" fillId="58" borderId="109" xfId="3" applyFont="1" applyFill="1" applyBorder="1" applyAlignment="1">
      <alignment horizontal="center" vertical="center" wrapText="1"/>
    </xf>
    <xf numFmtId="0" fontId="23" fillId="0" borderId="75" xfId="3" applyFont="1" applyBorder="1" applyAlignment="1">
      <alignment horizontal="center" vertical="center" wrapText="1"/>
    </xf>
    <xf numFmtId="0" fontId="10" fillId="57" borderId="10" xfId="3" applyFont="1" applyFill="1" applyBorder="1" applyAlignment="1">
      <alignment wrapText="1"/>
    </xf>
    <xf numFmtId="0" fontId="10" fillId="57" borderId="114" xfId="3" applyFont="1" applyFill="1" applyBorder="1" applyAlignment="1">
      <alignment wrapText="1"/>
    </xf>
    <xf numFmtId="0" fontId="3" fillId="56" borderId="115" xfId="3" applyFont="1" applyFill="1" applyBorder="1" applyAlignment="1">
      <alignment horizontal="center" vertical="center" wrapText="1"/>
    </xf>
    <xf numFmtId="0" fontId="3" fillId="56" borderId="10" xfId="3" applyFont="1" applyFill="1" applyBorder="1" applyAlignment="1">
      <alignment horizontal="center" vertical="center" wrapText="1"/>
    </xf>
    <xf numFmtId="0" fontId="9" fillId="63" borderId="120" xfId="3" applyFont="1" applyFill="1" applyBorder="1" applyAlignment="1">
      <alignment horizontal="center" vertical="center"/>
    </xf>
    <xf numFmtId="0" fontId="23" fillId="59" borderId="119" xfId="3" applyFont="1" applyFill="1" applyBorder="1" applyAlignment="1">
      <alignment horizontal="center" vertical="center"/>
    </xf>
    <xf numFmtId="0" fontId="23" fillId="59" borderId="10" xfId="3" applyFont="1" applyFill="1" applyBorder="1" applyAlignment="1">
      <alignment horizontal="center" vertical="center"/>
    </xf>
    <xf numFmtId="0" fontId="9" fillId="63" borderId="117" xfId="3" applyFont="1" applyFill="1" applyBorder="1" applyAlignment="1">
      <alignment horizontal="center" vertical="center" wrapText="1"/>
    </xf>
    <xf numFmtId="0" fontId="23" fillId="59" borderId="118" xfId="3" applyFont="1" applyFill="1" applyBorder="1" applyAlignment="1">
      <alignment horizontal="center" vertical="center"/>
    </xf>
    <xf numFmtId="0" fontId="9" fillId="61" borderId="109" xfId="3" applyFont="1" applyFill="1" applyBorder="1" applyAlignment="1">
      <alignment horizontal="center" vertical="center"/>
    </xf>
    <xf numFmtId="0" fontId="23" fillId="62" borderId="75" xfId="3" applyFont="1" applyFill="1" applyBorder="1" applyAlignment="1">
      <alignment horizontal="center" vertical="center"/>
    </xf>
    <xf numFmtId="0" fontId="23" fillId="62" borderId="76" xfId="3" applyFont="1" applyFill="1" applyBorder="1" applyAlignment="1">
      <alignment horizontal="center" vertical="center"/>
    </xf>
    <xf numFmtId="0" fontId="23" fillId="62" borderId="80" xfId="3" applyFont="1" applyFill="1" applyBorder="1" applyAlignment="1">
      <alignment horizontal="center" vertical="center"/>
    </xf>
    <xf numFmtId="0" fontId="23" fillId="62" borderId="16" xfId="3" applyFont="1" applyFill="1" applyBorder="1" applyAlignment="1">
      <alignment horizontal="center" vertical="center"/>
    </xf>
    <xf numFmtId="0" fontId="23" fillId="62" borderId="83" xfId="3" applyFont="1" applyFill="1" applyBorder="1" applyAlignment="1">
      <alignment horizontal="center" vertical="center"/>
    </xf>
    <xf numFmtId="2" fontId="9" fillId="58" borderId="117" xfId="3" applyNumberFormat="1" applyFont="1" applyFill="1" applyBorder="1" applyAlignment="1">
      <alignment horizontal="center" vertical="center" wrapText="1"/>
    </xf>
    <xf numFmtId="2" fontId="9" fillId="58" borderId="75" xfId="3" applyNumberFormat="1" applyFont="1" applyFill="1" applyBorder="1" applyAlignment="1">
      <alignment horizontal="center" vertical="center" wrapText="1"/>
    </xf>
    <xf numFmtId="0" fontId="10" fillId="0" borderId="118" xfId="3" applyFont="1" applyBorder="1" applyAlignment="1"/>
    <xf numFmtId="0" fontId="9" fillId="58" borderId="117" xfId="3" applyFont="1" applyFill="1" applyBorder="1" applyAlignment="1">
      <alignment horizontal="center" vertical="center"/>
    </xf>
    <xf numFmtId="0" fontId="23" fillId="0" borderId="118" xfId="3" applyFont="1" applyBorder="1" applyAlignment="1">
      <alignment horizontal="center" vertical="center"/>
    </xf>
    <xf numFmtId="0" fontId="9" fillId="63" borderId="113" xfId="3" applyFont="1" applyFill="1" applyBorder="1" applyAlignment="1">
      <alignment horizontal="center" vertical="center" wrapText="1"/>
    </xf>
    <xf numFmtId="0" fontId="9" fillId="63" borderId="111" xfId="3" applyFont="1" applyFill="1" applyBorder="1" applyAlignment="1">
      <alignment horizontal="center" vertical="center" wrapText="1"/>
    </xf>
    <xf numFmtId="0" fontId="9" fillId="63" borderId="119" xfId="3" applyFont="1" applyFill="1" applyBorder="1" applyAlignment="1">
      <alignment horizontal="center" vertical="center" wrapText="1"/>
    </xf>
    <xf numFmtId="0" fontId="9" fillId="63" borderId="125" xfId="3" applyFont="1" applyFill="1" applyBorder="1" applyAlignment="1">
      <alignment horizontal="center" vertical="center" wrapText="1"/>
    </xf>
    <xf numFmtId="0" fontId="9" fillId="61" borderId="75" xfId="3" applyFont="1" applyFill="1" applyBorder="1" applyAlignment="1">
      <alignment horizontal="center" vertical="center" wrapText="1"/>
    </xf>
    <xf numFmtId="0" fontId="9" fillId="61" borderId="66" xfId="3" applyFont="1" applyFill="1" applyBorder="1" applyAlignment="1">
      <alignment horizontal="center" vertical="center" wrapText="1"/>
    </xf>
    <xf numFmtId="0" fontId="9" fillId="64" borderId="121" xfId="3" applyFont="1" applyFill="1" applyBorder="1" applyAlignment="1">
      <alignment horizontal="center" vertical="center" wrapText="1"/>
    </xf>
    <xf numFmtId="0" fontId="9" fillId="64" borderId="128" xfId="3" applyFont="1" applyFill="1" applyBorder="1" applyAlignment="1">
      <alignment horizontal="center" vertical="center" wrapText="1"/>
    </xf>
    <xf numFmtId="0" fontId="9" fillId="61" borderId="109" xfId="3" applyFont="1" applyFill="1" applyBorder="1" applyAlignment="1">
      <alignment horizontal="center" vertical="center" wrapText="1"/>
    </xf>
    <xf numFmtId="0" fontId="9" fillId="61" borderId="65" xfId="3" applyFont="1" applyFill="1" applyBorder="1" applyAlignment="1">
      <alignment horizontal="center" vertical="center" wrapText="1"/>
    </xf>
    <xf numFmtId="0" fontId="3" fillId="7" borderId="74" xfId="3" applyFont="1" applyFill="1" applyBorder="1" applyAlignment="1">
      <alignment horizontal="center" vertical="center" wrapText="1"/>
    </xf>
    <xf numFmtId="0" fontId="23" fillId="0" borderId="55" xfId="3" applyFont="1" applyBorder="1" applyAlignment="1">
      <alignment wrapText="1"/>
    </xf>
    <xf numFmtId="0" fontId="23" fillId="0" borderId="57" xfId="3" applyFont="1" applyBorder="1" applyAlignment="1">
      <alignment wrapText="1"/>
    </xf>
    <xf numFmtId="0" fontId="3" fillId="50" borderId="109" xfId="3" applyFont="1" applyFill="1" applyBorder="1" applyAlignment="1">
      <alignment horizontal="center" vertical="center" wrapText="1"/>
    </xf>
    <xf numFmtId="0" fontId="10" fillId="48" borderId="75" xfId="3" applyFont="1" applyFill="1" applyBorder="1" applyAlignment="1">
      <alignment wrapText="1"/>
    </xf>
    <xf numFmtId="0" fontId="23" fillId="48" borderId="80" xfId="3" applyFont="1" applyFill="1" applyBorder="1" applyAlignment="1">
      <alignment wrapText="1"/>
    </xf>
    <xf numFmtId="0" fontId="23" fillId="48" borderId="16" xfId="3" applyFont="1" applyFill="1" applyBorder="1" applyAlignment="1">
      <alignment wrapText="1"/>
    </xf>
    <xf numFmtId="0" fontId="23" fillId="48" borderId="111" xfId="3" applyFont="1" applyFill="1" applyBorder="1" applyAlignment="1">
      <alignment wrapText="1"/>
    </xf>
    <xf numFmtId="0" fontId="23" fillId="48" borderId="11" xfId="3" applyFont="1" applyFill="1" applyBorder="1" applyAlignment="1">
      <alignment wrapText="1"/>
    </xf>
    <xf numFmtId="0" fontId="10" fillId="57" borderId="116" xfId="3" applyFont="1" applyFill="1" applyBorder="1" applyAlignment="1">
      <alignment wrapText="1"/>
    </xf>
    <xf numFmtId="0" fontId="10" fillId="57" borderId="113" xfId="3" applyFont="1" applyFill="1" applyBorder="1" applyAlignment="1">
      <alignment wrapText="1"/>
    </xf>
    <xf numFmtId="0" fontId="23" fillId="0" borderId="75" xfId="3" applyFont="1" applyBorder="1" applyAlignment="1">
      <alignment wrapText="1"/>
    </xf>
    <xf numFmtId="0" fontId="23" fillId="0" borderId="16" xfId="3" applyFont="1" applyBorder="1" applyAlignment="1">
      <alignment wrapText="1"/>
    </xf>
    <xf numFmtId="0" fontId="9" fillId="7" borderId="11" xfId="3" applyFont="1" applyFill="1" applyBorder="1" applyAlignment="1">
      <alignment horizontal="center" vertical="center"/>
    </xf>
    <xf numFmtId="0" fontId="10" fillId="0" borderId="11" xfId="3" applyFont="1" applyBorder="1" applyAlignment="1"/>
    <xf numFmtId="0" fontId="9" fillId="7" borderId="10" xfId="3" applyFont="1" applyFill="1" applyBorder="1" applyAlignment="1">
      <alignment horizontal="center" vertical="center" wrapText="1"/>
    </xf>
    <xf numFmtId="0" fontId="9" fillId="7" borderId="25" xfId="3" applyFont="1" applyFill="1" applyBorder="1" applyAlignment="1">
      <alignment horizontal="center" vertical="center" wrapText="1"/>
    </xf>
    <xf numFmtId="0" fontId="10" fillId="0" borderId="15" xfId="3" applyFont="1" applyBorder="1" applyAlignment="1"/>
    <xf numFmtId="2" fontId="9" fillId="58" borderId="11" xfId="3" applyNumberFormat="1" applyFont="1" applyFill="1" applyBorder="1" applyAlignment="1">
      <alignment horizontal="center" vertical="center" wrapText="1"/>
    </xf>
    <xf numFmtId="0" fontId="9" fillId="58" borderId="11" xfId="3" applyFont="1" applyFill="1" applyBorder="1" applyAlignment="1">
      <alignment horizontal="center" vertical="center"/>
    </xf>
    <xf numFmtId="0" fontId="9" fillId="58" borderId="132" xfId="3" applyFont="1" applyFill="1" applyBorder="1" applyAlignment="1">
      <alignment horizontal="center" vertical="center"/>
    </xf>
    <xf numFmtId="0" fontId="10" fillId="0" borderId="125" xfId="3" applyFont="1" applyBorder="1" applyAlignment="1"/>
    <xf numFmtId="2" fontId="9" fillId="7" borderId="7" xfId="3" applyNumberFormat="1" applyFont="1" applyFill="1" applyBorder="1" applyAlignment="1">
      <alignment horizontal="center" vertical="center" wrapText="1"/>
    </xf>
    <xf numFmtId="0" fontId="9" fillId="7" borderId="26" xfId="3" applyFont="1" applyFill="1" applyBorder="1" applyAlignment="1">
      <alignment horizontal="center" vertical="center"/>
    </xf>
    <xf numFmtId="0" fontId="10" fillId="0" borderId="14" xfId="3" applyFont="1" applyBorder="1" applyAlignment="1"/>
    <xf numFmtId="0" fontId="10" fillId="0" borderId="148" xfId="3" applyFont="1" applyBorder="1" applyAlignment="1"/>
    <xf numFmtId="0" fontId="9" fillId="7" borderId="46" xfId="3" applyFont="1" applyFill="1" applyBorder="1" applyAlignment="1">
      <alignment horizontal="center" vertical="center"/>
    </xf>
    <xf numFmtId="0" fontId="10" fillId="0" borderId="10" xfId="3" applyFont="1" applyBorder="1" applyAlignment="1"/>
    <xf numFmtId="0" fontId="10" fillId="0" borderId="25" xfId="3" applyFont="1" applyBorder="1" applyAlignment="1"/>
    <xf numFmtId="0" fontId="10" fillId="0" borderId="7" xfId="3" applyFont="1" applyBorder="1" applyAlignment="1"/>
    <xf numFmtId="10" fontId="9" fillId="58" borderId="46" xfId="3" applyNumberFormat="1" applyFont="1" applyFill="1" applyBorder="1" applyAlignment="1">
      <alignment horizontal="center" vertical="center"/>
    </xf>
    <xf numFmtId="0" fontId="10" fillId="0" borderId="12" xfId="3" applyFont="1" applyBorder="1" applyAlignment="1"/>
    <xf numFmtId="0" fontId="23" fillId="0" borderId="16" xfId="3" applyFont="1" applyAlignment="1"/>
    <xf numFmtId="0" fontId="10" fillId="0" borderId="13" xfId="3" applyFont="1" applyBorder="1" applyAlignment="1"/>
    <xf numFmtId="10" fontId="9" fillId="7" borderId="46" xfId="3" applyNumberFormat="1" applyFont="1" applyFill="1" applyBorder="1" applyAlignment="1">
      <alignment horizontal="center" vertical="center"/>
    </xf>
    <xf numFmtId="0" fontId="9" fillId="7" borderId="46" xfId="3" applyFont="1" applyFill="1" applyBorder="1" applyAlignment="1">
      <alignment horizontal="center" vertical="center" wrapText="1"/>
    </xf>
    <xf numFmtId="0" fontId="9" fillId="7" borderId="10" xfId="3" applyFont="1" applyFill="1" applyBorder="1" applyAlignment="1">
      <alignment horizontal="center" vertical="center"/>
    </xf>
    <xf numFmtId="0" fontId="9" fillId="58" borderId="46" xfId="3" applyFont="1" applyFill="1" applyBorder="1" applyAlignment="1">
      <alignment horizontal="center" vertical="center" wrapText="1"/>
    </xf>
    <xf numFmtId="0" fontId="9" fillId="58" borderId="119" xfId="3" applyFont="1" applyFill="1" applyBorder="1" applyAlignment="1">
      <alignment horizontal="center" vertical="center" wrapText="1"/>
    </xf>
    <xf numFmtId="0" fontId="9" fillId="7" borderId="132" xfId="3" applyFont="1" applyFill="1" applyBorder="1" applyAlignment="1">
      <alignment horizontal="center" vertical="center"/>
    </xf>
    <xf numFmtId="2" fontId="9" fillId="7" borderId="11" xfId="3" applyNumberFormat="1" applyFont="1" applyFill="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25" fillId="5" borderId="109"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80" xfId="0" applyFont="1" applyFill="1" applyBorder="1" applyAlignment="1">
      <alignment horizontal="center" vertical="center"/>
    </xf>
    <xf numFmtId="0" fontId="25" fillId="5" borderId="16" xfId="0" applyFont="1" applyFill="1" applyBorder="1" applyAlignment="1">
      <alignment horizontal="center" vertical="center"/>
    </xf>
    <xf numFmtId="0" fontId="25" fillId="5" borderId="150" xfId="0" applyFont="1" applyFill="1" applyBorder="1" applyAlignment="1">
      <alignment horizontal="center" vertical="center"/>
    </xf>
    <xf numFmtId="0" fontId="25" fillId="5" borderId="147" xfId="0" applyFont="1" applyFill="1" applyBorder="1" applyAlignment="1">
      <alignment horizontal="center" vertical="center"/>
    </xf>
    <xf numFmtId="0" fontId="1" fillId="20" borderId="0" xfId="0" applyFont="1" applyFill="1" applyAlignment="1">
      <alignment horizontal="center" vertical="center" textRotation="90"/>
    </xf>
    <xf numFmtId="0" fontId="1" fillId="20" borderId="0" xfId="0" applyFont="1" applyFill="1" applyAlignment="1">
      <alignment horizontal="center" vertical="center"/>
    </xf>
    <xf numFmtId="0" fontId="25" fillId="0" borderId="16" xfId="0" applyFont="1" applyBorder="1" applyAlignment="1">
      <alignment horizontal="center" wrapText="1"/>
    </xf>
    <xf numFmtId="0" fontId="1" fillId="28" borderId="0" xfId="0" applyFont="1" applyFill="1" applyAlignment="1">
      <alignment horizontal="center" vertical="center"/>
    </xf>
    <xf numFmtId="0" fontId="1" fillId="0" borderId="9" xfId="0" applyFont="1" applyBorder="1" applyAlignment="1">
      <alignment horizontal="center"/>
    </xf>
    <xf numFmtId="0" fontId="35" fillId="0" borderId="2" xfId="0" applyFont="1" applyBorder="1" applyAlignment="1"/>
    <xf numFmtId="0" fontId="1" fillId="0" borderId="54" xfId="0" applyFont="1" applyBorder="1" applyAlignment="1">
      <alignment horizontal="center" vertical="center" textRotation="90" wrapText="1"/>
    </xf>
    <xf numFmtId="0" fontId="1" fillId="0" borderId="55" xfId="0" applyFont="1" applyBorder="1" applyAlignment="1">
      <alignment horizontal="center" vertical="center" textRotation="90" wrapText="1"/>
    </xf>
    <xf numFmtId="0" fontId="1" fillId="0" borderId="56" xfId="0" applyFont="1" applyBorder="1" applyAlignment="1">
      <alignment horizontal="center" vertical="center" textRotation="90" wrapText="1"/>
    </xf>
    <xf numFmtId="0" fontId="1" fillId="0" borderId="54" xfId="0" applyFont="1" applyBorder="1" applyAlignment="1">
      <alignment horizontal="center" textRotation="90" wrapText="1"/>
    </xf>
    <xf numFmtId="0" fontId="1" fillId="0" borderId="55" xfId="0" applyFont="1" applyBorder="1" applyAlignment="1">
      <alignment horizontal="center" textRotation="90" wrapText="1"/>
    </xf>
    <xf numFmtId="0" fontId="1" fillId="0" borderId="56" xfId="0" applyFont="1" applyBorder="1" applyAlignment="1">
      <alignment horizontal="center" textRotation="90" wrapText="1"/>
    </xf>
    <xf numFmtId="0" fontId="1" fillId="0" borderId="54" xfId="0" applyFont="1" applyBorder="1" applyAlignment="1">
      <alignment horizontal="center" vertical="center" textRotation="90"/>
    </xf>
    <xf numFmtId="0" fontId="1" fillId="0" borderId="55" xfId="0" applyFont="1" applyBorder="1" applyAlignment="1">
      <alignment horizontal="center" vertical="center" textRotation="90"/>
    </xf>
    <xf numFmtId="0" fontId="1" fillId="0" borderId="57" xfId="0" applyFont="1" applyBorder="1" applyAlignment="1">
      <alignment horizontal="center" vertical="center" textRotation="90"/>
    </xf>
    <xf numFmtId="0" fontId="36" fillId="0" borderId="54" xfId="0" applyFont="1" applyBorder="1" applyAlignment="1">
      <alignment horizontal="center" vertical="center" textRotation="90"/>
    </xf>
    <xf numFmtId="0" fontId="36" fillId="0" borderId="55" xfId="0" applyFont="1" applyBorder="1" applyAlignment="1">
      <alignment horizontal="center" vertical="center" textRotation="90"/>
    </xf>
    <xf numFmtId="0" fontId="36" fillId="0" borderId="56" xfId="0" applyFont="1" applyBorder="1" applyAlignment="1">
      <alignment horizontal="center" vertical="center" textRotation="90"/>
    </xf>
    <xf numFmtId="0" fontId="0" fillId="0" borderId="18" xfId="0" applyFont="1" applyBorder="1" applyAlignment="1">
      <alignment vertical="center" wrapText="1"/>
    </xf>
    <xf numFmtId="0" fontId="10" fillId="0" borderId="19" xfId="0" applyFont="1" applyBorder="1" applyAlignment="1">
      <alignment vertical="center"/>
    </xf>
    <xf numFmtId="0" fontId="0" fillId="0" borderId="21" xfId="0" applyFont="1" applyBorder="1" applyAlignment="1">
      <alignment vertical="center" wrapText="1"/>
    </xf>
    <xf numFmtId="0" fontId="10" fillId="0" borderId="22" xfId="0" applyFont="1" applyBorder="1" applyAlignment="1">
      <alignment vertical="center"/>
    </xf>
    <xf numFmtId="0" fontId="4" fillId="2" borderId="16" xfId="3" applyFont="1" applyFill="1" applyBorder="1" applyAlignment="1">
      <alignment horizontal="center"/>
    </xf>
    <xf numFmtId="0" fontId="10" fillId="0" borderId="16" xfId="3" applyFont="1" applyBorder="1" applyAlignment="1"/>
    <xf numFmtId="0" fontId="4" fillId="2" borderId="16" xfId="3" applyFont="1" applyFill="1" applyBorder="1" applyAlignment="1">
      <alignment horizontal="center" vertical="center" wrapText="1"/>
    </xf>
    <xf numFmtId="0" fontId="4" fillId="7" borderId="16" xfId="3" applyFont="1" applyFill="1" applyBorder="1" applyAlignment="1">
      <alignment horizontal="center"/>
    </xf>
    <xf numFmtId="0" fontId="4" fillId="0" borderId="16" xfId="3" applyFont="1" applyBorder="1" applyAlignment="1">
      <alignment wrapText="1"/>
    </xf>
    <xf numFmtId="0" fontId="4" fillId="0" borderId="16" xfId="3" applyFont="1" applyBorder="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4" fillId="0" borderId="18" xfId="0" applyFont="1" applyBorder="1" applyAlignment="1">
      <alignment vertical="center" wrapText="1"/>
    </xf>
    <xf numFmtId="0" fontId="26" fillId="0" borderId="19" xfId="0" applyFont="1" applyBorder="1" applyAlignment="1"/>
    <xf numFmtId="0" fontId="4" fillId="0" borderId="21" xfId="0" applyFont="1" applyBorder="1" applyAlignment="1">
      <alignment vertical="center" wrapText="1"/>
    </xf>
    <xf numFmtId="0" fontId="26" fillId="0" borderId="22" xfId="0" applyFont="1" applyBorder="1" applyAlignment="1"/>
    <xf numFmtId="0" fontId="20" fillId="10" borderId="30" xfId="0" applyFont="1" applyFill="1" applyBorder="1" applyAlignment="1">
      <alignment horizontal="left" vertical="center" wrapText="1"/>
    </xf>
    <xf numFmtId="0" fontId="10" fillId="0" borderId="29" xfId="0" applyFont="1" applyBorder="1" applyAlignment="1">
      <alignment vertical="center"/>
    </xf>
    <xf numFmtId="0" fontId="10" fillId="0" borderId="24" xfId="0" applyFont="1" applyBorder="1" applyAlignment="1">
      <alignment vertical="center"/>
    </xf>
    <xf numFmtId="0" fontId="17" fillId="10" borderId="30" xfId="0" applyFont="1" applyFill="1" applyBorder="1" applyAlignment="1">
      <alignment horizontal="center" vertical="center" wrapText="1"/>
    </xf>
    <xf numFmtId="0" fontId="31" fillId="0" borderId="3" xfId="0" applyFont="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0" fontId="18" fillId="12" borderId="17" xfId="0" applyFont="1" applyFill="1" applyBorder="1" applyAlignment="1">
      <alignment horizontal="center" vertical="center" wrapText="1"/>
    </xf>
    <xf numFmtId="0" fontId="10" fillId="0" borderId="23" xfId="0" applyFont="1" applyBorder="1" applyAlignment="1">
      <alignment vertical="center"/>
    </xf>
    <xf numFmtId="0" fontId="10" fillId="0" borderId="28" xfId="0" applyFont="1" applyBorder="1" applyAlignment="1">
      <alignment vertical="center"/>
    </xf>
    <xf numFmtId="0" fontId="33" fillId="0" borderId="30" xfId="0" applyFont="1" applyBorder="1" applyAlignment="1">
      <alignment vertical="center"/>
    </xf>
    <xf numFmtId="0" fontId="32" fillId="0" borderId="29" xfId="0" applyFont="1" applyBorder="1" applyAlignment="1">
      <alignment vertical="center"/>
    </xf>
    <xf numFmtId="0" fontId="32" fillId="0" borderId="24" xfId="0" applyFont="1" applyBorder="1" applyAlignment="1">
      <alignment vertical="center"/>
    </xf>
    <xf numFmtId="0" fontId="34" fillId="4" borderId="30" xfId="0" applyFont="1" applyFill="1" applyBorder="1" applyAlignment="1">
      <alignment horizontal="left" vertical="center"/>
    </xf>
    <xf numFmtId="0" fontId="18" fillId="11" borderId="17" xfId="0" applyFont="1" applyFill="1" applyBorder="1" applyAlignment="1">
      <alignment horizontal="center" vertical="center" wrapText="1"/>
    </xf>
    <xf numFmtId="3" fontId="16" fillId="7" borderId="30" xfId="0" applyNumberFormat="1" applyFont="1" applyFill="1" applyBorder="1" applyAlignment="1">
      <alignment horizontal="center" vertical="center"/>
    </xf>
    <xf numFmtId="3" fontId="16" fillId="7" borderId="30" xfId="0" applyNumberFormat="1" applyFont="1" applyFill="1" applyBorder="1" applyAlignment="1">
      <alignment horizontal="center" vertical="center" wrapText="1"/>
    </xf>
    <xf numFmtId="3" fontId="16" fillId="6" borderId="30" xfId="0" applyNumberFormat="1" applyFont="1" applyFill="1" applyBorder="1" applyAlignment="1">
      <alignment horizontal="center" vertical="center" wrapText="1"/>
    </xf>
    <xf numFmtId="0" fontId="17" fillId="15" borderId="30" xfId="0" applyFont="1" applyFill="1" applyBorder="1" applyAlignment="1">
      <alignment vertical="center"/>
    </xf>
    <xf numFmtId="0" fontId="16" fillId="6" borderId="30"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8" xfId="0" applyFont="1" applyBorder="1" applyAlignment="1">
      <alignment horizontal="center" vertical="center" wrapText="1"/>
    </xf>
    <xf numFmtId="0" fontId="16" fillId="7" borderId="30" xfId="0" applyFont="1" applyFill="1" applyBorder="1" applyAlignment="1">
      <alignment horizontal="center" vertical="center" wrapText="1"/>
    </xf>
    <xf numFmtId="0" fontId="17" fillId="14" borderId="30" xfId="0" applyFont="1" applyFill="1" applyBorder="1" applyAlignment="1">
      <alignment vertical="center"/>
    </xf>
    <xf numFmtId="0" fontId="1" fillId="0" borderId="18" xfId="0" applyFont="1" applyBorder="1" applyAlignment="1">
      <alignment vertical="center" wrapText="1"/>
    </xf>
    <xf numFmtId="0" fontId="35" fillId="0" borderId="19" xfId="0" applyFont="1" applyBorder="1" applyAlignment="1">
      <alignment vertical="center"/>
    </xf>
    <xf numFmtId="0" fontId="1" fillId="0" borderId="21" xfId="0" applyFont="1" applyBorder="1" applyAlignment="1">
      <alignment vertical="center" wrapText="1"/>
    </xf>
    <xf numFmtId="0" fontId="35" fillId="0" borderId="22" xfId="0" applyFont="1" applyBorder="1" applyAlignment="1">
      <alignment vertical="center"/>
    </xf>
  </cellXfs>
  <cellStyles count="7">
    <cellStyle name="Hyperlink" xfId="6" xr:uid="{00000000-000B-0000-0000-000008000000}"/>
    <cellStyle name="Lien hypertexte" xfId="1" builtinId="8"/>
    <cellStyle name="Lien hypertexte 2" xfId="5" xr:uid="{00000000-0005-0000-0000-000001000000}"/>
    <cellStyle name="Normal" xfId="0" builtinId="0"/>
    <cellStyle name="Normal 2" xfId="3" xr:uid="{00000000-0005-0000-0000-000003000000}"/>
    <cellStyle name="Pourcentage" xfId="2" builtinId="5"/>
    <cellStyle name="Pourcentage 2" xfId="4" xr:uid="{00000000-0005-0000-0000-000005000000}"/>
  </cellStyles>
  <dxfs count="62">
    <dxf>
      <fill>
        <patternFill patternType="solid">
          <fgColor rgb="FFCC0000"/>
          <bgColor rgb="FFCC0000"/>
        </patternFill>
      </fill>
    </dxf>
    <dxf>
      <fill>
        <patternFill patternType="solid">
          <fgColor rgb="FFCC0000"/>
          <bgColor rgb="FFCC0000"/>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
      <font>
        <color auto="1"/>
      </font>
      <fill>
        <patternFill>
          <bgColor rgb="FF00F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Estimation des répartitions des emissions par type d'appareil</a:t>
            </a:r>
            <a:r>
              <a:rPr lang="fr-FR" baseline="0"/>
              <a:t> / liaisson</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7-8C1E-DC44-81E4-ACFCE54FFC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8C1E-DC44-81E4-ACFCE54FFC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FF-024E-9531-8DA33EEFD3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8C1E-DC44-81E4-ACFCE54FFC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FF-024E-9531-8DA33EEFD38B}"/>
              </c:ext>
            </c:extLst>
          </c:dPt>
          <c:dLbls>
            <c:dLbl>
              <c:idx val="0"/>
              <c:layout>
                <c:manualLayout>
                  <c:x val="-5.8661545824447686E-2"/>
                  <c:y val="2.232387532415763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C1E-DC44-81E4-ACFCE54FFC5A}"/>
                </c:ext>
              </c:extLst>
            </c:dLbl>
            <c:dLbl>
              <c:idx val="1"/>
              <c:layout>
                <c:manualLayout>
                  <c:x val="3.6131031949336789E-3"/>
                  <c:y val="1.3845034572144223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C1E-DC44-81E4-ACFCE54FFC5A}"/>
                </c:ext>
              </c:extLst>
            </c:dLbl>
            <c:dLbl>
              <c:idx val="2"/>
              <c:layout>
                <c:manualLayout>
                  <c:x val="-5.8328328793611585E-2"/>
                  <c:y val="0.16640303530607056"/>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CFF-024E-9531-8DA33EEFD38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Hypothèses!$A$77:$A$81</c:f>
              <c:strCache>
                <c:ptCount val="5"/>
                <c:pt idx="0">
                  <c:v>Commuters (moins de 19pax/moins de 500km)</c:v>
                </c:pt>
                <c:pt idx="1">
                  <c:v>Avion transport régional (20-80 pax/moins de 1000km)</c:v>
                </c:pt>
                <c:pt idx="2">
                  <c:v>Court-courrier (81-165 pax/moins de 2000km)</c:v>
                </c:pt>
                <c:pt idx="3">
                  <c:v>Moyen-courrier (166-250 pax/moins de 7000km)</c:v>
                </c:pt>
                <c:pt idx="4">
                  <c:v>Long-courrier (plus de 250pax/jusqu'à 12000km)</c:v>
                </c:pt>
              </c:strCache>
            </c:strRef>
          </c:cat>
          <c:val>
            <c:numRef>
              <c:f>Hypothèses!$G$77:$G$81</c:f>
              <c:numCache>
                <c:formatCode>0.0%</c:formatCode>
                <c:ptCount val="5"/>
                <c:pt idx="0">
                  <c:v>0.01</c:v>
                </c:pt>
                <c:pt idx="1">
                  <c:v>0.03</c:v>
                </c:pt>
                <c:pt idx="2">
                  <c:v>0.24</c:v>
                </c:pt>
                <c:pt idx="3">
                  <c:v>0.42</c:v>
                </c:pt>
                <c:pt idx="4">
                  <c:v>0.3</c:v>
                </c:pt>
              </c:numCache>
            </c:numRef>
          </c:val>
          <c:extLst>
            <c:ext xmlns:c16="http://schemas.microsoft.com/office/drawing/2014/chart" uri="{C3380CC4-5D6E-409C-BE32-E72D297353CC}">
              <c16:uniqueId val="{00000000-8C1E-DC44-81E4-ACFCE54FFC5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583300021381619"/>
          <c:y val="0.23445707391414783"/>
          <c:w val="0.33252315472730509"/>
          <c:h val="0.6920300990601980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fr-FR" sz="1600"/>
              <a:t>Emissions</a:t>
            </a:r>
            <a:r>
              <a:rPr lang="fr-FR" sz="1600" baseline="0"/>
              <a:t> de CO2  Jet A-1, PTL et LH2 en fonction de l'intensité carbone du mix électrique</a:t>
            </a:r>
            <a:endParaRPr lang="fr-FR"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17057391661607"/>
          <c:y val="0.20636676403452822"/>
          <c:w val="0.72846154321671575"/>
          <c:h val="0.64297896361239371"/>
        </c:manualLayout>
      </c:layout>
      <c:lineChart>
        <c:grouping val="standard"/>
        <c:varyColors val="0"/>
        <c:ser>
          <c:idx val="3"/>
          <c:order val="0"/>
          <c:tx>
            <c:strRef>
              <c:f>Hypothèses!$E$127</c:f>
              <c:strCache>
                <c:ptCount val="1"/>
                <c:pt idx="0">
                  <c:v>PTL
(captation CO2 50% air et 50% industriel)</c:v>
                </c:pt>
              </c:strCache>
            </c:strRef>
          </c:tx>
          <c:spPr>
            <a:ln w="28575" cap="rnd">
              <a:solidFill>
                <a:schemeClr val="accent4"/>
              </a:solidFill>
              <a:round/>
            </a:ln>
            <a:effectLst/>
          </c:spPr>
          <c:marker>
            <c:symbol val="none"/>
          </c:marker>
          <c:cat>
            <c:numRef>
              <c:f>Hypothèses!$B$128:$B$162</c:f>
              <c:numCache>
                <c:formatCode>0</c:formatCode>
                <c:ptCount val="35"/>
                <c:pt idx="0">
                  <c:v>0</c:v>
                </c:pt>
                <c:pt idx="1">
                  <c:v>15</c:v>
                </c:pt>
                <c:pt idx="2">
                  <c:v>30</c:v>
                </c:pt>
                <c:pt idx="3">
                  <c:v>45</c:v>
                </c:pt>
                <c:pt idx="4">
                  <c:v>60</c:v>
                </c:pt>
                <c:pt idx="5">
                  <c:v>75</c:v>
                </c:pt>
                <c:pt idx="6">
                  <c:v>90</c:v>
                </c:pt>
                <c:pt idx="7">
                  <c:v>105</c:v>
                </c:pt>
                <c:pt idx="8">
                  <c:v>120</c:v>
                </c:pt>
                <c:pt idx="9">
                  <c:v>135</c:v>
                </c:pt>
                <c:pt idx="10">
                  <c:v>150</c:v>
                </c:pt>
                <c:pt idx="11">
                  <c:v>165</c:v>
                </c:pt>
                <c:pt idx="12">
                  <c:v>180</c:v>
                </c:pt>
                <c:pt idx="13">
                  <c:v>195</c:v>
                </c:pt>
                <c:pt idx="14">
                  <c:v>210</c:v>
                </c:pt>
                <c:pt idx="15">
                  <c:v>225</c:v>
                </c:pt>
                <c:pt idx="16">
                  <c:v>240</c:v>
                </c:pt>
                <c:pt idx="17">
                  <c:v>255</c:v>
                </c:pt>
                <c:pt idx="18">
                  <c:v>270</c:v>
                </c:pt>
                <c:pt idx="19">
                  <c:v>285</c:v>
                </c:pt>
                <c:pt idx="20">
                  <c:v>300</c:v>
                </c:pt>
                <c:pt idx="21">
                  <c:v>315</c:v>
                </c:pt>
                <c:pt idx="22">
                  <c:v>330</c:v>
                </c:pt>
                <c:pt idx="23">
                  <c:v>345</c:v>
                </c:pt>
                <c:pt idx="24">
                  <c:v>360</c:v>
                </c:pt>
                <c:pt idx="25">
                  <c:v>375</c:v>
                </c:pt>
                <c:pt idx="26">
                  <c:v>390</c:v>
                </c:pt>
                <c:pt idx="27">
                  <c:v>405</c:v>
                </c:pt>
                <c:pt idx="28">
                  <c:v>420</c:v>
                </c:pt>
                <c:pt idx="29">
                  <c:v>435</c:v>
                </c:pt>
                <c:pt idx="30">
                  <c:v>450</c:v>
                </c:pt>
                <c:pt idx="31">
                  <c:v>465</c:v>
                </c:pt>
                <c:pt idx="32">
                  <c:v>480</c:v>
                </c:pt>
                <c:pt idx="33">
                  <c:v>495</c:v>
                </c:pt>
                <c:pt idx="34">
                  <c:v>510</c:v>
                </c:pt>
              </c:numCache>
            </c:numRef>
          </c:cat>
          <c:val>
            <c:numRef>
              <c:f>Hypothèses!$E$128:$E$162</c:f>
              <c:numCache>
                <c:formatCode>0</c:formatCode>
                <c:ptCount val="35"/>
                <c:pt idx="0">
                  <c:v>0</c:v>
                </c:pt>
                <c:pt idx="1">
                  <c:v>15.416666666666663</c:v>
                </c:pt>
                <c:pt idx="2">
                  <c:v>30.833333333333325</c:v>
                </c:pt>
                <c:pt idx="3">
                  <c:v>46.249999999999986</c:v>
                </c:pt>
                <c:pt idx="4">
                  <c:v>61.66666666666665</c:v>
                </c:pt>
                <c:pt idx="5">
                  <c:v>77.083333333333314</c:v>
                </c:pt>
                <c:pt idx="6">
                  <c:v>92.499999999999972</c:v>
                </c:pt>
                <c:pt idx="7">
                  <c:v>107.91666666666663</c:v>
                </c:pt>
                <c:pt idx="8">
                  <c:v>123.3333333333333</c:v>
                </c:pt>
                <c:pt idx="9">
                  <c:v>138.74999999999994</c:v>
                </c:pt>
                <c:pt idx="10">
                  <c:v>154.16666666666663</c:v>
                </c:pt>
                <c:pt idx="11">
                  <c:v>169.58333333333329</c:v>
                </c:pt>
                <c:pt idx="12">
                  <c:v>184.99999999999994</c:v>
                </c:pt>
                <c:pt idx="13">
                  <c:v>200.4166666666666</c:v>
                </c:pt>
                <c:pt idx="14">
                  <c:v>215.83333333333326</c:v>
                </c:pt>
                <c:pt idx="15">
                  <c:v>231.24999999999991</c:v>
                </c:pt>
                <c:pt idx="16">
                  <c:v>246.6666666666666</c:v>
                </c:pt>
                <c:pt idx="17">
                  <c:v>262.08333333333326</c:v>
                </c:pt>
                <c:pt idx="18">
                  <c:v>277.49999999999989</c:v>
                </c:pt>
                <c:pt idx="19">
                  <c:v>292.91666666666657</c:v>
                </c:pt>
                <c:pt idx="20">
                  <c:v>308.33333333333326</c:v>
                </c:pt>
                <c:pt idx="21">
                  <c:v>323.74999999999989</c:v>
                </c:pt>
                <c:pt idx="22">
                  <c:v>339.16666666666657</c:v>
                </c:pt>
                <c:pt idx="23">
                  <c:v>354.5833333333332</c:v>
                </c:pt>
                <c:pt idx="24">
                  <c:v>369.99999999999989</c:v>
                </c:pt>
                <c:pt idx="25">
                  <c:v>385.41666666666657</c:v>
                </c:pt>
                <c:pt idx="26">
                  <c:v>400.8333333333332</c:v>
                </c:pt>
                <c:pt idx="27">
                  <c:v>416.24999999999989</c:v>
                </c:pt>
                <c:pt idx="28">
                  <c:v>431.66666666666652</c:v>
                </c:pt>
                <c:pt idx="29">
                  <c:v>447.0833333333332</c:v>
                </c:pt>
                <c:pt idx="30">
                  <c:v>462.49999999999983</c:v>
                </c:pt>
                <c:pt idx="31">
                  <c:v>477.91666666666652</c:v>
                </c:pt>
                <c:pt idx="32">
                  <c:v>493.3333333333332</c:v>
                </c:pt>
                <c:pt idx="33">
                  <c:v>508.74999999999983</c:v>
                </c:pt>
                <c:pt idx="34">
                  <c:v>524.16666666666652</c:v>
                </c:pt>
              </c:numCache>
            </c:numRef>
          </c:val>
          <c:smooth val="1"/>
          <c:extLst>
            <c:ext xmlns:c16="http://schemas.microsoft.com/office/drawing/2014/chart" uri="{C3380CC4-5D6E-409C-BE32-E72D297353CC}">
              <c16:uniqueId val="{00000003-FE8B-0242-8598-E9C07CA29362}"/>
            </c:ext>
          </c:extLst>
        </c:ser>
        <c:ser>
          <c:idx val="2"/>
          <c:order val="1"/>
          <c:tx>
            <c:strRef>
              <c:f>Hypothèses!$D$127</c:f>
              <c:strCache>
                <c:ptCount val="1"/>
                <c:pt idx="0">
                  <c:v>LH2</c:v>
                </c:pt>
              </c:strCache>
            </c:strRef>
          </c:tx>
          <c:spPr>
            <a:ln w="28575" cap="rnd">
              <a:solidFill>
                <a:schemeClr val="accent3"/>
              </a:solidFill>
              <a:round/>
            </a:ln>
            <a:effectLst/>
          </c:spPr>
          <c:marker>
            <c:symbol val="none"/>
          </c:marker>
          <c:cat>
            <c:numRef>
              <c:f>Hypothèses!$B$128:$B$162</c:f>
              <c:numCache>
                <c:formatCode>0</c:formatCode>
                <c:ptCount val="35"/>
                <c:pt idx="0">
                  <c:v>0</c:v>
                </c:pt>
                <c:pt idx="1">
                  <c:v>15</c:v>
                </c:pt>
                <c:pt idx="2">
                  <c:v>30</c:v>
                </c:pt>
                <c:pt idx="3">
                  <c:v>45</c:v>
                </c:pt>
                <c:pt idx="4">
                  <c:v>60</c:v>
                </c:pt>
                <c:pt idx="5">
                  <c:v>75</c:v>
                </c:pt>
                <c:pt idx="6">
                  <c:v>90</c:v>
                </c:pt>
                <c:pt idx="7">
                  <c:v>105</c:v>
                </c:pt>
                <c:pt idx="8">
                  <c:v>120</c:v>
                </c:pt>
                <c:pt idx="9">
                  <c:v>135</c:v>
                </c:pt>
                <c:pt idx="10">
                  <c:v>150</c:v>
                </c:pt>
                <c:pt idx="11">
                  <c:v>165</c:v>
                </c:pt>
                <c:pt idx="12">
                  <c:v>180</c:v>
                </c:pt>
                <c:pt idx="13">
                  <c:v>195</c:v>
                </c:pt>
                <c:pt idx="14">
                  <c:v>210</c:v>
                </c:pt>
                <c:pt idx="15">
                  <c:v>225</c:v>
                </c:pt>
                <c:pt idx="16">
                  <c:v>240</c:v>
                </c:pt>
                <c:pt idx="17">
                  <c:v>255</c:v>
                </c:pt>
                <c:pt idx="18">
                  <c:v>270</c:v>
                </c:pt>
                <c:pt idx="19">
                  <c:v>285</c:v>
                </c:pt>
                <c:pt idx="20">
                  <c:v>300</c:v>
                </c:pt>
                <c:pt idx="21">
                  <c:v>315</c:v>
                </c:pt>
                <c:pt idx="22">
                  <c:v>330</c:v>
                </c:pt>
                <c:pt idx="23">
                  <c:v>345</c:v>
                </c:pt>
                <c:pt idx="24">
                  <c:v>360</c:v>
                </c:pt>
                <c:pt idx="25">
                  <c:v>375</c:v>
                </c:pt>
                <c:pt idx="26">
                  <c:v>390</c:v>
                </c:pt>
                <c:pt idx="27">
                  <c:v>405</c:v>
                </c:pt>
                <c:pt idx="28">
                  <c:v>420</c:v>
                </c:pt>
                <c:pt idx="29">
                  <c:v>435</c:v>
                </c:pt>
                <c:pt idx="30">
                  <c:v>450</c:v>
                </c:pt>
                <c:pt idx="31">
                  <c:v>465</c:v>
                </c:pt>
                <c:pt idx="32">
                  <c:v>480</c:v>
                </c:pt>
                <c:pt idx="33">
                  <c:v>495</c:v>
                </c:pt>
                <c:pt idx="34">
                  <c:v>510</c:v>
                </c:pt>
              </c:numCache>
            </c:numRef>
          </c:cat>
          <c:val>
            <c:numRef>
              <c:f>Hypothèses!$D$128:$D$162</c:f>
              <c:numCache>
                <c:formatCode>0</c:formatCode>
                <c:ptCount val="35"/>
                <c:pt idx="0">
                  <c:v>0</c:v>
                </c:pt>
                <c:pt idx="1">
                  <c:v>7.0833333333333321</c:v>
                </c:pt>
                <c:pt idx="2">
                  <c:v>14.166666666666664</c:v>
                </c:pt>
                <c:pt idx="3">
                  <c:v>21.249999999999996</c:v>
                </c:pt>
                <c:pt idx="4">
                  <c:v>28.333333333333329</c:v>
                </c:pt>
                <c:pt idx="5">
                  <c:v>35.416666666666664</c:v>
                </c:pt>
                <c:pt idx="6">
                  <c:v>42.499999999999993</c:v>
                </c:pt>
                <c:pt idx="7">
                  <c:v>49.583333333333329</c:v>
                </c:pt>
                <c:pt idx="8">
                  <c:v>56.666666666666657</c:v>
                </c:pt>
                <c:pt idx="9">
                  <c:v>63.749999999999993</c:v>
                </c:pt>
                <c:pt idx="10">
                  <c:v>70.833333333333329</c:v>
                </c:pt>
                <c:pt idx="11">
                  <c:v>77.916666666666657</c:v>
                </c:pt>
                <c:pt idx="12">
                  <c:v>84.999999999999986</c:v>
                </c:pt>
                <c:pt idx="13">
                  <c:v>92.083333333333314</c:v>
                </c:pt>
                <c:pt idx="14">
                  <c:v>99.166666666666657</c:v>
                </c:pt>
                <c:pt idx="15">
                  <c:v>106.24999999999999</c:v>
                </c:pt>
                <c:pt idx="16">
                  <c:v>113.33333333333331</c:v>
                </c:pt>
                <c:pt idx="17">
                  <c:v>120.41666666666664</c:v>
                </c:pt>
                <c:pt idx="18">
                  <c:v>127.49999999999999</c:v>
                </c:pt>
                <c:pt idx="19">
                  <c:v>134.58333333333331</c:v>
                </c:pt>
                <c:pt idx="20">
                  <c:v>141.66666666666666</c:v>
                </c:pt>
                <c:pt idx="21">
                  <c:v>148.74999999999997</c:v>
                </c:pt>
                <c:pt idx="22">
                  <c:v>155.83333333333331</c:v>
                </c:pt>
                <c:pt idx="23">
                  <c:v>162.91666666666666</c:v>
                </c:pt>
                <c:pt idx="24">
                  <c:v>169.99999999999997</c:v>
                </c:pt>
                <c:pt idx="25">
                  <c:v>177.08333333333331</c:v>
                </c:pt>
                <c:pt idx="26">
                  <c:v>184.16666666666663</c:v>
                </c:pt>
                <c:pt idx="27">
                  <c:v>191.24999999999997</c:v>
                </c:pt>
                <c:pt idx="28">
                  <c:v>198.33333333333331</c:v>
                </c:pt>
                <c:pt idx="29">
                  <c:v>205.41666666666663</c:v>
                </c:pt>
                <c:pt idx="30">
                  <c:v>212.49999999999997</c:v>
                </c:pt>
                <c:pt idx="31">
                  <c:v>219.58333333333331</c:v>
                </c:pt>
                <c:pt idx="32">
                  <c:v>226.66666666666663</c:v>
                </c:pt>
                <c:pt idx="33">
                  <c:v>233.74999999999997</c:v>
                </c:pt>
                <c:pt idx="34">
                  <c:v>240.83333333333329</c:v>
                </c:pt>
              </c:numCache>
            </c:numRef>
          </c:val>
          <c:smooth val="1"/>
          <c:extLst>
            <c:ext xmlns:c16="http://schemas.microsoft.com/office/drawing/2014/chart" uri="{C3380CC4-5D6E-409C-BE32-E72D297353CC}">
              <c16:uniqueId val="{00000002-FE8B-0242-8598-E9C07CA29362}"/>
            </c:ext>
          </c:extLst>
        </c:ser>
        <c:ser>
          <c:idx val="1"/>
          <c:order val="2"/>
          <c:tx>
            <c:strRef>
              <c:f>Hypothèses!$C$127</c:f>
              <c:strCache>
                <c:ptCount val="1"/>
                <c:pt idx="0">
                  <c:v>Jet A -1</c:v>
                </c:pt>
              </c:strCache>
            </c:strRef>
          </c:tx>
          <c:spPr>
            <a:ln w="28575" cap="rnd">
              <a:solidFill>
                <a:schemeClr val="accent2"/>
              </a:solidFill>
              <a:round/>
            </a:ln>
            <a:effectLst/>
          </c:spPr>
          <c:marker>
            <c:symbol val="none"/>
          </c:marker>
          <c:cat>
            <c:numRef>
              <c:f>Hypothèses!$B$128:$B$162</c:f>
              <c:numCache>
                <c:formatCode>0</c:formatCode>
                <c:ptCount val="35"/>
                <c:pt idx="0">
                  <c:v>0</c:v>
                </c:pt>
                <c:pt idx="1">
                  <c:v>15</c:v>
                </c:pt>
                <c:pt idx="2">
                  <c:v>30</c:v>
                </c:pt>
                <c:pt idx="3">
                  <c:v>45</c:v>
                </c:pt>
                <c:pt idx="4">
                  <c:v>60</c:v>
                </c:pt>
                <c:pt idx="5">
                  <c:v>75</c:v>
                </c:pt>
                <c:pt idx="6">
                  <c:v>90</c:v>
                </c:pt>
                <c:pt idx="7">
                  <c:v>105</c:v>
                </c:pt>
                <c:pt idx="8">
                  <c:v>120</c:v>
                </c:pt>
                <c:pt idx="9">
                  <c:v>135</c:v>
                </c:pt>
                <c:pt idx="10">
                  <c:v>150</c:v>
                </c:pt>
                <c:pt idx="11">
                  <c:v>165</c:v>
                </c:pt>
                <c:pt idx="12">
                  <c:v>180</c:v>
                </c:pt>
                <c:pt idx="13">
                  <c:v>195</c:v>
                </c:pt>
                <c:pt idx="14">
                  <c:v>210</c:v>
                </c:pt>
                <c:pt idx="15">
                  <c:v>225</c:v>
                </c:pt>
                <c:pt idx="16">
                  <c:v>240</c:v>
                </c:pt>
                <c:pt idx="17">
                  <c:v>255</c:v>
                </c:pt>
                <c:pt idx="18">
                  <c:v>270</c:v>
                </c:pt>
                <c:pt idx="19">
                  <c:v>285</c:v>
                </c:pt>
                <c:pt idx="20">
                  <c:v>300</c:v>
                </c:pt>
                <c:pt idx="21">
                  <c:v>315</c:v>
                </c:pt>
                <c:pt idx="22">
                  <c:v>330</c:v>
                </c:pt>
                <c:pt idx="23">
                  <c:v>345</c:v>
                </c:pt>
                <c:pt idx="24">
                  <c:v>360</c:v>
                </c:pt>
                <c:pt idx="25">
                  <c:v>375</c:v>
                </c:pt>
                <c:pt idx="26">
                  <c:v>390</c:v>
                </c:pt>
                <c:pt idx="27">
                  <c:v>405</c:v>
                </c:pt>
                <c:pt idx="28">
                  <c:v>420</c:v>
                </c:pt>
                <c:pt idx="29">
                  <c:v>435</c:v>
                </c:pt>
                <c:pt idx="30">
                  <c:v>450</c:v>
                </c:pt>
                <c:pt idx="31">
                  <c:v>465</c:v>
                </c:pt>
                <c:pt idx="32">
                  <c:v>480</c:v>
                </c:pt>
                <c:pt idx="33">
                  <c:v>495</c:v>
                </c:pt>
                <c:pt idx="34">
                  <c:v>510</c:v>
                </c:pt>
              </c:numCache>
            </c:numRef>
          </c:cat>
          <c:val>
            <c:numRef>
              <c:f>Hypothèses!$C$128:$C$162</c:f>
              <c:numCache>
                <c:formatCode>0</c:formatCode>
                <c:ptCount val="35"/>
                <c:pt idx="0">
                  <c:v>85.111211983658634</c:v>
                </c:pt>
                <c:pt idx="1">
                  <c:v>85.111211983658634</c:v>
                </c:pt>
                <c:pt idx="2">
                  <c:v>85.111211983658634</c:v>
                </c:pt>
                <c:pt idx="3">
                  <c:v>85.111211983658634</c:v>
                </c:pt>
                <c:pt idx="4">
                  <c:v>85.111211983658634</c:v>
                </c:pt>
                <c:pt idx="5">
                  <c:v>85.111211983658634</c:v>
                </c:pt>
                <c:pt idx="6">
                  <c:v>85.111211983658634</c:v>
                </c:pt>
                <c:pt idx="7">
                  <c:v>85.111211983658634</c:v>
                </c:pt>
                <c:pt idx="8">
                  <c:v>85.111211983658634</c:v>
                </c:pt>
                <c:pt idx="9">
                  <c:v>85.111211983658634</c:v>
                </c:pt>
                <c:pt idx="10">
                  <c:v>85.111211983658634</c:v>
                </c:pt>
                <c:pt idx="11">
                  <c:v>85.111211983658634</c:v>
                </c:pt>
                <c:pt idx="12">
                  <c:v>85.111211983658634</c:v>
                </c:pt>
                <c:pt idx="13">
                  <c:v>85.111211983658634</c:v>
                </c:pt>
                <c:pt idx="14">
                  <c:v>85.111211983658634</c:v>
                </c:pt>
                <c:pt idx="15">
                  <c:v>85.111211983658634</c:v>
                </c:pt>
                <c:pt idx="16">
                  <c:v>85.111211983658634</c:v>
                </c:pt>
                <c:pt idx="17">
                  <c:v>85.111211983658634</c:v>
                </c:pt>
                <c:pt idx="18">
                  <c:v>85.111211983658634</c:v>
                </c:pt>
                <c:pt idx="19">
                  <c:v>85.111211983658634</c:v>
                </c:pt>
                <c:pt idx="20">
                  <c:v>85.111211983658634</c:v>
                </c:pt>
                <c:pt idx="21">
                  <c:v>85.111211983658634</c:v>
                </c:pt>
                <c:pt idx="22">
                  <c:v>85.111211983658634</c:v>
                </c:pt>
                <c:pt idx="23">
                  <c:v>85.111211983658634</c:v>
                </c:pt>
                <c:pt idx="24">
                  <c:v>85.111211983658634</c:v>
                </c:pt>
                <c:pt idx="25">
                  <c:v>85.111211983658634</c:v>
                </c:pt>
                <c:pt idx="26">
                  <c:v>85.111211983658634</c:v>
                </c:pt>
                <c:pt idx="27">
                  <c:v>85.111211983658634</c:v>
                </c:pt>
                <c:pt idx="28">
                  <c:v>85.111211983658634</c:v>
                </c:pt>
                <c:pt idx="29">
                  <c:v>85.111211983658634</c:v>
                </c:pt>
                <c:pt idx="30">
                  <c:v>85.111211983658634</c:v>
                </c:pt>
                <c:pt idx="31">
                  <c:v>85.111211983658634</c:v>
                </c:pt>
                <c:pt idx="32">
                  <c:v>85.111211983658634</c:v>
                </c:pt>
                <c:pt idx="33">
                  <c:v>85.111211983658634</c:v>
                </c:pt>
                <c:pt idx="34">
                  <c:v>85.111211983658634</c:v>
                </c:pt>
              </c:numCache>
            </c:numRef>
          </c:val>
          <c:smooth val="0"/>
          <c:extLst>
            <c:ext xmlns:c16="http://schemas.microsoft.com/office/drawing/2014/chart" uri="{C3380CC4-5D6E-409C-BE32-E72D297353CC}">
              <c16:uniqueId val="{00000001-FE8B-0242-8598-E9C07CA29362}"/>
            </c:ext>
          </c:extLst>
        </c:ser>
        <c:dLbls>
          <c:showLegendKey val="0"/>
          <c:showVal val="0"/>
          <c:showCatName val="0"/>
          <c:showSerName val="0"/>
          <c:showPercent val="0"/>
          <c:showBubbleSize val="0"/>
        </c:dLbls>
        <c:smooth val="0"/>
        <c:axId val="214150448"/>
        <c:axId val="214156352"/>
      </c:lineChart>
      <c:catAx>
        <c:axId val="214150448"/>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fr-FR" sz="1400" b="1"/>
                  <a:t>Intensité</a:t>
                </a:r>
                <a:r>
                  <a:rPr lang="fr-FR" sz="1400" b="1" baseline="0"/>
                  <a:t> carbone</a:t>
                </a:r>
                <a:r>
                  <a:rPr lang="fr-FR" sz="1400" b="1"/>
                  <a:t> de la production</a:t>
                </a:r>
                <a:r>
                  <a:rPr lang="fr-FR" sz="1400" b="1" baseline="0"/>
                  <a:t> d'électricité (gCO2/kWh)</a:t>
                </a:r>
                <a:endParaRPr lang="fr-FR" sz="1400" b="1"/>
              </a:p>
            </c:rich>
          </c:tx>
          <c:layout>
            <c:manualLayout>
              <c:xMode val="edge"/>
              <c:yMode val="edge"/>
              <c:x val="0.50212045244561154"/>
              <c:y val="0.92509948695012156"/>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4156352"/>
        <c:crosses val="autoZero"/>
        <c:auto val="1"/>
        <c:lblAlgn val="ctr"/>
        <c:lblOffset val="100"/>
        <c:noMultiLvlLbl val="0"/>
      </c:catAx>
      <c:valAx>
        <c:axId val="21415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0"/>
              <a:lstStyle/>
              <a:p>
                <a:pPr>
                  <a:defRPr sz="1400" b="1" i="0" u="none" strike="noStrike" kern="1200" baseline="0">
                    <a:solidFill>
                      <a:schemeClr val="tx1">
                        <a:lumMod val="65000"/>
                        <a:lumOff val="35000"/>
                      </a:schemeClr>
                    </a:solidFill>
                    <a:latin typeface="+mn-lt"/>
                    <a:ea typeface="+mn-ea"/>
                    <a:cs typeface="+mn-cs"/>
                  </a:defRPr>
                </a:pPr>
                <a:r>
                  <a:rPr lang="fr-FR" sz="1400" b="1"/>
                  <a:t>Emissions de CO2 pour 1 GJ d'énergie utile</a:t>
                </a:r>
                <a:r>
                  <a:rPr lang="fr-FR" sz="1400" b="1" baseline="0"/>
                  <a:t> (</a:t>
                </a:r>
                <a:r>
                  <a:rPr lang="fr-FR" sz="1400" b="1"/>
                  <a:t>kgCO2/GJ)</a:t>
                </a:r>
              </a:p>
            </c:rich>
          </c:tx>
          <c:layout>
            <c:manualLayout>
              <c:xMode val="edge"/>
              <c:yMode val="edge"/>
              <c:x val="1.8117225582283351E-2"/>
              <c:y val="0.1487281561043878"/>
            </c:manualLayout>
          </c:layout>
          <c:overlay val="0"/>
          <c:spPr>
            <a:noFill/>
            <a:ln>
              <a:noFill/>
            </a:ln>
            <a:effectLst/>
          </c:spPr>
          <c:txPr>
            <a:bodyPr rot="-5400000" spcFirstLastPara="1" vertOverflow="ellipsis" vert="horz" wrap="square" anchor="ctr" anchorCtr="0"/>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50448"/>
        <c:crosses val="autoZero"/>
        <c:crossBetween val="between"/>
      </c:valAx>
      <c:spPr>
        <a:noFill/>
        <a:ln>
          <a:noFill/>
        </a:ln>
        <a:effectLst/>
      </c:spPr>
    </c:plotArea>
    <c:legend>
      <c:legendPos val="r"/>
      <c:layout>
        <c:manualLayout>
          <c:xMode val="edge"/>
          <c:yMode val="edge"/>
          <c:x val="0.85894767110697734"/>
          <c:y val="0.34149252084330917"/>
          <c:w val="0.1387383867207099"/>
          <c:h val="0.44682872327218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Croissance</a:t>
            </a:r>
            <a:r>
              <a:rPr lang="fr-FR" baseline="0"/>
              <a:t> compatible avec le budget carbone selon la date de sortie du tendanciel</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445800777911151E-2"/>
          <c:y val="0.14679418000185113"/>
          <c:w val="0.65880367993118849"/>
          <c:h val="0.67746715585282902"/>
        </c:manualLayout>
      </c:layout>
      <c:lineChart>
        <c:grouping val="standard"/>
        <c:varyColors val="0"/>
        <c:ser>
          <c:idx val="0"/>
          <c:order val="0"/>
          <c:tx>
            <c:strRef>
              <c:f>Trajectoires!$P$45</c:f>
              <c:strCache>
                <c:ptCount val="1"/>
                <c:pt idx="0">
                  <c:v>Maverick</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99E-5E4F-BC30-E6D66BECA959}"/>
                </c:ext>
              </c:extLst>
            </c:dLbl>
            <c:dLbl>
              <c:idx val="1"/>
              <c:delete val="1"/>
              <c:extLst>
                <c:ext xmlns:c15="http://schemas.microsoft.com/office/drawing/2012/chart" uri="{CE6537A1-D6FC-4f65-9D91-7224C49458BB}"/>
                <c:ext xmlns:c16="http://schemas.microsoft.com/office/drawing/2014/chart" uri="{C3380CC4-5D6E-409C-BE32-E72D297353CC}">
                  <c16:uniqueId val="{00000009-399E-5E4F-BC30-E6D66BECA95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9E-5E4F-BC30-E6D66BECA95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Trajectoires!$O$46:$O$48</c:f>
              <c:numCache>
                <c:formatCode>General</c:formatCode>
                <c:ptCount val="3"/>
                <c:pt idx="0">
                  <c:v>2025</c:v>
                </c:pt>
                <c:pt idx="1">
                  <c:v>2030</c:v>
                </c:pt>
                <c:pt idx="2">
                  <c:v>2035</c:v>
                </c:pt>
              </c:numCache>
            </c:numRef>
          </c:cat>
          <c:val>
            <c:numRef>
              <c:f>Trajectoires!$P$46:$P$48</c:f>
              <c:numCache>
                <c:formatCode>0.00%</c:formatCode>
                <c:ptCount val="3"/>
                <c:pt idx="0">
                  <c:v>2.52E-2</c:v>
                </c:pt>
                <c:pt idx="1">
                  <c:v>1.2E-2</c:v>
                </c:pt>
                <c:pt idx="2">
                  <c:v>-3.0099999999999998E-2</c:v>
                </c:pt>
              </c:numCache>
            </c:numRef>
          </c:val>
          <c:smooth val="1"/>
          <c:extLst>
            <c:ext xmlns:c16="http://schemas.microsoft.com/office/drawing/2014/chart" uri="{C3380CC4-5D6E-409C-BE32-E72D297353CC}">
              <c16:uniqueId val="{00000000-399E-5E4F-BC30-E6D66BECA959}"/>
            </c:ext>
          </c:extLst>
        </c:ser>
        <c:ser>
          <c:idx val="1"/>
          <c:order val="1"/>
          <c:tx>
            <c:strRef>
              <c:f>Trajectoires!$Q$45</c:f>
              <c:strCache>
                <c:ptCount val="1"/>
                <c:pt idx="0">
                  <c:v>Iceman</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399E-5E4F-BC30-E6D66BECA959}"/>
                </c:ext>
              </c:extLst>
            </c:dLbl>
            <c:dLbl>
              <c:idx val="1"/>
              <c:delete val="1"/>
              <c:extLst>
                <c:ext xmlns:c15="http://schemas.microsoft.com/office/drawing/2012/chart" uri="{CE6537A1-D6FC-4f65-9D91-7224C49458BB}"/>
                <c:ext xmlns:c16="http://schemas.microsoft.com/office/drawing/2014/chart" uri="{C3380CC4-5D6E-409C-BE32-E72D297353CC}">
                  <c16:uniqueId val="{00000007-399E-5E4F-BC30-E6D66BECA95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Trajectoires!$O$46:$O$48</c:f>
              <c:numCache>
                <c:formatCode>General</c:formatCode>
                <c:ptCount val="3"/>
                <c:pt idx="0">
                  <c:v>2025</c:v>
                </c:pt>
                <c:pt idx="1">
                  <c:v>2030</c:v>
                </c:pt>
                <c:pt idx="2">
                  <c:v>2035</c:v>
                </c:pt>
              </c:numCache>
            </c:numRef>
          </c:cat>
          <c:val>
            <c:numRef>
              <c:f>Trajectoires!$Q$46:$Q$48</c:f>
              <c:numCache>
                <c:formatCode>0.00%</c:formatCode>
                <c:ptCount val="3"/>
                <c:pt idx="0">
                  <c:v>-8.0000000000000002E-3</c:v>
                </c:pt>
                <c:pt idx="1">
                  <c:v>-4.5199999999999997E-2</c:v>
                </c:pt>
                <c:pt idx="2">
                  <c:v>-0.15609999999999999</c:v>
                </c:pt>
              </c:numCache>
            </c:numRef>
          </c:val>
          <c:smooth val="1"/>
          <c:extLst>
            <c:ext xmlns:c16="http://schemas.microsoft.com/office/drawing/2014/chart" uri="{C3380CC4-5D6E-409C-BE32-E72D297353CC}">
              <c16:uniqueId val="{00000001-399E-5E4F-BC30-E6D66BECA959}"/>
            </c:ext>
          </c:extLst>
        </c:ser>
        <c:dLbls>
          <c:showLegendKey val="0"/>
          <c:showVal val="0"/>
          <c:showCatName val="0"/>
          <c:showSerName val="0"/>
          <c:showPercent val="0"/>
          <c:showBubbleSize val="0"/>
        </c:dLbls>
        <c:smooth val="0"/>
        <c:axId val="869612672"/>
        <c:axId val="869620368"/>
      </c:lineChart>
      <c:dateAx>
        <c:axId val="869612672"/>
        <c:scaling>
          <c:orientation val="minMax"/>
        </c:scaling>
        <c:delete val="0"/>
        <c:axPos val="b"/>
        <c:numFmt formatCode="General" sourceLinked="1"/>
        <c:majorTickMark val="out"/>
        <c:minorTickMark val="none"/>
        <c:tickLblPos val="low"/>
        <c:spPr>
          <a:noFill/>
          <a:ln w="25400" cap="rnd" cmpd="sng" algn="ctr">
            <a:solidFill>
              <a:schemeClr val="tx1">
                <a:lumMod val="85000"/>
                <a:lumOff val="1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620368"/>
        <c:crosses val="autoZero"/>
        <c:auto val="0"/>
        <c:lblOffset val="100"/>
        <c:baseTimeUnit val="days"/>
      </c:dateAx>
      <c:valAx>
        <c:axId val="869620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612672"/>
        <c:crosses val="autoZero"/>
        <c:crossBetween val="midCat"/>
      </c:valAx>
      <c:spPr>
        <a:noFill/>
        <a:ln>
          <a:noFill/>
        </a:ln>
        <a:effectLst/>
      </c:spPr>
    </c:plotArea>
    <c:legend>
      <c:legendPos val="r"/>
      <c:layout>
        <c:manualLayout>
          <c:xMode val="edge"/>
          <c:yMode val="edge"/>
          <c:x val="0.80899851825368685"/>
          <c:y val="0.36148739581997003"/>
          <c:w val="0.17994497282884697"/>
          <c:h val="0.29804534306997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Effet</a:t>
            </a:r>
            <a:r>
              <a:rPr lang="fr-FR" baseline="0"/>
              <a:t> des mesures d'efficacité court-terme sur les trajectoires d'emission</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73-46BE-9527-4E930F0EC41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C273-46BE-9527-4E930F0EC419}"/>
            </c:ext>
          </c:extLst>
        </c:ser>
        <c:ser>
          <c:idx val="2"/>
          <c:order val="1"/>
          <c:tx>
            <c:strRef>
              <c:f>Trajectoires!$Y$5</c:f>
              <c:strCache>
                <c:ptCount val="1"/>
                <c:pt idx="0">
                  <c:v>Contribution des mesures d'efficacité court-terme</c:v>
                </c:pt>
              </c:strCache>
            </c:strRef>
          </c:tx>
          <c:spPr>
            <a:ln w="28575" cap="rnd">
              <a:solidFill>
                <a:srgbClr val="FA8000"/>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73-46BE-9527-4E930F0EC41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Trajectoires!$Y$10:$Y$42</c:f>
              <c:numCache>
                <c:formatCode>#,##0.0</c:formatCode>
                <c:ptCount val="33"/>
                <c:pt idx="0">
                  <c:v>1077.3809523809523</c:v>
                </c:pt>
                <c:pt idx="1">
                  <c:v>1088.0952380952381</c:v>
                </c:pt>
                <c:pt idx="2" formatCode="0.0">
                  <c:v>368.10261904761899</c:v>
                </c:pt>
                <c:pt idx="3" formatCode="0.0">
                  <c:v>822.81761904761902</c:v>
                </c:pt>
                <c:pt idx="4" formatCode="0.0">
                  <c:v>901.63837013129512</c:v>
                </c:pt>
                <c:pt idx="5" formatCode="0.0">
                  <c:v>988.00965326189771</c:v>
                </c:pt>
                <c:pt idx="6" formatCode="0.0">
                  <c:v>1082.6547619047624</c:v>
                </c:pt>
                <c:pt idx="7" formatCode="0.0">
                  <c:v>1125.9609523809529</c:v>
                </c:pt>
                <c:pt idx="8" formatCode="0.0">
                  <c:v>1170.9993904761911</c:v>
                </c:pt>
                <c:pt idx="9" formatCode="0.0">
                  <c:v>1217.8393660952388</c:v>
                </c:pt>
                <c:pt idx="10" formatCode="0.0">
                  <c:v>1266.5529407390484</c:v>
                </c:pt>
                <c:pt idx="11" formatCode="0.0">
                  <c:v>1317.2150583686102</c:v>
                </c:pt>
                <c:pt idx="12" formatCode="0.0">
                  <c:v>1369.9036607033549</c:v>
                </c:pt>
                <c:pt idx="13" formatCode="0.0">
                  <c:v>1424.6998071314893</c:v>
                </c:pt>
                <c:pt idx="14" formatCode="0.0">
                  <c:v>1481.6877994167489</c:v>
                </c:pt>
                <c:pt idx="15" formatCode="0.0">
                  <c:v>1540.9553113934189</c:v>
                </c:pt>
                <c:pt idx="16" formatCode="0.0">
                  <c:v>1602.5935238491559</c:v>
                </c:pt>
                <c:pt idx="17" formatCode="0.0">
                  <c:v>1666.6972648031222</c:v>
                </c:pt>
                <c:pt idx="18" formatCode="0.0">
                  <c:v>1733.365155395247</c:v>
                </c:pt>
                <c:pt idx="19" formatCode="0.0">
                  <c:v>1802.6997616110571</c:v>
                </c:pt>
                <c:pt idx="20" formatCode="0.0">
                  <c:v>1874.8077520754994</c:v>
                </c:pt>
                <c:pt idx="21" formatCode="0.0">
                  <c:v>1949.8000621585195</c:v>
                </c:pt>
                <c:pt idx="22" formatCode="0.0">
                  <c:v>2027.7920646448604</c:v>
                </c:pt>
                <c:pt idx="23" formatCode="0.0">
                  <c:v>2108.903747230655</c:v>
                </c:pt>
                <c:pt idx="24" formatCode="0.0">
                  <c:v>2193.2598971198813</c:v>
                </c:pt>
                <c:pt idx="25" formatCode="0.0">
                  <c:v>2280.9902930046765</c:v>
                </c:pt>
                <c:pt idx="26" formatCode="0.0">
                  <c:v>2372.2299047248639</c:v>
                </c:pt>
                <c:pt idx="27" formatCode="0.0">
                  <c:v>2467.1191009138583</c:v>
                </c:pt>
                <c:pt idx="28" formatCode="0.0">
                  <c:v>2565.8038649504124</c:v>
                </c:pt>
                <c:pt idx="29" formatCode="0.0">
                  <c:v>2668.4360195484292</c:v>
                </c:pt>
                <c:pt idx="30" formatCode="0.0">
                  <c:v>2775.1734603303662</c:v>
                </c:pt>
                <c:pt idx="31" formatCode="0.0">
                  <c:v>2886.180398743581</c:v>
                </c:pt>
                <c:pt idx="32" formatCode="0.0">
                  <c:v>3001.6276146933246</c:v>
                </c:pt>
              </c:numCache>
            </c:numRef>
          </c:val>
          <c:smooth val="1"/>
          <c:extLst>
            <c:ext xmlns:c16="http://schemas.microsoft.com/office/drawing/2014/chart" uri="{C3380CC4-5D6E-409C-BE32-E72D297353CC}">
              <c16:uniqueId val="{00000003-C273-46BE-9527-4E930F0EC419}"/>
            </c:ext>
          </c:extLst>
        </c:ser>
        <c:ser>
          <c:idx val="0"/>
          <c:order val="2"/>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73-46BE-9527-4E930F0EC419}"/>
                </c:ext>
              </c:extLst>
            </c:dLbl>
            <c:dLbl>
              <c:idx val="32"/>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73-46BE-9527-4E930F0EC419}"/>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6-C273-46BE-9527-4E930F0EC419}"/>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1069592178170715"/>
          <c:y val="0.3060774476624547"/>
          <c:w val="0.26159293038010539"/>
          <c:h val="0.500544548562099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Contribution des mesures d'efficacité cour-terme sur le budget carbone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686769205662762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AF-4D31-8DBA-46286ACFF32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9DAF-4D31-8DBA-46286ACFF32C}"/>
            </c:ext>
          </c:extLst>
        </c:ser>
        <c:ser>
          <c:idx val="2"/>
          <c:order val="1"/>
          <c:tx>
            <c:strRef>
              <c:f>Trajectoires!$BJ$5</c:f>
              <c:strCache>
                <c:ptCount val="1"/>
                <c:pt idx="0">
                  <c:v>Cumulé - Mesures efficacité court terme</c:v>
                </c:pt>
              </c:strCache>
            </c:strRef>
          </c:tx>
          <c:spPr>
            <a:ln w="28575" cap="rnd">
              <a:solidFill>
                <a:srgbClr val="FA8000"/>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AF-4D31-8DBA-46286ACFF32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Trajectoires!$BJ$10:$BJ$42</c:f>
              <c:numCache>
                <c:formatCode>0.0</c:formatCode>
                <c:ptCount val="33"/>
                <c:pt idx="0" formatCode="#,##0.0">
                  <c:v>1077.3809523809523</c:v>
                </c:pt>
                <c:pt idx="1">
                  <c:v>2165.4761904761904</c:v>
                </c:pt>
                <c:pt idx="2">
                  <c:v>2533.5788095238095</c:v>
                </c:pt>
                <c:pt idx="3">
                  <c:v>3356.3964285714283</c:v>
                </c:pt>
                <c:pt idx="4">
                  <c:v>4258.0347987027235</c:v>
                </c:pt>
                <c:pt idx="5">
                  <c:v>5246.0444519646207</c:v>
                </c:pt>
                <c:pt idx="6">
                  <c:v>6328.6992138693831</c:v>
                </c:pt>
                <c:pt idx="7">
                  <c:v>7454.6601662503363</c:v>
                </c:pt>
                <c:pt idx="8">
                  <c:v>8625.6595567265267</c:v>
                </c:pt>
                <c:pt idx="9">
                  <c:v>9843.4989228217655</c:v>
                </c:pt>
                <c:pt idx="10">
                  <c:v>11110.051863560813</c:v>
                </c:pt>
                <c:pt idx="11">
                  <c:v>12427.266921929424</c:v>
                </c:pt>
                <c:pt idx="12">
                  <c:v>13797.170582632778</c:v>
                </c:pt>
                <c:pt idx="13">
                  <c:v>15221.870389764266</c:v>
                </c:pt>
                <c:pt idx="14">
                  <c:v>16703.558189181014</c:v>
                </c:pt>
                <c:pt idx="15">
                  <c:v>18244.513500574434</c:v>
                </c:pt>
                <c:pt idx="16">
                  <c:v>19847.107024423589</c:v>
                </c:pt>
                <c:pt idx="17">
                  <c:v>21513.804289226711</c:v>
                </c:pt>
                <c:pt idx="18">
                  <c:v>23247.169444621959</c:v>
                </c:pt>
                <c:pt idx="19">
                  <c:v>25049.869206233016</c:v>
                </c:pt>
                <c:pt idx="20">
                  <c:v>26924.676958308515</c:v>
                </c:pt>
                <c:pt idx="21">
                  <c:v>28874.477020467035</c:v>
                </c:pt>
                <c:pt idx="22">
                  <c:v>30902.269085111897</c:v>
                </c:pt>
                <c:pt idx="23">
                  <c:v>33011.172832342549</c:v>
                </c:pt>
                <c:pt idx="24">
                  <c:v>35204.432729462431</c:v>
                </c:pt>
                <c:pt idx="25">
                  <c:v>37485.423022467105</c:v>
                </c:pt>
                <c:pt idx="26">
                  <c:v>39857.652927191972</c:v>
                </c:pt>
                <c:pt idx="27">
                  <c:v>42324.772028105828</c:v>
                </c:pt>
                <c:pt idx="28">
                  <c:v>44890.575893056244</c:v>
                </c:pt>
                <c:pt idx="29">
                  <c:v>47559.01191260467</c:v>
                </c:pt>
                <c:pt idx="30">
                  <c:v>50334.185372935033</c:v>
                </c:pt>
                <c:pt idx="31">
                  <c:v>53220.365771678611</c:v>
                </c:pt>
                <c:pt idx="32">
                  <c:v>56221.993386371934</c:v>
                </c:pt>
              </c:numCache>
            </c:numRef>
          </c:val>
          <c:smooth val="0"/>
          <c:extLst>
            <c:ext xmlns:c16="http://schemas.microsoft.com/office/drawing/2014/chart" uri="{C3380CC4-5D6E-409C-BE32-E72D297353CC}">
              <c16:uniqueId val="{00000003-9DAF-4D31-8DBA-46286ACFF32C}"/>
            </c:ext>
          </c:extLst>
        </c:ser>
        <c:ser>
          <c:idx val="0"/>
          <c:order val="2"/>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AF-4D31-8DBA-46286ACFF32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5-9DAF-4D31-8DBA-46286ACFF32C}"/>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646172869408846"/>
          <c:y val="0.30332293321295989"/>
          <c:w val="0.22128161325949292"/>
          <c:h val="0.395158655541191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Trajectoires </a:t>
            </a:r>
            <a:r>
              <a:rPr lang="fr-FR" sz="1200" baseline="0"/>
              <a:t>d'émission - Scenario MAVERICK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2-4708-A045-C03C38A912AE}"/>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6D92-4708-A045-C03C38A912AE}"/>
            </c:ext>
          </c:extLst>
        </c:ser>
        <c:ser>
          <c:idx val="3"/>
          <c:order val="1"/>
          <c:tx>
            <c:strRef>
              <c:f>Trajectoires!$AA$5</c:f>
              <c:strCache>
                <c:ptCount val="1"/>
                <c:pt idx="0">
                  <c:v>Contribution des mesures d'efficacité court-terme et ATM</c:v>
                </c:pt>
              </c:strCache>
            </c:strRef>
          </c:tx>
          <c:spPr>
            <a:ln w="28575" cap="rnd">
              <a:solidFill>
                <a:srgbClr val="FA8000"/>
              </a:solidFill>
              <a:round/>
            </a:ln>
            <a:effectLst/>
          </c:spPr>
          <c:marker>
            <c:symbol val="none"/>
          </c:marker>
          <c:dLbls>
            <c:dLbl>
              <c:idx val="32"/>
              <c:layout>
                <c:manualLayout>
                  <c:x val="-3.8475795013688447E-3"/>
                  <c:y val="1.0708945173544715E-3"/>
                </c:manualLayout>
              </c:layout>
              <c:numFmt formatCode="#\ ##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FA8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395230940356004E-2"/>
                      <c:h val="5.891932223120052E-2"/>
                    </c:manualLayout>
                  </c15:layout>
                </c:ext>
                <c:ext xmlns:c16="http://schemas.microsoft.com/office/drawing/2014/chart" uri="{C3380CC4-5D6E-409C-BE32-E72D297353CC}">
                  <c16:uniqueId val="{00000002-6D92-4708-A045-C03C38A912AE}"/>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Trajectoires!$AA$10:$AA$42</c:f>
              <c:numCache>
                <c:formatCode>#,##0.0</c:formatCode>
                <c:ptCount val="33"/>
                <c:pt idx="0">
                  <c:v>1077.3809523809523</c:v>
                </c:pt>
                <c:pt idx="1">
                  <c:v>1088.0952380952381</c:v>
                </c:pt>
                <c:pt idx="2" formatCode="0.0">
                  <c:v>368.10261904761899</c:v>
                </c:pt>
                <c:pt idx="3" formatCode="0.0">
                  <c:v>818.68285714285707</c:v>
                </c:pt>
                <c:pt idx="4" formatCode="0.0">
                  <c:v>896.63172309222375</c:v>
                </c:pt>
                <c:pt idx="5" formatCode="0.0">
                  <c:v>981.94726922353914</c:v>
                </c:pt>
                <c:pt idx="6" formatCode="0.0">
                  <c:v>1075.3140206977764</c:v>
                </c:pt>
                <c:pt idx="7" formatCode="0.0">
                  <c:v>1117.5248679159672</c:v>
                </c:pt>
                <c:pt idx="8" formatCode="0.0">
                  <c:v>1161.304521920868</c:v>
                </c:pt>
                <c:pt idx="9" formatCode="0.0">
                  <c:v>1206.6978849145908</c:v>
                </c:pt>
                <c:pt idx="10" formatCode="0.0">
                  <c:v>1253.748991702465</c:v>
                </c:pt>
                <c:pt idx="11" formatCode="0.0">
                  <c:v>1302.5005775672441</c:v>
                </c:pt>
                <c:pt idx="12" formatCode="0.0">
                  <c:v>1352.9935695560737</c:v>
                </c:pt>
                <c:pt idx="13" formatCode="0.0">
                  <c:v>1405.2664892679863</c:v>
                </c:pt>
                <c:pt idx="14" formatCode="0.0">
                  <c:v>1459.3547534328625</c:v>
                </c:pt>
                <c:pt idx="15" formatCode="0.0">
                  <c:v>1515.2898565070404</c:v>
                </c:pt>
                <c:pt idx="16" formatCode="0.0">
                  <c:v>1573.0984171359921</c:v>
                </c:pt>
                <c:pt idx="17" formatCode="0.0">
                  <c:v>1632.8010676045039</c:v>
                </c:pt>
                <c:pt idx="18" formatCode="0.0">
                  <c:v>1694.4111622566213</c:v>
                </c:pt>
                <c:pt idx="19" formatCode="0.0">
                  <c:v>1757.9332772602418</c:v>
                </c:pt>
                <c:pt idx="20" formatCode="0.0">
                  <c:v>1823.3614699446784</c:v>
                </c:pt>
                <c:pt idx="21" formatCode="0.0">
                  <c:v>1890.677261173237</c:v>
                </c:pt>
                <c:pt idx="22" formatCode="0.0">
                  <c:v>1959.847298734338</c:v>
                </c:pt>
                <c:pt idx="23" formatCode="0.0">
                  <c:v>2030.8206534377057</c:v>
                </c:pt>
                <c:pt idx="24" formatCode="0.0">
                  <c:v>2103.5256923643933</c:v>
                </c:pt>
                <c:pt idx="25" formatCode="0.0">
                  <c:v>2177.8664654005638</c:v>
                </c:pt>
                <c:pt idx="26" formatCode="0.0">
                  <c:v>2253.7185316236014</c:v>
                </c:pt>
                <c:pt idx="27" formatCode="0.0">
                  <c:v>2330.9241411198473</c:v>
                </c:pt>
                <c:pt idx="28" formatCode="0.0">
                  <c:v>2409.2866751829547</c:v>
                </c:pt>
                <c:pt idx="29" formatCode="0.0">
                  <c:v>2488.5642333255469</c:v>
                </c:pt>
                <c:pt idx="30" formatCode="0.0">
                  <c:v>2568.4622388531639</c:v>
                </c:pt>
                <c:pt idx="31" formatCode="0.0">
                  <c:v>2648.6249155748642</c:v>
                </c:pt>
                <c:pt idx="32" formatCode="0.0">
                  <c:v>2699.9564976387192</c:v>
                </c:pt>
              </c:numCache>
            </c:numRef>
          </c:val>
          <c:smooth val="1"/>
          <c:extLst>
            <c:ext xmlns:c16="http://schemas.microsoft.com/office/drawing/2014/chart" uri="{C3380CC4-5D6E-409C-BE32-E72D297353CC}">
              <c16:uniqueId val="{00000003-6D92-4708-A045-C03C38A912AE}"/>
            </c:ext>
          </c:extLst>
        </c:ser>
        <c:ser>
          <c:idx val="2"/>
          <c:order val="2"/>
          <c:tx>
            <c:strRef>
              <c:f>Trajectoires!$AE$5</c:f>
              <c:strCache>
                <c:ptCount val="1"/>
                <c:pt idx="0">
                  <c:v>Contribution toutes mesures d'efficacité energetique (INDUS, 15 ans)</c:v>
                </c:pt>
              </c:strCache>
            </c:strRef>
          </c:tx>
          <c:spPr>
            <a:ln w="28575" cap="rnd">
              <a:solidFill>
                <a:schemeClr val="accent4"/>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92-4708-A045-C03C38A912AE}"/>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Trajectoires!$AE$10:$AE$42</c:f>
              <c:numCache>
                <c:formatCode>#,##0.0</c:formatCode>
                <c:ptCount val="33"/>
                <c:pt idx="0">
                  <c:v>1077.3809523809523</c:v>
                </c:pt>
                <c:pt idx="1">
                  <c:v>1088.0952380952381</c:v>
                </c:pt>
                <c:pt idx="2" formatCode="0.0">
                  <c:v>365.05472936190466</c:v>
                </c:pt>
                <c:pt idx="3" formatCode="0.0">
                  <c:v>805.12546902857127</c:v>
                </c:pt>
                <c:pt idx="4" formatCode="0.0">
                  <c:v>874.3593910906128</c:v>
                </c:pt>
                <c:pt idx="5" formatCode="0.0">
                  <c:v>949.42517566685547</c:v>
                </c:pt>
                <c:pt idx="6" formatCode="0.0">
                  <c:v>1030.7960202408883</c:v>
                </c:pt>
                <c:pt idx="7" formatCode="0.0">
                  <c:v>1055.2414819441174</c:v>
                </c:pt>
                <c:pt idx="8" formatCode="0.0">
                  <c:v>1079.9357850849458</c:v>
                </c:pt>
                <c:pt idx="9" formatCode="0.0">
                  <c:v>1102.1978480809871</c:v>
                </c:pt>
                <c:pt idx="10" formatCode="0.0">
                  <c:v>1124.4456790248839</c:v>
                </c:pt>
                <c:pt idx="11" formatCode="0.0">
                  <c:v>1146.6346751183639</c:v>
                </c:pt>
                <c:pt idx="12" formatCode="0.0">
                  <c:v>1167.9491490264545</c:v>
                </c:pt>
                <c:pt idx="13" formatCode="0.0">
                  <c:v>1189.0428187859522</c:v>
                </c:pt>
                <c:pt idx="14" formatCode="0.0">
                  <c:v>1209.8537357542909</c:v>
                </c:pt>
                <c:pt idx="15" formatCode="0.0">
                  <c:v>1230.31434415995</c:v>
                </c:pt>
                <c:pt idx="16" formatCode="0.0">
                  <c:v>1250.351058553591</c:v>
                </c:pt>
                <c:pt idx="17" formatCode="0.0">
                  <c:v>1256.8214084374404</c:v>
                </c:pt>
                <c:pt idx="18" formatCode="0.0">
                  <c:v>1261.7150317883554</c:v>
                </c:pt>
                <c:pt idx="19" formatCode="0.0">
                  <c:v>1294.0029658360825</c:v>
                </c:pt>
                <c:pt idx="20" formatCode="0.0">
                  <c:v>1311.4952823586752</c:v>
                </c:pt>
                <c:pt idx="21" formatCode="0.0">
                  <c:v>1343.7673520911917</c:v>
                </c:pt>
                <c:pt idx="22" formatCode="0.0">
                  <c:v>1371.8277808707453</c:v>
                </c:pt>
                <c:pt idx="23" formatCode="0.0">
                  <c:v>1399.6415943492666</c:v>
                </c:pt>
                <c:pt idx="24" formatCode="0.0">
                  <c:v>1431.7297037462847</c:v>
                </c:pt>
                <c:pt idx="25" formatCode="0.0">
                  <c:v>1463.6714558468723</c:v>
                </c:pt>
                <c:pt idx="26" formatCode="0.0">
                  <c:v>1495.3422457322592</c:v>
                </c:pt>
                <c:pt idx="27" formatCode="0.0">
                  <c:v>1527.9207745040599</c:v>
                </c:pt>
                <c:pt idx="28" formatCode="0.0">
                  <c:v>1560.0131221809629</c:v>
                </c:pt>
                <c:pt idx="29" formatCode="0.0">
                  <c:v>1591.4368272116869</c:v>
                </c:pt>
                <c:pt idx="30" formatCode="0.0">
                  <c:v>1621.9839038357729</c:v>
                </c:pt>
                <c:pt idx="31" formatCode="0.0">
                  <c:v>1651.417634860928</c:v>
                </c:pt>
                <c:pt idx="32" formatCode="0.0">
                  <c:v>1683.4228762777414</c:v>
                </c:pt>
              </c:numCache>
            </c:numRef>
          </c:val>
          <c:smooth val="1"/>
          <c:extLst>
            <c:ext xmlns:c16="http://schemas.microsoft.com/office/drawing/2014/chart" uri="{C3380CC4-5D6E-409C-BE32-E72D297353CC}">
              <c16:uniqueId val="{00000005-6D92-4708-A045-C03C38A912AE}"/>
            </c:ext>
          </c:extLst>
        </c:ser>
        <c:ser>
          <c:idx val="4"/>
          <c:order val="3"/>
          <c:tx>
            <c:strRef>
              <c:f>Trajectoires!$AK$5</c:f>
              <c:strCache>
                <c:ptCount val="1"/>
                <c:pt idx="0">
                  <c:v>Contribution Carburants alternatifs (CAPA 100)</c:v>
                </c:pt>
              </c:strCache>
            </c:strRef>
          </c:tx>
          <c:spPr>
            <a:ln w="28575" cap="rnd">
              <a:solidFill>
                <a:schemeClr val="accent4">
                  <a:lumMod val="60000"/>
                  <a:lumOff val="40000"/>
                </a:schemeClr>
              </a:solidFill>
              <a:round/>
            </a:ln>
            <a:effectLst/>
          </c:spPr>
          <c:marker>
            <c:symbol val="none"/>
          </c:marker>
          <c:val>
            <c:numRef>
              <c:f>Trajectoires!$AK$10:$AK$42</c:f>
              <c:numCache>
                <c:formatCode>#,##0.0</c:formatCode>
                <c:ptCount val="33"/>
                <c:pt idx="0">
                  <c:v>1077.3809523809523</c:v>
                </c:pt>
                <c:pt idx="1">
                  <c:v>1088.0952380952381</c:v>
                </c:pt>
                <c:pt idx="2" formatCode="0.0">
                  <c:v>357.36653503106038</c:v>
                </c:pt>
                <c:pt idx="3" formatCode="0.0">
                  <c:v>792.89174539213866</c:v>
                </c:pt>
                <c:pt idx="4" formatCode="0.0">
                  <c:v>859.06723654507209</c:v>
                </c:pt>
                <c:pt idx="5" formatCode="0.0">
                  <c:v>930.30998248492938</c:v>
                </c:pt>
                <c:pt idx="6" formatCode="0.0">
                  <c:v>1006.902028763481</c:v>
                </c:pt>
                <c:pt idx="7" formatCode="0.0">
                  <c:v>1025.3739925973578</c:v>
                </c:pt>
                <c:pt idx="8" formatCode="0.0">
                  <c:v>1042.6014234014965</c:v>
                </c:pt>
                <c:pt idx="9" formatCode="0.0">
                  <c:v>1055.5298959766753</c:v>
                </c:pt>
                <c:pt idx="10" formatCode="0.0">
                  <c:v>1066.1107388944943</c:v>
                </c:pt>
                <c:pt idx="11" formatCode="0.0">
                  <c:v>1073.7159999553769</c:v>
                </c:pt>
                <c:pt idx="12" formatCode="0.0">
                  <c:v>1056.2186451109426</c:v>
                </c:pt>
                <c:pt idx="13" formatCode="0.0">
                  <c:v>1057.9197810207045</c:v>
                </c:pt>
                <c:pt idx="14" formatCode="0.0">
                  <c:v>1056.0207584886643</c:v>
                </c:pt>
                <c:pt idx="15" formatCode="0.0">
                  <c:v>1049.8369236014494</c:v>
                </c:pt>
                <c:pt idx="16" formatCode="0.0">
                  <c:v>1038.5540937882529</c:v>
                </c:pt>
                <c:pt idx="17" formatCode="0.0">
                  <c:v>953.90313970738987</c:v>
                </c:pt>
                <c:pt idx="18" formatCode="0.0">
                  <c:v>860.63557362553956</c:v>
                </c:pt>
                <c:pt idx="19" formatCode="0.0">
                  <c:v>782.73532365220626</c:v>
                </c:pt>
                <c:pt idx="20" formatCode="0.0">
                  <c:v>680.37286306206363</c:v>
                </c:pt>
                <c:pt idx="21" formatCode="0.0">
                  <c:v>576.60144236184613</c:v>
                </c:pt>
                <c:pt idx="22" formatCode="0.0">
                  <c:v>540.89230063770037</c:v>
                </c:pt>
                <c:pt idx="23" formatCode="0.0">
                  <c:v>504.87090243393021</c:v>
                </c:pt>
                <c:pt idx="24" formatCode="0.0">
                  <c:v>469.15710748396538</c:v>
                </c:pt>
                <c:pt idx="25" formatCode="0.0">
                  <c:v>431.28051830383129</c:v>
                </c:pt>
                <c:pt idx="26" formatCode="0.0">
                  <c:v>391.2230368440184</c:v>
                </c:pt>
                <c:pt idx="27" formatCode="0.0">
                  <c:v>349.40268729742041</c:v>
                </c:pt>
                <c:pt idx="28" formatCode="0.0">
                  <c:v>305.34030366770816</c:v>
                </c:pt>
                <c:pt idx="29" formatCode="0.0">
                  <c:v>259.05424270847999</c:v>
                </c:pt>
                <c:pt idx="30" formatCode="0.0">
                  <c:v>210.58359520562709</c:v>
                </c:pt>
                <c:pt idx="31" formatCode="0.0">
                  <c:v>159.99208027013219</c:v>
                </c:pt>
                <c:pt idx="32" formatCode="0.0">
                  <c:v>163.09280115728379</c:v>
                </c:pt>
              </c:numCache>
            </c:numRef>
          </c:val>
          <c:smooth val="1"/>
          <c:extLst>
            <c:ext xmlns:c16="http://schemas.microsoft.com/office/drawing/2014/chart" uri="{C3380CC4-5D6E-409C-BE32-E72D297353CC}">
              <c16:uniqueId val="{00000001-8CA8-D544-A170-A583588E8E15}"/>
            </c:ext>
          </c:extLst>
        </c:ser>
        <c:ser>
          <c:idx val="5"/>
          <c:order val="4"/>
          <c:tx>
            <c:strRef>
              <c:f>Trajectoires!$AQ$5</c:f>
              <c:strCache>
                <c:ptCount val="1"/>
                <c:pt idx="0">
                  <c:v>Trajectoire + CORSIA*- MAVERICK</c:v>
                </c:pt>
              </c:strCache>
            </c:strRef>
          </c:tx>
          <c:spPr>
            <a:ln w="28575" cap="rnd">
              <a:solidFill>
                <a:schemeClr val="accent1"/>
              </a:solidFill>
              <a:round/>
            </a:ln>
            <a:effectLst/>
          </c:spPr>
          <c:marker>
            <c:symbol val="none"/>
          </c:marker>
          <c:dLbls>
            <c:dLbl>
              <c:idx val="32"/>
              <c:layout>
                <c:manualLayout>
                  <c:x val="-1.9243956687161339E-3"/>
                  <c:y val="1.1284794783917077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A8-D544-A170-A583588E8E1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Trajectoires!$AQ$10:$AQ$42</c:f>
              <c:numCache>
                <c:formatCode>#,##0.0</c:formatCode>
                <c:ptCount val="33"/>
                <c:pt idx="0">
                  <c:v>1077.3809523809523</c:v>
                </c:pt>
                <c:pt idx="1">
                  <c:v>1088.0952380952381</c:v>
                </c:pt>
                <c:pt idx="2" formatCode="0.0">
                  <c:v>357.36653503106038</c:v>
                </c:pt>
                <c:pt idx="3" formatCode="0.0">
                  <c:v>792.89174539213866</c:v>
                </c:pt>
                <c:pt idx="4" formatCode="0.0">
                  <c:v>859.06723654507209</c:v>
                </c:pt>
                <c:pt idx="5" formatCode="0.0">
                  <c:v>930.30998248492938</c:v>
                </c:pt>
                <c:pt idx="6" formatCode="0.0">
                  <c:v>1006.902028763481</c:v>
                </c:pt>
                <c:pt idx="7" formatCode="0.0">
                  <c:v>1025.3739925973578</c:v>
                </c:pt>
                <c:pt idx="8" formatCode="0.0">
                  <c:v>1042.6014234014965</c:v>
                </c:pt>
                <c:pt idx="9" formatCode="0.0">
                  <c:v>1055.5298959766753</c:v>
                </c:pt>
                <c:pt idx="10" formatCode="0.0">
                  <c:v>1066.1107388944943</c:v>
                </c:pt>
                <c:pt idx="11" formatCode="0.0">
                  <c:v>1073.7159999553769</c:v>
                </c:pt>
                <c:pt idx="12" formatCode="0.0">
                  <c:v>1056.2186451109426</c:v>
                </c:pt>
                <c:pt idx="13" formatCode="0.0">
                  <c:v>1057.9197810207045</c:v>
                </c:pt>
                <c:pt idx="14" formatCode="0.0">
                  <c:v>1056.0207584886643</c:v>
                </c:pt>
                <c:pt idx="15" formatCode="0.0">
                  <c:v>1049.8369236014494</c:v>
                </c:pt>
                <c:pt idx="16" formatCode="0.0">
                  <c:v>1038.5540937882529</c:v>
                </c:pt>
                <c:pt idx="17" formatCode="0.0">
                  <c:v>953.90313970738987</c:v>
                </c:pt>
                <c:pt idx="18" formatCode="0.0">
                  <c:v>860.63557362553956</c:v>
                </c:pt>
                <c:pt idx="19" formatCode="0.0">
                  <c:v>782.73532365220626</c:v>
                </c:pt>
                <c:pt idx="20" formatCode="0.0">
                  <c:v>680.37286306206363</c:v>
                </c:pt>
                <c:pt idx="21" formatCode="0.0">
                  <c:v>576.60144236184613</c:v>
                </c:pt>
                <c:pt idx="22" formatCode="0.0">
                  <c:v>540.89230063770037</c:v>
                </c:pt>
                <c:pt idx="23" formatCode="0.0">
                  <c:v>504.87090243393021</c:v>
                </c:pt>
                <c:pt idx="24" formatCode="0.0">
                  <c:v>469.15710748396538</c:v>
                </c:pt>
                <c:pt idx="25" formatCode="0.0">
                  <c:v>431.28051830383129</c:v>
                </c:pt>
                <c:pt idx="26" formatCode="0.0">
                  <c:v>391.2230368440184</c:v>
                </c:pt>
                <c:pt idx="27" formatCode="0.0">
                  <c:v>349.40268729742041</c:v>
                </c:pt>
                <c:pt idx="28" formatCode="0.0">
                  <c:v>305.34030366770816</c:v>
                </c:pt>
                <c:pt idx="29" formatCode="0.0">
                  <c:v>259.05424270847999</c:v>
                </c:pt>
                <c:pt idx="30" formatCode="0.0">
                  <c:v>210.58359520562709</c:v>
                </c:pt>
                <c:pt idx="31" formatCode="0.0">
                  <c:v>159.99208027013219</c:v>
                </c:pt>
                <c:pt idx="32" formatCode="0.0">
                  <c:v>163.09280115728379</c:v>
                </c:pt>
              </c:numCache>
            </c:numRef>
          </c:val>
          <c:smooth val="1"/>
          <c:extLst>
            <c:ext xmlns:c16="http://schemas.microsoft.com/office/drawing/2014/chart" uri="{C3380CC4-5D6E-409C-BE32-E72D297353CC}">
              <c16:uniqueId val="{00000003-8CA8-D544-A170-A583588E8E15}"/>
            </c:ext>
          </c:extLst>
        </c:ser>
        <c:ser>
          <c:idx val="0"/>
          <c:order val="5"/>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92-4708-A045-C03C38A912AE}"/>
                </c:ext>
              </c:extLst>
            </c:dLbl>
            <c:dLbl>
              <c:idx val="32"/>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92-4708-A045-C03C38A912AE}"/>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8-6D92-4708-A045-C03C38A912AE}"/>
            </c:ext>
          </c:extLst>
        </c:ser>
        <c:ser>
          <c:idx val="6"/>
          <c:order val="6"/>
          <c:tx>
            <c:strRef>
              <c:f>Trajectoires!$E$5</c:f>
              <c:strCache>
                <c:ptCount val="1"/>
                <c:pt idx="0">
                  <c:v>Cible "-50% en 2050 par rapport aux emissions 2005"</c:v>
                </c:pt>
              </c:strCache>
            </c:strRef>
          </c:tx>
          <c:spPr>
            <a:ln w="28575" cap="rnd">
              <a:solidFill>
                <a:schemeClr val="accent1">
                  <a:lumMod val="60000"/>
                </a:schemeClr>
              </a:solidFill>
              <a:prstDash val="dash"/>
              <a:round/>
            </a:ln>
            <a:effectLst/>
          </c:spPr>
          <c:marker>
            <c:symbol val="none"/>
          </c:marker>
          <c:dLbls>
            <c:dLbl>
              <c:idx val="32"/>
              <c:layout>
                <c:manualLayout>
                  <c:x val="0"/>
                  <c:y val="-2.6784837311489278E-2"/>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94-2C4C-B2A6-FB36C9BD2C7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Trajectoires!$E$10:$E$42</c:f>
              <c:numCache>
                <c:formatCode>#,##0.0</c:formatCode>
                <c:ptCount val="33"/>
                <c:pt idx="0">
                  <c:v>383.07402168788303</c:v>
                </c:pt>
                <c:pt idx="1">
                  <c:v>383.07402168788303</c:v>
                </c:pt>
                <c:pt idx="2">
                  <c:v>383.07402168788303</c:v>
                </c:pt>
                <c:pt idx="3">
                  <c:v>383.07402168788303</c:v>
                </c:pt>
                <c:pt idx="4">
                  <c:v>383.07402168788303</c:v>
                </c:pt>
                <c:pt idx="5">
                  <c:v>383.07402168788303</c:v>
                </c:pt>
                <c:pt idx="6">
                  <c:v>383.07402168788303</c:v>
                </c:pt>
                <c:pt idx="7">
                  <c:v>383.07402168788303</c:v>
                </c:pt>
                <c:pt idx="8">
                  <c:v>383.07402168788303</c:v>
                </c:pt>
                <c:pt idx="9">
                  <c:v>383.07402168788303</c:v>
                </c:pt>
                <c:pt idx="10">
                  <c:v>383.07402168788303</c:v>
                </c:pt>
                <c:pt idx="11">
                  <c:v>383.07402168788303</c:v>
                </c:pt>
                <c:pt idx="12">
                  <c:v>383.07402168788303</c:v>
                </c:pt>
                <c:pt idx="13">
                  <c:v>383.07402168788303</c:v>
                </c:pt>
                <c:pt idx="14">
                  <c:v>383.07402168788303</c:v>
                </c:pt>
                <c:pt idx="15">
                  <c:v>383.07402168788303</c:v>
                </c:pt>
                <c:pt idx="16">
                  <c:v>383.07402168788303</c:v>
                </c:pt>
                <c:pt idx="17">
                  <c:v>383.07402168788303</c:v>
                </c:pt>
                <c:pt idx="18">
                  <c:v>383.07402168788303</c:v>
                </c:pt>
                <c:pt idx="19">
                  <c:v>383.07402168788303</c:v>
                </c:pt>
                <c:pt idx="20">
                  <c:v>383.07402168788303</c:v>
                </c:pt>
                <c:pt idx="21">
                  <c:v>383.07402168788303</c:v>
                </c:pt>
                <c:pt idx="22">
                  <c:v>383.07402168788303</c:v>
                </c:pt>
                <c:pt idx="23">
                  <c:v>383.07402168788303</c:v>
                </c:pt>
                <c:pt idx="24">
                  <c:v>383.07402168788303</c:v>
                </c:pt>
                <c:pt idx="25">
                  <c:v>383.07402168788303</c:v>
                </c:pt>
                <c:pt idx="26">
                  <c:v>383.07402168788303</c:v>
                </c:pt>
                <c:pt idx="27">
                  <c:v>383.07402168788303</c:v>
                </c:pt>
                <c:pt idx="28">
                  <c:v>383.07402168788303</c:v>
                </c:pt>
                <c:pt idx="29">
                  <c:v>383.07402168788303</c:v>
                </c:pt>
                <c:pt idx="30">
                  <c:v>383.07402168788303</c:v>
                </c:pt>
                <c:pt idx="31">
                  <c:v>383.07402168788303</c:v>
                </c:pt>
                <c:pt idx="32">
                  <c:v>383.07402168788303</c:v>
                </c:pt>
              </c:numCache>
            </c:numRef>
          </c:val>
          <c:smooth val="0"/>
          <c:extLst>
            <c:ext xmlns:c16="http://schemas.microsoft.com/office/drawing/2014/chart" uri="{C3380CC4-5D6E-409C-BE32-E72D297353CC}">
              <c16:uniqueId val="{00000001-FB94-2C4C-B2A6-FB36C9BD2C72}"/>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802472823121056"/>
          <c:y val="0.14101418780976319"/>
          <c:w val="0.27197528705168578"/>
          <c:h val="0.800203793745303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Effet de la réduction de l'offre sur les</a:t>
            </a:r>
            <a:r>
              <a:rPr lang="fr-FR" sz="1200" baseline="0"/>
              <a:t> trajectoires annuelles MAVERICK et ICEMAN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9072818209174915"/>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BD-4CD7-9C31-A773751DC6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08BD-4CD7-9C31-A773751DC672}"/>
            </c:ext>
          </c:extLst>
        </c:ser>
        <c:ser>
          <c:idx val="5"/>
          <c:order val="1"/>
          <c:tx>
            <c:strRef>
              <c:f>Trajectoires!$S$5</c:f>
              <c:strCache>
                <c:ptCount val="1"/>
                <c:pt idx="0">
                  <c:v>Réduction de l'offre</c:v>
                </c:pt>
              </c:strCache>
            </c:strRef>
          </c:tx>
          <c:spPr>
            <a:ln w="28575" cap="rnd">
              <a:solidFill>
                <a:srgbClr val="7030A0"/>
              </a:solidFill>
              <a:round/>
            </a:ln>
            <a:effectLst/>
          </c:spPr>
          <c:marker>
            <c:symbol val="none"/>
          </c:marker>
          <c:dLbls>
            <c:dLbl>
              <c:idx val="32"/>
              <c:layout>
                <c:manualLayout>
                  <c:x val="-3.8634898234309097E-3"/>
                  <c:y val="3.9377256873500055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DD-0446-86F9-D4ABCC3223F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Trajectoires!$S$10:$S$42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56DD-0446-86F9-D4ABCC3223F9}"/>
            </c:ext>
          </c:extLst>
        </c:ser>
        <c:ser>
          <c:idx val="4"/>
          <c:order val="2"/>
          <c:tx>
            <c:strRef>
              <c:f>Trajectoires!$AR$5</c:f>
              <c:strCache>
                <c:ptCount val="1"/>
                <c:pt idx="0">
                  <c:v>Trajectoire + CORSIA*- ICEMAN</c:v>
                </c:pt>
              </c:strCache>
            </c:strRef>
          </c:tx>
          <c:spPr>
            <a:ln w="28575" cap="rnd">
              <a:solidFill>
                <a:schemeClr val="accent5"/>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52-0447-A029-2A53406AD86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Trajectoires!$AR$10:$AR$42</c:f>
              <c:numCache>
                <c:formatCode>#,##0.0</c:formatCode>
                <c:ptCount val="33"/>
                <c:pt idx="0">
                  <c:v>1077.3809523809523</c:v>
                </c:pt>
                <c:pt idx="1">
                  <c:v>1088.0952380952381</c:v>
                </c:pt>
                <c:pt idx="2" formatCode="0.0">
                  <c:v>365.05472936190472</c:v>
                </c:pt>
                <c:pt idx="3" formatCode="0.0">
                  <c:v>799.00860721035497</c:v>
                </c:pt>
                <c:pt idx="4" formatCode="0.0">
                  <c:v>866.7133138178425</c:v>
                </c:pt>
                <c:pt idx="5" formatCode="0.0">
                  <c:v>939.86757907589242</c:v>
                </c:pt>
                <c:pt idx="6" formatCode="0.0">
                  <c:v>1018.8490245021845</c:v>
                </c:pt>
                <c:pt idx="7" formatCode="0.0">
                  <c:v>1047.0724878045223</c:v>
                </c:pt>
                <c:pt idx="8" formatCode="0.0">
                  <c:v>1075.3281309886097</c:v>
                </c:pt>
                <c:pt idx="9" formatCode="0.0">
                  <c:v>1090.549158554511</c:v>
                </c:pt>
                <c:pt idx="10" formatCode="0.0">
                  <c:v>1094.9843434840964</c:v>
                </c:pt>
                <c:pt idx="11" formatCode="0.0">
                  <c:v>1099.3110707461092</c:v>
                </c:pt>
                <c:pt idx="12" formatCode="0.0">
                  <c:v>1103.0899714696559</c:v>
                </c:pt>
                <c:pt idx="13" formatCode="0.0">
                  <c:v>1107.5840340835605</c:v>
                </c:pt>
                <c:pt idx="14" formatCode="0.0">
                  <c:v>1111.7014359302707</c:v>
                </c:pt>
                <c:pt idx="15" formatCode="0.0">
                  <c:v>1115.6942518212825</c:v>
                </c:pt>
                <c:pt idx="16" formatCode="0.0">
                  <c:v>1119.5230193013888</c:v>
                </c:pt>
                <c:pt idx="17" formatCode="0.0">
                  <c:v>1122.9971071234565</c:v>
                </c:pt>
                <c:pt idx="18" formatCode="0.0">
                  <c:v>1126.1972855404481</c:v>
                </c:pt>
                <c:pt idx="19" formatCode="0.0">
                  <c:v>1129.0598298386035</c:v>
                </c:pt>
                <c:pt idx="20" formatCode="0.0">
                  <c:v>1131.5101778387575</c:v>
                </c:pt>
                <c:pt idx="21" formatCode="0.0">
                  <c:v>1133.4610440052033</c:v>
                </c:pt>
                <c:pt idx="22" formatCode="0.0">
                  <c:v>1129.0037656845743</c:v>
                </c:pt>
                <c:pt idx="23" formatCode="0.0">
                  <c:v>1123.8618018088819</c:v>
                </c:pt>
                <c:pt idx="24" formatCode="0.0">
                  <c:v>1117.7233737333299</c:v>
                </c:pt>
                <c:pt idx="25" formatCode="0.0">
                  <c:v>1054.4801804561971</c:v>
                </c:pt>
                <c:pt idx="26" formatCode="0.0">
                  <c:v>968.34896567746387</c:v>
                </c:pt>
                <c:pt idx="27" formatCode="0.0">
                  <c:v>886.63204515265659</c:v>
                </c:pt>
                <c:pt idx="28" formatCode="0.0">
                  <c:v>797.29871086188632</c:v>
                </c:pt>
                <c:pt idx="29" formatCode="0.0">
                  <c:v>780.3438570351334</c:v>
                </c:pt>
                <c:pt idx="30" formatCode="0.0">
                  <c:v>761.50872174657036</c:v>
                </c:pt>
                <c:pt idx="31" formatCode="0.0">
                  <c:v>740.72618007754647</c:v>
                </c:pt>
                <c:pt idx="32" formatCode="0.0">
                  <c:v>709.37735413430096</c:v>
                </c:pt>
              </c:numCache>
            </c:numRef>
          </c:val>
          <c:smooth val="1"/>
          <c:extLst>
            <c:ext xmlns:c16="http://schemas.microsoft.com/office/drawing/2014/chart" uri="{C3380CC4-5D6E-409C-BE32-E72D297353CC}">
              <c16:uniqueId val="{00000007-08BD-4CD7-9C31-A773751DC672}"/>
            </c:ext>
          </c:extLst>
        </c:ser>
        <c:ser>
          <c:idx val="6"/>
          <c:order val="3"/>
          <c:tx>
            <c:strRef>
              <c:f>Trajectoires!$AQ$5</c:f>
              <c:strCache>
                <c:ptCount val="1"/>
                <c:pt idx="0">
                  <c:v>Trajectoire + CORSIA*- MAVERICK</c:v>
                </c:pt>
              </c:strCache>
            </c:strRef>
          </c:tx>
          <c:spPr>
            <a:ln w="28575" cap="rnd">
              <a:solidFill>
                <a:schemeClr val="accent1"/>
              </a:solidFill>
              <a:round/>
            </a:ln>
            <a:effectLst/>
          </c:spPr>
          <c:marker>
            <c:symbol val="none"/>
          </c:marker>
          <c:dLbls>
            <c:dLbl>
              <c:idx val="32"/>
              <c:layout>
                <c:manualLayout>
                  <c:x val="-3.8634898234309097E-3"/>
                  <c:y val="8.0086100658125717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DD-0446-86F9-D4ABCC3223F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Trajectoires!$AQ$10:$AQ$42</c:f>
              <c:numCache>
                <c:formatCode>#,##0.0</c:formatCode>
                <c:ptCount val="33"/>
                <c:pt idx="0">
                  <c:v>1077.3809523809523</c:v>
                </c:pt>
                <c:pt idx="1">
                  <c:v>1088.0952380952381</c:v>
                </c:pt>
                <c:pt idx="2" formatCode="0.0">
                  <c:v>357.36653503106038</c:v>
                </c:pt>
                <c:pt idx="3" formatCode="0.0">
                  <c:v>792.89174539213866</c:v>
                </c:pt>
                <c:pt idx="4" formatCode="0.0">
                  <c:v>859.06723654507209</c:v>
                </c:pt>
                <c:pt idx="5" formatCode="0.0">
                  <c:v>930.30998248492938</c:v>
                </c:pt>
                <c:pt idx="6" formatCode="0.0">
                  <c:v>1006.902028763481</c:v>
                </c:pt>
                <c:pt idx="7" formatCode="0.0">
                  <c:v>1025.3739925973578</c:v>
                </c:pt>
                <c:pt idx="8" formatCode="0.0">
                  <c:v>1042.6014234014965</c:v>
                </c:pt>
                <c:pt idx="9" formatCode="0.0">
                  <c:v>1055.5298959766753</c:v>
                </c:pt>
                <c:pt idx="10" formatCode="0.0">
                  <c:v>1066.1107388944943</c:v>
                </c:pt>
                <c:pt idx="11" formatCode="0.0">
                  <c:v>1073.7159999553769</c:v>
                </c:pt>
                <c:pt idx="12" formatCode="0.0">
                  <c:v>1056.2186451109426</c:v>
                </c:pt>
                <c:pt idx="13" formatCode="0.0">
                  <c:v>1057.9197810207045</c:v>
                </c:pt>
                <c:pt idx="14" formatCode="0.0">
                  <c:v>1056.0207584886643</c:v>
                </c:pt>
                <c:pt idx="15" formatCode="0.0">
                  <c:v>1049.8369236014494</c:v>
                </c:pt>
                <c:pt idx="16" formatCode="0.0">
                  <c:v>1038.5540937882529</c:v>
                </c:pt>
                <c:pt idx="17" formatCode="0.0">
                  <c:v>953.90313970738987</c:v>
                </c:pt>
                <c:pt idx="18" formatCode="0.0">
                  <c:v>860.63557362553956</c:v>
                </c:pt>
                <c:pt idx="19" formatCode="0.0">
                  <c:v>782.73532365220626</c:v>
                </c:pt>
                <c:pt idx="20" formatCode="0.0">
                  <c:v>680.37286306206363</c:v>
                </c:pt>
                <c:pt idx="21" formatCode="0.0">
                  <c:v>576.60144236184613</c:v>
                </c:pt>
                <c:pt idx="22" formatCode="0.0">
                  <c:v>540.89230063770037</c:v>
                </c:pt>
                <c:pt idx="23" formatCode="0.0">
                  <c:v>504.87090243393021</c:v>
                </c:pt>
                <c:pt idx="24" formatCode="0.0">
                  <c:v>469.15710748396538</c:v>
                </c:pt>
                <c:pt idx="25" formatCode="0.0">
                  <c:v>431.28051830383129</c:v>
                </c:pt>
                <c:pt idx="26" formatCode="0.0">
                  <c:v>391.2230368440184</c:v>
                </c:pt>
                <c:pt idx="27" formatCode="0.0">
                  <c:v>349.40268729742041</c:v>
                </c:pt>
                <c:pt idx="28" formatCode="0.0">
                  <c:v>305.34030366770816</c:v>
                </c:pt>
                <c:pt idx="29" formatCode="0.0">
                  <c:v>259.05424270847999</c:v>
                </c:pt>
                <c:pt idx="30" formatCode="0.0">
                  <c:v>210.58359520562709</c:v>
                </c:pt>
                <c:pt idx="31" formatCode="0.0">
                  <c:v>159.99208027013219</c:v>
                </c:pt>
                <c:pt idx="32" formatCode="0.0">
                  <c:v>163.09280115728379</c:v>
                </c:pt>
              </c:numCache>
            </c:numRef>
          </c:val>
          <c:smooth val="1"/>
          <c:extLst>
            <c:ext xmlns:c16="http://schemas.microsoft.com/office/drawing/2014/chart" uri="{C3380CC4-5D6E-409C-BE32-E72D297353CC}">
              <c16:uniqueId val="{00000003-56DD-0446-86F9-D4ABCC3223F9}"/>
            </c:ext>
          </c:extLst>
        </c:ser>
        <c:ser>
          <c:idx val="0"/>
          <c:order val="4"/>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BD-4CD7-9C31-A773751DC672}"/>
                </c:ext>
              </c:extLst>
            </c:dLbl>
            <c:dLbl>
              <c:idx val="32"/>
              <c:layout>
                <c:manualLayout>
                  <c:x val="1.9317449117153133E-3"/>
                  <c:y val="-3.4590774458218697E-2"/>
                </c:manualLayout>
              </c:layout>
              <c:numFmt formatCode="#,##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BD-4CD7-9C31-A773751DC672}"/>
                </c:ext>
              </c:extLst>
            </c:dLbl>
            <c:numFmt formatCode="#,##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A-08BD-4CD7-9C31-A773751DC672}"/>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344078187181714"/>
          <c:y val="0.27807381506462209"/>
          <c:w val="0.2655921812818286"/>
          <c:h val="0.5619774663799226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aseline="0"/>
              <a:t>Introduction des carburants alternatifs dans la trajectoire Secteur</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7D-4F53-BBCA-F4FCF79CF95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837D-4F53-BBCA-F4FCF79CF954}"/>
            </c:ext>
          </c:extLst>
        </c:ser>
        <c:ser>
          <c:idx val="2"/>
          <c:order val="1"/>
          <c:tx>
            <c:strRef>
              <c:f>Trajectoires!$F$5</c:f>
              <c:strCache>
                <c:ptCount val="1"/>
                <c:pt idx="0">
                  <c:v>Trajectoire Secteur - perf 2%</c:v>
                </c:pt>
              </c:strCache>
            </c:strRef>
          </c:tx>
          <c:spPr>
            <a:ln w="28575" cap="rnd">
              <a:solidFill>
                <a:srgbClr val="FA8000"/>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7D-4F53-BBCA-F4FCF79CF95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Trajectoires!$F$10:$F$42</c:f>
              <c:numCache>
                <c:formatCode>#,##0.0</c:formatCode>
                <c:ptCount val="33"/>
                <c:pt idx="0">
                  <c:v>1077.3809523809523</c:v>
                </c:pt>
                <c:pt idx="1">
                  <c:v>1088.0952380952381</c:v>
                </c:pt>
                <c:pt idx="2">
                  <c:v>362.55333333333328</c:v>
                </c:pt>
                <c:pt idx="3">
                  <c:v>794.20506666666665</c:v>
                </c:pt>
                <c:pt idx="4">
                  <c:v>852.87921694534054</c:v>
                </c:pt>
                <c:pt idx="5">
                  <c:v>915.88808637328077</c:v>
                </c:pt>
                <c:pt idx="6">
                  <c:v>983.55191461333345</c:v>
                </c:pt>
                <c:pt idx="7">
                  <c:v>1002.4361113739095</c:v>
                </c:pt>
                <c:pt idx="8">
                  <c:v>1021.6828847122886</c:v>
                </c:pt>
                <c:pt idx="9">
                  <c:v>1041.2991960987645</c:v>
                </c:pt>
                <c:pt idx="10">
                  <c:v>1061.2921406638607</c:v>
                </c:pt>
                <c:pt idx="11">
                  <c:v>1081.6689497646069</c:v>
                </c:pt>
                <c:pt idx="12">
                  <c:v>1102.4369936000871</c:v>
                </c:pt>
                <c:pt idx="13">
                  <c:v>1123.6037838772088</c:v>
                </c:pt>
                <c:pt idx="14">
                  <c:v>1145.1769765276513</c:v>
                </c:pt>
                <c:pt idx="15">
                  <c:v>1167.1643744769822</c:v>
                </c:pt>
                <c:pt idx="16">
                  <c:v>1189.5739304669403</c:v>
                </c:pt>
                <c:pt idx="17">
                  <c:v>1212.4137499319056</c:v>
                </c:pt>
                <c:pt idx="18">
                  <c:v>1235.6920939305983</c:v>
                </c:pt>
                <c:pt idx="19">
                  <c:v>1259.4173821340657</c:v>
                </c:pt>
                <c:pt idx="20">
                  <c:v>1283.5981958710399</c:v>
                </c:pt>
                <c:pt idx="21">
                  <c:v>1308.2432812317641</c:v>
                </c:pt>
                <c:pt idx="22">
                  <c:v>1333.361552231414</c:v>
                </c:pt>
                <c:pt idx="23">
                  <c:v>1358.9620940342572</c:v>
                </c:pt>
                <c:pt idx="24">
                  <c:v>1385.054166239715</c:v>
                </c:pt>
                <c:pt idx="25">
                  <c:v>1411.6472062315177</c:v>
                </c:pt>
                <c:pt idx="26">
                  <c:v>1438.7508325911629</c:v>
                </c:pt>
                <c:pt idx="27">
                  <c:v>1466.3748485769133</c:v>
                </c:pt>
                <c:pt idx="28">
                  <c:v>1494.52924566959</c:v>
                </c:pt>
                <c:pt idx="29">
                  <c:v>1523.2242071864462</c:v>
                </c:pt>
                <c:pt idx="30">
                  <c:v>1552.4701119644258</c:v>
                </c:pt>
                <c:pt idx="31">
                  <c:v>1582.2775381141428</c:v>
                </c:pt>
                <c:pt idx="32">
                  <c:v>1612.6572668459344</c:v>
                </c:pt>
              </c:numCache>
            </c:numRef>
          </c:val>
          <c:smooth val="1"/>
          <c:extLst>
            <c:ext xmlns:c16="http://schemas.microsoft.com/office/drawing/2014/chart" uri="{C3380CC4-5D6E-409C-BE32-E72D297353CC}">
              <c16:uniqueId val="{00000003-837D-4F53-BBCA-F4FCF79CF954}"/>
            </c:ext>
          </c:extLst>
        </c:ser>
        <c:ser>
          <c:idx val="3"/>
          <c:order val="2"/>
          <c:tx>
            <c:strRef>
              <c:f>Trajectoires!$I$5</c:f>
              <c:strCache>
                <c:ptCount val="1"/>
                <c:pt idx="0">
                  <c:v>Trajectoire Secteur -  perf. 2% &amp; Carb Alt</c:v>
                </c:pt>
              </c:strCache>
            </c:strRef>
          </c:tx>
          <c:spPr>
            <a:ln w="28575" cap="rnd">
              <a:solidFill>
                <a:schemeClr val="accent4"/>
              </a:solidFill>
              <a:round/>
            </a:ln>
            <a:effectLst/>
          </c:spPr>
          <c:marker>
            <c:symbol val="none"/>
          </c:marker>
          <c:dLbls>
            <c:dLbl>
              <c:idx val="32"/>
              <c:layout>
                <c:manualLayout>
                  <c:x val="-5.7442722593750934E-3"/>
                  <c:y val="3.5537954966964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7D-4F53-BBCA-F4FCF79CF9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Trajectoires!$I$10:$I$42</c:f>
              <c:numCache>
                <c:formatCode>#,##0.0</c:formatCode>
                <c:ptCount val="33"/>
                <c:pt idx="0">
                  <c:v>1077.3809523809523</c:v>
                </c:pt>
                <c:pt idx="1">
                  <c:v>1088.0952380952381</c:v>
                </c:pt>
                <c:pt idx="2">
                  <c:v>362.25190925796909</c:v>
                </c:pt>
                <c:pt idx="3">
                  <c:v>793.51682642798949</c:v>
                </c:pt>
                <c:pt idx="4">
                  <c:v>851.30776109675833</c:v>
                </c:pt>
                <c:pt idx="5">
                  <c:v>912.29998828591863</c:v>
                </c:pt>
                <c:pt idx="6">
                  <c:v>975.35922635158772</c:v>
                </c:pt>
                <c:pt idx="7">
                  <c:v>983.72978302949957</c:v>
                </c:pt>
                <c:pt idx="8">
                  <c:v>999.4905529891256</c:v>
                </c:pt>
                <c:pt idx="9">
                  <c:v>1014.971229528132</c:v>
                </c:pt>
                <c:pt idx="10">
                  <c:v>1030.0578462061549</c:v>
                </c:pt>
                <c:pt idx="11">
                  <c:v>1044.6140124737469</c:v>
                </c:pt>
                <c:pt idx="12">
                  <c:v>1058.4767120739957</c:v>
                </c:pt>
                <c:pt idx="13">
                  <c:v>1071.4513180213326</c:v>
                </c:pt>
                <c:pt idx="14">
                  <c:v>1083.3056781549594</c:v>
                </c:pt>
                <c:pt idx="15">
                  <c:v>1093.7630980560068</c:v>
                </c:pt>
                <c:pt idx="16">
                  <c:v>1102.4940158387637</c:v>
                </c:pt>
                <c:pt idx="17">
                  <c:v>1109.1061250322985</c:v>
                </c:pt>
                <c:pt idx="18">
                  <c:v>1113.1326563384916</c:v>
                </c:pt>
                <c:pt idx="19">
                  <c:v>1114.018475156091</c:v>
                </c:pt>
                <c:pt idx="20">
                  <c:v>1111.1035878201355</c:v>
                </c:pt>
                <c:pt idx="21">
                  <c:v>1103.6035736503147</c:v>
                </c:pt>
                <c:pt idx="22">
                  <c:v>1090.5863699099887</c:v>
                </c:pt>
                <c:pt idx="23">
                  <c:v>1070.9447300153879</c:v>
                </c:pt>
                <c:pt idx="24">
                  <c:v>1043.3635486767143</c:v>
                </c:pt>
                <c:pt idx="25">
                  <c:v>1006.2810973918581</c:v>
                </c:pt>
                <c:pt idx="26">
                  <c:v>957.84303545064245</c:v>
                </c:pt>
                <c:pt idx="27">
                  <c:v>895.84785012469024</c:v>
                </c:pt>
                <c:pt idx="28">
                  <c:v>817.68212882446255</c:v>
                </c:pt>
                <c:pt idx="29">
                  <c:v>720.24376835638861</c:v>
                </c:pt>
                <c:pt idx="30">
                  <c:v>599.85087329631335</c:v>
                </c:pt>
                <c:pt idx="31">
                  <c:v>452.13367657398271</c:v>
                </c:pt>
                <c:pt idx="32">
                  <c:v>271.90631837398172</c:v>
                </c:pt>
              </c:numCache>
            </c:numRef>
          </c:val>
          <c:smooth val="1"/>
          <c:extLst>
            <c:ext xmlns:c16="http://schemas.microsoft.com/office/drawing/2014/chart" uri="{C3380CC4-5D6E-409C-BE32-E72D297353CC}">
              <c16:uniqueId val="{00000005-837D-4F53-BBCA-F4FCF79CF954}"/>
            </c:ext>
          </c:extLst>
        </c:ser>
        <c:ser>
          <c:idx val="0"/>
          <c:order val="3"/>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7D-4F53-BBCA-F4FCF79CF954}"/>
                </c:ext>
              </c:extLst>
            </c:dLbl>
            <c:dLbl>
              <c:idx val="32"/>
              <c:layout>
                <c:manualLayout>
                  <c:x val="-7.6628456373129608E-3"/>
                  <c:y val="7.6150820099687025E-3"/>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7D-4F53-BBCA-F4FCF79CF954}"/>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8-837D-4F53-BBCA-F4FCF79CF954}"/>
            </c:ext>
          </c:extLst>
        </c:ser>
        <c:ser>
          <c:idx val="4"/>
          <c:order val="4"/>
          <c:tx>
            <c:strRef>
              <c:f>Trajectoires!$E$5</c:f>
              <c:strCache>
                <c:ptCount val="1"/>
                <c:pt idx="0">
                  <c:v>Cible "-50% en 2050 par rapport aux emissions 2005"</c:v>
                </c:pt>
              </c:strCache>
            </c:strRef>
          </c:tx>
          <c:spPr>
            <a:ln w="28575" cap="rnd">
              <a:solidFill>
                <a:schemeClr val="accent1"/>
              </a:solidFill>
              <a:prstDash val="dash"/>
              <a:round/>
            </a:ln>
            <a:effectLst/>
          </c:spPr>
          <c:marker>
            <c:symbol val="none"/>
          </c:marker>
          <c:dLbls>
            <c:dLbl>
              <c:idx val="32"/>
              <c:layout>
                <c:manualLayout>
                  <c:x val="-3.8340777548977671E-3"/>
                  <c:y val="-2.3637885230177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39-D745-8585-A84C50E1B4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Trajectoires!$E$10:$E$42</c:f>
              <c:numCache>
                <c:formatCode>#,##0.0</c:formatCode>
                <c:ptCount val="33"/>
                <c:pt idx="0">
                  <c:v>383.07402168788303</c:v>
                </c:pt>
                <c:pt idx="1">
                  <c:v>383.07402168788303</c:v>
                </c:pt>
                <c:pt idx="2">
                  <c:v>383.07402168788303</c:v>
                </c:pt>
                <c:pt idx="3">
                  <c:v>383.07402168788303</c:v>
                </c:pt>
                <c:pt idx="4">
                  <c:v>383.07402168788303</c:v>
                </c:pt>
                <c:pt idx="5">
                  <c:v>383.07402168788303</c:v>
                </c:pt>
                <c:pt idx="6">
                  <c:v>383.07402168788303</c:v>
                </c:pt>
                <c:pt idx="7">
                  <c:v>383.07402168788303</c:v>
                </c:pt>
                <c:pt idx="8">
                  <c:v>383.07402168788303</c:v>
                </c:pt>
                <c:pt idx="9">
                  <c:v>383.07402168788303</c:v>
                </c:pt>
                <c:pt idx="10">
                  <c:v>383.07402168788303</c:v>
                </c:pt>
                <c:pt idx="11">
                  <c:v>383.07402168788303</c:v>
                </c:pt>
                <c:pt idx="12">
                  <c:v>383.07402168788303</c:v>
                </c:pt>
                <c:pt idx="13">
                  <c:v>383.07402168788303</c:v>
                </c:pt>
                <c:pt idx="14">
                  <c:v>383.07402168788303</c:v>
                </c:pt>
                <c:pt idx="15">
                  <c:v>383.07402168788303</c:v>
                </c:pt>
                <c:pt idx="16">
                  <c:v>383.07402168788303</c:v>
                </c:pt>
                <c:pt idx="17">
                  <c:v>383.07402168788303</c:v>
                </c:pt>
                <c:pt idx="18">
                  <c:v>383.07402168788303</c:v>
                </c:pt>
                <c:pt idx="19">
                  <c:v>383.07402168788303</c:v>
                </c:pt>
                <c:pt idx="20">
                  <c:v>383.07402168788303</c:v>
                </c:pt>
                <c:pt idx="21">
                  <c:v>383.07402168788303</c:v>
                </c:pt>
                <c:pt idx="22">
                  <c:v>383.07402168788303</c:v>
                </c:pt>
                <c:pt idx="23">
                  <c:v>383.07402168788303</c:v>
                </c:pt>
                <c:pt idx="24">
                  <c:v>383.07402168788303</c:v>
                </c:pt>
                <c:pt idx="25">
                  <c:v>383.07402168788303</c:v>
                </c:pt>
                <c:pt idx="26">
                  <c:v>383.07402168788303</c:v>
                </c:pt>
                <c:pt idx="27">
                  <c:v>383.07402168788303</c:v>
                </c:pt>
                <c:pt idx="28">
                  <c:v>383.07402168788303</c:v>
                </c:pt>
                <c:pt idx="29">
                  <c:v>383.07402168788303</c:v>
                </c:pt>
                <c:pt idx="30">
                  <c:v>383.07402168788303</c:v>
                </c:pt>
                <c:pt idx="31">
                  <c:v>383.07402168788303</c:v>
                </c:pt>
                <c:pt idx="32">
                  <c:v>383.07402168788303</c:v>
                </c:pt>
              </c:numCache>
            </c:numRef>
          </c:val>
          <c:smooth val="0"/>
          <c:extLst>
            <c:ext xmlns:c16="http://schemas.microsoft.com/office/drawing/2014/chart" uri="{C3380CC4-5D6E-409C-BE32-E72D297353CC}">
              <c16:uniqueId val="{00000001-C739-D745-8585-A84C50E1B4A3}"/>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3383393699445643"/>
          <c:y val="0.23644496565588877"/>
          <c:w val="0.26616606300554352"/>
          <c:h val="0.54663407803465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Contribution</a:t>
            </a:r>
            <a:r>
              <a:rPr lang="fr-FR" baseline="0"/>
              <a:t> des mesures d'efficacité "Secteur" sur le budget carbone, et </a:t>
            </a:r>
            <a:r>
              <a:rPr lang="fr-FR" sz="1400" b="0" i="0" u="none" strike="noStrike" baseline="0">
                <a:effectLst/>
              </a:rPr>
              <a:t>effet "crise COVID"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611884816"/>
          <c:y val="0.17185613273401437"/>
          <c:w val="0.5686769205662762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69-44AA-A6D6-16AABD1CB143}"/>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4569-44AA-A6D6-16AABD1CB143}"/>
            </c:ext>
          </c:extLst>
        </c:ser>
        <c:ser>
          <c:idx val="3"/>
          <c:order val="1"/>
          <c:tx>
            <c:strRef>
              <c:f>Trajectoires!$BD$5</c:f>
              <c:strCache>
                <c:ptCount val="1"/>
                <c:pt idx="0">
                  <c:v>Cumulé Secteur sans crise COVID</c:v>
                </c:pt>
              </c:strCache>
            </c:strRef>
          </c:tx>
          <c:spPr>
            <a:ln w="19050" cap="rnd">
              <a:solidFill>
                <a:srgbClr val="FFC000"/>
              </a:solidFill>
              <a:prstDash val="lgDash"/>
              <a:round/>
            </a:ln>
            <a:effectLst/>
          </c:spPr>
          <c:marker>
            <c:symbol val="none"/>
          </c:marker>
          <c:dLbls>
            <c:dLbl>
              <c:idx val="32"/>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3-2E4B-960A-52ADDA23C48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Trajectoires!$BD$10:$BD$42</c:f>
              <c:numCache>
                <c:formatCode>#,##0.0</c:formatCode>
                <c:ptCount val="33"/>
                <c:pt idx="0">
                  <c:v>1077.3809523809523</c:v>
                </c:pt>
                <c:pt idx="1">
                  <c:v>2165.4761904761904</c:v>
                </c:pt>
                <c:pt idx="2">
                  <c:v>3273.540854088802</c:v>
                </c:pt>
                <c:pt idx="3">
                  <c:v>4402.1366791923301</c:v>
                </c:pt>
                <c:pt idx="4">
                  <c:v>5551.04373924229</c:v>
                </c:pt>
                <c:pt idx="5">
                  <c:v>6719.5307458782636</c:v>
                </c:pt>
                <c:pt idx="6">
                  <c:v>7905.9264393914063</c:v>
                </c:pt>
                <c:pt idx="7">
                  <c:v>9106.8369154206339</c:v>
                </c:pt>
                <c:pt idx="8">
                  <c:v>10327.503266357577</c:v>
                </c:pt>
                <c:pt idx="9">
                  <c:v>11567.658691377866</c:v>
                </c:pt>
                <c:pt idx="10">
                  <c:v>12826.904824742649</c:v>
                </c:pt>
                <c:pt idx="11">
                  <c:v>14104.684465396982</c:v>
                </c:pt>
                <c:pt idx="12">
                  <c:v>15400.248940586524</c:v>
                </c:pt>
                <c:pt idx="13">
                  <c:v>16712.619052825656</c:v>
                </c:pt>
                <c:pt idx="14">
                  <c:v>18040.538353927303</c:v>
                </c:pt>
                <c:pt idx="15">
                  <c:v>19382.417243941927</c:v>
                </c:pt>
                <c:pt idx="16">
                  <c:v>20736.266098875556</c:v>
                </c:pt>
                <c:pt idx="17">
                  <c:v>22099.615279548463</c:v>
                </c:pt>
                <c:pt idx="18">
                  <c:v>23469.419453658673</c:v>
                </c:pt>
                <c:pt idx="19">
                  <c:v>24841.943160565814</c:v>
                </c:pt>
                <c:pt idx="20">
                  <c:v>26212.623947414955</c:v>
                </c:pt>
                <c:pt idx="21">
                  <c:v>27575.908686730538</c:v>
                </c:pt>
                <c:pt idx="22">
                  <c:v>28925.057826514651</c:v>
                </c:pt>
                <c:pt idx="23">
                  <c:v>30251.911296665512</c:v>
                </c:pt>
                <c:pt idx="24">
                  <c:v>31546.608567290183</c:v>
                </c:pt>
                <c:pt idx="25">
                  <c:v>32797.253885880382</c:v>
                </c:pt>
                <c:pt idx="26">
                  <c:v>33989.515964313679</c:v>
                </c:pt>
                <c:pt idx="27">
                  <c:v>35106.149286990702</c:v>
                </c:pt>
                <c:pt idx="28">
                  <c:v>36126.421700871972</c:v>
                </c:pt>
                <c:pt idx="29">
                  <c:v>37025.429946324999</c:v>
                </c:pt>
                <c:pt idx="30">
                  <c:v>37773.281198385877</c:v>
                </c:pt>
                <c:pt idx="31">
                  <c:v>38334.114396317527</c:v>
                </c:pt>
                <c:pt idx="32">
                  <c:v>38664.930007748131</c:v>
                </c:pt>
              </c:numCache>
            </c:numRef>
          </c:val>
          <c:smooth val="0"/>
          <c:extLst>
            <c:ext xmlns:c16="http://schemas.microsoft.com/office/drawing/2014/chart" uri="{C3380CC4-5D6E-409C-BE32-E72D297353CC}">
              <c16:uniqueId val="{00000001-CFE8-F04B-AA1C-5524AF699077}"/>
            </c:ext>
          </c:extLst>
        </c:ser>
        <c:ser>
          <c:idx val="2"/>
          <c:order val="2"/>
          <c:tx>
            <c:strRef>
              <c:f>Trajectoires!$BC$5</c:f>
              <c:strCache>
                <c:ptCount val="1"/>
                <c:pt idx="0">
                  <c:v>Cumulé Secteur (avec perf. et carburants alternatifs)</c:v>
                </c:pt>
              </c:strCache>
            </c:strRef>
          </c:tx>
          <c:spPr>
            <a:ln w="28575" cap="rnd">
              <a:solidFill>
                <a:schemeClr val="accent4"/>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69-44AA-A6D6-16AABD1CB143}"/>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Trajectoires!$BC$10:$BC$42</c:f>
              <c:numCache>
                <c:formatCode>#,##0.0</c:formatCode>
                <c:ptCount val="33"/>
                <c:pt idx="0">
                  <c:v>1077.3809523809523</c:v>
                </c:pt>
                <c:pt idx="1">
                  <c:v>2165.4761904761904</c:v>
                </c:pt>
                <c:pt idx="2">
                  <c:v>2527.7280997341595</c:v>
                </c:pt>
                <c:pt idx="3">
                  <c:v>3321.2449261621491</c:v>
                </c:pt>
                <c:pt idx="4">
                  <c:v>4172.5526872589071</c:v>
                </c:pt>
                <c:pt idx="5">
                  <c:v>5084.8526755448256</c:v>
                </c:pt>
                <c:pt idx="6">
                  <c:v>6060.2119018964131</c:v>
                </c:pt>
                <c:pt idx="7">
                  <c:v>7043.9416849259123</c:v>
                </c:pt>
                <c:pt idx="8">
                  <c:v>8043.4322379150381</c:v>
                </c:pt>
                <c:pt idx="9">
                  <c:v>9058.4034674431696</c:v>
                </c:pt>
                <c:pt idx="10">
                  <c:v>10088.461313649324</c:v>
                </c:pt>
                <c:pt idx="11">
                  <c:v>11133.075326123071</c:v>
                </c:pt>
                <c:pt idx="12">
                  <c:v>12191.552038197067</c:v>
                </c:pt>
                <c:pt idx="13">
                  <c:v>13263.0033562184</c:v>
                </c:pt>
                <c:pt idx="14">
                  <c:v>14346.30903437336</c:v>
                </c:pt>
                <c:pt idx="15">
                  <c:v>15440.072132429366</c:v>
                </c:pt>
                <c:pt idx="16">
                  <c:v>16542.566148268132</c:v>
                </c:pt>
                <c:pt idx="17">
                  <c:v>17651.672273300432</c:v>
                </c:pt>
                <c:pt idx="18">
                  <c:v>18764.804929638922</c:v>
                </c:pt>
                <c:pt idx="19">
                  <c:v>19878.823404795014</c:v>
                </c:pt>
                <c:pt idx="20">
                  <c:v>20989.92699261515</c:v>
                </c:pt>
                <c:pt idx="21">
                  <c:v>22093.530566265465</c:v>
                </c:pt>
                <c:pt idx="22">
                  <c:v>23184.116936175455</c:v>
                </c:pt>
                <c:pt idx="23">
                  <c:v>24255.061666190843</c:v>
                </c:pt>
                <c:pt idx="24">
                  <c:v>25298.425214867559</c:v>
                </c:pt>
                <c:pt idx="25">
                  <c:v>26304.706312259415</c:v>
                </c:pt>
                <c:pt idx="26">
                  <c:v>27262.549347710057</c:v>
                </c:pt>
                <c:pt idx="27">
                  <c:v>28158.397197834747</c:v>
                </c:pt>
                <c:pt idx="28">
                  <c:v>28976.079326659208</c:v>
                </c:pt>
                <c:pt idx="29">
                  <c:v>29696.323095015596</c:v>
                </c:pt>
                <c:pt idx="30">
                  <c:v>30296.173968311909</c:v>
                </c:pt>
                <c:pt idx="31">
                  <c:v>30748.307644885892</c:v>
                </c:pt>
                <c:pt idx="32">
                  <c:v>31020.213963259874</c:v>
                </c:pt>
              </c:numCache>
            </c:numRef>
          </c:val>
          <c:smooth val="1"/>
          <c:extLst>
            <c:ext xmlns:c16="http://schemas.microsoft.com/office/drawing/2014/chart" uri="{C3380CC4-5D6E-409C-BE32-E72D297353CC}">
              <c16:uniqueId val="{00000003-4569-44AA-A6D6-16AABD1CB143}"/>
            </c:ext>
          </c:extLst>
        </c:ser>
        <c:ser>
          <c:idx val="0"/>
          <c:order val="3"/>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69-44AA-A6D6-16AABD1CB143}"/>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5-4569-44AA-A6D6-16AABD1CB143}"/>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7120990780675025"/>
          <c:y val="0.26668409918909391"/>
          <c:w val="0.22879009219324972"/>
          <c:h val="0.62035378110871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Effet CORSIA* : trajectoire Secteur finale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3D-4520-ACEF-9210EBBC2D75}"/>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943D-4520-ACEF-9210EBBC2D75}"/>
            </c:ext>
          </c:extLst>
        </c:ser>
        <c:ser>
          <c:idx val="2"/>
          <c:order val="1"/>
          <c:tx>
            <c:strRef>
              <c:f>Trajectoires!$F$5</c:f>
              <c:strCache>
                <c:ptCount val="1"/>
                <c:pt idx="0">
                  <c:v>Trajectoire Secteur - perf 2%</c:v>
                </c:pt>
              </c:strCache>
            </c:strRef>
          </c:tx>
          <c:spPr>
            <a:ln w="28575" cap="rnd">
              <a:solidFill>
                <a:srgbClr val="FA8000"/>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3D-4520-ACEF-9210EBBC2D75}"/>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Trajectoires!$F$10:$F$42</c:f>
              <c:numCache>
                <c:formatCode>#,##0.0</c:formatCode>
                <c:ptCount val="33"/>
                <c:pt idx="0">
                  <c:v>1077.3809523809523</c:v>
                </c:pt>
                <c:pt idx="1">
                  <c:v>1088.0952380952381</c:v>
                </c:pt>
                <c:pt idx="2">
                  <c:v>362.55333333333328</c:v>
                </c:pt>
                <c:pt idx="3">
                  <c:v>794.20506666666665</c:v>
                </c:pt>
                <c:pt idx="4">
                  <c:v>852.87921694534054</c:v>
                </c:pt>
                <c:pt idx="5">
                  <c:v>915.88808637328077</c:v>
                </c:pt>
                <c:pt idx="6">
                  <c:v>983.55191461333345</c:v>
                </c:pt>
                <c:pt idx="7">
                  <c:v>1002.4361113739095</c:v>
                </c:pt>
                <c:pt idx="8">
                  <c:v>1021.6828847122886</c:v>
                </c:pt>
                <c:pt idx="9">
                  <c:v>1041.2991960987645</c:v>
                </c:pt>
                <c:pt idx="10">
                  <c:v>1061.2921406638607</c:v>
                </c:pt>
                <c:pt idx="11">
                  <c:v>1081.6689497646069</c:v>
                </c:pt>
                <c:pt idx="12">
                  <c:v>1102.4369936000871</c:v>
                </c:pt>
                <c:pt idx="13">
                  <c:v>1123.6037838772088</c:v>
                </c:pt>
                <c:pt idx="14">
                  <c:v>1145.1769765276513</c:v>
                </c:pt>
                <c:pt idx="15">
                  <c:v>1167.1643744769822</c:v>
                </c:pt>
                <c:pt idx="16">
                  <c:v>1189.5739304669403</c:v>
                </c:pt>
                <c:pt idx="17">
                  <c:v>1212.4137499319056</c:v>
                </c:pt>
                <c:pt idx="18">
                  <c:v>1235.6920939305983</c:v>
                </c:pt>
                <c:pt idx="19">
                  <c:v>1259.4173821340657</c:v>
                </c:pt>
                <c:pt idx="20">
                  <c:v>1283.5981958710399</c:v>
                </c:pt>
                <c:pt idx="21">
                  <c:v>1308.2432812317641</c:v>
                </c:pt>
                <c:pt idx="22">
                  <c:v>1333.361552231414</c:v>
                </c:pt>
                <c:pt idx="23">
                  <c:v>1358.9620940342572</c:v>
                </c:pt>
                <c:pt idx="24">
                  <c:v>1385.054166239715</c:v>
                </c:pt>
                <c:pt idx="25">
                  <c:v>1411.6472062315177</c:v>
                </c:pt>
                <c:pt idx="26">
                  <c:v>1438.7508325911629</c:v>
                </c:pt>
                <c:pt idx="27">
                  <c:v>1466.3748485769133</c:v>
                </c:pt>
                <c:pt idx="28">
                  <c:v>1494.52924566959</c:v>
                </c:pt>
                <c:pt idx="29">
                  <c:v>1523.2242071864462</c:v>
                </c:pt>
                <c:pt idx="30">
                  <c:v>1552.4701119644258</c:v>
                </c:pt>
                <c:pt idx="31">
                  <c:v>1582.2775381141428</c:v>
                </c:pt>
                <c:pt idx="32">
                  <c:v>1612.6572668459344</c:v>
                </c:pt>
              </c:numCache>
            </c:numRef>
          </c:val>
          <c:smooth val="1"/>
          <c:extLst>
            <c:ext xmlns:c16="http://schemas.microsoft.com/office/drawing/2014/chart" uri="{C3380CC4-5D6E-409C-BE32-E72D297353CC}">
              <c16:uniqueId val="{00000003-943D-4520-ACEF-9210EBBC2D75}"/>
            </c:ext>
          </c:extLst>
        </c:ser>
        <c:ser>
          <c:idx val="3"/>
          <c:order val="2"/>
          <c:tx>
            <c:strRef>
              <c:f>Trajectoires!$I$5</c:f>
              <c:strCache>
                <c:ptCount val="1"/>
                <c:pt idx="0">
                  <c:v>Trajectoire Secteur -  perf. 2% &amp; Carb Alt</c:v>
                </c:pt>
              </c:strCache>
            </c:strRef>
          </c:tx>
          <c:spPr>
            <a:ln w="28575" cap="rnd">
              <a:solidFill>
                <a:schemeClr val="accent4"/>
              </a:solidFill>
              <a:round/>
            </a:ln>
            <a:effectLst/>
          </c:spPr>
          <c:marker>
            <c:symbol val="none"/>
          </c:marker>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Trajectoires!$I$10:$I$42</c:f>
              <c:numCache>
                <c:formatCode>#,##0.0</c:formatCode>
                <c:ptCount val="33"/>
                <c:pt idx="0">
                  <c:v>1077.3809523809523</c:v>
                </c:pt>
                <c:pt idx="1">
                  <c:v>1088.0952380952381</c:v>
                </c:pt>
                <c:pt idx="2">
                  <c:v>362.25190925796909</c:v>
                </c:pt>
                <c:pt idx="3">
                  <c:v>793.51682642798949</c:v>
                </c:pt>
                <c:pt idx="4">
                  <c:v>851.30776109675833</c:v>
                </c:pt>
                <c:pt idx="5">
                  <c:v>912.29998828591863</c:v>
                </c:pt>
                <c:pt idx="6">
                  <c:v>975.35922635158772</c:v>
                </c:pt>
                <c:pt idx="7">
                  <c:v>983.72978302949957</c:v>
                </c:pt>
                <c:pt idx="8">
                  <c:v>999.4905529891256</c:v>
                </c:pt>
                <c:pt idx="9">
                  <c:v>1014.971229528132</c:v>
                </c:pt>
                <c:pt idx="10">
                  <c:v>1030.0578462061549</c:v>
                </c:pt>
                <c:pt idx="11">
                  <c:v>1044.6140124737469</c:v>
                </c:pt>
                <c:pt idx="12">
                  <c:v>1058.4767120739957</c:v>
                </c:pt>
                <c:pt idx="13">
                  <c:v>1071.4513180213326</c:v>
                </c:pt>
                <c:pt idx="14">
                  <c:v>1083.3056781549594</c:v>
                </c:pt>
                <c:pt idx="15">
                  <c:v>1093.7630980560068</c:v>
                </c:pt>
                <c:pt idx="16">
                  <c:v>1102.4940158387637</c:v>
                </c:pt>
                <c:pt idx="17">
                  <c:v>1109.1061250322985</c:v>
                </c:pt>
                <c:pt idx="18">
                  <c:v>1113.1326563384916</c:v>
                </c:pt>
                <c:pt idx="19">
                  <c:v>1114.018475156091</c:v>
                </c:pt>
                <c:pt idx="20">
                  <c:v>1111.1035878201355</c:v>
                </c:pt>
                <c:pt idx="21">
                  <c:v>1103.6035736503147</c:v>
                </c:pt>
                <c:pt idx="22">
                  <c:v>1090.5863699099887</c:v>
                </c:pt>
                <c:pt idx="23">
                  <c:v>1070.9447300153879</c:v>
                </c:pt>
                <c:pt idx="24">
                  <c:v>1043.3635486767143</c:v>
                </c:pt>
                <c:pt idx="25">
                  <c:v>1006.2810973918581</c:v>
                </c:pt>
                <c:pt idx="26">
                  <c:v>957.84303545064245</c:v>
                </c:pt>
                <c:pt idx="27">
                  <c:v>895.84785012469024</c:v>
                </c:pt>
                <c:pt idx="28">
                  <c:v>817.68212882446255</c:v>
                </c:pt>
                <c:pt idx="29">
                  <c:v>720.24376835638861</c:v>
                </c:pt>
                <c:pt idx="30">
                  <c:v>599.85087329631335</c:v>
                </c:pt>
                <c:pt idx="31">
                  <c:v>452.13367657398271</c:v>
                </c:pt>
                <c:pt idx="32">
                  <c:v>271.90631837398172</c:v>
                </c:pt>
              </c:numCache>
            </c:numRef>
          </c:val>
          <c:smooth val="1"/>
          <c:extLst>
            <c:ext xmlns:c16="http://schemas.microsoft.com/office/drawing/2014/chart" uri="{C3380CC4-5D6E-409C-BE32-E72D297353CC}">
              <c16:uniqueId val="{00000004-943D-4520-ACEF-9210EBBC2D75}"/>
            </c:ext>
          </c:extLst>
        </c:ser>
        <c:ser>
          <c:idx val="4"/>
          <c:order val="3"/>
          <c:tx>
            <c:strRef>
              <c:f>Trajectoires!$M$5</c:f>
              <c:strCache>
                <c:ptCount val="1"/>
                <c:pt idx="0">
                  <c:v>Trajectoire crise COVID +2% incluant techno &amp; Carb Alt &amp; CORSIA*</c:v>
                </c:pt>
              </c:strCache>
            </c:strRef>
          </c:tx>
          <c:spPr>
            <a:ln w="28575" cap="rnd">
              <a:solidFill>
                <a:schemeClr val="accent5"/>
              </a:solidFill>
              <a:round/>
            </a:ln>
            <a:effectLst/>
          </c:spPr>
          <c:marker>
            <c:symbol val="none"/>
          </c:marker>
          <c:dLbls>
            <c:dLbl>
              <c:idx val="32"/>
              <c:layout>
                <c:manualLayout>
                  <c:x val="-9.5496029982710066E-3"/>
                  <c:y val="2.5603718926340519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2730257293192424E-2"/>
                      <c:h val="6.1975722640844895E-2"/>
                    </c:manualLayout>
                  </c15:layout>
                </c:ext>
                <c:ext xmlns:c16="http://schemas.microsoft.com/office/drawing/2014/chart" uri="{C3380CC4-5D6E-409C-BE32-E72D297353CC}">
                  <c16:uniqueId val="{00000005-943D-4520-ACEF-9210EBBC2D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Trajectoires!$M$10:$M$42</c:f>
              <c:numCache>
                <c:formatCode>#,##0.0</c:formatCode>
                <c:ptCount val="33"/>
                <c:pt idx="0">
                  <c:v>1077.3809523809523</c:v>
                </c:pt>
                <c:pt idx="1">
                  <c:v>1088.0952380952381</c:v>
                </c:pt>
                <c:pt idx="2">
                  <c:v>362.25190925796909</c:v>
                </c:pt>
                <c:pt idx="3">
                  <c:v>793.51682642798949</c:v>
                </c:pt>
                <c:pt idx="4">
                  <c:v>851.30776109675833</c:v>
                </c:pt>
                <c:pt idx="5">
                  <c:v>912.29998828591863</c:v>
                </c:pt>
                <c:pt idx="6">
                  <c:v>975.35922635158772</c:v>
                </c:pt>
                <c:pt idx="7">
                  <c:v>983.72978302949957</c:v>
                </c:pt>
                <c:pt idx="8">
                  <c:v>999.4905529891256</c:v>
                </c:pt>
                <c:pt idx="9">
                  <c:v>1014.971229528132</c:v>
                </c:pt>
                <c:pt idx="10">
                  <c:v>1030.0578462061549</c:v>
                </c:pt>
                <c:pt idx="11">
                  <c:v>1044.6140124737469</c:v>
                </c:pt>
                <c:pt idx="12">
                  <c:v>1058.4767120739957</c:v>
                </c:pt>
                <c:pt idx="13">
                  <c:v>1071.4513180213326</c:v>
                </c:pt>
                <c:pt idx="14">
                  <c:v>1083.3056781549594</c:v>
                </c:pt>
                <c:pt idx="15">
                  <c:v>1093.7630980560068</c:v>
                </c:pt>
                <c:pt idx="16">
                  <c:v>1096.2424528590309</c:v>
                </c:pt>
                <c:pt idx="17">
                  <c:v>1098.3893345504098</c:v>
                </c:pt>
                <c:pt idx="18">
                  <c:v>1100.3254531394261</c:v>
                </c:pt>
                <c:pt idx="19">
                  <c:v>1101.9998038340443</c:v>
                </c:pt>
                <c:pt idx="20">
                  <c:v>1103.3516517022026</c:v>
                </c:pt>
                <c:pt idx="21">
                  <c:v>1103.6035736503147</c:v>
                </c:pt>
                <c:pt idx="22">
                  <c:v>1090.5863699099887</c:v>
                </c:pt>
                <c:pt idx="23">
                  <c:v>1070.9447300153879</c:v>
                </c:pt>
                <c:pt idx="24">
                  <c:v>1043.3635486767143</c:v>
                </c:pt>
                <c:pt idx="25">
                  <c:v>1006.2810973918581</c:v>
                </c:pt>
                <c:pt idx="26">
                  <c:v>957.84303545064245</c:v>
                </c:pt>
                <c:pt idx="27">
                  <c:v>895.84785012469024</c:v>
                </c:pt>
                <c:pt idx="28">
                  <c:v>817.68212882446255</c:v>
                </c:pt>
                <c:pt idx="29">
                  <c:v>720.24376835638861</c:v>
                </c:pt>
                <c:pt idx="30">
                  <c:v>599.85087329631335</c:v>
                </c:pt>
                <c:pt idx="31">
                  <c:v>452.13367657398271</c:v>
                </c:pt>
                <c:pt idx="32">
                  <c:v>271.90631837398172</c:v>
                </c:pt>
              </c:numCache>
            </c:numRef>
          </c:val>
          <c:smooth val="1"/>
          <c:extLst>
            <c:ext xmlns:c16="http://schemas.microsoft.com/office/drawing/2014/chart" uri="{C3380CC4-5D6E-409C-BE32-E72D297353CC}">
              <c16:uniqueId val="{00000006-943D-4520-ACEF-9210EBBC2D75}"/>
            </c:ext>
          </c:extLst>
        </c:ser>
        <c:ser>
          <c:idx val="5"/>
          <c:order val="4"/>
          <c:tx>
            <c:strRef>
              <c:f>Trajectoires!$E$5</c:f>
              <c:strCache>
                <c:ptCount val="1"/>
                <c:pt idx="0">
                  <c:v>Cible "-50% en 2050 par rapport aux emissions 2005"</c:v>
                </c:pt>
              </c:strCache>
            </c:strRef>
          </c:tx>
          <c:spPr>
            <a:ln w="28575" cap="rnd">
              <a:solidFill>
                <a:schemeClr val="accent1"/>
              </a:solidFill>
              <a:prstDash val="dash"/>
              <a:round/>
            </a:ln>
            <a:effectLst/>
          </c:spPr>
          <c:marker>
            <c:symbol val="none"/>
          </c:marker>
          <c:dLbls>
            <c:dLbl>
              <c:idx val="32"/>
              <c:layout>
                <c:manualLayout>
                  <c:x val="-1.4347603104795994E-2"/>
                  <c:y val="-1.9954312362589401E-2"/>
                </c:manualLayout>
              </c:layout>
              <c:numFmt formatCode="#\ ##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341324765873517E-2"/>
                      <c:h val="6.1975722640844895E-2"/>
                    </c:manualLayout>
                  </c15:layout>
                </c:ext>
                <c:ext xmlns:c16="http://schemas.microsoft.com/office/drawing/2014/chart" uri="{C3380CC4-5D6E-409C-BE32-E72D297353CC}">
                  <c16:uniqueId val="{00000002-5C7C-1648-8C9E-725A9529622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Trajectoires!$E$10:$E$42</c:f>
              <c:numCache>
                <c:formatCode>#,##0.0</c:formatCode>
                <c:ptCount val="33"/>
                <c:pt idx="0">
                  <c:v>383.07402168788303</c:v>
                </c:pt>
                <c:pt idx="1">
                  <c:v>383.07402168788303</c:v>
                </c:pt>
                <c:pt idx="2">
                  <c:v>383.07402168788303</c:v>
                </c:pt>
                <c:pt idx="3">
                  <c:v>383.07402168788303</c:v>
                </c:pt>
                <c:pt idx="4">
                  <c:v>383.07402168788303</c:v>
                </c:pt>
                <c:pt idx="5">
                  <c:v>383.07402168788303</c:v>
                </c:pt>
                <c:pt idx="6">
                  <c:v>383.07402168788303</c:v>
                </c:pt>
                <c:pt idx="7">
                  <c:v>383.07402168788303</c:v>
                </c:pt>
                <c:pt idx="8">
                  <c:v>383.07402168788303</c:v>
                </c:pt>
                <c:pt idx="9">
                  <c:v>383.07402168788303</c:v>
                </c:pt>
                <c:pt idx="10">
                  <c:v>383.07402168788303</c:v>
                </c:pt>
                <c:pt idx="11">
                  <c:v>383.07402168788303</c:v>
                </c:pt>
                <c:pt idx="12">
                  <c:v>383.07402168788303</c:v>
                </c:pt>
                <c:pt idx="13">
                  <c:v>383.07402168788303</c:v>
                </c:pt>
                <c:pt idx="14">
                  <c:v>383.07402168788303</c:v>
                </c:pt>
                <c:pt idx="15">
                  <c:v>383.07402168788303</c:v>
                </c:pt>
                <c:pt idx="16">
                  <c:v>383.07402168788303</c:v>
                </c:pt>
                <c:pt idx="17">
                  <c:v>383.07402168788303</c:v>
                </c:pt>
                <c:pt idx="18">
                  <c:v>383.07402168788303</c:v>
                </c:pt>
                <c:pt idx="19">
                  <c:v>383.07402168788303</c:v>
                </c:pt>
                <c:pt idx="20">
                  <c:v>383.07402168788303</c:v>
                </c:pt>
                <c:pt idx="21">
                  <c:v>383.07402168788303</c:v>
                </c:pt>
                <c:pt idx="22">
                  <c:v>383.07402168788303</c:v>
                </c:pt>
                <c:pt idx="23">
                  <c:v>383.07402168788303</c:v>
                </c:pt>
                <c:pt idx="24">
                  <c:v>383.07402168788303</c:v>
                </c:pt>
                <c:pt idx="25">
                  <c:v>383.07402168788303</c:v>
                </c:pt>
                <c:pt idx="26">
                  <c:v>383.07402168788303</c:v>
                </c:pt>
                <c:pt idx="27">
                  <c:v>383.07402168788303</c:v>
                </c:pt>
                <c:pt idx="28">
                  <c:v>383.07402168788303</c:v>
                </c:pt>
                <c:pt idx="29">
                  <c:v>383.07402168788303</c:v>
                </c:pt>
                <c:pt idx="30">
                  <c:v>383.07402168788303</c:v>
                </c:pt>
                <c:pt idx="31">
                  <c:v>383.07402168788303</c:v>
                </c:pt>
                <c:pt idx="32">
                  <c:v>383.07402168788303</c:v>
                </c:pt>
              </c:numCache>
            </c:numRef>
          </c:val>
          <c:smooth val="0"/>
          <c:extLst>
            <c:ext xmlns:c16="http://schemas.microsoft.com/office/drawing/2014/chart" uri="{C3380CC4-5D6E-409C-BE32-E72D297353CC}">
              <c16:uniqueId val="{00000001-5C7C-1648-8C9E-725A9529622F}"/>
            </c:ext>
          </c:extLst>
        </c:ser>
        <c:ser>
          <c:idx val="0"/>
          <c:order val="5"/>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3D-4520-ACEF-9210EBBC2D75}"/>
                </c:ext>
              </c:extLst>
            </c:dLbl>
            <c:dLbl>
              <c:idx val="32"/>
              <c:layout>
                <c:manualLayout>
                  <c:x val="-1.916242691684246E-3"/>
                  <c:y val="7.5159714393085303E-3"/>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3D-4520-ACEF-9210EBBC2D75}"/>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9-943D-4520-ACEF-9210EBBC2D75}"/>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4933335909285803"/>
          <c:y val="0.13341270425357954"/>
          <c:w val="0.2506666409071418"/>
          <c:h val="0.8143804208459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Cumulé</a:t>
            </a:r>
            <a:r>
              <a:rPr lang="fr-FR" baseline="0"/>
              <a:t> Secteur avec CORSIA*, impact crise COVID</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686769205662762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2C-402F-BBF5-10EA754F3665}"/>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FC2C-402F-BBF5-10EA754F3665}"/>
            </c:ext>
          </c:extLst>
        </c:ser>
        <c:ser>
          <c:idx val="4"/>
          <c:order val="1"/>
          <c:tx>
            <c:strRef>
              <c:f>Trajectoires!$BF$5</c:f>
              <c:strCache>
                <c:ptCount val="1"/>
                <c:pt idx="0">
                  <c:v>Cumulé 2% (avec perf. et CA) + CORSIA*, sans crise COVID</c:v>
                </c:pt>
              </c:strCache>
            </c:strRef>
          </c:tx>
          <c:spPr>
            <a:ln w="19050" cap="rnd">
              <a:solidFill>
                <a:schemeClr val="accent1"/>
              </a:solidFill>
              <a:prstDash val="lgDash"/>
              <a:round/>
            </a:ln>
            <a:effectLst/>
          </c:spPr>
          <c:marker>
            <c:symbol val="none"/>
          </c:marker>
          <c:dLbls>
            <c:dLbl>
              <c:idx val="32"/>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43-7A44-8D41-EBB99B7A0BC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Trajectoires!$BF$10:$BF$42</c:f>
              <c:numCache>
                <c:formatCode>0.0</c:formatCode>
                <c:ptCount val="33"/>
                <c:pt idx="0" formatCode="#,##0.0">
                  <c:v>1077.3809523809523</c:v>
                </c:pt>
                <c:pt idx="1">
                  <c:v>2165.4761904761904</c:v>
                </c:pt>
                <c:pt idx="2">
                  <c:v>3256.8284067443274</c:v>
                </c:pt>
                <c:pt idx="3">
                  <c:v>4351.5167006605716</c:v>
                </c:pt>
                <c:pt idx="4">
                  <c:v>5449.5480751722762</c:v>
                </c:pt>
                <c:pt idx="5">
                  <c:v>6550.8825564762683</c:v>
                </c:pt>
                <c:pt idx="6">
                  <c:v>7655.3933880193981</c:v>
                </c:pt>
                <c:pt idx="7">
                  <c:v>8762.7943335840737</c:v>
                </c:pt>
                <c:pt idx="8">
                  <c:v>9873.60187128096</c:v>
                </c:pt>
                <c:pt idx="9">
                  <c:v>10987.821386305934</c:v>
                </c:pt>
                <c:pt idx="10">
                  <c:v>12105.446621262754</c:v>
                </c:pt>
                <c:pt idx="11">
                  <c:v>13226.457153973593</c:v>
                </c:pt>
                <c:pt idx="12">
                  <c:v>14350.815377024854</c:v>
                </c:pt>
                <c:pt idx="13">
                  <c:v>15478.462881449617</c:v>
                </c:pt>
                <c:pt idx="14">
                  <c:v>16609.316127846621</c:v>
                </c:pt>
                <c:pt idx="15">
                  <c:v>17743.261265396031</c:v>
                </c:pt>
                <c:pt idx="16">
                  <c:v>18880.147931923064</c:v>
                </c:pt>
                <c:pt idx="17">
                  <c:v>20019.781835506863</c:v>
                </c:pt>
                <c:pt idx="18">
                  <c:v>21161.91587908813</c:v>
                </c:pt>
                <c:pt idx="19">
                  <c:v>22306.239542844411</c:v>
                </c:pt>
                <c:pt idx="20">
                  <c:v>23452.366183281138</c:v>
                </c:pt>
                <c:pt idx="21">
                  <c:v>24599.817841241838</c:v>
                </c:pt>
                <c:pt idx="22">
                  <c:v>25748.007071234442</c:v>
                </c:pt>
                <c:pt idx="23">
                  <c:v>26896.215209046215</c:v>
                </c:pt>
                <c:pt idx="24">
                  <c:v>28043.566380521199</c:v>
                </c:pt>
                <c:pt idx="25">
                  <c:v>29188.996417946593</c:v>
                </c:pt>
                <c:pt idx="26">
                  <c:v>30331.215687368585</c:v>
                </c:pt>
                <c:pt idx="27">
                  <c:v>31447.849010045611</c:v>
                </c:pt>
                <c:pt idx="28">
                  <c:v>32468.121423926881</c:v>
                </c:pt>
                <c:pt idx="29">
                  <c:v>33367.129669379909</c:v>
                </c:pt>
                <c:pt idx="30">
                  <c:v>34114.980921440787</c:v>
                </c:pt>
                <c:pt idx="31">
                  <c:v>34675.814119372437</c:v>
                </c:pt>
                <c:pt idx="32">
                  <c:v>35006.629730803041</c:v>
                </c:pt>
              </c:numCache>
            </c:numRef>
          </c:val>
          <c:smooth val="0"/>
          <c:extLst>
            <c:ext xmlns:c16="http://schemas.microsoft.com/office/drawing/2014/chart" uri="{C3380CC4-5D6E-409C-BE32-E72D297353CC}">
              <c16:uniqueId val="{00000001-E743-7A44-8D41-EBB99B7A0BCD}"/>
            </c:ext>
          </c:extLst>
        </c:ser>
        <c:ser>
          <c:idx val="2"/>
          <c:order val="2"/>
          <c:tx>
            <c:strRef>
              <c:f>Trajectoires!$BC$5</c:f>
              <c:strCache>
                <c:ptCount val="1"/>
                <c:pt idx="0">
                  <c:v>Cumulé Secteur (avec perf. et carburants alternatifs)</c:v>
                </c:pt>
              </c:strCache>
            </c:strRef>
          </c:tx>
          <c:spPr>
            <a:ln w="28575" cap="rnd">
              <a:solidFill>
                <a:schemeClr val="accent4"/>
              </a:solidFill>
              <a:round/>
            </a:ln>
            <a:effectLst/>
          </c:spPr>
          <c:marker>
            <c:symbol val="none"/>
          </c:marker>
          <c:dLbls>
            <c:dLbl>
              <c:idx val="32"/>
              <c:layout>
                <c:manualLayout>
                  <c:x val="0"/>
                  <c:y val="-1.188435307945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2C-402F-BBF5-10EA754F3665}"/>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Trajectoires!$BC$10:$BC$42</c:f>
              <c:numCache>
                <c:formatCode>#,##0.0</c:formatCode>
                <c:ptCount val="33"/>
                <c:pt idx="0">
                  <c:v>1077.3809523809523</c:v>
                </c:pt>
                <c:pt idx="1">
                  <c:v>2165.4761904761904</c:v>
                </c:pt>
                <c:pt idx="2">
                  <c:v>2527.7280997341595</c:v>
                </c:pt>
                <c:pt idx="3">
                  <c:v>3321.2449261621491</c:v>
                </c:pt>
                <c:pt idx="4">
                  <c:v>4172.5526872589071</c:v>
                </c:pt>
                <c:pt idx="5">
                  <c:v>5084.8526755448256</c:v>
                </c:pt>
                <c:pt idx="6">
                  <c:v>6060.2119018964131</c:v>
                </c:pt>
                <c:pt idx="7">
                  <c:v>7043.9416849259123</c:v>
                </c:pt>
                <c:pt idx="8">
                  <c:v>8043.4322379150381</c:v>
                </c:pt>
                <c:pt idx="9">
                  <c:v>9058.4034674431696</c:v>
                </c:pt>
                <c:pt idx="10">
                  <c:v>10088.461313649324</c:v>
                </c:pt>
                <c:pt idx="11">
                  <c:v>11133.075326123071</c:v>
                </c:pt>
                <c:pt idx="12">
                  <c:v>12191.552038197067</c:v>
                </c:pt>
                <c:pt idx="13">
                  <c:v>13263.0033562184</c:v>
                </c:pt>
                <c:pt idx="14">
                  <c:v>14346.30903437336</c:v>
                </c:pt>
                <c:pt idx="15">
                  <c:v>15440.072132429366</c:v>
                </c:pt>
                <c:pt idx="16">
                  <c:v>16542.566148268132</c:v>
                </c:pt>
                <c:pt idx="17">
                  <c:v>17651.672273300432</c:v>
                </c:pt>
                <c:pt idx="18">
                  <c:v>18764.804929638922</c:v>
                </c:pt>
                <c:pt idx="19">
                  <c:v>19878.823404795014</c:v>
                </c:pt>
                <c:pt idx="20">
                  <c:v>20989.92699261515</c:v>
                </c:pt>
                <c:pt idx="21">
                  <c:v>22093.530566265465</c:v>
                </c:pt>
                <c:pt idx="22">
                  <c:v>23184.116936175455</c:v>
                </c:pt>
                <c:pt idx="23">
                  <c:v>24255.061666190843</c:v>
                </c:pt>
                <c:pt idx="24">
                  <c:v>25298.425214867559</c:v>
                </c:pt>
                <c:pt idx="25">
                  <c:v>26304.706312259415</c:v>
                </c:pt>
                <c:pt idx="26">
                  <c:v>27262.549347710057</c:v>
                </c:pt>
                <c:pt idx="27">
                  <c:v>28158.397197834747</c:v>
                </c:pt>
                <c:pt idx="28">
                  <c:v>28976.079326659208</c:v>
                </c:pt>
                <c:pt idx="29">
                  <c:v>29696.323095015596</c:v>
                </c:pt>
                <c:pt idx="30">
                  <c:v>30296.173968311909</c:v>
                </c:pt>
                <c:pt idx="31">
                  <c:v>30748.307644885892</c:v>
                </c:pt>
                <c:pt idx="32">
                  <c:v>31020.213963259874</c:v>
                </c:pt>
              </c:numCache>
            </c:numRef>
          </c:val>
          <c:smooth val="1"/>
          <c:extLst>
            <c:ext xmlns:c16="http://schemas.microsoft.com/office/drawing/2014/chart" uri="{C3380CC4-5D6E-409C-BE32-E72D297353CC}">
              <c16:uniqueId val="{00000003-FC2C-402F-BBF5-10EA754F3665}"/>
            </c:ext>
          </c:extLst>
        </c:ser>
        <c:ser>
          <c:idx val="3"/>
          <c:order val="3"/>
          <c:tx>
            <c:strRef>
              <c:f>Trajectoires!$BE$5</c:f>
              <c:strCache>
                <c:ptCount val="1"/>
                <c:pt idx="0">
                  <c:v>Cumulé Secteur avec CORSIA*</c:v>
                </c:pt>
              </c:strCache>
            </c:strRef>
          </c:tx>
          <c:spPr>
            <a:ln w="28575" cap="rnd">
              <a:solidFill>
                <a:schemeClr val="accent5"/>
              </a:solidFill>
              <a:round/>
            </a:ln>
            <a:effectLst/>
          </c:spPr>
          <c:marker>
            <c:symbol val="none"/>
          </c:marker>
          <c:dLbls>
            <c:dLbl>
              <c:idx val="32"/>
              <c:layout>
                <c:manualLayout>
                  <c:x val="0"/>
                  <c:y val="1.9523773653359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2C-402F-BBF5-10EA754F3665}"/>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Trajectoires!$BE$10:$BE$42</c:f>
              <c:numCache>
                <c:formatCode>0.0</c:formatCode>
                <c:ptCount val="33"/>
                <c:pt idx="0" formatCode="#,##0.0">
                  <c:v>1077.3809523809523</c:v>
                </c:pt>
                <c:pt idx="1">
                  <c:v>2165.4761904761904</c:v>
                </c:pt>
                <c:pt idx="2">
                  <c:v>2527.7280997341595</c:v>
                </c:pt>
                <c:pt idx="3">
                  <c:v>3321.2449261621491</c:v>
                </c:pt>
                <c:pt idx="4">
                  <c:v>4172.5526872589071</c:v>
                </c:pt>
                <c:pt idx="5">
                  <c:v>5084.8526755448256</c:v>
                </c:pt>
                <c:pt idx="6">
                  <c:v>6060.2119018964131</c:v>
                </c:pt>
                <c:pt idx="7">
                  <c:v>7043.9416849259123</c:v>
                </c:pt>
                <c:pt idx="8">
                  <c:v>8043.4322379150381</c:v>
                </c:pt>
                <c:pt idx="9">
                  <c:v>9058.4034674431696</c:v>
                </c:pt>
                <c:pt idx="10">
                  <c:v>10088.461313649324</c:v>
                </c:pt>
                <c:pt idx="11">
                  <c:v>11133.075326123071</c:v>
                </c:pt>
                <c:pt idx="12">
                  <c:v>12191.552038197067</c:v>
                </c:pt>
                <c:pt idx="13">
                  <c:v>13263.0033562184</c:v>
                </c:pt>
                <c:pt idx="14">
                  <c:v>14346.30903437336</c:v>
                </c:pt>
                <c:pt idx="15">
                  <c:v>15440.072132429366</c:v>
                </c:pt>
                <c:pt idx="16">
                  <c:v>16536.314585288397</c:v>
                </c:pt>
                <c:pt idx="17">
                  <c:v>17634.703919838808</c:v>
                </c:pt>
                <c:pt idx="18">
                  <c:v>18735.029372978235</c:v>
                </c:pt>
                <c:pt idx="19">
                  <c:v>19837.029176812281</c:v>
                </c:pt>
                <c:pt idx="20">
                  <c:v>20940.380828514484</c:v>
                </c:pt>
                <c:pt idx="21">
                  <c:v>22043.984402164799</c:v>
                </c:pt>
                <c:pt idx="22">
                  <c:v>23134.570772074789</c:v>
                </c:pt>
                <c:pt idx="23">
                  <c:v>24205.515502090177</c:v>
                </c:pt>
                <c:pt idx="24">
                  <c:v>25248.879050766889</c:v>
                </c:pt>
                <c:pt idx="25">
                  <c:v>26255.160148158746</c:v>
                </c:pt>
                <c:pt idx="26">
                  <c:v>27213.003183609388</c:v>
                </c:pt>
                <c:pt idx="27">
                  <c:v>28108.851033734078</c:v>
                </c:pt>
                <c:pt idx="28">
                  <c:v>28926.533162558539</c:v>
                </c:pt>
                <c:pt idx="29">
                  <c:v>29646.776930914926</c:v>
                </c:pt>
                <c:pt idx="30">
                  <c:v>30246.627804211239</c:v>
                </c:pt>
                <c:pt idx="31">
                  <c:v>30698.761480785222</c:v>
                </c:pt>
                <c:pt idx="32">
                  <c:v>30970.667799159204</c:v>
                </c:pt>
              </c:numCache>
            </c:numRef>
          </c:val>
          <c:smooth val="0"/>
          <c:extLst>
            <c:ext xmlns:c16="http://schemas.microsoft.com/office/drawing/2014/chart" uri="{C3380CC4-5D6E-409C-BE32-E72D297353CC}">
              <c16:uniqueId val="{00000005-FC2C-402F-BBF5-10EA754F3665}"/>
            </c:ext>
          </c:extLst>
        </c:ser>
        <c:ser>
          <c:idx val="0"/>
          <c:order val="4"/>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layout>
                <c:manualLayout>
                  <c:x val="-1.4688852051618061E-16"/>
                  <c:y val="1.5453439820107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2C-402F-BBF5-10EA754F3665}"/>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7-FC2C-402F-BBF5-10EA754F3665}"/>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626805302593076"/>
          <c:y val="0.12876989464848751"/>
          <c:w val="0.2373194697406924"/>
          <c:h val="0.82664764507931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Trajectoires de référence : "+2°C à 67%"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0"/>
          <c:order val="0"/>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DB-4968-BB1D-217010064877}"/>
                </c:ext>
              </c:extLst>
            </c:dLbl>
            <c:dLbl>
              <c:idx val="4"/>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DB-4968-BB1D-217010064877}"/>
                </c:ext>
              </c:extLst>
            </c:dLbl>
            <c:dLbl>
              <c:idx val="32"/>
              <c:delete val="1"/>
              <c:extLst>
                <c:ext xmlns:c15="http://schemas.microsoft.com/office/drawing/2012/chart" uri="{CE6537A1-D6FC-4f65-9D91-7224C49458BB}"/>
                <c:ext xmlns:c16="http://schemas.microsoft.com/office/drawing/2014/chart" uri="{C3380CC4-5D6E-409C-BE32-E72D297353CC}">
                  <c16:uniqueId val="{00000002-DADB-4968-BB1D-217010064877}"/>
                </c:ext>
              </c:extLst>
            </c:dLbl>
            <c:dLbl>
              <c:idx val="36"/>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2">
                          <a:lumMod val="85000"/>
                          <a:lumOff val="1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DB-4968-BB1D-217010064877}"/>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Trajectoires!$B$6:$B$42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Trajectoires!$C$6:$C$42</c:f>
              <c:numCache>
                <c:formatCode>#,##0.0</c:formatCode>
                <c:ptCount val="37"/>
                <c:pt idx="0">
                  <c:v>885.83864771181118</c:v>
                </c:pt>
                <c:pt idx="1">
                  <c:v>930.26844806902204</c:v>
                </c:pt>
                <c:pt idx="2">
                  <c:v>976.92665329983004</c:v>
                </c:pt>
                <c:pt idx="3">
                  <c:v>1025.9250304668988</c:v>
                </c:pt>
                <c:pt idx="4">
                  <c:v>1077.3809523809523</c:v>
                </c:pt>
                <c:pt idx="5">
                  <c:v>1040.8577380952379</c:v>
                </c:pt>
                <c:pt idx="6">
                  <c:v>1005.5726607738093</c:v>
                </c:pt>
                <c:pt idx="7">
                  <c:v>971.48374757357715</c:v>
                </c:pt>
                <c:pt idx="8">
                  <c:v>938.5504485308328</c:v>
                </c:pt>
                <c:pt idx="9">
                  <c:v>906.73358832563747</c:v>
                </c:pt>
                <c:pt idx="10">
                  <c:v>875.99531968139831</c:v>
                </c:pt>
                <c:pt idx="11">
                  <c:v>846.29907834419885</c:v>
                </c:pt>
                <c:pt idx="12">
                  <c:v>817.60953958833045</c:v>
                </c:pt>
                <c:pt idx="13">
                  <c:v>789.89257619628597</c:v>
                </c:pt>
                <c:pt idx="14">
                  <c:v>763.11521786323181</c:v>
                </c:pt>
                <c:pt idx="15">
                  <c:v>737.2456119776682</c:v>
                </c:pt>
                <c:pt idx="16">
                  <c:v>712.25298573162524</c:v>
                </c:pt>
                <c:pt idx="17">
                  <c:v>688.10760951532313</c:v>
                </c:pt>
                <c:pt idx="18">
                  <c:v>664.78076155275369</c:v>
                </c:pt>
                <c:pt idx="19">
                  <c:v>642.24469373611532</c:v>
                </c:pt>
                <c:pt idx="20">
                  <c:v>620.47259861846101</c:v>
                </c:pt>
                <c:pt idx="21">
                  <c:v>599.43857752529516</c:v>
                </c:pt>
                <c:pt idx="22">
                  <c:v>579.11760974718766</c:v>
                </c:pt>
                <c:pt idx="23">
                  <c:v>559.48552277675799</c:v>
                </c:pt>
                <c:pt idx="24">
                  <c:v>540.51896355462588</c:v>
                </c:pt>
                <c:pt idx="25">
                  <c:v>522.19537069012404</c:v>
                </c:pt>
                <c:pt idx="26">
                  <c:v>504.49294762372881</c:v>
                </c:pt>
                <c:pt idx="27">
                  <c:v>487.39063669928436</c:v>
                </c:pt>
                <c:pt idx="28">
                  <c:v>470.86809411517862</c:v>
                </c:pt>
                <c:pt idx="29">
                  <c:v>454.90566572467407</c:v>
                </c:pt>
                <c:pt idx="30">
                  <c:v>439.48436365660757</c:v>
                </c:pt>
                <c:pt idx="31">
                  <c:v>424.58584372864857</c:v>
                </c:pt>
                <c:pt idx="32">
                  <c:v>410.19238362624736</c:v>
                </c:pt>
                <c:pt idx="33">
                  <c:v>396.28686182131759</c:v>
                </c:pt>
                <c:pt idx="34">
                  <c:v>382.8527372055749</c:v>
                </c:pt>
                <c:pt idx="35">
                  <c:v>369.87402941430588</c:v>
                </c:pt>
                <c:pt idx="36">
                  <c:v>357.33529981716089</c:v>
                </c:pt>
              </c:numCache>
            </c:numRef>
          </c:val>
          <c:smooth val="1"/>
          <c:extLst>
            <c:ext xmlns:c16="http://schemas.microsoft.com/office/drawing/2014/chart" uri="{C3380CC4-5D6E-409C-BE32-E72D297353CC}">
              <c16:uniqueId val="{00000004-DADB-4968-BB1D-217010064877}"/>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1069592178170715"/>
          <c:y val="0.3060774476624547"/>
          <c:w val="0.26159293038010539"/>
          <c:h val="0.500544548562099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Impact de la crise COVID sur les emissions Monde (hors gains</a:t>
            </a:r>
            <a:r>
              <a:rPr lang="fr-FR" baseline="0"/>
              <a:t> technos)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62003138177052075"/>
          <c:h val="0.69776058230302207"/>
        </c:manualLayout>
      </c:layout>
      <c:lineChart>
        <c:grouping val="standard"/>
        <c:varyColors val="0"/>
        <c:ser>
          <c:idx val="0"/>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C9-411B-AC10-1DFFDFA1F7CF}"/>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Trajectoires!$B$10:$B$16</c:f>
              <c:numCache>
                <c:formatCode>General</c:formatCode>
                <c:ptCount val="7"/>
                <c:pt idx="0">
                  <c:v>2018</c:v>
                </c:pt>
                <c:pt idx="1">
                  <c:v>2019</c:v>
                </c:pt>
                <c:pt idx="2">
                  <c:v>2020</c:v>
                </c:pt>
                <c:pt idx="3">
                  <c:v>2021</c:v>
                </c:pt>
                <c:pt idx="4">
                  <c:v>2022</c:v>
                </c:pt>
                <c:pt idx="5">
                  <c:v>2023</c:v>
                </c:pt>
                <c:pt idx="6">
                  <c:v>2024</c:v>
                </c:pt>
              </c:numCache>
            </c:numRef>
          </c:cat>
          <c:val>
            <c:numRef>
              <c:f>Trajectoires!$G$10:$G$16</c:f>
              <c:numCache>
                <c:formatCode>#,##0.0</c:formatCode>
                <c:ptCount val="7"/>
                <c:pt idx="0">
                  <c:v>1077.3809523809523</c:v>
                </c:pt>
                <c:pt idx="1">
                  <c:v>1088.0952380952381</c:v>
                </c:pt>
                <c:pt idx="2">
                  <c:v>369.95238095238091</c:v>
                </c:pt>
                <c:pt idx="3">
                  <c:v>826.95238095238096</c:v>
                </c:pt>
                <c:pt idx="4">
                  <c:v>906.1692162123569</c:v>
                </c:pt>
                <c:pt idx="5">
                  <c:v>992.97452589135446</c:v>
                </c:pt>
                <c:pt idx="6">
                  <c:v>1088.0952380952385</c:v>
                </c:pt>
              </c:numCache>
            </c:numRef>
          </c:val>
          <c:smooth val="1"/>
          <c:extLst>
            <c:ext xmlns:c16="http://schemas.microsoft.com/office/drawing/2014/chart" uri="{C3380CC4-5D6E-409C-BE32-E72D297353CC}">
              <c16:uniqueId val="{00000001-03C9-411B-AC10-1DFFDFA1F7CF}"/>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175503462826649"/>
          <c:y val="0.5878743918022965"/>
          <c:w val="0.27820228280573422"/>
          <c:h val="0.16967438511442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Trajectoires d'émissions tendancielles (hors</a:t>
            </a:r>
            <a:r>
              <a:rPr lang="fr-FR" baseline="0"/>
              <a:t> perf.)</a:t>
            </a:r>
            <a:r>
              <a:rPr lang="fr-FR"/>
              <a:t>, Secteur</a:t>
            </a:r>
            <a:r>
              <a:rPr lang="fr-FR" baseline="0"/>
              <a:t> (2% de perf.)</a:t>
            </a:r>
            <a:r>
              <a:rPr lang="fr-FR"/>
              <a:t> et cible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91-4DCD-A412-4ADD6C8EBC9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EE91-4DCD-A412-4ADD6C8EBC9C}"/>
            </c:ext>
          </c:extLst>
        </c:ser>
        <c:ser>
          <c:idx val="2"/>
          <c:order val="1"/>
          <c:tx>
            <c:strRef>
              <c:f>Trajectoires!$F$5</c:f>
              <c:strCache>
                <c:ptCount val="1"/>
                <c:pt idx="0">
                  <c:v>Trajectoire Secteur - perf 2%</c:v>
                </c:pt>
              </c:strCache>
            </c:strRef>
          </c:tx>
          <c:spPr>
            <a:ln w="28575" cap="rnd">
              <a:solidFill>
                <a:srgbClr val="C5540F"/>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91-4DCD-A412-4ADD6C8EBC9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5540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Trajectoires!$F$10:$F$42</c:f>
              <c:numCache>
                <c:formatCode>#,##0.0</c:formatCode>
                <c:ptCount val="33"/>
                <c:pt idx="0">
                  <c:v>1077.3809523809523</c:v>
                </c:pt>
                <c:pt idx="1">
                  <c:v>1088.0952380952381</c:v>
                </c:pt>
                <c:pt idx="2">
                  <c:v>362.55333333333328</c:v>
                </c:pt>
                <c:pt idx="3">
                  <c:v>794.20506666666665</c:v>
                </c:pt>
                <c:pt idx="4">
                  <c:v>852.87921694534054</c:v>
                </c:pt>
                <c:pt idx="5">
                  <c:v>915.88808637328077</c:v>
                </c:pt>
                <c:pt idx="6">
                  <c:v>983.55191461333345</c:v>
                </c:pt>
                <c:pt idx="7">
                  <c:v>1002.4361113739095</c:v>
                </c:pt>
                <c:pt idx="8">
                  <c:v>1021.6828847122886</c:v>
                </c:pt>
                <c:pt idx="9">
                  <c:v>1041.2991960987645</c:v>
                </c:pt>
                <c:pt idx="10">
                  <c:v>1061.2921406638607</c:v>
                </c:pt>
                <c:pt idx="11">
                  <c:v>1081.6689497646069</c:v>
                </c:pt>
                <c:pt idx="12">
                  <c:v>1102.4369936000871</c:v>
                </c:pt>
                <c:pt idx="13">
                  <c:v>1123.6037838772088</c:v>
                </c:pt>
                <c:pt idx="14">
                  <c:v>1145.1769765276513</c:v>
                </c:pt>
                <c:pt idx="15">
                  <c:v>1167.1643744769822</c:v>
                </c:pt>
                <c:pt idx="16">
                  <c:v>1189.5739304669403</c:v>
                </c:pt>
                <c:pt idx="17">
                  <c:v>1212.4137499319056</c:v>
                </c:pt>
                <c:pt idx="18">
                  <c:v>1235.6920939305983</c:v>
                </c:pt>
                <c:pt idx="19">
                  <c:v>1259.4173821340657</c:v>
                </c:pt>
                <c:pt idx="20">
                  <c:v>1283.5981958710399</c:v>
                </c:pt>
                <c:pt idx="21">
                  <c:v>1308.2432812317641</c:v>
                </c:pt>
                <c:pt idx="22">
                  <c:v>1333.361552231414</c:v>
                </c:pt>
                <c:pt idx="23">
                  <c:v>1358.9620940342572</c:v>
                </c:pt>
                <c:pt idx="24">
                  <c:v>1385.054166239715</c:v>
                </c:pt>
                <c:pt idx="25">
                  <c:v>1411.6472062315177</c:v>
                </c:pt>
                <c:pt idx="26">
                  <c:v>1438.7508325911629</c:v>
                </c:pt>
                <c:pt idx="27">
                  <c:v>1466.3748485769133</c:v>
                </c:pt>
                <c:pt idx="28">
                  <c:v>1494.52924566959</c:v>
                </c:pt>
                <c:pt idx="29">
                  <c:v>1523.2242071864462</c:v>
                </c:pt>
                <c:pt idx="30">
                  <c:v>1552.4701119644258</c:v>
                </c:pt>
                <c:pt idx="31">
                  <c:v>1582.2775381141428</c:v>
                </c:pt>
                <c:pt idx="32">
                  <c:v>1612.6572668459344</c:v>
                </c:pt>
              </c:numCache>
            </c:numRef>
          </c:val>
          <c:smooth val="1"/>
          <c:extLst>
            <c:ext xmlns:c16="http://schemas.microsoft.com/office/drawing/2014/chart" uri="{C3380CC4-5D6E-409C-BE32-E72D297353CC}">
              <c16:uniqueId val="{00000003-EE91-4DCD-A412-4ADD6C8EBC9C}"/>
            </c:ext>
          </c:extLst>
        </c:ser>
        <c:ser>
          <c:idx val="0"/>
          <c:order val="2"/>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91-4DCD-A412-4ADD6C8EBC9C}"/>
                </c:ext>
              </c:extLst>
            </c:dLbl>
            <c:dLbl>
              <c:idx val="32"/>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91-4DCD-A412-4ADD6C8EBC9C}"/>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6-EE91-4DCD-A412-4ADD6C8EBC9C}"/>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1855171698180609"/>
          <c:y val="0.3060774476624547"/>
          <c:w val="0.28144828301819391"/>
          <c:h val="0.459734179046778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Trajectoire</a:t>
            </a:r>
            <a:r>
              <a:rPr lang="fr-FR" baseline="0"/>
              <a:t> cumulée et budgets de référence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6867692056627628"/>
          <c:h val="0.70848483958161945"/>
        </c:manualLayout>
      </c:layout>
      <c:lineChart>
        <c:grouping val="standard"/>
        <c:varyColors val="0"/>
        <c:ser>
          <c:idx val="3"/>
          <c:order val="0"/>
          <c:tx>
            <c:strRef>
              <c:f>Trajectoires!$AX$5</c:f>
              <c:strCache>
                <c:ptCount val="1"/>
                <c:pt idx="0">
                  <c:v>Budget carbone 2100 "+2°C à 50%"</c:v>
                </c:pt>
              </c:strCache>
            </c:strRef>
          </c:tx>
          <c:spPr>
            <a:ln w="19050" cap="rnd">
              <a:solidFill>
                <a:srgbClr val="FF0000"/>
              </a:solidFill>
              <a:prstDash val="sysDash"/>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42-F642-89AB-0CC88913016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Trajectoires!$AX$10:$AX$42</c:f>
              <c:numCache>
                <c:formatCode>#,##0.0</c:formatCode>
                <c:ptCount val="33"/>
                <c:pt idx="0">
                  <c:v>38079.402782490666</c:v>
                </c:pt>
                <c:pt idx="1">
                  <c:v>38079.402782490666</c:v>
                </c:pt>
                <c:pt idx="2">
                  <c:v>38079.402782490666</c:v>
                </c:pt>
                <c:pt idx="3">
                  <c:v>38079.402782490666</c:v>
                </c:pt>
                <c:pt idx="4">
                  <c:v>38079.402782490666</c:v>
                </c:pt>
                <c:pt idx="5">
                  <c:v>38079.402782490666</c:v>
                </c:pt>
                <c:pt idx="6">
                  <c:v>38079.402782490666</c:v>
                </c:pt>
                <c:pt idx="7">
                  <c:v>38079.402782490666</c:v>
                </c:pt>
                <c:pt idx="8">
                  <c:v>38079.402782490666</c:v>
                </c:pt>
                <c:pt idx="9">
                  <c:v>38079.402782490666</c:v>
                </c:pt>
                <c:pt idx="10">
                  <c:v>38079.402782490666</c:v>
                </c:pt>
                <c:pt idx="11">
                  <c:v>38079.402782490666</c:v>
                </c:pt>
                <c:pt idx="12">
                  <c:v>38079.402782490666</c:v>
                </c:pt>
                <c:pt idx="13">
                  <c:v>38079.402782490666</c:v>
                </c:pt>
                <c:pt idx="14">
                  <c:v>38079.402782490666</c:v>
                </c:pt>
                <c:pt idx="15">
                  <c:v>38079.402782490666</c:v>
                </c:pt>
                <c:pt idx="16">
                  <c:v>38079.402782490666</c:v>
                </c:pt>
                <c:pt idx="17">
                  <c:v>38079.402782490666</c:v>
                </c:pt>
                <c:pt idx="18">
                  <c:v>38079.402782490666</c:v>
                </c:pt>
                <c:pt idx="19">
                  <c:v>38079.402782490666</c:v>
                </c:pt>
                <c:pt idx="20">
                  <c:v>38079.402782490666</c:v>
                </c:pt>
                <c:pt idx="21">
                  <c:v>38079.402782490666</c:v>
                </c:pt>
                <c:pt idx="22">
                  <c:v>38079.402782490666</c:v>
                </c:pt>
                <c:pt idx="23">
                  <c:v>38079.402782490666</c:v>
                </c:pt>
                <c:pt idx="24">
                  <c:v>38079.402782490666</c:v>
                </c:pt>
                <c:pt idx="25">
                  <c:v>38079.402782490666</c:v>
                </c:pt>
                <c:pt idx="26">
                  <c:v>38079.402782490666</c:v>
                </c:pt>
                <c:pt idx="27">
                  <c:v>38079.402782490666</c:v>
                </c:pt>
                <c:pt idx="28">
                  <c:v>38079.402782490666</c:v>
                </c:pt>
                <c:pt idx="29">
                  <c:v>38079.402782490666</c:v>
                </c:pt>
                <c:pt idx="30">
                  <c:v>38079.402782490666</c:v>
                </c:pt>
                <c:pt idx="31">
                  <c:v>38079.402782490666</c:v>
                </c:pt>
                <c:pt idx="32">
                  <c:v>38079.402782490666</c:v>
                </c:pt>
              </c:numCache>
            </c:numRef>
          </c:val>
          <c:smooth val="0"/>
          <c:extLst>
            <c:ext xmlns:c16="http://schemas.microsoft.com/office/drawing/2014/chart" uri="{C3380CC4-5D6E-409C-BE32-E72D297353CC}">
              <c16:uniqueId val="{00000009-AC42-F642-89AB-0CC88913016C}"/>
            </c:ext>
          </c:extLst>
        </c:ser>
        <c:ser>
          <c:idx val="2"/>
          <c:order val="1"/>
          <c:tx>
            <c:strRef>
              <c:f>Trajectoires!$AW$5</c:f>
              <c:strCache>
                <c:ptCount val="1"/>
                <c:pt idx="0">
                  <c:v>Budget carbone 2100 "+2°C à 67%"</c:v>
                </c:pt>
              </c:strCache>
            </c:strRef>
          </c:tx>
          <c:spPr>
            <a:ln w="19050" cap="rnd">
              <a:solidFill>
                <a:schemeClr val="tx1">
                  <a:lumMod val="85000"/>
                  <a:lumOff val="15000"/>
                </a:schemeClr>
              </a:solidFill>
              <a:prstDash val="sysDash"/>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42-F642-89AB-0CC88913016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85000"/>
                        <a:lumOff val="1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Trajectoires!$AW$10:$AW$42</c:f>
              <c:numCache>
                <c:formatCode>#,##0.0</c:formatCode>
                <c:ptCount val="33"/>
                <c:pt idx="0">
                  <c:v>29941.465897522903</c:v>
                </c:pt>
                <c:pt idx="1">
                  <c:v>29941.465897522903</c:v>
                </c:pt>
                <c:pt idx="2">
                  <c:v>29941.465897522903</c:v>
                </c:pt>
                <c:pt idx="3">
                  <c:v>29941.465897522903</c:v>
                </c:pt>
                <c:pt idx="4">
                  <c:v>29941.465897522903</c:v>
                </c:pt>
                <c:pt idx="5">
                  <c:v>29941.465897522903</c:v>
                </c:pt>
                <c:pt idx="6">
                  <c:v>29941.465897522903</c:v>
                </c:pt>
                <c:pt idx="7">
                  <c:v>29941.465897522903</c:v>
                </c:pt>
                <c:pt idx="8">
                  <c:v>29941.465897522903</c:v>
                </c:pt>
                <c:pt idx="9">
                  <c:v>29941.465897522903</c:v>
                </c:pt>
                <c:pt idx="10">
                  <c:v>29941.465897522903</c:v>
                </c:pt>
                <c:pt idx="11">
                  <c:v>29941.465897522903</c:v>
                </c:pt>
                <c:pt idx="12">
                  <c:v>29941.465897522903</c:v>
                </c:pt>
                <c:pt idx="13">
                  <c:v>29941.465897522903</c:v>
                </c:pt>
                <c:pt idx="14">
                  <c:v>29941.465897522903</c:v>
                </c:pt>
                <c:pt idx="15">
                  <c:v>29941.465897522903</c:v>
                </c:pt>
                <c:pt idx="16">
                  <c:v>29941.465897522903</c:v>
                </c:pt>
                <c:pt idx="17">
                  <c:v>29941.465897522903</c:v>
                </c:pt>
                <c:pt idx="18">
                  <c:v>29941.465897522903</c:v>
                </c:pt>
                <c:pt idx="19">
                  <c:v>29941.465897522903</c:v>
                </c:pt>
                <c:pt idx="20">
                  <c:v>29941.465897522903</c:v>
                </c:pt>
                <c:pt idx="21">
                  <c:v>29941.465897522903</c:v>
                </c:pt>
                <c:pt idx="22">
                  <c:v>29941.465897522903</c:v>
                </c:pt>
                <c:pt idx="23">
                  <c:v>29941.465897522903</c:v>
                </c:pt>
                <c:pt idx="24">
                  <c:v>29941.465897522903</c:v>
                </c:pt>
                <c:pt idx="25">
                  <c:v>29941.465897522903</c:v>
                </c:pt>
                <c:pt idx="26">
                  <c:v>29941.465897522903</c:v>
                </c:pt>
                <c:pt idx="27">
                  <c:v>29941.465897522903</c:v>
                </c:pt>
                <c:pt idx="28">
                  <c:v>29941.465897522903</c:v>
                </c:pt>
                <c:pt idx="29">
                  <c:v>29941.465897522903</c:v>
                </c:pt>
                <c:pt idx="30">
                  <c:v>29941.465897522903</c:v>
                </c:pt>
                <c:pt idx="31">
                  <c:v>29941.465897522903</c:v>
                </c:pt>
                <c:pt idx="32">
                  <c:v>29941.465897522903</c:v>
                </c:pt>
              </c:numCache>
            </c:numRef>
          </c:val>
          <c:smooth val="0"/>
          <c:extLst>
            <c:ext xmlns:c16="http://schemas.microsoft.com/office/drawing/2014/chart" uri="{C3380CC4-5D6E-409C-BE32-E72D297353CC}">
              <c16:uniqueId val="{00000008-AC42-F642-89AB-0CC88913016C}"/>
            </c:ext>
          </c:extLst>
        </c:ser>
        <c:ser>
          <c:idx val="4"/>
          <c:order val="2"/>
          <c:tx>
            <c:strRef>
              <c:f>Trajectoires!$AV$5</c:f>
              <c:strCache>
                <c:ptCount val="1"/>
                <c:pt idx="0">
                  <c:v>Budget carbone 2100 "+2°C à 84%"</c:v>
                </c:pt>
              </c:strCache>
            </c:strRef>
          </c:tx>
          <c:spPr>
            <a:ln w="19050" cap="rnd">
              <a:solidFill>
                <a:schemeClr val="accent4"/>
              </a:solidFill>
              <a:prstDash val="sysDash"/>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42-F642-89AB-0CC88913016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Trajectoires!$AV$10:$AV$42</c:f>
              <c:numCache>
                <c:formatCode>#,##0.0</c:formatCode>
                <c:ptCount val="33"/>
                <c:pt idx="0">
                  <c:v>23159.851826716433</c:v>
                </c:pt>
                <c:pt idx="1">
                  <c:v>23159.851826716433</c:v>
                </c:pt>
                <c:pt idx="2">
                  <c:v>23159.851826716433</c:v>
                </c:pt>
                <c:pt idx="3">
                  <c:v>23159.851826716433</c:v>
                </c:pt>
                <c:pt idx="4">
                  <c:v>23159.851826716433</c:v>
                </c:pt>
                <c:pt idx="5">
                  <c:v>23159.851826716433</c:v>
                </c:pt>
                <c:pt idx="6">
                  <c:v>23159.851826716433</c:v>
                </c:pt>
                <c:pt idx="7">
                  <c:v>23159.851826716433</c:v>
                </c:pt>
                <c:pt idx="8">
                  <c:v>23159.851826716433</c:v>
                </c:pt>
                <c:pt idx="9">
                  <c:v>23159.851826716433</c:v>
                </c:pt>
                <c:pt idx="10">
                  <c:v>23159.851826716433</c:v>
                </c:pt>
                <c:pt idx="11">
                  <c:v>23159.851826716433</c:v>
                </c:pt>
                <c:pt idx="12">
                  <c:v>23159.851826716433</c:v>
                </c:pt>
                <c:pt idx="13">
                  <c:v>23159.851826716433</c:v>
                </c:pt>
                <c:pt idx="14">
                  <c:v>23159.851826716433</c:v>
                </c:pt>
                <c:pt idx="15">
                  <c:v>23159.851826716433</c:v>
                </c:pt>
                <c:pt idx="16">
                  <c:v>23159.851826716433</c:v>
                </c:pt>
                <c:pt idx="17">
                  <c:v>23159.851826716433</c:v>
                </c:pt>
                <c:pt idx="18">
                  <c:v>23159.851826716433</c:v>
                </c:pt>
                <c:pt idx="19">
                  <c:v>23159.851826716433</c:v>
                </c:pt>
                <c:pt idx="20">
                  <c:v>23159.851826716433</c:v>
                </c:pt>
                <c:pt idx="21">
                  <c:v>23159.851826716433</c:v>
                </c:pt>
                <c:pt idx="22">
                  <c:v>23159.851826716433</c:v>
                </c:pt>
                <c:pt idx="23">
                  <c:v>23159.851826716433</c:v>
                </c:pt>
                <c:pt idx="24">
                  <c:v>23159.851826716433</c:v>
                </c:pt>
                <c:pt idx="25">
                  <c:v>23159.851826716433</c:v>
                </c:pt>
                <c:pt idx="26">
                  <c:v>23159.851826716433</c:v>
                </c:pt>
                <c:pt idx="27">
                  <c:v>23159.851826716433</c:v>
                </c:pt>
                <c:pt idx="28">
                  <c:v>23159.851826716433</c:v>
                </c:pt>
                <c:pt idx="29">
                  <c:v>23159.851826716433</c:v>
                </c:pt>
                <c:pt idx="30">
                  <c:v>23159.851826716433</c:v>
                </c:pt>
                <c:pt idx="31">
                  <c:v>23159.851826716433</c:v>
                </c:pt>
                <c:pt idx="32">
                  <c:v>23159.851826716433</c:v>
                </c:pt>
              </c:numCache>
            </c:numRef>
          </c:val>
          <c:smooth val="0"/>
          <c:extLst>
            <c:ext xmlns:c16="http://schemas.microsoft.com/office/drawing/2014/chart" uri="{C3380CC4-5D6E-409C-BE32-E72D297353CC}">
              <c16:uniqueId val="{0000000D-AC42-F642-89AB-0CC88913016C}"/>
            </c:ext>
          </c:extLst>
        </c:ser>
        <c:ser>
          <c:idx val="0"/>
          <c:order val="3"/>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42-F642-89AB-0CC88913016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5-AC42-F642-89AB-0CC88913016C}"/>
            </c:ext>
          </c:extLst>
        </c:ser>
        <c:ser>
          <c:idx val="1"/>
          <c:order val="4"/>
          <c:tx>
            <c:strRef>
              <c:f>Trajectoires!$AY$5</c:f>
              <c:strCache>
                <c:ptCount val="1"/>
                <c:pt idx="0">
                  <c:v>Cumulé "+2°C à 67%"</c:v>
                </c:pt>
              </c:strCache>
            </c:strRef>
          </c:tx>
          <c:spPr>
            <a:ln w="19050" cap="rnd">
              <a:solidFill>
                <a:schemeClr val="tx1">
                  <a:lumMod val="75000"/>
                  <a:lumOff val="25000"/>
                </a:schemeClr>
              </a:solidFill>
              <a:round/>
            </a:ln>
            <a:effectLst/>
          </c:spPr>
          <c:marker>
            <c:symbol val="none"/>
          </c:marker>
          <c:val>
            <c:numRef>
              <c:f>Trajectoires!$AY$10:$AY$42</c:f>
              <c:numCache>
                <c:formatCode>#,##0.0</c:formatCode>
                <c:ptCount val="33"/>
                <c:pt idx="0">
                  <c:v>1077.3809523809523</c:v>
                </c:pt>
                <c:pt idx="1">
                  <c:v>2118.2386904761902</c:v>
                </c:pt>
                <c:pt idx="2">
                  <c:v>3123.8113512499995</c:v>
                </c:pt>
                <c:pt idx="3">
                  <c:v>4095.2950988235766</c:v>
                </c:pt>
                <c:pt idx="4">
                  <c:v>5033.8455473544091</c:v>
                </c:pt>
                <c:pt idx="5">
                  <c:v>5940.5791356800464</c:v>
                </c:pt>
                <c:pt idx="6">
                  <c:v>6816.574455361445</c:v>
                </c:pt>
                <c:pt idx="7">
                  <c:v>7662.8735337056441</c:v>
                </c:pt>
                <c:pt idx="8">
                  <c:v>8480.4830732939754</c:v>
                </c:pt>
                <c:pt idx="9">
                  <c:v>9270.3756494902609</c:v>
                </c:pt>
                <c:pt idx="10">
                  <c:v>10033.490867353492</c:v>
                </c:pt>
                <c:pt idx="11">
                  <c:v>10770.736479331161</c:v>
                </c:pt>
                <c:pt idx="12">
                  <c:v>11482.989465062787</c:v>
                </c:pt>
                <c:pt idx="13">
                  <c:v>12171.097074578111</c:v>
                </c:pt>
                <c:pt idx="14">
                  <c:v>12835.877836130865</c:v>
                </c:pt>
                <c:pt idx="15">
                  <c:v>13478.12252986698</c:v>
                </c:pt>
                <c:pt idx="16">
                  <c:v>14098.59512848544</c:v>
                </c:pt>
                <c:pt idx="17">
                  <c:v>14698.033706010736</c:v>
                </c:pt>
                <c:pt idx="18">
                  <c:v>15277.151315757923</c:v>
                </c:pt>
                <c:pt idx="19">
                  <c:v>15836.636838534681</c:v>
                </c:pt>
                <c:pt idx="20">
                  <c:v>16377.155802089308</c:v>
                </c:pt>
                <c:pt idx="21">
                  <c:v>16899.351172779432</c:v>
                </c:pt>
                <c:pt idx="22">
                  <c:v>17403.844120403162</c:v>
                </c:pt>
                <c:pt idx="23">
                  <c:v>17891.234757102447</c:v>
                </c:pt>
                <c:pt idx="24">
                  <c:v>18362.102851217627</c:v>
                </c:pt>
                <c:pt idx="25">
                  <c:v>18817.0085169423</c:v>
                </c:pt>
                <c:pt idx="26">
                  <c:v>19256.492880598908</c:v>
                </c:pt>
                <c:pt idx="27">
                  <c:v>19681.078724327555</c:v>
                </c:pt>
                <c:pt idx="28">
                  <c:v>20091.271107953802</c:v>
                </c:pt>
                <c:pt idx="29">
                  <c:v>20487.55796977512</c:v>
                </c:pt>
                <c:pt idx="30">
                  <c:v>20870.410706980696</c:v>
                </c:pt>
                <c:pt idx="31">
                  <c:v>21240.284736395002</c:v>
                </c:pt>
                <c:pt idx="32">
                  <c:v>21597.620036212164</c:v>
                </c:pt>
              </c:numCache>
            </c:numRef>
          </c:val>
          <c:smooth val="1"/>
          <c:extLst>
            <c:ext xmlns:c16="http://schemas.microsoft.com/office/drawing/2014/chart" uri="{C3380CC4-5D6E-409C-BE32-E72D297353CC}">
              <c16:uniqueId val="{00000007-AC42-F642-89AB-0CC88913016C}"/>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5669414422260217"/>
          <c:y val="0.1550157665651043"/>
          <c:w val="0.24330585577739783"/>
          <c:h val="0.802227771866110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Cumulé</a:t>
            </a:r>
            <a:r>
              <a:rPr lang="fr-FR" baseline="0"/>
              <a:t> Secteur et budgets carbone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686769205662762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38-D646-85BB-B250FEBE66A1}"/>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F938-D646-85BB-B250FEBE66A1}"/>
            </c:ext>
          </c:extLst>
        </c:ser>
        <c:ser>
          <c:idx val="3"/>
          <c:order val="1"/>
          <c:tx>
            <c:strRef>
              <c:f>Trajectoires!$BE$5</c:f>
              <c:strCache>
                <c:ptCount val="1"/>
                <c:pt idx="0">
                  <c:v>Cumulé Secteur avec CORSIA*</c:v>
                </c:pt>
              </c:strCache>
            </c:strRef>
          </c:tx>
          <c:spPr>
            <a:ln w="28575" cap="rnd">
              <a:solidFill>
                <a:schemeClr val="accent5"/>
              </a:solidFill>
              <a:round/>
            </a:ln>
            <a:effectLst/>
          </c:spPr>
          <c:marker>
            <c:symbol val="none"/>
          </c:marker>
          <c:dLbls>
            <c:dLbl>
              <c:idx val="32"/>
              <c:layout>
                <c:manualLayout>
                  <c:x val="0"/>
                  <c:y val="-1.5603681240136355E-2"/>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38-D646-85BB-B250FEBE66A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Trajectoires!$BE$10:$BE$42</c:f>
              <c:numCache>
                <c:formatCode>0.0</c:formatCode>
                <c:ptCount val="33"/>
                <c:pt idx="0" formatCode="#,##0.0">
                  <c:v>1077.3809523809523</c:v>
                </c:pt>
                <c:pt idx="1">
                  <c:v>2165.4761904761904</c:v>
                </c:pt>
                <c:pt idx="2">
                  <c:v>2527.7280997341595</c:v>
                </c:pt>
                <c:pt idx="3">
                  <c:v>3321.2449261621491</c:v>
                </c:pt>
                <c:pt idx="4">
                  <c:v>4172.5526872589071</c:v>
                </c:pt>
                <c:pt idx="5">
                  <c:v>5084.8526755448256</c:v>
                </c:pt>
                <c:pt idx="6">
                  <c:v>6060.2119018964131</c:v>
                </c:pt>
                <c:pt idx="7">
                  <c:v>7043.9416849259123</c:v>
                </c:pt>
                <c:pt idx="8">
                  <c:v>8043.4322379150381</c:v>
                </c:pt>
                <c:pt idx="9">
                  <c:v>9058.4034674431696</c:v>
                </c:pt>
                <c:pt idx="10">
                  <c:v>10088.461313649324</c:v>
                </c:pt>
                <c:pt idx="11">
                  <c:v>11133.075326123071</c:v>
                </c:pt>
                <c:pt idx="12">
                  <c:v>12191.552038197067</c:v>
                </c:pt>
                <c:pt idx="13">
                  <c:v>13263.0033562184</c:v>
                </c:pt>
                <c:pt idx="14">
                  <c:v>14346.30903437336</c:v>
                </c:pt>
                <c:pt idx="15">
                  <c:v>15440.072132429366</c:v>
                </c:pt>
                <c:pt idx="16">
                  <c:v>16536.314585288397</c:v>
                </c:pt>
                <c:pt idx="17">
                  <c:v>17634.703919838808</c:v>
                </c:pt>
                <c:pt idx="18">
                  <c:v>18735.029372978235</c:v>
                </c:pt>
                <c:pt idx="19">
                  <c:v>19837.029176812281</c:v>
                </c:pt>
                <c:pt idx="20">
                  <c:v>20940.380828514484</c:v>
                </c:pt>
                <c:pt idx="21">
                  <c:v>22043.984402164799</c:v>
                </c:pt>
                <c:pt idx="22">
                  <c:v>23134.570772074789</c:v>
                </c:pt>
                <c:pt idx="23">
                  <c:v>24205.515502090177</c:v>
                </c:pt>
                <c:pt idx="24">
                  <c:v>25248.879050766889</c:v>
                </c:pt>
                <c:pt idx="25">
                  <c:v>26255.160148158746</c:v>
                </c:pt>
                <c:pt idx="26">
                  <c:v>27213.003183609388</c:v>
                </c:pt>
                <c:pt idx="27">
                  <c:v>28108.851033734078</c:v>
                </c:pt>
                <c:pt idx="28">
                  <c:v>28926.533162558539</c:v>
                </c:pt>
                <c:pt idx="29">
                  <c:v>29646.776930914926</c:v>
                </c:pt>
                <c:pt idx="30">
                  <c:v>30246.627804211239</c:v>
                </c:pt>
                <c:pt idx="31">
                  <c:v>30698.761480785222</c:v>
                </c:pt>
                <c:pt idx="32">
                  <c:v>30970.667799159204</c:v>
                </c:pt>
              </c:numCache>
            </c:numRef>
          </c:val>
          <c:smooth val="0"/>
          <c:extLst>
            <c:ext xmlns:c16="http://schemas.microsoft.com/office/drawing/2014/chart" uri="{C3380CC4-5D6E-409C-BE32-E72D297353CC}">
              <c16:uniqueId val="{00000007-F938-D646-85BB-B250FEBE66A1}"/>
            </c:ext>
          </c:extLst>
        </c:ser>
        <c:ser>
          <c:idx val="6"/>
          <c:order val="2"/>
          <c:tx>
            <c:strRef>
              <c:f>Trajectoires!$AX$5</c:f>
              <c:strCache>
                <c:ptCount val="1"/>
                <c:pt idx="0">
                  <c:v>Budget carbone 2100 "+2°C à 50%"</c:v>
                </c:pt>
              </c:strCache>
            </c:strRef>
          </c:tx>
          <c:spPr>
            <a:ln w="19050" cap="rnd">
              <a:solidFill>
                <a:srgbClr val="FF0000"/>
              </a:solidFill>
              <a:prstDash val="sysDash"/>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38-D646-85BB-B250FEBE66A1}"/>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Trajectoires!$AX$10:$AX$42</c:f>
              <c:numCache>
                <c:formatCode>#,##0.0</c:formatCode>
                <c:ptCount val="33"/>
                <c:pt idx="0">
                  <c:v>38079.402782490666</c:v>
                </c:pt>
                <c:pt idx="1">
                  <c:v>38079.402782490666</c:v>
                </c:pt>
                <c:pt idx="2">
                  <c:v>38079.402782490666</c:v>
                </c:pt>
                <c:pt idx="3">
                  <c:v>38079.402782490666</c:v>
                </c:pt>
                <c:pt idx="4">
                  <c:v>38079.402782490666</c:v>
                </c:pt>
                <c:pt idx="5">
                  <c:v>38079.402782490666</c:v>
                </c:pt>
                <c:pt idx="6">
                  <c:v>38079.402782490666</c:v>
                </c:pt>
                <c:pt idx="7">
                  <c:v>38079.402782490666</c:v>
                </c:pt>
                <c:pt idx="8">
                  <c:v>38079.402782490666</c:v>
                </c:pt>
                <c:pt idx="9">
                  <c:v>38079.402782490666</c:v>
                </c:pt>
                <c:pt idx="10">
                  <c:v>38079.402782490666</c:v>
                </c:pt>
                <c:pt idx="11">
                  <c:v>38079.402782490666</c:v>
                </c:pt>
                <c:pt idx="12">
                  <c:v>38079.402782490666</c:v>
                </c:pt>
                <c:pt idx="13">
                  <c:v>38079.402782490666</c:v>
                </c:pt>
                <c:pt idx="14">
                  <c:v>38079.402782490666</c:v>
                </c:pt>
                <c:pt idx="15">
                  <c:v>38079.402782490666</c:v>
                </c:pt>
                <c:pt idx="16">
                  <c:v>38079.402782490666</c:v>
                </c:pt>
                <c:pt idx="17">
                  <c:v>38079.402782490666</c:v>
                </c:pt>
                <c:pt idx="18">
                  <c:v>38079.402782490666</c:v>
                </c:pt>
                <c:pt idx="19">
                  <c:v>38079.402782490666</c:v>
                </c:pt>
                <c:pt idx="20">
                  <c:v>38079.402782490666</c:v>
                </c:pt>
                <c:pt idx="21">
                  <c:v>38079.402782490666</c:v>
                </c:pt>
                <c:pt idx="22">
                  <c:v>38079.402782490666</c:v>
                </c:pt>
                <c:pt idx="23">
                  <c:v>38079.402782490666</c:v>
                </c:pt>
                <c:pt idx="24">
                  <c:v>38079.402782490666</c:v>
                </c:pt>
                <c:pt idx="25">
                  <c:v>38079.402782490666</c:v>
                </c:pt>
                <c:pt idx="26">
                  <c:v>38079.402782490666</c:v>
                </c:pt>
                <c:pt idx="27">
                  <c:v>38079.402782490666</c:v>
                </c:pt>
                <c:pt idx="28">
                  <c:v>38079.402782490666</c:v>
                </c:pt>
                <c:pt idx="29">
                  <c:v>38079.402782490666</c:v>
                </c:pt>
                <c:pt idx="30">
                  <c:v>38079.402782490666</c:v>
                </c:pt>
                <c:pt idx="31">
                  <c:v>38079.402782490666</c:v>
                </c:pt>
                <c:pt idx="32">
                  <c:v>38079.402782490666</c:v>
                </c:pt>
              </c:numCache>
            </c:numRef>
          </c:val>
          <c:smooth val="0"/>
          <c:extLst>
            <c:ext xmlns:c16="http://schemas.microsoft.com/office/drawing/2014/chart" uri="{C3380CC4-5D6E-409C-BE32-E72D297353CC}">
              <c16:uniqueId val="{00000009-F938-D646-85BB-B250FEBE66A1}"/>
            </c:ext>
          </c:extLst>
        </c:ser>
        <c:ser>
          <c:idx val="7"/>
          <c:order val="3"/>
          <c:tx>
            <c:strRef>
              <c:f>Trajectoires!$AW$5</c:f>
              <c:strCache>
                <c:ptCount val="1"/>
                <c:pt idx="0">
                  <c:v>Budget carbone 2100 "+2°C à 67%"</c:v>
                </c:pt>
              </c:strCache>
            </c:strRef>
          </c:tx>
          <c:spPr>
            <a:ln w="19050" cap="rnd">
              <a:solidFill>
                <a:schemeClr val="tx1">
                  <a:lumMod val="85000"/>
                  <a:lumOff val="15000"/>
                </a:schemeClr>
              </a:solidFill>
              <a:prstDash val="sysDash"/>
              <a:round/>
            </a:ln>
            <a:effectLst/>
          </c:spPr>
          <c:marker>
            <c:symbol val="none"/>
          </c:marker>
          <c:dLbls>
            <c:dLbl>
              <c:idx val="32"/>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85000"/>
                          <a:lumOff val="1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38-D646-85BB-B250FEBE66A1}"/>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Trajectoires!$AW$10:$AW$42</c:f>
              <c:numCache>
                <c:formatCode>#,##0.0</c:formatCode>
                <c:ptCount val="33"/>
                <c:pt idx="0">
                  <c:v>29941.465897522903</c:v>
                </c:pt>
                <c:pt idx="1">
                  <c:v>29941.465897522903</c:v>
                </c:pt>
                <c:pt idx="2">
                  <c:v>29941.465897522903</c:v>
                </c:pt>
                <c:pt idx="3">
                  <c:v>29941.465897522903</c:v>
                </c:pt>
                <c:pt idx="4">
                  <c:v>29941.465897522903</c:v>
                </c:pt>
                <c:pt idx="5">
                  <c:v>29941.465897522903</c:v>
                </c:pt>
                <c:pt idx="6">
                  <c:v>29941.465897522903</c:v>
                </c:pt>
                <c:pt idx="7">
                  <c:v>29941.465897522903</c:v>
                </c:pt>
                <c:pt idx="8">
                  <c:v>29941.465897522903</c:v>
                </c:pt>
                <c:pt idx="9">
                  <c:v>29941.465897522903</c:v>
                </c:pt>
                <c:pt idx="10">
                  <c:v>29941.465897522903</c:v>
                </c:pt>
                <c:pt idx="11">
                  <c:v>29941.465897522903</c:v>
                </c:pt>
                <c:pt idx="12">
                  <c:v>29941.465897522903</c:v>
                </c:pt>
                <c:pt idx="13">
                  <c:v>29941.465897522903</c:v>
                </c:pt>
                <c:pt idx="14">
                  <c:v>29941.465897522903</c:v>
                </c:pt>
                <c:pt idx="15">
                  <c:v>29941.465897522903</c:v>
                </c:pt>
                <c:pt idx="16">
                  <c:v>29941.465897522903</c:v>
                </c:pt>
                <c:pt idx="17">
                  <c:v>29941.465897522903</c:v>
                </c:pt>
                <c:pt idx="18">
                  <c:v>29941.465897522903</c:v>
                </c:pt>
                <c:pt idx="19">
                  <c:v>29941.465897522903</c:v>
                </c:pt>
                <c:pt idx="20">
                  <c:v>29941.465897522903</c:v>
                </c:pt>
                <c:pt idx="21">
                  <c:v>29941.465897522903</c:v>
                </c:pt>
                <c:pt idx="22">
                  <c:v>29941.465897522903</c:v>
                </c:pt>
                <c:pt idx="23">
                  <c:v>29941.465897522903</c:v>
                </c:pt>
                <c:pt idx="24">
                  <c:v>29941.465897522903</c:v>
                </c:pt>
                <c:pt idx="25">
                  <c:v>29941.465897522903</c:v>
                </c:pt>
                <c:pt idx="26">
                  <c:v>29941.465897522903</c:v>
                </c:pt>
                <c:pt idx="27">
                  <c:v>29941.465897522903</c:v>
                </c:pt>
                <c:pt idx="28">
                  <c:v>29941.465897522903</c:v>
                </c:pt>
                <c:pt idx="29">
                  <c:v>29941.465897522903</c:v>
                </c:pt>
                <c:pt idx="30">
                  <c:v>29941.465897522903</c:v>
                </c:pt>
                <c:pt idx="31">
                  <c:v>29941.465897522903</c:v>
                </c:pt>
                <c:pt idx="32">
                  <c:v>29941.465897522903</c:v>
                </c:pt>
              </c:numCache>
            </c:numRef>
          </c:val>
          <c:smooth val="0"/>
          <c:extLst>
            <c:ext xmlns:c16="http://schemas.microsoft.com/office/drawing/2014/chart" uri="{C3380CC4-5D6E-409C-BE32-E72D297353CC}">
              <c16:uniqueId val="{0000000B-F938-D646-85BB-B250FEBE66A1}"/>
            </c:ext>
          </c:extLst>
        </c:ser>
        <c:ser>
          <c:idx val="5"/>
          <c:order val="4"/>
          <c:tx>
            <c:strRef>
              <c:f>Trajectoires!$AV$5</c:f>
              <c:strCache>
                <c:ptCount val="1"/>
                <c:pt idx="0">
                  <c:v>Budget carbone 2100 "+2°C à 84%"</c:v>
                </c:pt>
              </c:strCache>
            </c:strRef>
          </c:tx>
          <c:spPr>
            <a:ln w="19050" cap="rnd">
              <a:solidFill>
                <a:schemeClr val="accent4"/>
              </a:solidFill>
              <a:prstDash val="sysDash"/>
              <a:round/>
            </a:ln>
            <a:effectLst/>
          </c:spPr>
          <c:marker>
            <c:symbol val="none"/>
          </c:marker>
          <c:dLbls>
            <c:dLbl>
              <c:idx val="32"/>
              <c:layout>
                <c:manualLayout>
                  <c:x val="0"/>
                  <c:y val="-1.5177399298851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938-D646-85BB-B250FEBE66A1}"/>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Trajectoires!$AV$10:$AV$42</c:f>
              <c:numCache>
                <c:formatCode>#,##0.0</c:formatCode>
                <c:ptCount val="33"/>
                <c:pt idx="0">
                  <c:v>23159.851826716433</c:v>
                </c:pt>
                <c:pt idx="1">
                  <c:v>23159.851826716433</c:v>
                </c:pt>
                <c:pt idx="2">
                  <c:v>23159.851826716433</c:v>
                </c:pt>
                <c:pt idx="3">
                  <c:v>23159.851826716433</c:v>
                </c:pt>
                <c:pt idx="4">
                  <c:v>23159.851826716433</c:v>
                </c:pt>
                <c:pt idx="5">
                  <c:v>23159.851826716433</c:v>
                </c:pt>
                <c:pt idx="6">
                  <c:v>23159.851826716433</c:v>
                </c:pt>
                <c:pt idx="7">
                  <c:v>23159.851826716433</c:v>
                </c:pt>
                <c:pt idx="8">
                  <c:v>23159.851826716433</c:v>
                </c:pt>
                <c:pt idx="9">
                  <c:v>23159.851826716433</c:v>
                </c:pt>
                <c:pt idx="10">
                  <c:v>23159.851826716433</c:v>
                </c:pt>
                <c:pt idx="11">
                  <c:v>23159.851826716433</c:v>
                </c:pt>
                <c:pt idx="12">
                  <c:v>23159.851826716433</c:v>
                </c:pt>
                <c:pt idx="13">
                  <c:v>23159.851826716433</c:v>
                </c:pt>
                <c:pt idx="14">
                  <c:v>23159.851826716433</c:v>
                </c:pt>
                <c:pt idx="15">
                  <c:v>23159.851826716433</c:v>
                </c:pt>
                <c:pt idx="16">
                  <c:v>23159.851826716433</c:v>
                </c:pt>
                <c:pt idx="17">
                  <c:v>23159.851826716433</c:v>
                </c:pt>
                <c:pt idx="18">
                  <c:v>23159.851826716433</c:v>
                </c:pt>
                <c:pt idx="19">
                  <c:v>23159.851826716433</c:v>
                </c:pt>
                <c:pt idx="20">
                  <c:v>23159.851826716433</c:v>
                </c:pt>
                <c:pt idx="21">
                  <c:v>23159.851826716433</c:v>
                </c:pt>
                <c:pt idx="22">
                  <c:v>23159.851826716433</c:v>
                </c:pt>
                <c:pt idx="23">
                  <c:v>23159.851826716433</c:v>
                </c:pt>
                <c:pt idx="24">
                  <c:v>23159.851826716433</c:v>
                </c:pt>
                <c:pt idx="25">
                  <c:v>23159.851826716433</c:v>
                </c:pt>
                <c:pt idx="26">
                  <c:v>23159.851826716433</c:v>
                </c:pt>
                <c:pt idx="27">
                  <c:v>23159.851826716433</c:v>
                </c:pt>
                <c:pt idx="28">
                  <c:v>23159.851826716433</c:v>
                </c:pt>
                <c:pt idx="29">
                  <c:v>23159.851826716433</c:v>
                </c:pt>
                <c:pt idx="30">
                  <c:v>23159.851826716433</c:v>
                </c:pt>
                <c:pt idx="31">
                  <c:v>23159.851826716433</c:v>
                </c:pt>
                <c:pt idx="32">
                  <c:v>23159.851826716433</c:v>
                </c:pt>
              </c:numCache>
            </c:numRef>
          </c:val>
          <c:smooth val="0"/>
          <c:extLst>
            <c:ext xmlns:c16="http://schemas.microsoft.com/office/drawing/2014/chart" uri="{C3380CC4-5D6E-409C-BE32-E72D297353CC}">
              <c16:uniqueId val="{0000000D-F938-D646-85BB-B250FEBE66A1}"/>
            </c:ext>
          </c:extLst>
        </c:ser>
        <c:ser>
          <c:idx val="0"/>
          <c:order val="5"/>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38-D646-85BB-B250FEBE66A1}"/>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F-F938-D646-85BB-B250FEBE66A1}"/>
            </c:ext>
          </c:extLst>
        </c:ser>
        <c:ser>
          <c:idx val="2"/>
          <c:order val="6"/>
          <c:tx>
            <c:strRef>
              <c:f>Trajectoires!$AY$5</c:f>
              <c:strCache>
                <c:ptCount val="1"/>
                <c:pt idx="0">
                  <c:v>Cumulé "+2°C à 67%"</c:v>
                </c:pt>
              </c:strCache>
            </c:strRef>
          </c:tx>
          <c:spPr>
            <a:ln w="19050" cap="rnd">
              <a:solidFill>
                <a:schemeClr val="tx1">
                  <a:lumMod val="85000"/>
                  <a:lumOff val="15000"/>
                </a:schemeClr>
              </a:solidFill>
              <a:round/>
            </a:ln>
            <a:effectLst/>
          </c:spPr>
          <c:marker>
            <c:symbol val="none"/>
          </c:marker>
          <c:val>
            <c:numRef>
              <c:f>Trajectoires!$AY$10:$AY$42</c:f>
              <c:numCache>
                <c:formatCode>#,##0.0</c:formatCode>
                <c:ptCount val="33"/>
                <c:pt idx="0">
                  <c:v>1077.3809523809523</c:v>
                </c:pt>
                <c:pt idx="1">
                  <c:v>2118.2386904761902</c:v>
                </c:pt>
                <c:pt idx="2">
                  <c:v>3123.8113512499995</c:v>
                </c:pt>
                <c:pt idx="3">
                  <c:v>4095.2950988235766</c:v>
                </c:pt>
                <c:pt idx="4">
                  <c:v>5033.8455473544091</c:v>
                </c:pt>
                <c:pt idx="5">
                  <c:v>5940.5791356800464</c:v>
                </c:pt>
                <c:pt idx="6">
                  <c:v>6816.574455361445</c:v>
                </c:pt>
                <c:pt idx="7">
                  <c:v>7662.8735337056441</c:v>
                </c:pt>
                <c:pt idx="8">
                  <c:v>8480.4830732939754</c:v>
                </c:pt>
                <c:pt idx="9">
                  <c:v>9270.3756494902609</c:v>
                </c:pt>
                <c:pt idx="10">
                  <c:v>10033.490867353492</c:v>
                </c:pt>
                <c:pt idx="11">
                  <c:v>10770.736479331161</c:v>
                </c:pt>
                <c:pt idx="12">
                  <c:v>11482.989465062787</c:v>
                </c:pt>
                <c:pt idx="13">
                  <c:v>12171.097074578111</c:v>
                </c:pt>
                <c:pt idx="14">
                  <c:v>12835.877836130865</c:v>
                </c:pt>
                <c:pt idx="15">
                  <c:v>13478.12252986698</c:v>
                </c:pt>
                <c:pt idx="16">
                  <c:v>14098.59512848544</c:v>
                </c:pt>
                <c:pt idx="17">
                  <c:v>14698.033706010736</c:v>
                </c:pt>
                <c:pt idx="18">
                  <c:v>15277.151315757923</c:v>
                </c:pt>
                <c:pt idx="19">
                  <c:v>15836.636838534681</c:v>
                </c:pt>
                <c:pt idx="20">
                  <c:v>16377.155802089308</c:v>
                </c:pt>
                <c:pt idx="21">
                  <c:v>16899.351172779432</c:v>
                </c:pt>
                <c:pt idx="22">
                  <c:v>17403.844120403162</c:v>
                </c:pt>
                <c:pt idx="23">
                  <c:v>17891.234757102447</c:v>
                </c:pt>
                <c:pt idx="24">
                  <c:v>18362.102851217627</c:v>
                </c:pt>
                <c:pt idx="25">
                  <c:v>18817.0085169423</c:v>
                </c:pt>
                <c:pt idx="26">
                  <c:v>19256.492880598908</c:v>
                </c:pt>
                <c:pt idx="27">
                  <c:v>19681.078724327555</c:v>
                </c:pt>
                <c:pt idx="28">
                  <c:v>20091.271107953802</c:v>
                </c:pt>
                <c:pt idx="29">
                  <c:v>20487.55796977512</c:v>
                </c:pt>
                <c:pt idx="30">
                  <c:v>20870.410706980696</c:v>
                </c:pt>
                <c:pt idx="31">
                  <c:v>21240.284736395002</c:v>
                </c:pt>
                <c:pt idx="32">
                  <c:v>21597.620036212164</c:v>
                </c:pt>
              </c:numCache>
            </c:numRef>
          </c:val>
          <c:smooth val="0"/>
          <c:extLst>
            <c:ext xmlns:c16="http://schemas.microsoft.com/office/drawing/2014/chart" uri="{C3380CC4-5D6E-409C-BE32-E72D297353CC}">
              <c16:uniqueId val="{00000011-F938-D646-85BB-B250FEBE66A1}"/>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5664953187738804"/>
          <c:y val="0.12876989464848751"/>
          <c:w val="0.2373194697406924"/>
          <c:h val="0.838361909271332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Emissions cumulées</a:t>
            </a:r>
            <a:r>
              <a:rPr lang="fr-FR" baseline="0"/>
              <a:t> et</a:t>
            </a:r>
            <a:r>
              <a:rPr lang="fr-FR"/>
              <a:t> budget carbone - Scenario MAVERICK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505500709692254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6F-0248-8CBF-C271B2BDEB7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446F-0248-8CBF-C271B2BDEB72}"/>
            </c:ext>
          </c:extLst>
        </c:ser>
        <c:ser>
          <c:idx val="2"/>
          <c:order val="1"/>
          <c:tx>
            <c:strRef>
              <c:f>Trajectoires!$BK$5</c:f>
              <c:strCache>
                <c:ptCount val="1"/>
                <c:pt idx="0">
                  <c:v>Cumulé - Mesures efficacité court terme et ATM</c:v>
                </c:pt>
              </c:strCache>
            </c:strRef>
          </c:tx>
          <c:spPr>
            <a:ln w="28575" cap="rnd">
              <a:solidFill>
                <a:srgbClr val="FA8000"/>
              </a:solidFill>
              <a:round/>
            </a:ln>
            <a:effectLst/>
          </c:spPr>
          <c:marker>
            <c:symbol val="none"/>
          </c:marker>
          <c:dLbls>
            <c:dLbl>
              <c:idx val="32"/>
              <c:layout>
                <c:manualLayout>
                  <c:x val="0"/>
                  <c:y val="1.451378809869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F-0248-8CBF-C271B2BDEB7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Trajectoires!$BK$10:$BK$42</c:f>
              <c:numCache>
                <c:formatCode>0.0</c:formatCode>
                <c:ptCount val="33"/>
                <c:pt idx="0" formatCode="#,##0.0">
                  <c:v>1077.3809523809523</c:v>
                </c:pt>
                <c:pt idx="1">
                  <c:v>2165.4761904761904</c:v>
                </c:pt>
                <c:pt idx="2">
                  <c:v>2533.5788095238095</c:v>
                </c:pt>
                <c:pt idx="3">
                  <c:v>3352.2616666666663</c:v>
                </c:pt>
                <c:pt idx="4">
                  <c:v>4248.8933897588904</c:v>
                </c:pt>
                <c:pt idx="5">
                  <c:v>5230.8406589824299</c:v>
                </c:pt>
                <c:pt idx="6">
                  <c:v>6306.1546796802068</c:v>
                </c:pt>
                <c:pt idx="7">
                  <c:v>7423.6795475961735</c:v>
                </c:pt>
                <c:pt idx="8">
                  <c:v>8584.9840695170424</c:v>
                </c:pt>
                <c:pt idx="9">
                  <c:v>9791.6819544316331</c:v>
                </c:pt>
                <c:pt idx="10">
                  <c:v>11045.430946134098</c:v>
                </c:pt>
                <c:pt idx="11">
                  <c:v>12347.931523701342</c:v>
                </c:pt>
                <c:pt idx="12">
                  <c:v>13700.925093257416</c:v>
                </c:pt>
                <c:pt idx="13">
                  <c:v>15106.191582525402</c:v>
                </c:pt>
                <c:pt idx="14">
                  <c:v>16565.546335958265</c:v>
                </c:pt>
                <c:pt idx="15">
                  <c:v>18080.836192465304</c:v>
                </c:pt>
                <c:pt idx="16">
                  <c:v>19653.934609601296</c:v>
                </c:pt>
                <c:pt idx="17">
                  <c:v>21286.735677205801</c:v>
                </c:pt>
                <c:pt idx="18">
                  <c:v>22981.146839462421</c:v>
                </c:pt>
                <c:pt idx="19">
                  <c:v>24739.080116722664</c:v>
                </c:pt>
                <c:pt idx="20">
                  <c:v>26562.441586667341</c:v>
                </c:pt>
                <c:pt idx="21">
                  <c:v>28453.118847840578</c:v>
                </c:pt>
                <c:pt idx="22">
                  <c:v>30412.966146574916</c:v>
                </c:pt>
                <c:pt idx="23">
                  <c:v>32443.786800012622</c:v>
                </c:pt>
                <c:pt idx="24">
                  <c:v>34547.312492377016</c:v>
                </c:pt>
                <c:pt idx="25">
                  <c:v>36725.178957777578</c:v>
                </c:pt>
                <c:pt idx="26">
                  <c:v>38978.897489401177</c:v>
                </c:pt>
                <c:pt idx="27">
                  <c:v>41309.821630521023</c:v>
                </c:pt>
                <c:pt idx="28">
                  <c:v>43719.10830570398</c:v>
                </c:pt>
                <c:pt idx="29">
                  <c:v>46207.672539029525</c:v>
                </c:pt>
                <c:pt idx="30">
                  <c:v>48776.134777882689</c:v>
                </c:pt>
                <c:pt idx="31">
                  <c:v>51424.759693457556</c:v>
                </c:pt>
                <c:pt idx="32">
                  <c:v>54124.716191096275</c:v>
                </c:pt>
              </c:numCache>
            </c:numRef>
          </c:val>
          <c:smooth val="1"/>
          <c:extLst>
            <c:ext xmlns:c16="http://schemas.microsoft.com/office/drawing/2014/chart" uri="{C3380CC4-5D6E-409C-BE32-E72D297353CC}">
              <c16:uniqueId val="{00000003-446F-0248-8CBF-C271B2BDEB72}"/>
            </c:ext>
          </c:extLst>
        </c:ser>
        <c:ser>
          <c:idx val="4"/>
          <c:order val="2"/>
          <c:tx>
            <c:strRef>
              <c:f>Trajectoires!$BL$5</c:f>
              <c:strCache>
                <c:ptCount val="1"/>
                <c:pt idx="0">
                  <c:v>Cumulé - Toutes mesures d'efficacité énergétique (INDUS, 15 ans)</c:v>
                </c:pt>
              </c:strCache>
            </c:strRef>
          </c:tx>
          <c:spPr>
            <a:ln w="28575" cap="rnd">
              <a:solidFill>
                <a:schemeClr val="accent4"/>
              </a:solidFill>
              <a:round/>
            </a:ln>
            <a:effectLst/>
          </c:spPr>
          <c:marker>
            <c:symbol val="none"/>
          </c:marker>
          <c:dLbls>
            <c:dLbl>
              <c:idx val="32"/>
              <c:layout>
                <c:manualLayout>
                  <c:x val="-2.0030484188852029E-3"/>
                  <c:y val="-3.9620689394173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6F-0248-8CBF-C271B2BDEB7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Trajectoires!$BL$10:$BL$42</c:f>
              <c:numCache>
                <c:formatCode>#,##0.0</c:formatCode>
                <c:ptCount val="33"/>
                <c:pt idx="0">
                  <c:v>1077.3809523809523</c:v>
                </c:pt>
                <c:pt idx="1">
                  <c:v>2165.4761904761904</c:v>
                </c:pt>
                <c:pt idx="2">
                  <c:v>2530.5309198380951</c:v>
                </c:pt>
                <c:pt idx="3">
                  <c:v>3335.6563888666665</c:v>
                </c:pt>
                <c:pt idx="4">
                  <c:v>4210.0157799572789</c:v>
                </c:pt>
                <c:pt idx="5">
                  <c:v>5159.4409556241344</c:v>
                </c:pt>
                <c:pt idx="6">
                  <c:v>6190.2369758650229</c:v>
                </c:pt>
                <c:pt idx="7">
                  <c:v>7245.4784578091403</c:v>
                </c:pt>
                <c:pt idx="8">
                  <c:v>8325.4142428940868</c:v>
                </c:pt>
                <c:pt idx="9">
                  <c:v>9427.6120909750734</c:v>
                </c:pt>
                <c:pt idx="10">
                  <c:v>10552.057769999958</c:v>
                </c:pt>
                <c:pt idx="11">
                  <c:v>11698.692445118322</c:v>
                </c:pt>
                <c:pt idx="12">
                  <c:v>12866.641594144778</c:v>
                </c:pt>
                <c:pt idx="13">
                  <c:v>14055.68441293073</c:v>
                </c:pt>
                <c:pt idx="14">
                  <c:v>15265.53814868502</c:v>
                </c:pt>
                <c:pt idx="15">
                  <c:v>16495.85249284497</c:v>
                </c:pt>
                <c:pt idx="16">
                  <c:v>17746.203551398561</c:v>
                </c:pt>
                <c:pt idx="17">
                  <c:v>19003.024959836002</c:v>
                </c:pt>
                <c:pt idx="18">
                  <c:v>20264.739991624359</c:v>
                </c:pt>
                <c:pt idx="19">
                  <c:v>21558.742957460443</c:v>
                </c:pt>
                <c:pt idx="20">
                  <c:v>22870.238239819118</c:v>
                </c:pt>
                <c:pt idx="21">
                  <c:v>24214.005591910311</c:v>
                </c:pt>
                <c:pt idx="22">
                  <c:v>25585.833372781057</c:v>
                </c:pt>
                <c:pt idx="23">
                  <c:v>26985.474967130322</c:v>
                </c:pt>
                <c:pt idx="24">
                  <c:v>28417.204670876607</c:v>
                </c:pt>
                <c:pt idx="25">
                  <c:v>29880.87612672348</c:v>
                </c:pt>
                <c:pt idx="26">
                  <c:v>31376.21837245574</c:v>
                </c:pt>
                <c:pt idx="27">
                  <c:v>32904.139146959802</c:v>
                </c:pt>
                <c:pt idx="28">
                  <c:v>34464.152269140766</c:v>
                </c:pt>
                <c:pt idx="29">
                  <c:v>36055.589096352451</c:v>
                </c:pt>
                <c:pt idx="30">
                  <c:v>37677.573000188226</c:v>
                </c:pt>
                <c:pt idx="31">
                  <c:v>39328.990635049151</c:v>
                </c:pt>
                <c:pt idx="32">
                  <c:v>41012.413511326893</c:v>
                </c:pt>
              </c:numCache>
            </c:numRef>
          </c:val>
          <c:smooth val="0"/>
          <c:extLst>
            <c:ext xmlns:c16="http://schemas.microsoft.com/office/drawing/2014/chart" uri="{C3380CC4-5D6E-409C-BE32-E72D297353CC}">
              <c16:uniqueId val="{00000007-446F-0248-8CBF-C271B2BDEB72}"/>
            </c:ext>
          </c:extLst>
        </c:ser>
        <c:ser>
          <c:idx val="3"/>
          <c:order val="3"/>
          <c:tx>
            <c:strRef>
              <c:f>Trajectoires!$BN$5</c:f>
              <c:strCache>
                <c:ptCount val="1"/>
                <c:pt idx="0">
                  <c:v>Cumulé - Contribution Carburants alternatifs (CAPA 100)</c:v>
                </c:pt>
              </c:strCache>
            </c:strRef>
          </c:tx>
          <c:spPr>
            <a:ln w="28575" cap="rnd">
              <a:solidFill>
                <a:schemeClr val="accent4">
                  <a:lumMod val="60000"/>
                  <a:lumOff val="40000"/>
                </a:schemeClr>
              </a:solidFill>
              <a:round/>
            </a:ln>
            <a:effectLst/>
          </c:spPr>
          <c:marker>
            <c:symbol val="none"/>
          </c:marker>
          <c:dLbls>
            <c:dLbl>
              <c:idx val="32"/>
              <c:layout>
                <c:manualLayout>
                  <c:x val="0"/>
                  <c:y val="-3.3887601673923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0E-964C-824F-2D24B6D88F1F}"/>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60000"/>
                        <a:lumOff val="4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Trajectoires!$BN$10:$BN$42</c:f>
              <c:numCache>
                <c:formatCode>#,##0.0</c:formatCode>
                <c:ptCount val="33"/>
                <c:pt idx="0">
                  <c:v>1077.3809523809523</c:v>
                </c:pt>
                <c:pt idx="1">
                  <c:v>2165.4761904761904</c:v>
                </c:pt>
                <c:pt idx="2">
                  <c:v>2522.8427255072506</c:v>
                </c:pt>
                <c:pt idx="3">
                  <c:v>3315.7344708993892</c:v>
                </c:pt>
                <c:pt idx="4">
                  <c:v>4174.8017074444615</c:v>
                </c:pt>
                <c:pt idx="5">
                  <c:v>5105.1116899293911</c:v>
                </c:pt>
                <c:pt idx="6">
                  <c:v>6112.0137186928723</c:v>
                </c:pt>
                <c:pt idx="7">
                  <c:v>7137.3877112902301</c:v>
                </c:pt>
                <c:pt idx="8">
                  <c:v>8179.9891346917266</c:v>
                </c:pt>
                <c:pt idx="9">
                  <c:v>9235.5190306684017</c:v>
                </c:pt>
                <c:pt idx="10">
                  <c:v>10301.629769562896</c:v>
                </c:pt>
                <c:pt idx="11">
                  <c:v>11375.345769518273</c:v>
                </c:pt>
                <c:pt idx="12">
                  <c:v>12431.564414629216</c:v>
                </c:pt>
                <c:pt idx="13">
                  <c:v>13489.48419564992</c:v>
                </c:pt>
                <c:pt idx="14">
                  <c:v>14545.504954138585</c:v>
                </c:pt>
                <c:pt idx="15">
                  <c:v>15595.341877740035</c:v>
                </c:pt>
                <c:pt idx="16">
                  <c:v>16633.895971528287</c:v>
                </c:pt>
                <c:pt idx="17">
                  <c:v>17587.799111235676</c:v>
                </c:pt>
                <c:pt idx="18">
                  <c:v>18448.434684861215</c:v>
                </c:pt>
                <c:pt idx="19">
                  <c:v>19231.170008513422</c:v>
                </c:pt>
                <c:pt idx="20">
                  <c:v>19911.542871575486</c:v>
                </c:pt>
                <c:pt idx="21">
                  <c:v>20488.144313937333</c:v>
                </c:pt>
                <c:pt idx="22">
                  <c:v>21029.036614575034</c:v>
                </c:pt>
                <c:pt idx="23">
                  <c:v>21533.907517008964</c:v>
                </c:pt>
                <c:pt idx="24">
                  <c:v>22003.06462449293</c:v>
                </c:pt>
                <c:pt idx="25">
                  <c:v>22434.345142796763</c:v>
                </c:pt>
                <c:pt idx="26">
                  <c:v>22825.568179640781</c:v>
                </c:pt>
                <c:pt idx="27">
                  <c:v>23174.970866938202</c:v>
                </c:pt>
                <c:pt idx="28">
                  <c:v>23480.31117060591</c:v>
                </c:pt>
                <c:pt idx="29">
                  <c:v>23739.36541331439</c:v>
                </c:pt>
                <c:pt idx="30">
                  <c:v>23949.949008520016</c:v>
                </c:pt>
                <c:pt idx="31">
                  <c:v>24109.941088790147</c:v>
                </c:pt>
                <c:pt idx="32">
                  <c:v>24273.03388994743</c:v>
                </c:pt>
              </c:numCache>
            </c:numRef>
          </c:val>
          <c:smooth val="0"/>
          <c:extLst>
            <c:ext xmlns:c16="http://schemas.microsoft.com/office/drawing/2014/chart" uri="{C3380CC4-5D6E-409C-BE32-E72D297353CC}">
              <c16:uniqueId val="{00000001-4F0E-964C-824F-2D24B6D88F1F}"/>
            </c:ext>
          </c:extLst>
        </c:ser>
        <c:ser>
          <c:idx val="5"/>
          <c:order val="4"/>
          <c:tx>
            <c:strRef>
              <c:f>Trajectoires!$BP$5</c:f>
              <c:strCache>
                <c:ptCount val="1"/>
                <c:pt idx="0">
                  <c:v>Cumulé + CORSIA*- MAVERICK</c:v>
                </c:pt>
              </c:strCache>
            </c:strRef>
          </c:tx>
          <c:spPr>
            <a:ln w="28575" cap="rnd">
              <a:solidFill>
                <a:schemeClr val="accent1"/>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0E-964C-824F-2D24B6D88F1F}"/>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Trajectoires!$BP$10:$BP$42</c:f>
              <c:numCache>
                <c:formatCode>#,##0.0</c:formatCode>
                <c:ptCount val="33"/>
                <c:pt idx="0">
                  <c:v>1077.3809523809523</c:v>
                </c:pt>
                <c:pt idx="1">
                  <c:v>2165.4761904761904</c:v>
                </c:pt>
                <c:pt idx="2">
                  <c:v>2522.8427255072506</c:v>
                </c:pt>
                <c:pt idx="3">
                  <c:v>3315.7344708993892</c:v>
                </c:pt>
                <c:pt idx="4">
                  <c:v>4174.8017074444615</c:v>
                </c:pt>
                <c:pt idx="5">
                  <c:v>5105.1116899293911</c:v>
                </c:pt>
                <c:pt idx="6">
                  <c:v>6112.0137186928723</c:v>
                </c:pt>
                <c:pt idx="7">
                  <c:v>7137.3877112902301</c:v>
                </c:pt>
                <c:pt idx="8">
                  <c:v>8179.9891346917266</c:v>
                </c:pt>
                <c:pt idx="9">
                  <c:v>9235.5190306684017</c:v>
                </c:pt>
                <c:pt idx="10">
                  <c:v>10301.629769562896</c:v>
                </c:pt>
                <c:pt idx="11">
                  <c:v>11375.345769518273</c:v>
                </c:pt>
                <c:pt idx="12">
                  <c:v>12431.564414629216</c:v>
                </c:pt>
                <c:pt idx="13">
                  <c:v>13489.48419564992</c:v>
                </c:pt>
                <c:pt idx="14">
                  <c:v>14545.504954138585</c:v>
                </c:pt>
                <c:pt idx="15">
                  <c:v>15595.341877740035</c:v>
                </c:pt>
                <c:pt idx="16">
                  <c:v>16633.895971528287</c:v>
                </c:pt>
                <c:pt idx="17">
                  <c:v>17587.799111235676</c:v>
                </c:pt>
                <c:pt idx="18">
                  <c:v>18448.434684861215</c:v>
                </c:pt>
                <c:pt idx="19">
                  <c:v>19231.170008513422</c:v>
                </c:pt>
                <c:pt idx="20">
                  <c:v>19911.542871575486</c:v>
                </c:pt>
                <c:pt idx="21">
                  <c:v>20488.144313937333</c:v>
                </c:pt>
                <c:pt idx="22">
                  <c:v>21029.036614575034</c:v>
                </c:pt>
                <c:pt idx="23">
                  <c:v>21533.907517008964</c:v>
                </c:pt>
                <c:pt idx="24">
                  <c:v>22003.06462449293</c:v>
                </c:pt>
                <c:pt idx="25">
                  <c:v>22434.345142796763</c:v>
                </c:pt>
                <c:pt idx="26">
                  <c:v>22825.568179640781</c:v>
                </c:pt>
                <c:pt idx="27">
                  <c:v>23174.970866938202</c:v>
                </c:pt>
                <c:pt idx="28">
                  <c:v>23480.31117060591</c:v>
                </c:pt>
                <c:pt idx="29">
                  <c:v>23739.36541331439</c:v>
                </c:pt>
                <c:pt idx="30">
                  <c:v>23949.949008520016</c:v>
                </c:pt>
                <c:pt idx="31">
                  <c:v>24109.941088790147</c:v>
                </c:pt>
                <c:pt idx="32">
                  <c:v>24273.03388994743</c:v>
                </c:pt>
              </c:numCache>
            </c:numRef>
          </c:val>
          <c:smooth val="0"/>
          <c:extLst>
            <c:ext xmlns:c16="http://schemas.microsoft.com/office/drawing/2014/chart" uri="{C3380CC4-5D6E-409C-BE32-E72D297353CC}">
              <c16:uniqueId val="{00000002-4F0E-964C-824F-2D24B6D88F1F}"/>
            </c:ext>
          </c:extLst>
        </c:ser>
        <c:ser>
          <c:idx val="0"/>
          <c:order val="5"/>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6F-0248-8CBF-C271B2BDEB7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9-446F-0248-8CBF-C271B2BDEB72}"/>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3636288666333627"/>
          <c:y val="0.13735750381948528"/>
          <c:w val="0.25995718057901368"/>
          <c:h val="0.84682865201551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Emissions cumulées MAVERICK</a:t>
            </a:r>
            <a:r>
              <a:rPr lang="fr-FR" baseline="0"/>
              <a:t> et ICEMAN</a:t>
            </a:r>
            <a:r>
              <a:rPr lang="fr-FR"/>
              <a:t> et budgets carbone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686769205662762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75-1E4E-B811-42FEFF404F79}"/>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B975-1E4E-B811-42FEFF404F79}"/>
            </c:ext>
          </c:extLst>
        </c:ser>
        <c:ser>
          <c:idx val="3"/>
          <c:order val="1"/>
          <c:tx>
            <c:strRef>
              <c:f>Trajectoires!$BQ$5</c:f>
              <c:strCache>
                <c:ptCount val="1"/>
                <c:pt idx="0">
                  <c:v>Cumulé + CORSIA*- ICEMAN</c:v>
                </c:pt>
              </c:strCache>
            </c:strRef>
          </c:tx>
          <c:spPr>
            <a:ln w="28575" cap="rnd">
              <a:solidFill>
                <a:schemeClr val="accent5"/>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75-1E4E-B811-42FEFF404F79}"/>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Trajectoires!$BQ$10:$BQ$42</c:f>
              <c:numCache>
                <c:formatCode>#,##0.0</c:formatCode>
                <c:ptCount val="33"/>
                <c:pt idx="0">
                  <c:v>1077.3809523809523</c:v>
                </c:pt>
                <c:pt idx="1">
                  <c:v>2165.4761904761904</c:v>
                </c:pt>
                <c:pt idx="2">
                  <c:v>2530.5309198380951</c:v>
                </c:pt>
                <c:pt idx="3">
                  <c:v>3329.5395270484501</c:v>
                </c:pt>
                <c:pt idx="4">
                  <c:v>4196.2528408662929</c:v>
                </c:pt>
                <c:pt idx="5">
                  <c:v>5136.1204199421854</c:v>
                </c:pt>
                <c:pt idx="6">
                  <c:v>6154.9694444443703</c:v>
                </c:pt>
                <c:pt idx="7">
                  <c:v>7202.0419322488924</c:v>
                </c:pt>
                <c:pt idx="8">
                  <c:v>8277.3700632375021</c:v>
                </c:pt>
                <c:pt idx="9">
                  <c:v>9367.9192217920136</c:v>
                </c:pt>
                <c:pt idx="10">
                  <c:v>10462.90356527611</c:v>
                </c:pt>
                <c:pt idx="11">
                  <c:v>11562.21463602222</c:v>
                </c:pt>
                <c:pt idx="12">
                  <c:v>12665.304607491875</c:v>
                </c:pt>
                <c:pt idx="13">
                  <c:v>13772.888641575435</c:v>
                </c:pt>
                <c:pt idx="14">
                  <c:v>14884.590077505705</c:v>
                </c:pt>
                <c:pt idx="15">
                  <c:v>16000.284329326987</c:v>
                </c:pt>
                <c:pt idx="16">
                  <c:v>17119.807348628376</c:v>
                </c:pt>
                <c:pt idx="17">
                  <c:v>18242.804455751833</c:v>
                </c:pt>
                <c:pt idx="18">
                  <c:v>19369.001741292283</c:v>
                </c:pt>
                <c:pt idx="19">
                  <c:v>20498.061571130886</c:v>
                </c:pt>
                <c:pt idx="20">
                  <c:v>21629.571748969644</c:v>
                </c:pt>
                <c:pt idx="21">
                  <c:v>22763.032792974846</c:v>
                </c:pt>
                <c:pt idx="22">
                  <c:v>23892.03655865942</c:v>
                </c:pt>
                <c:pt idx="23">
                  <c:v>25015.898360468302</c:v>
                </c:pt>
                <c:pt idx="24">
                  <c:v>26133.621734201632</c:v>
                </c:pt>
                <c:pt idx="25">
                  <c:v>27188.101914657829</c:v>
                </c:pt>
                <c:pt idx="26">
                  <c:v>28156.450880335295</c:v>
                </c:pt>
                <c:pt idx="27">
                  <c:v>29043.08292548795</c:v>
                </c:pt>
                <c:pt idx="28">
                  <c:v>29840.381636349837</c:v>
                </c:pt>
                <c:pt idx="29">
                  <c:v>30620.725493384969</c:v>
                </c:pt>
                <c:pt idx="30">
                  <c:v>31382.234215131539</c:v>
                </c:pt>
                <c:pt idx="31">
                  <c:v>32122.960395209084</c:v>
                </c:pt>
                <c:pt idx="32">
                  <c:v>32832.337749343387</c:v>
                </c:pt>
              </c:numCache>
            </c:numRef>
          </c:val>
          <c:smooth val="0"/>
          <c:extLst>
            <c:ext xmlns:c16="http://schemas.microsoft.com/office/drawing/2014/chart" uri="{C3380CC4-5D6E-409C-BE32-E72D297353CC}">
              <c16:uniqueId val="{00000003-B975-1E4E-B811-42FEFF404F79}"/>
            </c:ext>
          </c:extLst>
        </c:ser>
        <c:ser>
          <c:idx val="4"/>
          <c:order val="2"/>
          <c:tx>
            <c:strRef>
              <c:f>Trajectoires!$BP$5</c:f>
              <c:strCache>
                <c:ptCount val="1"/>
                <c:pt idx="0">
                  <c:v>Cumulé + CORSIA*- MAVERICK</c:v>
                </c:pt>
              </c:strCache>
            </c:strRef>
          </c:tx>
          <c:spPr>
            <a:ln w="28575" cap="rnd">
              <a:solidFill>
                <a:schemeClr val="accent1"/>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75-1E4E-B811-42FEFF404F79}"/>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Trajectoires!$BP$10:$BP$42</c:f>
              <c:numCache>
                <c:formatCode>#,##0.0</c:formatCode>
                <c:ptCount val="33"/>
                <c:pt idx="0">
                  <c:v>1077.3809523809523</c:v>
                </c:pt>
                <c:pt idx="1">
                  <c:v>2165.4761904761904</c:v>
                </c:pt>
                <c:pt idx="2">
                  <c:v>2522.8427255072506</c:v>
                </c:pt>
                <c:pt idx="3">
                  <c:v>3315.7344708993892</c:v>
                </c:pt>
                <c:pt idx="4">
                  <c:v>4174.8017074444615</c:v>
                </c:pt>
                <c:pt idx="5">
                  <c:v>5105.1116899293911</c:v>
                </c:pt>
                <c:pt idx="6">
                  <c:v>6112.0137186928723</c:v>
                </c:pt>
                <c:pt idx="7">
                  <c:v>7137.3877112902301</c:v>
                </c:pt>
                <c:pt idx="8">
                  <c:v>8179.9891346917266</c:v>
                </c:pt>
                <c:pt idx="9">
                  <c:v>9235.5190306684017</c:v>
                </c:pt>
                <c:pt idx="10">
                  <c:v>10301.629769562896</c:v>
                </c:pt>
                <c:pt idx="11">
                  <c:v>11375.345769518273</c:v>
                </c:pt>
                <c:pt idx="12">
                  <c:v>12431.564414629216</c:v>
                </c:pt>
                <c:pt idx="13">
                  <c:v>13489.48419564992</c:v>
                </c:pt>
                <c:pt idx="14">
                  <c:v>14545.504954138585</c:v>
                </c:pt>
                <c:pt idx="15">
                  <c:v>15595.341877740035</c:v>
                </c:pt>
                <c:pt idx="16">
                  <c:v>16633.895971528287</c:v>
                </c:pt>
                <c:pt idx="17">
                  <c:v>17587.799111235676</c:v>
                </c:pt>
                <c:pt idx="18">
                  <c:v>18448.434684861215</c:v>
                </c:pt>
                <c:pt idx="19">
                  <c:v>19231.170008513422</c:v>
                </c:pt>
                <c:pt idx="20">
                  <c:v>19911.542871575486</c:v>
                </c:pt>
                <c:pt idx="21">
                  <c:v>20488.144313937333</c:v>
                </c:pt>
                <c:pt idx="22">
                  <c:v>21029.036614575034</c:v>
                </c:pt>
                <c:pt idx="23">
                  <c:v>21533.907517008964</c:v>
                </c:pt>
                <c:pt idx="24">
                  <c:v>22003.06462449293</c:v>
                </c:pt>
                <c:pt idx="25">
                  <c:v>22434.345142796763</c:v>
                </c:pt>
                <c:pt idx="26">
                  <c:v>22825.568179640781</c:v>
                </c:pt>
                <c:pt idx="27">
                  <c:v>23174.970866938202</c:v>
                </c:pt>
                <c:pt idx="28">
                  <c:v>23480.31117060591</c:v>
                </c:pt>
                <c:pt idx="29">
                  <c:v>23739.36541331439</c:v>
                </c:pt>
                <c:pt idx="30">
                  <c:v>23949.949008520016</c:v>
                </c:pt>
                <c:pt idx="31">
                  <c:v>24109.941088790147</c:v>
                </c:pt>
                <c:pt idx="32">
                  <c:v>24273.03388994743</c:v>
                </c:pt>
              </c:numCache>
            </c:numRef>
          </c:val>
          <c:smooth val="1"/>
          <c:extLst>
            <c:ext xmlns:c16="http://schemas.microsoft.com/office/drawing/2014/chart" uri="{C3380CC4-5D6E-409C-BE32-E72D297353CC}">
              <c16:uniqueId val="{00000005-B975-1E4E-B811-42FEFF404F79}"/>
            </c:ext>
          </c:extLst>
        </c:ser>
        <c:ser>
          <c:idx val="6"/>
          <c:order val="3"/>
          <c:tx>
            <c:strRef>
              <c:f>Trajectoires!$AX$5</c:f>
              <c:strCache>
                <c:ptCount val="1"/>
                <c:pt idx="0">
                  <c:v>Budget carbone 2100 "+2°C à 50%"</c:v>
                </c:pt>
              </c:strCache>
            </c:strRef>
          </c:tx>
          <c:spPr>
            <a:ln w="19050" cap="rnd">
              <a:solidFill>
                <a:srgbClr val="FF0000"/>
              </a:solidFill>
              <a:prstDash val="dash"/>
              <a:round/>
            </a:ln>
            <a:effectLst/>
          </c:spPr>
          <c:marker>
            <c:symbol val="none"/>
          </c:marker>
          <c:val>
            <c:numRef>
              <c:f>Trajectoires!$AX$10:$AX$42</c:f>
              <c:numCache>
                <c:formatCode>#,##0.0</c:formatCode>
                <c:ptCount val="33"/>
                <c:pt idx="0">
                  <c:v>38079.402782490666</c:v>
                </c:pt>
                <c:pt idx="1">
                  <c:v>38079.402782490666</c:v>
                </c:pt>
                <c:pt idx="2">
                  <c:v>38079.402782490666</c:v>
                </c:pt>
                <c:pt idx="3">
                  <c:v>38079.402782490666</c:v>
                </c:pt>
                <c:pt idx="4">
                  <c:v>38079.402782490666</c:v>
                </c:pt>
                <c:pt idx="5">
                  <c:v>38079.402782490666</c:v>
                </c:pt>
                <c:pt idx="6">
                  <c:v>38079.402782490666</c:v>
                </c:pt>
                <c:pt idx="7">
                  <c:v>38079.402782490666</c:v>
                </c:pt>
                <c:pt idx="8">
                  <c:v>38079.402782490666</c:v>
                </c:pt>
                <c:pt idx="9">
                  <c:v>38079.402782490666</c:v>
                </c:pt>
                <c:pt idx="10">
                  <c:v>38079.402782490666</c:v>
                </c:pt>
                <c:pt idx="11">
                  <c:v>38079.402782490666</c:v>
                </c:pt>
                <c:pt idx="12">
                  <c:v>38079.402782490666</c:v>
                </c:pt>
                <c:pt idx="13">
                  <c:v>38079.402782490666</c:v>
                </c:pt>
                <c:pt idx="14">
                  <c:v>38079.402782490666</c:v>
                </c:pt>
                <c:pt idx="15">
                  <c:v>38079.402782490666</c:v>
                </c:pt>
                <c:pt idx="16">
                  <c:v>38079.402782490666</c:v>
                </c:pt>
                <c:pt idx="17">
                  <c:v>38079.402782490666</c:v>
                </c:pt>
                <c:pt idx="18">
                  <c:v>38079.402782490666</c:v>
                </c:pt>
                <c:pt idx="19">
                  <c:v>38079.402782490666</c:v>
                </c:pt>
                <c:pt idx="20">
                  <c:v>38079.402782490666</c:v>
                </c:pt>
                <c:pt idx="21">
                  <c:v>38079.402782490666</c:v>
                </c:pt>
                <c:pt idx="22">
                  <c:v>38079.402782490666</c:v>
                </c:pt>
                <c:pt idx="23">
                  <c:v>38079.402782490666</c:v>
                </c:pt>
                <c:pt idx="24">
                  <c:v>38079.402782490666</c:v>
                </c:pt>
                <c:pt idx="25">
                  <c:v>38079.402782490666</c:v>
                </c:pt>
                <c:pt idx="26">
                  <c:v>38079.402782490666</c:v>
                </c:pt>
                <c:pt idx="27">
                  <c:v>38079.402782490666</c:v>
                </c:pt>
                <c:pt idx="28">
                  <c:v>38079.402782490666</c:v>
                </c:pt>
                <c:pt idx="29">
                  <c:v>38079.402782490666</c:v>
                </c:pt>
                <c:pt idx="30">
                  <c:v>38079.402782490666</c:v>
                </c:pt>
                <c:pt idx="31">
                  <c:v>38079.402782490666</c:v>
                </c:pt>
                <c:pt idx="32">
                  <c:v>38079.402782490666</c:v>
                </c:pt>
              </c:numCache>
            </c:numRef>
          </c:val>
          <c:smooth val="0"/>
          <c:extLst>
            <c:ext xmlns:c16="http://schemas.microsoft.com/office/drawing/2014/chart" uri="{C3380CC4-5D6E-409C-BE32-E72D297353CC}">
              <c16:uniqueId val="{00000006-B975-1E4E-B811-42FEFF404F79}"/>
            </c:ext>
          </c:extLst>
        </c:ser>
        <c:ser>
          <c:idx val="2"/>
          <c:order val="4"/>
          <c:tx>
            <c:strRef>
              <c:f>Trajectoires!$AW$5</c:f>
              <c:strCache>
                <c:ptCount val="1"/>
                <c:pt idx="0">
                  <c:v>Budget carbone 2100 "+2°C à 67%"</c:v>
                </c:pt>
              </c:strCache>
            </c:strRef>
          </c:tx>
          <c:spPr>
            <a:ln w="19050" cap="rnd">
              <a:solidFill>
                <a:schemeClr val="tx2"/>
              </a:solidFill>
              <a:prstDash val="dash"/>
              <a:round/>
            </a:ln>
            <a:effectLst/>
          </c:spPr>
          <c:marker>
            <c:symbol val="none"/>
          </c:marker>
          <c:val>
            <c:numRef>
              <c:f>Trajectoires!$AW$10:$AW$42</c:f>
              <c:numCache>
                <c:formatCode>#,##0.0</c:formatCode>
                <c:ptCount val="33"/>
                <c:pt idx="0">
                  <c:v>29941.465897522903</c:v>
                </c:pt>
                <c:pt idx="1">
                  <c:v>29941.465897522903</c:v>
                </c:pt>
                <c:pt idx="2">
                  <c:v>29941.465897522903</c:v>
                </c:pt>
                <c:pt idx="3">
                  <c:v>29941.465897522903</c:v>
                </c:pt>
                <c:pt idx="4">
                  <c:v>29941.465897522903</c:v>
                </c:pt>
                <c:pt idx="5">
                  <c:v>29941.465897522903</c:v>
                </c:pt>
                <c:pt idx="6">
                  <c:v>29941.465897522903</c:v>
                </c:pt>
                <c:pt idx="7">
                  <c:v>29941.465897522903</c:v>
                </c:pt>
                <c:pt idx="8">
                  <c:v>29941.465897522903</c:v>
                </c:pt>
                <c:pt idx="9">
                  <c:v>29941.465897522903</c:v>
                </c:pt>
                <c:pt idx="10">
                  <c:v>29941.465897522903</c:v>
                </c:pt>
                <c:pt idx="11">
                  <c:v>29941.465897522903</c:v>
                </c:pt>
                <c:pt idx="12">
                  <c:v>29941.465897522903</c:v>
                </c:pt>
                <c:pt idx="13">
                  <c:v>29941.465897522903</c:v>
                </c:pt>
                <c:pt idx="14">
                  <c:v>29941.465897522903</c:v>
                </c:pt>
                <c:pt idx="15">
                  <c:v>29941.465897522903</c:v>
                </c:pt>
                <c:pt idx="16">
                  <c:v>29941.465897522903</c:v>
                </c:pt>
                <c:pt idx="17">
                  <c:v>29941.465897522903</c:v>
                </c:pt>
                <c:pt idx="18">
                  <c:v>29941.465897522903</c:v>
                </c:pt>
                <c:pt idx="19">
                  <c:v>29941.465897522903</c:v>
                </c:pt>
                <c:pt idx="20">
                  <c:v>29941.465897522903</c:v>
                </c:pt>
                <c:pt idx="21">
                  <c:v>29941.465897522903</c:v>
                </c:pt>
                <c:pt idx="22">
                  <c:v>29941.465897522903</c:v>
                </c:pt>
                <c:pt idx="23">
                  <c:v>29941.465897522903</c:v>
                </c:pt>
                <c:pt idx="24">
                  <c:v>29941.465897522903</c:v>
                </c:pt>
                <c:pt idx="25">
                  <c:v>29941.465897522903</c:v>
                </c:pt>
                <c:pt idx="26">
                  <c:v>29941.465897522903</c:v>
                </c:pt>
                <c:pt idx="27">
                  <c:v>29941.465897522903</c:v>
                </c:pt>
                <c:pt idx="28">
                  <c:v>29941.465897522903</c:v>
                </c:pt>
                <c:pt idx="29">
                  <c:v>29941.465897522903</c:v>
                </c:pt>
                <c:pt idx="30">
                  <c:v>29941.465897522903</c:v>
                </c:pt>
                <c:pt idx="31">
                  <c:v>29941.465897522903</c:v>
                </c:pt>
                <c:pt idx="32">
                  <c:v>29941.465897522903</c:v>
                </c:pt>
              </c:numCache>
            </c:numRef>
          </c:val>
          <c:smooth val="0"/>
          <c:extLst>
            <c:ext xmlns:c16="http://schemas.microsoft.com/office/drawing/2014/chart" uri="{C3380CC4-5D6E-409C-BE32-E72D297353CC}">
              <c16:uniqueId val="{00000007-B975-1E4E-B811-42FEFF404F79}"/>
            </c:ext>
          </c:extLst>
        </c:ser>
        <c:ser>
          <c:idx val="5"/>
          <c:order val="5"/>
          <c:tx>
            <c:strRef>
              <c:f>Trajectoires!$AV$5</c:f>
              <c:strCache>
                <c:ptCount val="1"/>
                <c:pt idx="0">
                  <c:v>Budget carbone 2100 "+2°C à 84%"</c:v>
                </c:pt>
              </c:strCache>
            </c:strRef>
          </c:tx>
          <c:spPr>
            <a:ln w="19050" cap="rnd">
              <a:solidFill>
                <a:schemeClr val="accent4"/>
              </a:solidFill>
              <a:prstDash val="dash"/>
              <a:round/>
            </a:ln>
            <a:effectLst/>
          </c:spPr>
          <c:marker>
            <c:symbol val="none"/>
          </c:marker>
          <c:val>
            <c:numRef>
              <c:f>Trajectoires!$AV$10:$AV$42</c:f>
              <c:numCache>
                <c:formatCode>#,##0.0</c:formatCode>
                <c:ptCount val="33"/>
                <c:pt idx="0">
                  <c:v>23159.851826716433</c:v>
                </c:pt>
                <c:pt idx="1">
                  <c:v>23159.851826716433</c:v>
                </c:pt>
                <c:pt idx="2">
                  <c:v>23159.851826716433</c:v>
                </c:pt>
                <c:pt idx="3">
                  <c:v>23159.851826716433</c:v>
                </c:pt>
                <c:pt idx="4">
                  <c:v>23159.851826716433</c:v>
                </c:pt>
                <c:pt idx="5">
                  <c:v>23159.851826716433</c:v>
                </c:pt>
                <c:pt idx="6">
                  <c:v>23159.851826716433</c:v>
                </c:pt>
                <c:pt idx="7">
                  <c:v>23159.851826716433</c:v>
                </c:pt>
                <c:pt idx="8">
                  <c:v>23159.851826716433</c:v>
                </c:pt>
                <c:pt idx="9">
                  <c:v>23159.851826716433</c:v>
                </c:pt>
                <c:pt idx="10">
                  <c:v>23159.851826716433</c:v>
                </c:pt>
                <c:pt idx="11">
                  <c:v>23159.851826716433</c:v>
                </c:pt>
                <c:pt idx="12">
                  <c:v>23159.851826716433</c:v>
                </c:pt>
                <c:pt idx="13">
                  <c:v>23159.851826716433</c:v>
                </c:pt>
                <c:pt idx="14">
                  <c:v>23159.851826716433</c:v>
                </c:pt>
                <c:pt idx="15">
                  <c:v>23159.851826716433</c:v>
                </c:pt>
                <c:pt idx="16">
                  <c:v>23159.851826716433</c:v>
                </c:pt>
                <c:pt idx="17">
                  <c:v>23159.851826716433</c:v>
                </c:pt>
                <c:pt idx="18">
                  <c:v>23159.851826716433</c:v>
                </c:pt>
                <c:pt idx="19">
                  <c:v>23159.851826716433</c:v>
                </c:pt>
                <c:pt idx="20">
                  <c:v>23159.851826716433</c:v>
                </c:pt>
                <c:pt idx="21">
                  <c:v>23159.851826716433</c:v>
                </c:pt>
                <c:pt idx="22">
                  <c:v>23159.851826716433</c:v>
                </c:pt>
                <c:pt idx="23">
                  <c:v>23159.851826716433</c:v>
                </c:pt>
                <c:pt idx="24">
                  <c:v>23159.851826716433</c:v>
                </c:pt>
                <c:pt idx="25">
                  <c:v>23159.851826716433</c:v>
                </c:pt>
                <c:pt idx="26">
                  <c:v>23159.851826716433</c:v>
                </c:pt>
                <c:pt idx="27">
                  <c:v>23159.851826716433</c:v>
                </c:pt>
                <c:pt idx="28">
                  <c:v>23159.851826716433</c:v>
                </c:pt>
                <c:pt idx="29">
                  <c:v>23159.851826716433</c:v>
                </c:pt>
                <c:pt idx="30">
                  <c:v>23159.851826716433</c:v>
                </c:pt>
                <c:pt idx="31">
                  <c:v>23159.851826716433</c:v>
                </c:pt>
                <c:pt idx="32">
                  <c:v>23159.851826716433</c:v>
                </c:pt>
              </c:numCache>
            </c:numRef>
          </c:val>
          <c:smooth val="0"/>
          <c:extLst>
            <c:ext xmlns:c16="http://schemas.microsoft.com/office/drawing/2014/chart" uri="{C3380CC4-5D6E-409C-BE32-E72D297353CC}">
              <c16:uniqueId val="{00000008-B975-1E4E-B811-42FEFF404F79}"/>
            </c:ext>
          </c:extLst>
        </c:ser>
        <c:ser>
          <c:idx val="0"/>
          <c:order val="6"/>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75-1E4E-B811-42FEFF404F7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A-B975-1E4E-B811-42FEFF404F79}"/>
            </c:ext>
          </c:extLst>
        </c:ser>
        <c:ser>
          <c:idx val="7"/>
          <c:order val="7"/>
          <c:tx>
            <c:strRef>
              <c:f>Trajectoires!$AY$5</c:f>
              <c:strCache>
                <c:ptCount val="1"/>
                <c:pt idx="0">
                  <c:v>Cumulé "+2°C à 67%"</c:v>
                </c:pt>
              </c:strCache>
            </c:strRef>
          </c:tx>
          <c:spPr>
            <a:ln w="19050" cap="rnd">
              <a:solidFill>
                <a:schemeClr val="tx1">
                  <a:lumMod val="85000"/>
                  <a:lumOff val="15000"/>
                </a:schemeClr>
              </a:solidFill>
              <a:round/>
            </a:ln>
            <a:effectLst/>
          </c:spPr>
          <c:marker>
            <c:symbol val="none"/>
          </c:marker>
          <c:val>
            <c:numRef>
              <c:f>Trajectoires!$AY$10:$AY$42</c:f>
              <c:numCache>
                <c:formatCode>#,##0.0</c:formatCode>
                <c:ptCount val="33"/>
                <c:pt idx="0">
                  <c:v>1077.3809523809523</c:v>
                </c:pt>
                <c:pt idx="1">
                  <c:v>2118.2386904761902</c:v>
                </c:pt>
                <c:pt idx="2">
                  <c:v>3123.8113512499995</c:v>
                </c:pt>
                <c:pt idx="3">
                  <c:v>4095.2950988235766</c:v>
                </c:pt>
                <c:pt idx="4">
                  <c:v>5033.8455473544091</c:v>
                </c:pt>
                <c:pt idx="5">
                  <c:v>5940.5791356800464</c:v>
                </c:pt>
                <c:pt idx="6">
                  <c:v>6816.574455361445</c:v>
                </c:pt>
                <c:pt idx="7">
                  <c:v>7662.8735337056441</c:v>
                </c:pt>
                <c:pt idx="8">
                  <c:v>8480.4830732939754</c:v>
                </c:pt>
                <c:pt idx="9">
                  <c:v>9270.3756494902609</c:v>
                </c:pt>
                <c:pt idx="10">
                  <c:v>10033.490867353492</c:v>
                </c:pt>
                <c:pt idx="11">
                  <c:v>10770.736479331161</c:v>
                </c:pt>
                <c:pt idx="12">
                  <c:v>11482.989465062787</c:v>
                </c:pt>
                <c:pt idx="13">
                  <c:v>12171.097074578111</c:v>
                </c:pt>
                <c:pt idx="14">
                  <c:v>12835.877836130865</c:v>
                </c:pt>
                <c:pt idx="15">
                  <c:v>13478.12252986698</c:v>
                </c:pt>
                <c:pt idx="16">
                  <c:v>14098.59512848544</c:v>
                </c:pt>
                <c:pt idx="17">
                  <c:v>14698.033706010736</c:v>
                </c:pt>
                <c:pt idx="18">
                  <c:v>15277.151315757923</c:v>
                </c:pt>
                <c:pt idx="19">
                  <c:v>15836.636838534681</c:v>
                </c:pt>
                <c:pt idx="20">
                  <c:v>16377.155802089308</c:v>
                </c:pt>
                <c:pt idx="21">
                  <c:v>16899.351172779432</c:v>
                </c:pt>
                <c:pt idx="22">
                  <c:v>17403.844120403162</c:v>
                </c:pt>
                <c:pt idx="23">
                  <c:v>17891.234757102447</c:v>
                </c:pt>
                <c:pt idx="24">
                  <c:v>18362.102851217627</c:v>
                </c:pt>
                <c:pt idx="25">
                  <c:v>18817.0085169423</c:v>
                </c:pt>
                <c:pt idx="26">
                  <c:v>19256.492880598908</c:v>
                </c:pt>
                <c:pt idx="27">
                  <c:v>19681.078724327555</c:v>
                </c:pt>
                <c:pt idx="28">
                  <c:v>20091.271107953802</c:v>
                </c:pt>
                <c:pt idx="29">
                  <c:v>20487.55796977512</c:v>
                </c:pt>
                <c:pt idx="30">
                  <c:v>20870.410706980696</c:v>
                </c:pt>
                <c:pt idx="31">
                  <c:v>21240.284736395002</c:v>
                </c:pt>
                <c:pt idx="32">
                  <c:v>21597.620036212164</c:v>
                </c:pt>
              </c:numCache>
            </c:numRef>
          </c:val>
          <c:smooth val="0"/>
          <c:extLst>
            <c:ext xmlns:c16="http://schemas.microsoft.com/office/drawing/2014/chart" uri="{C3380CC4-5D6E-409C-BE32-E72D297353CC}">
              <c16:uniqueId val="{0000000B-B975-1E4E-B811-42FEFF404F79}"/>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585872670438808"/>
          <c:y val="0.10938295076547648"/>
          <c:w val="0.24141273295611917"/>
          <c:h val="0.87683291466801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Trajectoire au budget</a:t>
            </a:r>
            <a:r>
              <a:rPr lang="fr-FR" sz="1200" baseline="0"/>
              <a:t> : Scenario MAVERICK , reprise en 2024,  +2,52%/an à partir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9072818209174915"/>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4-2A4A-9275-F867A76AF959}"/>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368D-0A4B-AC49-E4C38B7FE587}"/>
            </c:ext>
          </c:extLst>
        </c:ser>
        <c:ser>
          <c:idx val="5"/>
          <c:order val="1"/>
          <c:tx>
            <c:strRef>
              <c:f>Trajectoires!$S$5</c:f>
              <c:strCache>
                <c:ptCount val="1"/>
                <c:pt idx="0">
                  <c:v>Réduction de l'offre</c:v>
                </c:pt>
              </c:strCache>
            </c:strRef>
          </c:tx>
          <c:spPr>
            <a:ln w="28575" cap="rnd">
              <a:solidFill>
                <a:srgbClr val="7030A0"/>
              </a:solidFill>
              <a:round/>
            </a:ln>
            <a:effectLst/>
          </c:spPr>
          <c:marker>
            <c:symbol val="none"/>
          </c:marker>
          <c:dLbls>
            <c:dLbl>
              <c:idx val="32"/>
              <c:layout>
                <c:manualLayout>
                  <c:x val="-3.8475795013689857E-3"/>
                  <c:y val="3.2102341149133794E-4"/>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D4-2A4A-9275-F867A76AF959}"/>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Trajectoires!$S$10:$S$42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3-368D-0A4B-AC49-E4C38B7FE587}"/>
            </c:ext>
          </c:extLst>
        </c:ser>
        <c:ser>
          <c:idx val="4"/>
          <c:order val="2"/>
          <c:tx>
            <c:strRef>
              <c:f>Trajectoires!$AQ$5</c:f>
              <c:strCache>
                <c:ptCount val="1"/>
                <c:pt idx="0">
                  <c:v>Trajectoire + CORSIA*- MAVERICK</c:v>
                </c:pt>
              </c:strCache>
            </c:strRef>
          </c:tx>
          <c:spPr>
            <a:ln w="28575" cap="rnd">
              <a:solidFill>
                <a:schemeClr val="accent5"/>
              </a:solidFill>
              <a:round/>
            </a:ln>
            <a:effectLst/>
          </c:spPr>
          <c:marker>
            <c:symbol val="none"/>
          </c:marker>
          <c:dLbls>
            <c:dLbl>
              <c:idx val="32"/>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D4-2A4A-9275-F867A76AF95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Trajectoires!$AQ$10:$AQ$42</c:f>
              <c:numCache>
                <c:formatCode>#,##0.0</c:formatCode>
                <c:ptCount val="33"/>
                <c:pt idx="0">
                  <c:v>1077.3809523809523</c:v>
                </c:pt>
                <c:pt idx="1">
                  <c:v>1088.0952380952381</c:v>
                </c:pt>
                <c:pt idx="2" formatCode="0.0">
                  <c:v>357.36653503106038</c:v>
                </c:pt>
                <c:pt idx="3" formatCode="0.0">
                  <c:v>792.89174539213866</c:v>
                </c:pt>
                <c:pt idx="4" formatCode="0.0">
                  <c:v>859.06723654507209</c:v>
                </c:pt>
                <c:pt idx="5" formatCode="0.0">
                  <c:v>930.30998248492938</c:v>
                </c:pt>
                <c:pt idx="6" formatCode="0.0">
                  <c:v>1006.902028763481</c:v>
                </c:pt>
                <c:pt idx="7" formatCode="0.0">
                  <c:v>1025.3739925973578</c:v>
                </c:pt>
                <c:pt idx="8" formatCode="0.0">
                  <c:v>1042.6014234014965</c:v>
                </c:pt>
                <c:pt idx="9" formatCode="0.0">
                  <c:v>1055.5298959766753</c:v>
                </c:pt>
                <c:pt idx="10" formatCode="0.0">
                  <c:v>1066.1107388944943</c:v>
                </c:pt>
                <c:pt idx="11" formatCode="0.0">
                  <c:v>1073.7159999553769</c:v>
                </c:pt>
                <c:pt idx="12" formatCode="0.0">
                  <c:v>1056.2186451109426</c:v>
                </c:pt>
                <c:pt idx="13" formatCode="0.0">
                  <c:v>1057.9197810207045</c:v>
                </c:pt>
                <c:pt idx="14" formatCode="0.0">
                  <c:v>1056.0207584886643</c:v>
                </c:pt>
                <c:pt idx="15" formatCode="0.0">
                  <c:v>1049.8369236014494</c:v>
                </c:pt>
                <c:pt idx="16" formatCode="0.0">
                  <c:v>1038.5540937882529</c:v>
                </c:pt>
                <c:pt idx="17" formatCode="0.0">
                  <c:v>953.90313970738987</c:v>
                </c:pt>
                <c:pt idx="18" formatCode="0.0">
                  <c:v>860.63557362553956</c:v>
                </c:pt>
                <c:pt idx="19" formatCode="0.0">
                  <c:v>782.73532365220626</c:v>
                </c:pt>
                <c:pt idx="20" formatCode="0.0">
                  <c:v>680.37286306206363</c:v>
                </c:pt>
                <c:pt idx="21" formatCode="0.0">
                  <c:v>576.60144236184613</c:v>
                </c:pt>
                <c:pt idx="22" formatCode="0.0">
                  <c:v>540.89230063770037</c:v>
                </c:pt>
                <c:pt idx="23" formatCode="0.0">
                  <c:v>504.87090243393021</c:v>
                </c:pt>
                <c:pt idx="24" formatCode="0.0">
                  <c:v>469.15710748396538</c:v>
                </c:pt>
                <c:pt idx="25" formatCode="0.0">
                  <c:v>431.28051830383129</c:v>
                </c:pt>
                <c:pt idx="26" formatCode="0.0">
                  <c:v>391.2230368440184</c:v>
                </c:pt>
                <c:pt idx="27" formatCode="0.0">
                  <c:v>349.40268729742041</c:v>
                </c:pt>
                <c:pt idx="28" formatCode="0.0">
                  <c:v>305.34030366770816</c:v>
                </c:pt>
                <c:pt idx="29" formatCode="0.0">
                  <c:v>259.05424270847999</c:v>
                </c:pt>
                <c:pt idx="30" formatCode="0.0">
                  <c:v>210.58359520562709</c:v>
                </c:pt>
                <c:pt idx="31" formatCode="0.0">
                  <c:v>159.99208027013219</c:v>
                </c:pt>
                <c:pt idx="32" formatCode="0.0">
                  <c:v>163.09280115728379</c:v>
                </c:pt>
              </c:numCache>
            </c:numRef>
          </c:val>
          <c:smooth val="1"/>
          <c:extLst>
            <c:ext xmlns:c16="http://schemas.microsoft.com/office/drawing/2014/chart" uri="{C3380CC4-5D6E-409C-BE32-E72D297353CC}">
              <c16:uniqueId val="{00000008-368D-0A4B-AC49-E4C38B7FE587}"/>
            </c:ext>
          </c:extLst>
        </c:ser>
        <c:ser>
          <c:idx val="0"/>
          <c:order val="3"/>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D4-2A4A-9275-F867A76AF959}"/>
                </c:ext>
              </c:extLst>
            </c:dLbl>
            <c:dLbl>
              <c:idx val="32"/>
              <c:layout>
                <c:manualLayout>
                  <c:x val="-1.9237897506844224E-3"/>
                  <c:y val="-4.2813440510368404E-4"/>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D4-2A4A-9275-F867A76AF959}"/>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D-368D-0A4B-AC49-E4C38B7FE587}"/>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671765080728756"/>
          <c:y val="0.26821242896157438"/>
          <c:w val="0.27328234919271255"/>
          <c:h val="0.637336106249152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Trajectoires </a:t>
            </a:r>
            <a:r>
              <a:rPr lang="fr-FR" sz="1200" baseline="0"/>
              <a:t>d'émission - Scenario ICEMAN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52-6A44-9885-CF3066A308E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8852-6A44-9885-CF3066A308E2}"/>
            </c:ext>
          </c:extLst>
        </c:ser>
        <c:ser>
          <c:idx val="3"/>
          <c:order val="1"/>
          <c:tx>
            <c:strRef>
              <c:f>Trajectoires!$AA$5</c:f>
              <c:strCache>
                <c:ptCount val="1"/>
                <c:pt idx="0">
                  <c:v>Contribution des mesures d'efficacité court-terme et ATM</c:v>
                </c:pt>
              </c:strCache>
            </c:strRef>
          </c:tx>
          <c:spPr>
            <a:ln w="28575" cap="rnd">
              <a:solidFill>
                <a:srgbClr val="FA8000"/>
              </a:solidFill>
              <a:round/>
            </a:ln>
            <a:effectLst/>
          </c:spPr>
          <c:marker>
            <c:symbol val="none"/>
          </c:marker>
          <c:dLbls>
            <c:dLbl>
              <c:idx val="32"/>
              <c:layout>
                <c:manualLayout>
                  <c:x val="0"/>
                  <c:y val="1.8764287453517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2-6A44-9885-CF3066A308E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Trajectoires!$AA$10:$AA$42</c:f>
              <c:numCache>
                <c:formatCode>#,##0.0</c:formatCode>
                <c:ptCount val="33"/>
                <c:pt idx="0">
                  <c:v>1077.3809523809523</c:v>
                </c:pt>
                <c:pt idx="1">
                  <c:v>1088.0952380952381</c:v>
                </c:pt>
                <c:pt idx="2" formatCode="0.0">
                  <c:v>368.10261904761899</c:v>
                </c:pt>
                <c:pt idx="3" formatCode="0.0">
                  <c:v>818.68285714285707</c:v>
                </c:pt>
                <c:pt idx="4" formatCode="0.0">
                  <c:v>896.63172309222375</c:v>
                </c:pt>
                <c:pt idx="5" formatCode="0.0">
                  <c:v>981.94726922353914</c:v>
                </c:pt>
                <c:pt idx="6" formatCode="0.0">
                  <c:v>1075.3140206977764</c:v>
                </c:pt>
                <c:pt idx="7" formatCode="0.0">
                  <c:v>1117.5248679159672</c:v>
                </c:pt>
                <c:pt idx="8" formatCode="0.0">
                  <c:v>1161.304521920868</c:v>
                </c:pt>
                <c:pt idx="9" formatCode="0.0">
                  <c:v>1206.6978849145908</c:v>
                </c:pt>
                <c:pt idx="10" formatCode="0.0">
                  <c:v>1253.748991702465</c:v>
                </c:pt>
                <c:pt idx="11" formatCode="0.0">
                  <c:v>1302.5005775672441</c:v>
                </c:pt>
                <c:pt idx="12" formatCode="0.0">
                  <c:v>1352.9935695560737</c:v>
                </c:pt>
                <c:pt idx="13" formatCode="0.0">
                  <c:v>1405.2664892679863</c:v>
                </c:pt>
                <c:pt idx="14" formatCode="0.0">
                  <c:v>1459.3547534328625</c:v>
                </c:pt>
                <c:pt idx="15" formatCode="0.0">
                  <c:v>1515.2898565070404</c:v>
                </c:pt>
                <c:pt idx="16" formatCode="0.0">
                  <c:v>1573.0984171359921</c:v>
                </c:pt>
                <c:pt idx="17" formatCode="0.0">
                  <c:v>1632.8010676045039</c:v>
                </c:pt>
                <c:pt idx="18" formatCode="0.0">
                  <c:v>1694.4111622566213</c:v>
                </c:pt>
                <c:pt idx="19" formatCode="0.0">
                  <c:v>1757.9332772602418</c:v>
                </c:pt>
                <c:pt idx="20" formatCode="0.0">
                  <c:v>1823.3614699446784</c:v>
                </c:pt>
                <c:pt idx="21" formatCode="0.0">
                  <c:v>1890.677261173237</c:v>
                </c:pt>
                <c:pt idx="22" formatCode="0.0">
                  <c:v>1959.847298734338</c:v>
                </c:pt>
                <c:pt idx="23" formatCode="0.0">
                  <c:v>2030.8206534377057</c:v>
                </c:pt>
                <c:pt idx="24" formatCode="0.0">
                  <c:v>2103.5256923643933</c:v>
                </c:pt>
                <c:pt idx="25" formatCode="0.0">
                  <c:v>2177.8664654005638</c:v>
                </c:pt>
                <c:pt idx="26" formatCode="0.0">
                  <c:v>2253.7185316236014</c:v>
                </c:pt>
                <c:pt idx="27" formatCode="0.0">
                  <c:v>2330.9241411198473</c:v>
                </c:pt>
                <c:pt idx="28" formatCode="0.0">
                  <c:v>2409.2866751829547</c:v>
                </c:pt>
                <c:pt idx="29" formatCode="0.0">
                  <c:v>2488.5642333255469</c:v>
                </c:pt>
                <c:pt idx="30" formatCode="0.0">
                  <c:v>2568.4622388531639</c:v>
                </c:pt>
                <c:pt idx="31" formatCode="0.0">
                  <c:v>2648.6249155748642</c:v>
                </c:pt>
                <c:pt idx="32" formatCode="0.0">
                  <c:v>2699.9564976387192</c:v>
                </c:pt>
              </c:numCache>
            </c:numRef>
          </c:val>
          <c:smooth val="1"/>
          <c:extLst>
            <c:ext xmlns:c16="http://schemas.microsoft.com/office/drawing/2014/chart" uri="{C3380CC4-5D6E-409C-BE32-E72D297353CC}">
              <c16:uniqueId val="{00000003-8852-6A44-9885-CF3066A308E2}"/>
            </c:ext>
          </c:extLst>
        </c:ser>
        <c:ser>
          <c:idx val="2"/>
          <c:order val="2"/>
          <c:tx>
            <c:strRef>
              <c:f>Trajectoires!$AF$5</c:f>
              <c:strCache>
                <c:ptCount val="1"/>
                <c:pt idx="0">
                  <c:v>Contribution toutes mesures d'efficacité énergétique (INDUS+5, 25 ans)</c:v>
                </c:pt>
              </c:strCache>
            </c:strRef>
          </c:tx>
          <c:spPr>
            <a:ln w="28575" cap="rnd">
              <a:solidFill>
                <a:schemeClr val="accent4"/>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2-6A44-9885-CF3066A308E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Trajectoires!$AF$10:$AF$42</c:f>
              <c:numCache>
                <c:formatCode>#,##0.0</c:formatCode>
                <c:ptCount val="33"/>
                <c:pt idx="0">
                  <c:v>1077.3809523809523</c:v>
                </c:pt>
                <c:pt idx="1">
                  <c:v>1088.0952380952381</c:v>
                </c:pt>
                <c:pt idx="2" formatCode="0.0">
                  <c:v>365.05472936190466</c:v>
                </c:pt>
                <c:pt idx="3" formatCode="0.0">
                  <c:v>805.12546902857127</c:v>
                </c:pt>
                <c:pt idx="4" formatCode="0.0">
                  <c:v>874.3593910906128</c:v>
                </c:pt>
                <c:pt idx="5" formatCode="0.0">
                  <c:v>949.42517566685547</c:v>
                </c:pt>
                <c:pt idx="6" formatCode="0.0">
                  <c:v>1030.7960202408883</c:v>
                </c:pt>
                <c:pt idx="7" formatCode="0.0">
                  <c:v>1062.0062324779019</c:v>
                </c:pt>
                <c:pt idx="8" formatCode="0.0">
                  <c:v>1093.9953118303342</c:v>
                </c:pt>
                <c:pt idx="9" formatCode="0.0">
                  <c:v>1126.7662170178482</c:v>
                </c:pt>
                <c:pt idx="10" formatCode="0.0">
                  <c:v>1160.3196168407974</c:v>
                </c:pt>
                <c:pt idx="11" formatCode="0.0">
                  <c:v>1194.6535297446762</c:v>
                </c:pt>
                <c:pt idx="12" formatCode="0.0">
                  <c:v>1229.3299572986484</c:v>
                </c:pt>
                <c:pt idx="13" formatCode="0.0">
                  <c:v>1264.7398403411876</c:v>
                </c:pt>
                <c:pt idx="14" formatCode="0.0">
                  <c:v>1298.9424789355223</c:v>
                </c:pt>
                <c:pt idx="15" formatCode="0.0">
                  <c:v>1333.6975201032369</c:v>
                </c:pt>
                <c:pt idx="16" formatCode="0.0">
                  <c:v>1368.9731665284257</c:v>
                </c:pt>
                <c:pt idx="17" formatCode="0.0">
                  <c:v>1404.1762621185214</c:v>
                </c:pt>
                <c:pt idx="18" formatCode="0.0">
                  <c:v>1439.775052792696</c:v>
                </c:pt>
                <c:pt idx="19" formatCode="0.0">
                  <c:v>1475.7146689288827</c:v>
                </c:pt>
                <c:pt idx="20" formatCode="0.0">
                  <c:v>1511.9313308781273</c:v>
                </c:pt>
                <c:pt idx="21" formatCode="0.0">
                  <c:v>1548.3512362652104</c:v>
                </c:pt>
                <c:pt idx="22" formatCode="0.0">
                  <c:v>1575.4820465065595</c:v>
                </c:pt>
                <c:pt idx="23" formatCode="0.0">
                  <c:v>1601.9519478447307</c:v>
                </c:pt>
                <c:pt idx="24" formatCode="0.0">
                  <c:v>1627.6240397238726</c:v>
                </c:pt>
                <c:pt idx="25" formatCode="0.0">
                  <c:v>1652.3472872994078</c:v>
                </c:pt>
                <c:pt idx="26" formatCode="0.0">
                  <c:v>1675.9552488565748</c:v>
                </c:pt>
                <c:pt idx="27" formatCode="0.0">
                  <c:v>1717.5647626255702</c:v>
                </c:pt>
                <c:pt idx="28" formatCode="0.0">
                  <c:v>1758.9720158175712</c:v>
                </c:pt>
                <c:pt idx="29" formatCode="0.0">
                  <c:v>1799.9785099643677</c:v>
                </c:pt>
                <c:pt idx="30" formatCode="0.0">
                  <c:v>1840.3545633830686</c:v>
                </c:pt>
                <c:pt idx="31" formatCode="0.0">
                  <c:v>1879.8350475801039</c:v>
                </c:pt>
                <c:pt idx="32" formatCode="0.0">
                  <c:v>1897.9614195801134</c:v>
                </c:pt>
              </c:numCache>
            </c:numRef>
          </c:val>
          <c:smooth val="1"/>
          <c:extLst>
            <c:ext xmlns:c16="http://schemas.microsoft.com/office/drawing/2014/chart" uri="{C3380CC4-5D6E-409C-BE32-E72D297353CC}">
              <c16:uniqueId val="{0000000D-8852-6A44-9885-CF3066A308E2}"/>
            </c:ext>
          </c:extLst>
        </c:ser>
        <c:ser>
          <c:idx val="4"/>
          <c:order val="3"/>
          <c:tx>
            <c:strRef>
              <c:f>Trajectoires!$AL$5</c:f>
              <c:strCache>
                <c:ptCount val="1"/>
                <c:pt idx="0">
                  <c:v>Contribution Carburants alternatifs (CAPA 50)</c:v>
                </c:pt>
              </c:strCache>
            </c:strRef>
          </c:tx>
          <c:spPr>
            <a:ln w="28575" cap="rnd">
              <a:solidFill>
                <a:schemeClr val="accent4">
                  <a:lumMod val="60000"/>
                  <a:lumOff val="40000"/>
                </a:schemeClr>
              </a:solidFill>
              <a:round/>
            </a:ln>
            <a:effectLst/>
          </c:spPr>
          <c:marker>
            <c:symbol val="none"/>
          </c:marker>
          <c:dLbls>
            <c:dLbl>
              <c:idx val="32"/>
              <c:layout>
                <c:manualLayout>
                  <c:x val="0"/>
                  <c:y val="-3.4406227677718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52-6A44-9885-CF3066A308E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60000"/>
                        <a:lumOff val="4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Trajectoires!$AL$10:$AL$42</c:f>
              <c:numCache>
                <c:formatCode>#,##0.0</c:formatCode>
                <c:ptCount val="33"/>
                <c:pt idx="0">
                  <c:v>1077.3809523809523</c:v>
                </c:pt>
                <c:pt idx="1">
                  <c:v>1088.0952380952381</c:v>
                </c:pt>
                <c:pt idx="2" formatCode="0.0">
                  <c:v>365.05472936190472</c:v>
                </c:pt>
                <c:pt idx="3" formatCode="0.0">
                  <c:v>799.00860721035497</c:v>
                </c:pt>
                <c:pt idx="4" formatCode="0.0">
                  <c:v>866.7133138178425</c:v>
                </c:pt>
                <c:pt idx="5" formatCode="0.0">
                  <c:v>939.86757907589242</c:v>
                </c:pt>
                <c:pt idx="6" formatCode="0.0">
                  <c:v>1018.8490245021845</c:v>
                </c:pt>
                <c:pt idx="7" formatCode="0.0">
                  <c:v>1047.0724878045223</c:v>
                </c:pt>
                <c:pt idx="8" formatCode="0.0">
                  <c:v>1075.3281309886097</c:v>
                </c:pt>
                <c:pt idx="9" formatCode="0.0">
                  <c:v>1103.4322409656925</c:v>
                </c:pt>
                <c:pt idx="10" formatCode="0.0">
                  <c:v>1131.1521467756027</c:v>
                </c:pt>
                <c:pt idx="11" formatCode="0.0">
                  <c:v>1158.1941921631826</c:v>
                </c:pt>
                <c:pt idx="12" formatCode="0.0">
                  <c:v>1173.8302612547955</c:v>
                </c:pt>
                <c:pt idx="13" formatCode="0.0">
                  <c:v>1199.9226374840589</c:v>
                </c:pt>
                <c:pt idx="14" formatCode="0.0">
                  <c:v>1223.1620051414507</c:v>
                </c:pt>
                <c:pt idx="15" formatCode="0.0">
                  <c:v>1244.999112104588</c:v>
                </c:pt>
                <c:pt idx="16" formatCode="0.0">
                  <c:v>1265.0314184106464</c:v>
                </c:pt>
                <c:pt idx="17" formatCode="0.0">
                  <c:v>1281.6926370872613</c:v>
                </c:pt>
                <c:pt idx="18" formatCode="0.0">
                  <c:v>1295.4148311343172</c:v>
                </c:pt>
                <c:pt idx="19" formatCode="0.0">
                  <c:v>1305.495098603481</c:v>
                </c:pt>
                <c:pt idx="20" formatCode="0.0">
                  <c:v>1311.0867132248313</c:v>
                </c:pt>
                <c:pt idx="21" formatCode="0.0">
                  <c:v>1311.1683132950448</c:v>
                </c:pt>
                <c:pt idx="22" formatCode="0.0">
                  <c:v>1254.2906044342963</c:v>
                </c:pt>
                <c:pt idx="23" formatCode="0.0">
                  <c:v>1196.3760164440639</c:v>
                </c:pt>
                <c:pt idx="24" formatCode="0.0">
                  <c:v>1130.1079354180245</c:v>
                </c:pt>
                <c:pt idx="25" formatCode="0.0">
                  <c:v>1054.4801804561971</c:v>
                </c:pt>
                <c:pt idx="26" formatCode="0.0">
                  <c:v>968.34896567746387</c:v>
                </c:pt>
                <c:pt idx="27" formatCode="0.0">
                  <c:v>886.63204515265659</c:v>
                </c:pt>
                <c:pt idx="28" formatCode="0.0">
                  <c:v>797.29871086188632</c:v>
                </c:pt>
                <c:pt idx="29" formatCode="0.0">
                  <c:v>780.3438570351334</c:v>
                </c:pt>
                <c:pt idx="30" formatCode="0.0">
                  <c:v>761.50872174657036</c:v>
                </c:pt>
                <c:pt idx="31" formatCode="0.0">
                  <c:v>740.72618007754647</c:v>
                </c:pt>
                <c:pt idx="32" formatCode="0.0">
                  <c:v>709.37735413430096</c:v>
                </c:pt>
              </c:numCache>
            </c:numRef>
          </c:val>
          <c:smooth val="1"/>
          <c:extLst>
            <c:ext xmlns:c16="http://schemas.microsoft.com/office/drawing/2014/chart" uri="{C3380CC4-5D6E-409C-BE32-E72D297353CC}">
              <c16:uniqueId val="{0000000E-8852-6A44-9885-CF3066A308E2}"/>
            </c:ext>
          </c:extLst>
        </c:ser>
        <c:ser>
          <c:idx val="5"/>
          <c:order val="4"/>
          <c:tx>
            <c:strRef>
              <c:f>Trajectoires!$AR$5</c:f>
              <c:strCache>
                <c:ptCount val="1"/>
                <c:pt idx="0">
                  <c:v>Trajectoire + CORSIA*- ICEMAN</c:v>
                </c:pt>
              </c:strCache>
            </c:strRef>
          </c:tx>
          <c:spPr>
            <a:ln w="28575" cap="rnd">
              <a:solidFill>
                <a:schemeClr val="accent1"/>
              </a:solidFill>
              <a:round/>
            </a:ln>
            <a:effectLst/>
          </c:spPr>
          <c:marker>
            <c:symbol val="none"/>
          </c:marker>
          <c:dLbls>
            <c:dLbl>
              <c:idx val="32"/>
              <c:layout>
                <c:manualLayout>
                  <c:x val="0"/>
                  <c:y val="1.1582846078568177E-2"/>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52-6A44-9885-CF3066A308E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Trajectoires!$AR$10:$AR$42</c:f>
              <c:numCache>
                <c:formatCode>#,##0.0</c:formatCode>
                <c:ptCount val="33"/>
                <c:pt idx="0">
                  <c:v>1077.3809523809523</c:v>
                </c:pt>
                <c:pt idx="1">
                  <c:v>1088.0952380952381</c:v>
                </c:pt>
                <c:pt idx="2" formatCode="0.0">
                  <c:v>365.05472936190472</c:v>
                </c:pt>
                <c:pt idx="3" formatCode="0.0">
                  <c:v>799.00860721035497</c:v>
                </c:pt>
                <c:pt idx="4" formatCode="0.0">
                  <c:v>866.7133138178425</c:v>
                </c:pt>
                <c:pt idx="5" formatCode="0.0">
                  <c:v>939.86757907589242</c:v>
                </c:pt>
                <c:pt idx="6" formatCode="0.0">
                  <c:v>1018.8490245021845</c:v>
                </c:pt>
                <c:pt idx="7" formatCode="0.0">
                  <c:v>1047.0724878045223</c:v>
                </c:pt>
                <c:pt idx="8" formatCode="0.0">
                  <c:v>1075.3281309886097</c:v>
                </c:pt>
                <c:pt idx="9" formatCode="0.0">
                  <c:v>1090.549158554511</c:v>
                </c:pt>
                <c:pt idx="10" formatCode="0.0">
                  <c:v>1094.9843434840964</c:v>
                </c:pt>
                <c:pt idx="11" formatCode="0.0">
                  <c:v>1099.3110707461092</c:v>
                </c:pt>
                <c:pt idx="12" formatCode="0.0">
                  <c:v>1103.0899714696559</c:v>
                </c:pt>
                <c:pt idx="13" formatCode="0.0">
                  <c:v>1107.5840340835605</c:v>
                </c:pt>
                <c:pt idx="14" formatCode="0.0">
                  <c:v>1111.7014359302707</c:v>
                </c:pt>
                <c:pt idx="15" formatCode="0.0">
                  <c:v>1115.6942518212825</c:v>
                </c:pt>
                <c:pt idx="16" formatCode="0.0">
                  <c:v>1119.5230193013888</c:v>
                </c:pt>
                <c:pt idx="17" formatCode="0.0">
                  <c:v>1122.9971071234565</c:v>
                </c:pt>
                <c:pt idx="18" formatCode="0.0">
                  <c:v>1126.1972855404481</c:v>
                </c:pt>
                <c:pt idx="19" formatCode="0.0">
                  <c:v>1129.0598298386035</c:v>
                </c:pt>
                <c:pt idx="20" formatCode="0.0">
                  <c:v>1131.5101778387575</c:v>
                </c:pt>
                <c:pt idx="21" formatCode="0.0">
                  <c:v>1133.4610440052033</c:v>
                </c:pt>
                <c:pt idx="22" formatCode="0.0">
                  <c:v>1129.0037656845743</c:v>
                </c:pt>
                <c:pt idx="23" formatCode="0.0">
                  <c:v>1123.8618018088819</c:v>
                </c:pt>
                <c:pt idx="24" formatCode="0.0">
                  <c:v>1117.7233737333299</c:v>
                </c:pt>
                <c:pt idx="25" formatCode="0.0">
                  <c:v>1054.4801804561971</c:v>
                </c:pt>
                <c:pt idx="26" formatCode="0.0">
                  <c:v>968.34896567746387</c:v>
                </c:pt>
                <c:pt idx="27" formatCode="0.0">
                  <c:v>886.63204515265659</c:v>
                </c:pt>
                <c:pt idx="28" formatCode="0.0">
                  <c:v>797.29871086188632</c:v>
                </c:pt>
                <c:pt idx="29" formatCode="0.0">
                  <c:v>780.3438570351334</c:v>
                </c:pt>
                <c:pt idx="30" formatCode="0.0">
                  <c:v>761.50872174657036</c:v>
                </c:pt>
                <c:pt idx="31" formatCode="0.0">
                  <c:v>740.72618007754647</c:v>
                </c:pt>
                <c:pt idx="32" formatCode="0.0">
                  <c:v>709.37735413430096</c:v>
                </c:pt>
              </c:numCache>
            </c:numRef>
          </c:val>
          <c:smooth val="1"/>
          <c:extLst>
            <c:ext xmlns:c16="http://schemas.microsoft.com/office/drawing/2014/chart" uri="{C3380CC4-5D6E-409C-BE32-E72D297353CC}">
              <c16:uniqueId val="{0000000F-8852-6A44-9885-CF3066A308E2}"/>
            </c:ext>
          </c:extLst>
        </c:ser>
        <c:ser>
          <c:idx val="0"/>
          <c:order val="5"/>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52-6A44-9885-CF3066A308E2}"/>
                </c:ext>
              </c:extLst>
            </c:dLbl>
            <c:dLbl>
              <c:idx val="32"/>
              <c:layout>
                <c:manualLayout>
                  <c:x val="0"/>
                  <c:y val="1.9141582903401323E-2"/>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52-6A44-9885-CF3066A308E2}"/>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B-8852-6A44-9885-CF3066A308E2}"/>
            </c:ext>
          </c:extLst>
        </c:ser>
        <c:ser>
          <c:idx val="6"/>
          <c:order val="6"/>
          <c:tx>
            <c:strRef>
              <c:f>Trajectoires!$E$5</c:f>
              <c:strCache>
                <c:ptCount val="1"/>
                <c:pt idx="0">
                  <c:v>Cible "-50% en 2050 par rapport aux emissions 2005"</c:v>
                </c:pt>
              </c:strCache>
            </c:strRef>
          </c:tx>
          <c:spPr>
            <a:ln w="28575" cap="rnd">
              <a:solidFill>
                <a:schemeClr val="accent1">
                  <a:lumMod val="60000"/>
                </a:schemeClr>
              </a:solidFill>
              <a:prstDash val="dash"/>
              <a:round/>
            </a:ln>
            <a:effectLst/>
          </c:spPr>
          <c:marker>
            <c:symbol val="none"/>
          </c:marker>
          <c:dLbls>
            <c:dLbl>
              <c:idx val="32"/>
              <c:layout>
                <c:manualLayout>
                  <c:x val="1.9130000706452954E-3"/>
                  <c:y val="-1.1484949742040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DF-5644-AFA9-1116A16B1596}"/>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Trajectoires!$E$10:$E$42</c:f>
              <c:numCache>
                <c:formatCode>#,##0.0</c:formatCode>
                <c:ptCount val="33"/>
                <c:pt idx="0">
                  <c:v>383.07402168788303</c:v>
                </c:pt>
                <c:pt idx="1">
                  <c:v>383.07402168788303</c:v>
                </c:pt>
                <c:pt idx="2">
                  <c:v>383.07402168788303</c:v>
                </c:pt>
                <c:pt idx="3">
                  <c:v>383.07402168788303</c:v>
                </c:pt>
                <c:pt idx="4">
                  <c:v>383.07402168788303</c:v>
                </c:pt>
                <c:pt idx="5">
                  <c:v>383.07402168788303</c:v>
                </c:pt>
                <c:pt idx="6">
                  <c:v>383.07402168788303</c:v>
                </c:pt>
                <c:pt idx="7">
                  <c:v>383.07402168788303</c:v>
                </c:pt>
                <c:pt idx="8">
                  <c:v>383.07402168788303</c:v>
                </c:pt>
                <c:pt idx="9">
                  <c:v>383.07402168788303</c:v>
                </c:pt>
                <c:pt idx="10">
                  <c:v>383.07402168788303</c:v>
                </c:pt>
                <c:pt idx="11">
                  <c:v>383.07402168788303</c:v>
                </c:pt>
                <c:pt idx="12">
                  <c:v>383.07402168788303</c:v>
                </c:pt>
                <c:pt idx="13">
                  <c:v>383.07402168788303</c:v>
                </c:pt>
                <c:pt idx="14">
                  <c:v>383.07402168788303</c:v>
                </c:pt>
                <c:pt idx="15">
                  <c:v>383.07402168788303</c:v>
                </c:pt>
                <c:pt idx="16">
                  <c:v>383.07402168788303</c:v>
                </c:pt>
                <c:pt idx="17">
                  <c:v>383.07402168788303</c:v>
                </c:pt>
                <c:pt idx="18">
                  <c:v>383.07402168788303</c:v>
                </c:pt>
                <c:pt idx="19">
                  <c:v>383.07402168788303</c:v>
                </c:pt>
                <c:pt idx="20">
                  <c:v>383.07402168788303</c:v>
                </c:pt>
                <c:pt idx="21">
                  <c:v>383.07402168788303</c:v>
                </c:pt>
                <c:pt idx="22">
                  <c:v>383.07402168788303</c:v>
                </c:pt>
                <c:pt idx="23">
                  <c:v>383.07402168788303</c:v>
                </c:pt>
                <c:pt idx="24">
                  <c:v>383.07402168788303</c:v>
                </c:pt>
                <c:pt idx="25">
                  <c:v>383.07402168788303</c:v>
                </c:pt>
                <c:pt idx="26">
                  <c:v>383.07402168788303</c:v>
                </c:pt>
                <c:pt idx="27">
                  <c:v>383.07402168788303</c:v>
                </c:pt>
                <c:pt idx="28">
                  <c:v>383.07402168788303</c:v>
                </c:pt>
                <c:pt idx="29">
                  <c:v>383.07402168788303</c:v>
                </c:pt>
                <c:pt idx="30">
                  <c:v>383.07402168788303</c:v>
                </c:pt>
                <c:pt idx="31">
                  <c:v>383.07402168788303</c:v>
                </c:pt>
                <c:pt idx="32">
                  <c:v>383.07402168788303</c:v>
                </c:pt>
              </c:numCache>
            </c:numRef>
          </c:val>
          <c:smooth val="0"/>
          <c:extLst>
            <c:ext xmlns:c16="http://schemas.microsoft.com/office/drawing/2014/chart" uri="{C3380CC4-5D6E-409C-BE32-E72D297353CC}">
              <c16:uniqueId val="{00000001-8FDF-5644-AFA9-1116A16B1596}"/>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610162067257167"/>
          <c:y val="0.12880024477110735"/>
          <c:w val="0.27389837932742833"/>
          <c:h val="0.796775170804715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Emissions cumulées</a:t>
            </a:r>
            <a:r>
              <a:rPr lang="fr-FR" baseline="0"/>
              <a:t> et</a:t>
            </a:r>
            <a:r>
              <a:rPr lang="fr-FR"/>
              <a:t> budget carbone - Scenario ICEMAN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55055007096922548"/>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00-BB47-922C-389A671F452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C300-BB47-922C-389A671F4524}"/>
            </c:ext>
          </c:extLst>
        </c:ser>
        <c:ser>
          <c:idx val="2"/>
          <c:order val="1"/>
          <c:tx>
            <c:strRef>
              <c:f>Trajectoires!$BK$5</c:f>
              <c:strCache>
                <c:ptCount val="1"/>
                <c:pt idx="0">
                  <c:v>Cumulé - Mesures efficacité court terme et ATM</c:v>
                </c:pt>
              </c:strCache>
            </c:strRef>
          </c:tx>
          <c:spPr>
            <a:ln w="28575" cap="rnd">
              <a:solidFill>
                <a:srgbClr val="FA8000"/>
              </a:solidFill>
              <a:round/>
            </a:ln>
            <a:effectLst/>
          </c:spPr>
          <c:marker>
            <c:symbol val="none"/>
          </c:marker>
          <c:dLbls>
            <c:dLbl>
              <c:idx val="32"/>
              <c:layout>
                <c:manualLayout>
                  <c:x val="0"/>
                  <c:y val="1.451378809869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00-BB47-922C-389A671F452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A8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Trajectoires!$BK$10:$BK$42</c:f>
              <c:numCache>
                <c:formatCode>0.0</c:formatCode>
                <c:ptCount val="33"/>
                <c:pt idx="0" formatCode="#,##0.0">
                  <c:v>1077.3809523809523</c:v>
                </c:pt>
                <c:pt idx="1">
                  <c:v>2165.4761904761904</c:v>
                </c:pt>
                <c:pt idx="2">
                  <c:v>2533.5788095238095</c:v>
                </c:pt>
                <c:pt idx="3">
                  <c:v>3352.2616666666663</c:v>
                </c:pt>
                <c:pt idx="4">
                  <c:v>4248.8933897588904</c:v>
                </c:pt>
                <c:pt idx="5">
                  <c:v>5230.8406589824299</c:v>
                </c:pt>
                <c:pt idx="6">
                  <c:v>6306.1546796802068</c:v>
                </c:pt>
                <c:pt idx="7">
                  <c:v>7423.6795475961735</c:v>
                </c:pt>
                <c:pt idx="8">
                  <c:v>8584.9840695170424</c:v>
                </c:pt>
                <c:pt idx="9">
                  <c:v>9791.6819544316331</c:v>
                </c:pt>
                <c:pt idx="10">
                  <c:v>11045.430946134098</c:v>
                </c:pt>
                <c:pt idx="11">
                  <c:v>12347.931523701342</c:v>
                </c:pt>
                <c:pt idx="12">
                  <c:v>13700.925093257416</c:v>
                </c:pt>
                <c:pt idx="13">
                  <c:v>15106.191582525402</c:v>
                </c:pt>
                <c:pt idx="14">
                  <c:v>16565.546335958265</c:v>
                </c:pt>
                <c:pt idx="15">
                  <c:v>18080.836192465304</c:v>
                </c:pt>
                <c:pt idx="16">
                  <c:v>19653.934609601296</c:v>
                </c:pt>
                <c:pt idx="17">
                  <c:v>21286.735677205801</c:v>
                </c:pt>
                <c:pt idx="18">
                  <c:v>22981.146839462421</c:v>
                </c:pt>
                <c:pt idx="19">
                  <c:v>24739.080116722664</c:v>
                </c:pt>
                <c:pt idx="20">
                  <c:v>26562.441586667341</c:v>
                </c:pt>
                <c:pt idx="21">
                  <c:v>28453.118847840578</c:v>
                </c:pt>
                <c:pt idx="22">
                  <c:v>30412.966146574916</c:v>
                </c:pt>
                <c:pt idx="23">
                  <c:v>32443.786800012622</c:v>
                </c:pt>
                <c:pt idx="24">
                  <c:v>34547.312492377016</c:v>
                </c:pt>
                <c:pt idx="25">
                  <c:v>36725.178957777578</c:v>
                </c:pt>
                <c:pt idx="26">
                  <c:v>38978.897489401177</c:v>
                </c:pt>
                <c:pt idx="27">
                  <c:v>41309.821630521023</c:v>
                </c:pt>
                <c:pt idx="28">
                  <c:v>43719.10830570398</c:v>
                </c:pt>
                <c:pt idx="29">
                  <c:v>46207.672539029525</c:v>
                </c:pt>
                <c:pt idx="30">
                  <c:v>48776.134777882689</c:v>
                </c:pt>
                <c:pt idx="31">
                  <c:v>51424.759693457556</c:v>
                </c:pt>
                <c:pt idx="32">
                  <c:v>54124.716191096275</c:v>
                </c:pt>
              </c:numCache>
            </c:numRef>
          </c:val>
          <c:smooth val="1"/>
          <c:extLst>
            <c:ext xmlns:c16="http://schemas.microsoft.com/office/drawing/2014/chart" uri="{C3380CC4-5D6E-409C-BE32-E72D297353CC}">
              <c16:uniqueId val="{00000003-C300-BB47-922C-389A671F4524}"/>
            </c:ext>
          </c:extLst>
        </c:ser>
        <c:ser>
          <c:idx val="4"/>
          <c:order val="2"/>
          <c:tx>
            <c:strRef>
              <c:f>Trajectoires!$BM$5</c:f>
              <c:strCache>
                <c:ptCount val="1"/>
                <c:pt idx="0">
                  <c:v>Cumulé - Toutes mesures d'efficacité énergétique (INDUS+5, 25ans)</c:v>
                </c:pt>
              </c:strCache>
            </c:strRef>
          </c:tx>
          <c:spPr>
            <a:ln w="28575" cap="rnd">
              <a:solidFill>
                <a:schemeClr val="accent4"/>
              </a:solidFill>
              <a:round/>
            </a:ln>
            <a:effectLst/>
          </c:spPr>
          <c:marker>
            <c:symbol val="none"/>
          </c:marker>
          <c:dLbls>
            <c:dLbl>
              <c:idx val="32"/>
              <c:layout>
                <c:manualLayout>
                  <c:x val="0"/>
                  <c:y val="-2.650446918655563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00-BB47-922C-389A671F452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Trajectoires!$BM$10:$BM$42</c:f>
              <c:numCache>
                <c:formatCode>#,##0.0</c:formatCode>
                <c:ptCount val="33"/>
                <c:pt idx="0">
                  <c:v>1077.3809523809523</c:v>
                </c:pt>
                <c:pt idx="1">
                  <c:v>2165.4761904761904</c:v>
                </c:pt>
                <c:pt idx="2">
                  <c:v>2530.5309198380951</c:v>
                </c:pt>
                <c:pt idx="3">
                  <c:v>3335.6563888666665</c:v>
                </c:pt>
                <c:pt idx="4">
                  <c:v>4210.0157799572789</c:v>
                </c:pt>
                <c:pt idx="5">
                  <c:v>5159.4409556241344</c:v>
                </c:pt>
                <c:pt idx="6">
                  <c:v>6190.2369758650229</c:v>
                </c:pt>
                <c:pt idx="7">
                  <c:v>7252.2432083429248</c:v>
                </c:pt>
                <c:pt idx="8">
                  <c:v>8346.2385201732595</c:v>
                </c:pt>
                <c:pt idx="9">
                  <c:v>9473.0047371911078</c:v>
                </c:pt>
                <c:pt idx="10">
                  <c:v>10633.324354031905</c:v>
                </c:pt>
                <c:pt idx="11">
                  <c:v>11827.977883776581</c:v>
                </c:pt>
                <c:pt idx="12">
                  <c:v>13057.30784107523</c:v>
                </c:pt>
                <c:pt idx="13">
                  <c:v>14322.047681416418</c:v>
                </c:pt>
                <c:pt idx="14">
                  <c:v>15620.990160351939</c:v>
                </c:pt>
                <c:pt idx="15">
                  <c:v>16954.687680455176</c:v>
                </c:pt>
                <c:pt idx="16">
                  <c:v>18323.660846983603</c:v>
                </c:pt>
                <c:pt idx="17">
                  <c:v>19727.837109102125</c:v>
                </c:pt>
                <c:pt idx="18">
                  <c:v>21167.61216189482</c:v>
                </c:pt>
                <c:pt idx="19">
                  <c:v>22643.326830823702</c:v>
                </c:pt>
                <c:pt idx="20">
                  <c:v>24155.25816170183</c:v>
                </c:pt>
                <c:pt idx="21">
                  <c:v>25703.60939796704</c:v>
                </c:pt>
                <c:pt idx="22">
                  <c:v>27279.091444473601</c:v>
                </c:pt>
                <c:pt idx="23">
                  <c:v>28881.04339231833</c:v>
                </c:pt>
                <c:pt idx="24">
                  <c:v>30508.667432042203</c:v>
                </c:pt>
                <c:pt idx="25">
                  <c:v>32161.014719341609</c:v>
                </c:pt>
                <c:pt idx="26">
                  <c:v>33836.96996819818</c:v>
                </c:pt>
                <c:pt idx="27">
                  <c:v>35554.534730823747</c:v>
                </c:pt>
                <c:pt idx="28">
                  <c:v>37313.506746641317</c:v>
                </c:pt>
                <c:pt idx="29">
                  <c:v>39113.485256605687</c:v>
                </c:pt>
                <c:pt idx="30">
                  <c:v>40953.839819988752</c:v>
                </c:pt>
                <c:pt idx="31">
                  <c:v>42833.674867568858</c:v>
                </c:pt>
                <c:pt idx="32">
                  <c:v>44731.636287148969</c:v>
                </c:pt>
              </c:numCache>
            </c:numRef>
          </c:val>
          <c:smooth val="0"/>
          <c:extLst>
            <c:ext xmlns:c16="http://schemas.microsoft.com/office/drawing/2014/chart" uri="{C3380CC4-5D6E-409C-BE32-E72D297353CC}">
              <c16:uniqueId val="{00000005-C300-BB47-922C-389A671F4524}"/>
            </c:ext>
          </c:extLst>
        </c:ser>
        <c:ser>
          <c:idx val="3"/>
          <c:order val="3"/>
          <c:tx>
            <c:strRef>
              <c:f>Trajectoires!$BO$5</c:f>
              <c:strCache>
                <c:ptCount val="1"/>
                <c:pt idx="0">
                  <c:v>Cumulé - Contribution Carburants alternatifs (CAPA 50)</c:v>
                </c:pt>
              </c:strCache>
            </c:strRef>
          </c:tx>
          <c:spPr>
            <a:ln w="28575" cap="rnd">
              <a:solidFill>
                <a:schemeClr val="accent4">
                  <a:lumMod val="60000"/>
                  <a:lumOff val="40000"/>
                </a:schemeClr>
              </a:solidFill>
              <a:round/>
            </a:ln>
            <a:effectLst/>
          </c:spPr>
          <c:marker>
            <c:symbol val="none"/>
          </c:marker>
          <c:dLbls>
            <c:dLbl>
              <c:idx val="32"/>
              <c:layout>
                <c:manualLayout>
                  <c:x val="-1.4728356334644538E-16"/>
                  <c:y val="2.3967749677153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00-BB47-922C-389A671F452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60000"/>
                        <a:lumOff val="4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Trajectoires!$BO$10:$BO$42</c:f>
              <c:numCache>
                <c:formatCode>#,##0.0</c:formatCode>
                <c:ptCount val="33"/>
                <c:pt idx="0">
                  <c:v>1077.3809523809523</c:v>
                </c:pt>
                <c:pt idx="1">
                  <c:v>2165.4761904761904</c:v>
                </c:pt>
                <c:pt idx="2">
                  <c:v>2530.5309198380951</c:v>
                </c:pt>
                <c:pt idx="3">
                  <c:v>3329.5395270484501</c:v>
                </c:pt>
                <c:pt idx="4">
                  <c:v>4196.2528408662929</c:v>
                </c:pt>
                <c:pt idx="5">
                  <c:v>5136.1204199421854</c:v>
                </c:pt>
                <c:pt idx="6">
                  <c:v>6154.9694444443703</c:v>
                </c:pt>
                <c:pt idx="7">
                  <c:v>7202.0419322488924</c:v>
                </c:pt>
                <c:pt idx="8">
                  <c:v>8277.3700632375021</c:v>
                </c:pt>
                <c:pt idx="9">
                  <c:v>9380.8023042031946</c:v>
                </c:pt>
                <c:pt idx="10">
                  <c:v>10511.954450978797</c:v>
                </c:pt>
                <c:pt idx="11">
                  <c:v>11670.14864314198</c:v>
                </c:pt>
                <c:pt idx="12">
                  <c:v>12843.978904396776</c:v>
                </c:pt>
                <c:pt idx="13">
                  <c:v>14043.901541880834</c:v>
                </c:pt>
                <c:pt idx="14">
                  <c:v>15267.063547022284</c:v>
                </c:pt>
                <c:pt idx="15">
                  <c:v>16512.062659126874</c:v>
                </c:pt>
                <c:pt idx="16">
                  <c:v>17777.09407753752</c:v>
                </c:pt>
                <c:pt idx="17">
                  <c:v>19058.786714624781</c:v>
                </c:pt>
                <c:pt idx="18">
                  <c:v>20354.201545759097</c:v>
                </c:pt>
                <c:pt idx="19">
                  <c:v>21659.696644362579</c:v>
                </c:pt>
                <c:pt idx="20">
                  <c:v>22970.78335758741</c:v>
                </c:pt>
                <c:pt idx="21">
                  <c:v>24281.951670882456</c:v>
                </c:pt>
                <c:pt idx="22">
                  <c:v>25536.242275316752</c:v>
                </c:pt>
                <c:pt idx="23">
                  <c:v>26732.618291760817</c:v>
                </c:pt>
                <c:pt idx="24">
                  <c:v>27862.726227178842</c:v>
                </c:pt>
                <c:pt idx="25">
                  <c:v>28917.20640763504</c:v>
                </c:pt>
                <c:pt idx="26">
                  <c:v>29885.555373312505</c:v>
                </c:pt>
                <c:pt idx="27">
                  <c:v>30772.187418465161</c:v>
                </c:pt>
                <c:pt idx="28">
                  <c:v>31569.486129327048</c:v>
                </c:pt>
                <c:pt idx="29">
                  <c:v>32349.82998636218</c:v>
                </c:pt>
                <c:pt idx="30">
                  <c:v>33111.338708108749</c:v>
                </c:pt>
                <c:pt idx="31">
                  <c:v>33852.064888186294</c:v>
                </c:pt>
                <c:pt idx="32">
                  <c:v>34561.442242320598</c:v>
                </c:pt>
              </c:numCache>
            </c:numRef>
          </c:val>
          <c:smooth val="0"/>
          <c:extLst>
            <c:ext xmlns:c16="http://schemas.microsoft.com/office/drawing/2014/chart" uri="{C3380CC4-5D6E-409C-BE32-E72D297353CC}">
              <c16:uniqueId val="{00000007-C300-BB47-922C-389A671F4524}"/>
            </c:ext>
          </c:extLst>
        </c:ser>
        <c:ser>
          <c:idx val="5"/>
          <c:order val="4"/>
          <c:tx>
            <c:strRef>
              <c:f>Trajectoires!$BQ$5</c:f>
              <c:strCache>
                <c:ptCount val="1"/>
                <c:pt idx="0">
                  <c:v>Cumulé + CORSIA*- ICEMAN</c:v>
                </c:pt>
              </c:strCache>
            </c:strRef>
          </c:tx>
          <c:spPr>
            <a:ln w="28575" cap="rnd">
              <a:solidFill>
                <a:schemeClr val="accent1"/>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00-BB47-922C-389A671F452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Trajectoires!$BQ$10:$BQ$42</c:f>
              <c:numCache>
                <c:formatCode>#,##0.0</c:formatCode>
                <c:ptCount val="33"/>
                <c:pt idx="0">
                  <c:v>1077.3809523809523</c:v>
                </c:pt>
                <c:pt idx="1">
                  <c:v>2165.4761904761904</c:v>
                </c:pt>
                <c:pt idx="2">
                  <c:v>2530.5309198380951</c:v>
                </c:pt>
                <c:pt idx="3">
                  <c:v>3329.5395270484501</c:v>
                </c:pt>
                <c:pt idx="4">
                  <c:v>4196.2528408662929</c:v>
                </c:pt>
                <c:pt idx="5">
                  <c:v>5136.1204199421854</c:v>
                </c:pt>
                <c:pt idx="6">
                  <c:v>6154.9694444443703</c:v>
                </c:pt>
                <c:pt idx="7">
                  <c:v>7202.0419322488924</c:v>
                </c:pt>
                <c:pt idx="8">
                  <c:v>8277.3700632375021</c:v>
                </c:pt>
                <c:pt idx="9">
                  <c:v>9367.9192217920136</c:v>
                </c:pt>
                <c:pt idx="10">
                  <c:v>10462.90356527611</c:v>
                </c:pt>
                <c:pt idx="11">
                  <c:v>11562.21463602222</c:v>
                </c:pt>
                <c:pt idx="12">
                  <c:v>12665.304607491875</c:v>
                </c:pt>
                <c:pt idx="13">
                  <c:v>13772.888641575435</c:v>
                </c:pt>
                <c:pt idx="14">
                  <c:v>14884.590077505705</c:v>
                </c:pt>
                <c:pt idx="15">
                  <c:v>16000.284329326987</c:v>
                </c:pt>
                <c:pt idx="16">
                  <c:v>17119.807348628376</c:v>
                </c:pt>
                <c:pt idx="17">
                  <c:v>18242.804455751833</c:v>
                </c:pt>
                <c:pt idx="18">
                  <c:v>19369.001741292283</c:v>
                </c:pt>
                <c:pt idx="19">
                  <c:v>20498.061571130886</c:v>
                </c:pt>
                <c:pt idx="20">
                  <c:v>21629.571748969644</c:v>
                </c:pt>
                <c:pt idx="21">
                  <c:v>22763.032792974846</c:v>
                </c:pt>
                <c:pt idx="22">
                  <c:v>23892.03655865942</c:v>
                </c:pt>
                <c:pt idx="23">
                  <c:v>25015.898360468302</c:v>
                </c:pt>
                <c:pt idx="24">
                  <c:v>26133.621734201632</c:v>
                </c:pt>
                <c:pt idx="25">
                  <c:v>27188.101914657829</c:v>
                </c:pt>
                <c:pt idx="26">
                  <c:v>28156.450880335295</c:v>
                </c:pt>
                <c:pt idx="27">
                  <c:v>29043.08292548795</c:v>
                </c:pt>
                <c:pt idx="28">
                  <c:v>29840.381636349837</c:v>
                </c:pt>
                <c:pt idx="29">
                  <c:v>30620.725493384969</c:v>
                </c:pt>
                <c:pt idx="30">
                  <c:v>31382.234215131539</c:v>
                </c:pt>
                <c:pt idx="31">
                  <c:v>32122.960395209084</c:v>
                </c:pt>
                <c:pt idx="32">
                  <c:v>32832.337749343387</c:v>
                </c:pt>
              </c:numCache>
            </c:numRef>
          </c:val>
          <c:smooth val="0"/>
          <c:extLst>
            <c:ext xmlns:c16="http://schemas.microsoft.com/office/drawing/2014/chart" uri="{C3380CC4-5D6E-409C-BE32-E72D297353CC}">
              <c16:uniqueId val="{00000009-C300-BB47-922C-389A671F4524}"/>
            </c:ext>
          </c:extLst>
        </c:ser>
        <c:ser>
          <c:idx val="0"/>
          <c:order val="5"/>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00-BB47-922C-389A671F452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B-C300-BB47-922C-389A671F4524}"/>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74037983151282649"/>
          <c:y val="0.19904117573111779"/>
          <c:w val="0.25594030360585324"/>
          <c:h val="0.72708992834531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Effets de la réduction de l'offre sur les scénarios cumulés et budgets carbone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26245177049695"/>
          <c:y val="0.17185626983194266"/>
          <c:w val="0.49984855095666542"/>
          <c:h val="0.70848483958161945"/>
        </c:manualLayout>
      </c:layout>
      <c:lineChart>
        <c:grouping val="standard"/>
        <c:varyColors val="0"/>
        <c:ser>
          <c:idx val="1"/>
          <c:order val="0"/>
          <c:tx>
            <c:strRef>
              <c:f>Trajectoires!$BG$5</c:f>
              <c:strCache>
                <c:ptCount val="1"/>
                <c:pt idx="0">
                  <c:v>Cumulé tendanciel (hors Perf)</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07-0E4D-9D30-57BD94C82997}"/>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Trajectoires!$BG$10:$BG$42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0"/>
          <c:extLst>
            <c:ext xmlns:c16="http://schemas.microsoft.com/office/drawing/2014/chart" uri="{C3380CC4-5D6E-409C-BE32-E72D297353CC}">
              <c16:uniqueId val="{00000001-9B07-0E4D-9D30-57BD94C82997}"/>
            </c:ext>
          </c:extLst>
        </c:ser>
        <c:ser>
          <c:idx val="8"/>
          <c:order val="1"/>
          <c:tx>
            <c:strRef>
              <c:f>Trajectoires!$BH$5</c:f>
              <c:strCache>
                <c:ptCount val="1"/>
                <c:pt idx="0">
                  <c:v>Cumulé tendanciel + Réduction de l'offre</c:v>
                </c:pt>
              </c:strCache>
            </c:strRef>
          </c:tx>
          <c:spPr>
            <a:ln w="28575" cap="rnd">
              <a:solidFill>
                <a:srgbClr val="7030A0"/>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07-0E4D-9D30-57BD94C82997}"/>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Trajectoires!$BH$10:$BH$42</c:f>
              <c:numCache>
                <c:formatCode>0.0</c:formatCode>
                <c:ptCount val="33"/>
                <c:pt idx="0" formatCode="#,##0.0">
                  <c:v>1077.3809523809523</c:v>
                </c:pt>
                <c:pt idx="1">
                  <c:v>2165.4761904761904</c:v>
                </c:pt>
                <c:pt idx="2">
                  <c:v>2535.4285714285711</c:v>
                </c:pt>
                <c:pt idx="3">
                  <c:v>3362.3809523809523</c:v>
                </c:pt>
                <c:pt idx="4">
                  <c:v>4268.5501685933095</c:v>
                </c:pt>
                <c:pt idx="5">
                  <c:v>5261.524694484664</c:v>
                </c:pt>
                <c:pt idx="6">
                  <c:v>6349.6199325799025</c:v>
                </c:pt>
                <c:pt idx="7">
                  <c:v>7481.2389801989502</c:v>
                </c:pt>
                <c:pt idx="8">
                  <c:v>8658.12278972276</c:v>
                </c:pt>
                <c:pt idx="9">
                  <c:v>9882.0819516275224</c:v>
                </c:pt>
                <c:pt idx="10">
                  <c:v>11154.999480008475</c:v>
                </c:pt>
                <c:pt idx="11">
                  <c:v>12478.833709524666</c:v>
                </c:pt>
                <c:pt idx="12">
                  <c:v>13855.621308221505</c:v>
                </c:pt>
                <c:pt idx="13">
                  <c:v>15287.480410866217</c:v>
                </c:pt>
                <c:pt idx="14">
                  <c:v>16776.613877616717</c:v>
                </c:pt>
                <c:pt idx="15">
                  <c:v>18325.312683037238</c:v>
                </c:pt>
                <c:pt idx="16">
                  <c:v>19935.959440674582</c:v>
                </c:pt>
                <c:pt idx="17">
                  <c:v>21611.032068617416</c:v>
                </c:pt>
                <c:pt idx="18">
                  <c:v>23353.107601677966</c:v>
                </c:pt>
                <c:pt idx="19">
                  <c:v>25164.86615606094</c:v>
                </c:pt>
                <c:pt idx="20">
                  <c:v>27049.095052619232</c:v>
                </c:pt>
                <c:pt idx="21">
                  <c:v>29008.693105039856</c:v>
                </c:pt>
                <c:pt idx="22">
                  <c:v>31046.675079557303</c:v>
                </c:pt>
                <c:pt idx="23">
                  <c:v>33166.176333055446</c:v>
                </c:pt>
                <c:pt idx="24">
                  <c:v>35370.457636693514</c:v>
                </c:pt>
                <c:pt idx="25">
                  <c:v>37662.910192477109</c:v>
                </c:pt>
                <c:pt idx="26">
                  <c:v>40047.060850492046</c:v>
                </c:pt>
                <c:pt idx="27">
                  <c:v>42526.577534827578</c:v>
                </c:pt>
                <c:pt idx="28">
                  <c:v>45105.274886536536</c:v>
                </c:pt>
                <c:pt idx="29">
                  <c:v>47787.120132313852</c:v>
                </c:pt>
                <c:pt idx="30">
                  <c:v>50576.239187922263</c:v>
                </c:pt>
                <c:pt idx="31">
                  <c:v>53476.923005755008</c:v>
                </c:pt>
                <c:pt idx="32">
                  <c:v>56493.634176301064</c:v>
                </c:pt>
              </c:numCache>
            </c:numRef>
          </c:val>
          <c:smooth val="1"/>
          <c:extLst>
            <c:ext xmlns:c16="http://schemas.microsoft.com/office/drawing/2014/chart" uri="{C3380CC4-5D6E-409C-BE32-E72D297353CC}">
              <c16:uniqueId val="{0000000D-9B07-0E4D-9D30-57BD94C82997}"/>
            </c:ext>
          </c:extLst>
        </c:ser>
        <c:ser>
          <c:idx val="9"/>
          <c:order val="2"/>
          <c:tx>
            <c:strRef>
              <c:f>Trajectoires!$BJ$5</c:f>
              <c:strCache>
                <c:ptCount val="1"/>
                <c:pt idx="0">
                  <c:v>Cumulé - Mesures efficacité court terme</c:v>
                </c:pt>
              </c:strCache>
            </c:strRef>
          </c:tx>
          <c:spPr>
            <a:ln w="28575" cap="rnd">
              <a:solidFill>
                <a:schemeClr val="accent2"/>
              </a:solidFill>
              <a:round/>
            </a:ln>
            <a:effectLst/>
          </c:spPr>
          <c:marker>
            <c:symbol val="none"/>
          </c:marker>
          <c:dLbls>
            <c:dLbl>
              <c:idx val="32"/>
              <c:layout>
                <c:manualLayout>
                  <c:x val="0"/>
                  <c:y val="2.3265307244028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E1-4248-B265-A0E32624A52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Trajectoires!$BJ$10:$BJ$42</c:f>
              <c:numCache>
                <c:formatCode>0.0</c:formatCode>
                <c:ptCount val="33"/>
                <c:pt idx="0" formatCode="#,##0.0">
                  <c:v>1077.3809523809523</c:v>
                </c:pt>
                <c:pt idx="1">
                  <c:v>2165.4761904761904</c:v>
                </c:pt>
                <c:pt idx="2">
                  <c:v>2533.5788095238095</c:v>
                </c:pt>
                <c:pt idx="3">
                  <c:v>3356.3964285714283</c:v>
                </c:pt>
                <c:pt idx="4">
                  <c:v>4258.0347987027235</c:v>
                </c:pt>
                <c:pt idx="5">
                  <c:v>5246.0444519646207</c:v>
                </c:pt>
                <c:pt idx="6">
                  <c:v>6328.6992138693831</c:v>
                </c:pt>
                <c:pt idx="7">
                  <c:v>7454.6601662503363</c:v>
                </c:pt>
                <c:pt idx="8">
                  <c:v>8625.6595567265267</c:v>
                </c:pt>
                <c:pt idx="9">
                  <c:v>9843.4989228217655</c:v>
                </c:pt>
                <c:pt idx="10">
                  <c:v>11110.051863560813</c:v>
                </c:pt>
                <c:pt idx="11">
                  <c:v>12427.266921929424</c:v>
                </c:pt>
                <c:pt idx="12">
                  <c:v>13797.170582632778</c:v>
                </c:pt>
                <c:pt idx="13">
                  <c:v>15221.870389764266</c:v>
                </c:pt>
                <c:pt idx="14">
                  <c:v>16703.558189181014</c:v>
                </c:pt>
                <c:pt idx="15">
                  <c:v>18244.513500574434</c:v>
                </c:pt>
                <c:pt idx="16">
                  <c:v>19847.107024423589</c:v>
                </c:pt>
                <c:pt idx="17">
                  <c:v>21513.804289226711</c:v>
                </c:pt>
                <c:pt idx="18">
                  <c:v>23247.169444621959</c:v>
                </c:pt>
                <c:pt idx="19">
                  <c:v>25049.869206233016</c:v>
                </c:pt>
                <c:pt idx="20">
                  <c:v>26924.676958308515</c:v>
                </c:pt>
                <c:pt idx="21">
                  <c:v>28874.477020467035</c:v>
                </c:pt>
                <c:pt idx="22">
                  <c:v>30902.269085111897</c:v>
                </c:pt>
                <c:pt idx="23">
                  <c:v>33011.172832342549</c:v>
                </c:pt>
                <c:pt idx="24">
                  <c:v>35204.432729462431</c:v>
                </c:pt>
                <c:pt idx="25">
                  <c:v>37485.423022467105</c:v>
                </c:pt>
                <c:pt idx="26">
                  <c:v>39857.652927191972</c:v>
                </c:pt>
                <c:pt idx="27">
                  <c:v>42324.772028105828</c:v>
                </c:pt>
                <c:pt idx="28">
                  <c:v>44890.575893056244</c:v>
                </c:pt>
                <c:pt idx="29">
                  <c:v>47559.01191260467</c:v>
                </c:pt>
                <c:pt idx="30">
                  <c:v>50334.185372935033</c:v>
                </c:pt>
                <c:pt idx="31">
                  <c:v>53220.365771678611</c:v>
                </c:pt>
                <c:pt idx="32">
                  <c:v>56221.993386371934</c:v>
                </c:pt>
              </c:numCache>
            </c:numRef>
          </c:val>
          <c:smooth val="0"/>
          <c:extLst>
            <c:ext xmlns:c16="http://schemas.microsoft.com/office/drawing/2014/chart" uri="{C3380CC4-5D6E-409C-BE32-E72D297353CC}">
              <c16:uniqueId val="{00000001-41E1-4248-B265-A0E32624A52D}"/>
            </c:ext>
          </c:extLst>
        </c:ser>
        <c:ser>
          <c:idx val="3"/>
          <c:order val="3"/>
          <c:tx>
            <c:strRef>
              <c:f>Trajectoires!$BQ$5</c:f>
              <c:strCache>
                <c:ptCount val="1"/>
                <c:pt idx="0">
                  <c:v>Cumulé + CORSIA*- ICEMAN</c:v>
                </c:pt>
              </c:strCache>
            </c:strRef>
          </c:tx>
          <c:spPr>
            <a:ln w="28575" cap="rnd">
              <a:solidFill>
                <a:schemeClr val="accent5"/>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07-0E4D-9D30-57BD94C8299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Trajectoires!$BQ$10:$BQ$42</c:f>
              <c:numCache>
                <c:formatCode>#,##0.0</c:formatCode>
                <c:ptCount val="33"/>
                <c:pt idx="0">
                  <c:v>1077.3809523809523</c:v>
                </c:pt>
                <c:pt idx="1">
                  <c:v>2165.4761904761904</c:v>
                </c:pt>
                <c:pt idx="2">
                  <c:v>2530.5309198380951</c:v>
                </c:pt>
                <c:pt idx="3">
                  <c:v>3329.5395270484501</c:v>
                </c:pt>
                <c:pt idx="4">
                  <c:v>4196.2528408662929</c:v>
                </c:pt>
                <c:pt idx="5">
                  <c:v>5136.1204199421854</c:v>
                </c:pt>
                <c:pt idx="6">
                  <c:v>6154.9694444443703</c:v>
                </c:pt>
                <c:pt idx="7">
                  <c:v>7202.0419322488924</c:v>
                </c:pt>
                <c:pt idx="8">
                  <c:v>8277.3700632375021</c:v>
                </c:pt>
                <c:pt idx="9">
                  <c:v>9367.9192217920136</c:v>
                </c:pt>
                <c:pt idx="10">
                  <c:v>10462.90356527611</c:v>
                </c:pt>
                <c:pt idx="11">
                  <c:v>11562.21463602222</c:v>
                </c:pt>
                <c:pt idx="12">
                  <c:v>12665.304607491875</c:v>
                </c:pt>
                <c:pt idx="13">
                  <c:v>13772.888641575435</c:v>
                </c:pt>
                <c:pt idx="14">
                  <c:v>14884.590077505705</c:v>
                </c:pt>
                <c:pt idx="15">
                  <c:v>16000.284329326987</c:v>
                </c:pt>
                <c:pt idx="16">
                  <c:v>17119.807348628376</c:v>
                </c:pt>
                <c:pt idx="17">
                  <c:v>18242.804455751833</c:v>
                </c:pt>
                <c:pt idx="18">
                  <c:v>19369.001741292283</c:v>
                </c:pt>
                <c:pt idx="19">
                  <c:v>20498.061571130886</c:v>
                </c:pt>
                <c:pt idx="20">
                  <c:v>21629.571748969644</c:v>
                </c:pt>
                <c:pt idx="21">
                  <c:v>22763.032792974846</c:v>
                </c:pt>
                <c:pt idx="22">
                  <c:v>23892.03655865942</c:v>
                </c:pt>
                <c:pt idx="23">
                  <c:v>25015.898360468302</c:v>
                </c:pt>
                <c:pt idx="24">
                  <c:v>26133.621734201632</c:v>
                </c:pt>
                <c:pt idx="25">
                  <c:v>27188.101914657829</c:v>
                </c:pt>
                <c:pt idx="26">
                  <c:v>28156.450880335295</c:v>
                </c:pt>
                <c:pt idx="27">
                  <c:v>29043.08292548795</c:v>
                </c:pt>
                <c:pt idx="28">
                  <c:v>29840.381636349837</c:v>
                </c:pt>
                <c:pt idx="29">
                  <c:v>30620.725493384969</c:v>
                </c:pt>
                <c:pt idx="30">
                  <c:v>31382.234215131539</c:v>
                </c:pt>
                <c:pt idx="31">
                  <c:v>32122.960395209084</c:v>
                </c:pt>
                <c:pt idx="32">
                  <c:v>32832.337749343387</c:v>
                </c:pt>
              </c:numCache>
            </c:numRef>
          </c:val>
          <c:smooth val="0"/>
          <c:extLst>
            <c:ext xmlns:c16="http://schemas.microsoft.com/office/drawing/2014/chart" uri="{C3380CC4-5D6E-409C-BE32-E72D297353CC}">
              <c16:uniqueId val="{00000003-9B07-0E4D-9D30-57BD94C82997}"/>
            </c:ext>
          </c:extLst>
        </c:ser>
        <c:ser>
          <c:idx val="4"/>
          <c:order val="4"/>
          <c:tx>
            <c:strRef>
              <c:f>Trajectoires!$BP$5</c:f>
              <c:strCache>
                <c:ptCount val="1"/>
                <c:pt idx="0">
                  <c:v>Cumulé + CORSIA*- MAVERICK</c:v>
                </c:pt>
              </c:strCache>
            </c:strRef>
          </c:tx>
          <c:spPr>
            <a:ln w="28575" cap="rnd">
              <a:solidFill>
                <a:schemeClr val="accent1"/>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07-0E4D-9D30-57BD94C8299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Trajectoires!$BP$10:$BP$42</c:f>
              <c:numCache>
                <c:formatCode>#,##0.0</c:formatCode>
                <c:ptCount val="33"/>
                <c:pt idx="0">
                  <c:v>1077.3809523809523</c:v>
                </c:pt>
                <c:pt idx="1">
                  <c:v>2165.4761904761904</c:v>
                </c:pt>
                <c:pt idx="2">
                  <c:v>2522.8427255072506</c:v>
                </c:pt>
                <c:pt idx="3">
                  <c:v>3315.7344708993892</c:v>
                </c:pt>
                <c:pt idx="4">
                  <c:v>4174.8017074444615</c:v>
                </c:pt>
                <c:pt idx="5">
                  <c:v>5105.1116899293911</c:v>
                </c:pt>
                <c:pt idx="6">
                  <c:v>6112.0137186928723</c:v>
                </c:pt>
                <c:pt idx="7">
                  <c:v>7137.3877112902301</c:v>
                </c:pt>
                <c:pt idx="8">
                  <c:v>8179.9891346917266</c:v>
                </c:pt>
                <c:pt idx="9">
                  <c:v>9235.5190306684017</c:v>
                </c:pt>
                <c:pt idx="10">
                  <c:v>10301.629769562896</c:v>
                </c:pt>
                <c:pt idx="11">
                  <c:v>11375.345769518273</c:v>
                </c:pt>
                <c:pt idx="12">
                  <c:v>12431.564414629216</c:v>
                </c:pt>
                <c:pt idx="13">
                  <c:v>13489.48419564992</c:v>
                </c:pt>
                <c:pt idx="14">
                  <c:v>14545.504954138585</c:v>
                </c:pt>
                <c:pt idx="15">
                  <c:v>15595.341877740035</c:v>
                </c:pt>
                <c:pt idx="16">
                  <c:v>16633.895971528287</c:v>
                </c:pt>
                <c:pt idx="17">
                  <c:v>17587.799111235676</c:v>
                </c:pt>
                <c:pt idx="18">
                  <c:v>18448.434684861215</c:v>
                </c:pt>
                <c:pt idx="19">
                  <c:v>19231.170008513422</c:v>
                </c:pt>
                <c:pt idx="20">
                  <c:v>19911.542871575486</c:v>
                </c:pt>
                <c:pt idx="21">
                  <c:v>20488.144313937333</c:v>
                </c:pt>
                <c:pt idx="22">
                  <c:v>21029.036614575034</c:v>
                </c:pt>
                <c:pt idx="23">
                  <c:v>21533.907517008964</c:v>
                </c:pt>
                <c:pt idx="24">
                  <c:v>22003.06462449293</c:v>
                </c:pt>
                <c:pt idx="25">
                  <c:v>22434.345142796763</c:v>
                </c:pt>
                <c:pt idx="26">
                  <c:v>22825.568179640781</c:v>
                </c:pt>
                <c:pt idx="27">
                  <c:v>23174.970866938202</c:v>
                </c:pt>
                <c:pt idx="28">
                  <c:v>23480.31117060591</c:v>
                </c:pt>
                <c:pt idx="29">
                  <c:v>23739.36541331439</c:v>
                </c:pt>
                <c:pt idx="30">
                  <c:v>23949.949008520016</c:v>
                </c:pt>
                <c:pt idx="31">
                  <c:v>24109.941088790147</c:v>
                </c:pt>
                <c:pt idx="32">
                  <c:v>24273.03388994743</c:v>
                </c:pt>
              </c:numCache>
            </c:numRef>
          </c:val>
          <c:smooth val="1"/>
          <c:extLst>
            <c:ext xmlns:c16="http://schemas.microsoft.com/office/drawing/2014/chart" uri="{C3380CC4-5D6E-409C-BE32-E72D297353CC}">
              <c16:uniqueId val="{00000005-9B07-0E4D-9D30-57BD94C82997}"/>
            </c:ext>
          </c:extLst>
        </c:ser>
        <c:ser>
          <c:idx val="6"/>
          <c:order val="5"/>
          <c:tx>
            <c:strRef>
              <c:f>Trajectoires!$AX$5</c:f>
              <c:strCache>
                <c:ptCount val="1"/>
                <c:pt idx="0">
                  <c:v>Budget carbone 2100 "+2°C à 50%"</c:v>
                </c:pt>
              </c:strCache>
            </c:strRef>
          </c:tx>
          <c:spPr>
            <a:ln w="19050" cap="rnd">
              <a:solidFill>
                <a:srgbClr val="FF0000"/>
              </a:solidFill>
              <a:prstDash val="dash"/>
              <a:round/>
            </a:ln>
            <a:effectLst/>
          </c:spPr>
          <c:marker>
            <c:symbol val="none"/>
          </c:marker>
          <c:val>
            <c:numRef>
              <c:f>Trajectoires!$AX$10:$AX$42</c:f>
              <c:numCache>
                <c:formatCode>#,##0.0</c:formatCode>
                <c:ptCount val="33"/>
                <c:pt idx="0">
                  <c:v>38079.402782490666</c:v>
                </c:pt>
                <c:pt idx="1">
                  <c:v>38079.402782490666</c:v>
                </c:pt>
                <c:pt idx="2">
                  <c:v>38079.402782490666</c:v>
                </c:pt>
                <c:pt idx="3">
                  <c:v>38079.402782490666</c:v>
                </c:pt>
                <c:pt idx="4">
                  <c:v>38079.402782490666</c:v>
                </c:pt>
                <c:pt idx="5">
                  <c:v>38079.402782490666</c:v>
                </c:pt>
                <c:pt idx="6">
                  <c:v>38079.402782490666</c:v>
                </c:pt>
                <c:pt idx="7">
                  <c:v>38079.402782490666</c:v>
                </c:pt>
                <c:pt idx="8">
                  <c:v>38079.402782490666</c:v>
                </c:pt>
                <c:pt idx="9">
                  <c:v>38079.402782490666</c:v>
                </c:pt>
                <c:pt idx="10">
                  <c:v>38079.402782490666</c:v>
                </c:pt>
                <c:pt idx="11">
                  <c:v>38079.402782490666</c:v>
                </c:pt>
                <c:pt idx="12">
                  <c:v>38079.402782490666</c:v>
                </c:pt>
                <c:pt idx="13">
                  <c:v>38079.402782490666</c:v>
                </c:pt>
                <c:pt idx="14">
                  <c:v>38079.402782490666</c:v>
                </c:pt>
                <c:pt idx="15">
                  <c:v>38079.402782490666</c:v>
                </c:pt>
                <c:pt idx="16">
                  <c:v>38079.402782490666</c:v>
                </c:pt>
                <c:pt idx="17">
                  <c:v>38079.402782490666</c:v>
                </c:pt>
                <c:pt idx="18">
                  <c:v>38079.402782490666</c:v>
                </c:pt>
                <c:pt idx="19">
                  <c:v>38079.402782490666</c:v>
                </c:pt>
                <c:pt idx="20">
                  <c:v>38079.402782490666</c:v>
                </c:pt>
                <c:pt idx="21">
                  <c:v>38079.402782490666</c:v>
                </c:pt>
                <c:pt idx="22">
                  <c:v>38079.402782490666</c:v>
                </c:pt>
                <c:pt idx="23">
                  <c:v>38079.402782490666</c:v>
                </c:pt>
                <c:pt idx="24">
                  <c:v>38079.402782490666</c:v>
                </c:pt>
                <c:pt idx="25">
                  <c:v>38079.402782490666</c:v>
                </c:pt>
                <c:pt idx="26">
                  <c:v>38079.402782490666</c:v>
                </c:pt>
                <c:pt idx="27">
                  <c:v>38079.402782490666</c:v>
                </c:pt>
                <c:pt idx="28">
                  <c:v>38079.402782490666</c:v>
                </c:pt>
                <c:pt idx="29">
                  <c:v>38079.402782490666</c:v>
                </c:pt>
                <c:pt idx="30">
                  <c:v>38079.402782490666</c:v>
                </c:pt>
                <c:pt idx="31">
                  <c:v>38079.402782490666</c:v>
                </c:pt>
                <c:pt idx="32">
                  <c:v>38079.402782490666</c:v>
                </c:pt>
              </c:numCache>
            </c:numRef>
          </c:val>
          <c:smooth val="0"/>
          <c:extLst>
            <c:ext xmlns:c16="http://schemas.microsoft.com/office/drawing/2014/chart" uri="{C3380CC4-5D6E-409C-BE32-E72D297353CC}">
              <c16:uniqueId val="{00000006-9B07-0E4D-9D30-57BD94C82997}"/>
            </c:ext>
          </c:extLst>
        </c:ser>
        <c:ser>
          <c:idx val="2"/>
          <c:order val="6"/>
          <c:tx>
            <c:strRef>
              <c:f>Trajectoires!$AW$5</c:f>
              <c:strCache>
                <c:ptCount val="1"/>
                <c:pt idx="0">
                  <c:v>Budget carbone 2100 "+2°C à 67%"</c:v>
                </c:pt>
              </c:strCache>
            </c:strRef>
          </c:tx>
          <c:spPr>
            <a:ln w="19050" cap="rnd">
              <a:solidFill>
                <a:schemeClr val="tx1">
                  <a:lumMod val="85000"/>
                  <a:lumOff val="15000"/>
                </a:schemeClr>
              </a:solidFill>
              <a:prstDash val="dash"/>
              <a:round/>
            </a:ln>
            <a:effectLst/>
          </c:spPr>
          <c:marker>
            <c:symbol val="none"/>
          </c:marker>
          <c:val>
            <c:numRef>
              <c:f>Trajectoires!$AW$10:$AW$42</c:f>
              <c:numCache>
                <c:formatCode>#,##0.0</c:formatCode>
                <c:ptCount val="33"/>
                <c:pt idx="0">
                  <c:v>29941.465897522903</c:v>
                </c:pt>
                <c:pt idx="1">
                  <c:v>29941.465897522903</c:v>
                </c:pt>
                <c:pt idx="2">
                  <c:v>29941.465897522903</c:v>
                </c:pt>
                <c:pt idx="3">
                  <c:v>29941.465897522903</c:v>
                </c:pt>
                <c:pt idx="4">
                  <c:v>29941.465897522903</c:v>
                </c:pt>
                <c:pt idx="5">
                  <c:v>29941.465897522903</c:v>
                </c:pt>
                <c:pt idx="6">
                  <c:v>29941.465897522903</c:v>
                </c:pt>
                <c:pt idx="7">
                  <c:v>29941.465897522903</c:v>
                </c:pt>
                <c:pt idx="8">
                  <c:v>29941.465897522903</c:v>
                </c:pt>
                <c:pt idx="9">
                  <c:v>29941.465897522903</c:v>
                </c:pt>
                <c:pt idx="10">
                  <c:v>29941.465897522903</c:v>
                </c:pt>
                <c:pt idx="11">
                  <c:v>29941.465897522903</c:v>
                </c:pt>
                <c:pt idx="12">
                  <c:v>29941.465897522903</c:v>
                </c:pt>
                <c:pt idx="13">
                  <c:v>29941.465897522903</c:v>
                </c:pt>
                <c:pt idx="14">
                  <c:v>29941.465897522903</c:v>
                </c:pt>
                <c:pt idx="15">
                  <c:v>29941.465897522903</c:v>
                </c:pt>
                <c:pt idx="16">
                  <c:v>29941.465897522903</c:v>
                </c:pt>
                <c:pt idx="17">
                  <c:v>29941.465897522903</c:v>
                </c:pt>
                <c:pt idx="18">
                  <c:v>29941.465897522903</c:v>
                </c:pt>
                <c:pt idx="19">
                  <c:v>29941.465897522903</c:v>
                </c:pt>
                <c:pt idx="20">
                  <c:v>29941.465897522903</c:v>
                </c:pt>
                <c:pt idx="21">
                  <c:v>29941.465897522903</c:v>
                </c:pt>
                <c:pt idx="22">
                  <c:v>29941.465897522903</c:v>
                </c:pt>
                <c:pt idx="23">
                  <c:v>29941.465897522903</c:v>
                </c:pt>
                <c:pt idx="24">
                  <c:v>29941.465897522903</c:v>
                </c:pt>
                <c:pt idx="25">
                  <c:v>29941.465897522903</c:v>
                </c:pt>
                <c:pt idx="26">
                  <c:v>29941.465897522903</c:v>
                </c:pt>
                <c:pt idx="27">
                  <c:v>29941.465897522903</c:v>
                </c:pt>
                <c:pt idx="28">
                  <c:v>29941.465897522903</c:v>
                </c:pt>
                <c:pt idx="29">
                  <c:v>29941.465897522903</c:v>
                </c:pt>
                <c:pt idx="30">
                  <c:v>29941.465897522903</c:v>
                </c:pt>
                <c:pt idx="31">
                  <c:v>29941.465897522903</c:v>
                </c:pt>
                <c:pt idx="32">
                  <c:v>29941.465897522903</c:v>
                </c:pt>
              </c:numCache>
            </c:numRef>
          </c:val>
          <c:smooth val="0"/>
          <c:extLst>
            <c:ext xmlns:c16="http://schemas.microsoft.com/office/drawing/2014/chart" uri="{C3380CC4-5D6E-409C-BE32-E72D297353CC}">
              <c16:uniqueId val="{00000007-9B07-0E4D-9D30-57BD94C82997}"/>
            </c:ext>
          </c:extLst>
        </c:ser>
        <c:ser>
          <c:idx val="5"/>
          <c:order val="7"/>
          <c:tx>
            <c:strRef>
              <c:f>Trajectoires!$AV$5</c:f>
              <c:strCache>
                <c:ptCount val="1"/>
                <c:pt idx="0">
                  <c:v>Budget carbone 2100 "+2°C à 84%"</c:v>
                </c:pt>
              </c:strCache>
            </c:strRef>
          </c:tx>
          <c:spPr>
            <a:ln w="19050" cap="rnd">
              <a:solidFill>
                <a:schemeClr val="accent4"/>
              </a:solidFill>
              <a:prstDash val="dash"/>
              <a:round/>
            </a:ln>
            <a:effectLst/>
          </c:spPr>
          <c:marker>
            <c:symbol val="none"/>
          </c:marker>
          <c:val>
            <c:numRef>
              <c:f>Trajectoires!$AV$10:$AV$42</c:f>
              <c:numCache>
                <c:formatCode>#,##0.0</c:formatCode>
                <c:ptCount val="33"/>
                <c:pt idx="0">
                  <c:v>23159.851826716433</c:v>
                </c:pt>
                <c:pt idx="1">
                  <c:v>23159.851826716433</c:v>
                </c:pt>
                <c:pt idx="2">
                  <c:v>23159.851826716433</c:v>
                </c:pt>
                <c:pt idx="3">
                  <c:v>23159.851826716433</c:v>
                </c:pt>
                <c:pt idx="4">
                  <c:v>23159.851826716433</c:v>
                </c:pt>
                <c:pt idx="5">
                  <c:v>23159.851826716433</c:v>
                </c:pt>
                <c:pt idx="6">
                  <c:v>23159.851826716433</c:v>
                </c:pt>
                <c:pt idx="7">
                  <c:v>23159.851826716433</c:v>
                </c:pt>
                <c:pt idx="8">
                  <c:v>23159.851826716433</c:v>
                </c:pt>
                <c:pt idx="9">
                  <c:v>23159.851826716433</c:v>
                </c:pt>
                <c:pt idx="10">
                  <c:v>23159.851826716433</c:v>
                </c:pt>
                <c:pt idx="11">
                  <c:v>23159.851826716433</c:v>
                </c:pt>
                <c:pt idx="12">
                  <c:v>23159.851826716433</c:v>
                </c:pt>
                <c:pt idx="13">
                  <c:v>23159.851826716433</c:v>
                </c:pt>
                <c:pt idx="14">
                  <c:v>23159.851826716433</c:v>
                </c:pt>
                <c:pt idx="15">
                  <c:v>23159.851826716433</c:v>
                </c:pt>
                <c:pt idx="16">
                  <c:v>23159.851826716433</c:v>
                </c:pt>
                <c:pt idx="17">
                  <c:v>23159.851826716433</c:v>
                </c:pt>
                <c:pt idx="18">
                  <c:v>23159.851826716433</c:v>
                </c:pt>
                <c:pt idx="19">
                  <c:v>23159.851826716433</c:v>
                </c:pt>
                <c:pt idx="20">
                  <c:v>23159.851826716433</c:v>
                </c:pt>
                <c:pt idx="21">
                  <c:v>23159.851826716433</c:v>
                </c:pt>
                <c:pt idx="22">
                  <c:v>23159.851826716433</c:v>
                </c:pt>
                <c:pt idx="23">
                  <c:v>23159.851826716433</c:v>
                </c:pt>
                <c:pt idx="24">
                  <c:v>23159.851826716433</c:v>
                </c:pt>
                <c:pt idx="25">
                  <c:v>23159.851826716433</c:v>
                </c:pt>
                <c:pt idx="26">
                  <c:v>23159.851826716433</c:v>
                </c:pt>
                <c:pt idx="27">
                  <c:v>23159.851826716433</c:v>
                </c:pt>
                <c:pt idx="28">
                  <c:v>23159.851826716433</c:v>
                </c:pt>
                <c:pt idx="29">
                  <c:v>23159.851826716433</c:v>
                </c:pt>
                <c:pt idx="30">
                  <c:v>23159.851826716433</c:v>
                </c:pt>
                <c:pt idx="31">
                  <c:v>23159.851826716433</c:v>
                </c:pt>
                <c:pt idx="32">
                  <c:v>23159.851826716433</c:v>
                </c:pt>
              </c:numCache>
            </c:numRef>
          </c:val>
          <c:smooth val="0"/>
          <c:extLst>
            <c:ext xmlns:c16="http://schemas.microsoft.com/office/drawing/2014/chart" uri="{C3380CC4-5D6E-409C-BE32-E72D297353CC}">
              <c16:uniqueId val="{00000008-9B07-0E4D-9D30-57BD94C82997}"/>
            </c:ext>
          </c:extLst>
        </c:ser>
        <c:ser>
          <c:idx val="0"/>
          <c:order val="8"/>
          <c:tx>
            <c:strRef>
              <c:f>Trajectoires!$AU$5</c:f>
              <c:strCache>
                <c:ptCount val="1"/>
                <c:pt idx="0">
                  <c:v>Budget carbone 2050 "+2°C à 67%"</c:v>
                </c:pt>
              </c:strCache>
            </c:strRef>
          </c:tx>
          <c:spPr>
            <a:ln w="28575" cap="rnd">
              <a:solidFill>
                <a:schemeClr val="tx1">
                  <a:lumMod val="75000"/>
                  <a:lumOff val="25000"/>
                </a:schemeClr>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07-0E4D-9D30-57BD94C82997}"/>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Trajectoires!$AU$10:$AU$42</c:f>
              <c:numCache>
                <c:formatCode>#,##0.0</c:formatCode>
                <c:ptCount val="33"/>
                <c:pt idx="0">
                  <c:v>21597.620036212185</c:v>
                </c:pt>
                <c:pt idx="1">
                  <c:v>21597.620036212185</c:v>
                </c:pt>
                <c:pt idx="2">
                  <c:v>21597.620036212185</c:v>
                </c:pt>
                <c:pt idx="3">
                  <c:v>21597.620036212185</c:v>
                </c:pt>
                <c:pt idx="4">
                  <c:v>21597.620036212185</c:v>
                </c:pt>
                <c:pt idx="5">
                  <c:v>21597.620036212185</c:v>
                </c:pt>
                <c:pt idx="6">
                  <c:v>21597.620036212185</c:v>
                </c:pt>
                <c:pt idx="7">
                  <c:v>21597.620036212185</c:v>
                </c:pt>
                <c:pt idx="8">
                  <c:v>21597.620036212185</c:v>
                </c:pt>
                <c:pt idx="9">
                  <c:v>21597.620036212185</c:v>
                </c:pt>
                <c:pt idx="10">
                  <c:v>21597.620036212185</c:v>
                </c:pt>
                <c:pt idx="11">
                  <c:v>21597.620036212185</c:v>
                </c:pt>
                <c:pt idx="12">
                  <c:v>21597.620036212185</c:v>
                </c:pt>
                <c:pt idx="13">
                  <c:v>21597.620036212185</c:v>
                </c:pt>
                <c:pt idx="14">
                  <c:v>21597.620036212185</c:v>
                </c:pt>
                <c:pt idx="15">
                  <c:v>21597.620036212185</c:v>
                </c:pt>
                <c:pt idx="16">
                  <c:v>21597.620036212185</c:v>
                </c:pt>
                <c:pt idx="17">
                  <c:v>21597.620036212185</c:v>
                </c:pt>
                <c:pt idx="18">
                  <c:v>21597.620036212185</c:v>
                </c:pt>
                <c:pt idx="19">
                  <c:v>21597.620036212185</c:v>
                </c:pt>
                <c:pt idx="20">
                  <c:v>21597.620036212185</c:v>
                </c:pt>
                <c:pt idx="21">
                  <c:v>21597.620036212185</c:v>
                </c:pt>
                <c:pt idx="22">
                  <c:v>21597.620036212185</c:v>
                </c:pt>
                <c:pt idx="23">
                  <c:v>21597.620036212185</c:v>
                </c:pt>
                <c:pt idx="24">
                  <c:v>21597.620036212185</c:v>
                </c:pt>
                <c:pt idx="25">
                  <c:v>21597.620036212185</c:v>
                </c:pt>
                <c:pt idx="26">
                  <c:v>21597.620036212185</c:v>
                </c:pt>
                <c:pt idx="27">
                  <c:v>21597.620036212185</c:v>
                </c:pt>
                <c:pt idx="28">
                  <c:v>21597.620036212185</c:v>
                </c:pt>
                <c:pt idx="29">
                  <c:v>21597.620036212185</c:v>
                </c:pt>
                <c:pt idx="30">
                  <c:v>21597.620036212185</c:v>
                </c:pt>
                <c:pt idx="31">
                  <c:v>21597.620036212185</c:v>
                </c:pt>
                <c:pt idx="32">
                  <c:v>21597.620036212185</c:v>
                </c:pt>
              </c:numCache>
            </c:numRef>
          </c:val>
          <c:smooth val="0"/>
          <c:extLst>
            <c:ext xmlns:c16="http://schemas.microsoft.com/office/drawing/2014/chart" uri="{C3380CC4-5D6E-409C-BE32-E72D297353CC}">
              <c16:uniqueId val="{0000000A-9B07-0E4D-9D30-57BD94C82997}"/>
            </c:ext>
          </c:extLst>
        </c:ser>
        <c:ser>
          <c:idx val="7"/>
          <c:order val="9"/>
          <c:tx>
            <c:strRef>
              <c:f>Trajectoires!$AY$5</c:f>
              <c:strCache>
                <c:ptCount val="1"/>
                <c:pt idx="0">
                  <c:v>Cumulé "+2°C à 67%"</c:v>
                </c:pt>
              </c:strCache>
            </c:strRef>
          </c:tx>
          <c:spPr>
            <a:ln w="19050" cap="rnd">
              <a:solidFill>
                <a:schemeClr val="tx1">
                  <a:lumMod val="85000"/>
                  <a:lumOff val="15000"/>
                </a:schemeClr>
              </a:solidFill>
              <a:round/>
            </a:ln>
            <a:effectLst/>
          </c:spPr>
          <c:marker>
            <c:symbol val="none"/>
          </c:marker>
          <c:val>
            <c:numRef>
              <c:f>Trajectoires!$AY$10:$AY$42</c:f>
              <c:numCache>
                <c:formatCode>#,##0.0</c:formatCode>
                <c:ptCount val="33"/>
                <c:pt idx="0">
                  <c:v>1077.3809523809523</c:v>
                </c:pt>
                <c:pt idx="1">
                  <c:v>2118.2386904761902</c:v>
                </c:pt>
                <c:pt idx="2">
                  <c:v>3123.8113512499995</c:v>
                </c:pt>
                <c:pt idx="3">
                  <c:v>4095.2950988235766</c:v>
                </c:pt>
                <c:pt idx="4">
                  <c:v>5033.8455473544091</c:v>
                </c:pt>
                <c:pt idx="5">
                  <c:v>5940.5791356800464</c:v>
                </c:pt>
                <c:pt idx="6">
                  <c:v>6816.574455361445</c:v>
                </c:pt>
                <c:pt idx="7">
                  <c:v>7662.8735337056441</c:v>
                </c:pt>
                <c:pt idx="8">
                  <c:v>8480.4830732939754</c:v>
                </c:pt>
                <c:pt idx="9">
                  <c:v>9270.3756494902609</c:v>
                </c:pt>
                <c:pt idx="10">
                  <c:v>10033.490867353492</c:v>
                </c:pt>
                <c:pt idx="11">
                  <c:v>10770.736479331161</c:v>
                </c:pt>
                <c:pt idx="12">
                  <c:v>11482.989465062787</c:v>
                </c:pt>
                <c:pt idx="13">
                  <c:v>12171.097074578111</c:v>
                </c:pt>
                <c:pt idx="14">
                  <c:v>12835.877836130865</c:v>
                </c:pt>
                <c:pt idx="15">
                  <c:v>13478.12252986698</c:v>
                </c:pt>
                <c:pt idx="16">
                  <c:v>14098.59512848544</c:v>
                </c:pt>
                <c:pt idx="17">
                  <c:v>14698.033706010736</c:v>
                </c:pt>
                <c:pt idx="18">
                  <c:v>15277.151315757923</c:v>
                </c:pt>
                <c:pt idx="19">
                  <c:v>15836.636838534681</c:v>
                </c:pt>
                <c:pt idx="20">
                  <c:v>16377.155802089308</c:v>
                </c:pt>
                <c:pt idx="21">
                  <c:v>16899.351172779432</c:v>
                </c:pt>
                <c:pt idx="22">
                  <c:v>17403.844120403162</c:v>
                </c:pt>
                <c:pt idx="23">
                  <c:v>17891.234757102447</c:v>
                </c:pt>
                <c:pt idx="24">
                  <c:v>18362.102851217627</c:v>
                </c:pt>
                <c:pt idx="25">
                  <c:v>18817.0085169423</c:v>
                </c:pt>
                <c:pt idx="26">
                  <c:v>19256.492880598908</c:v>
                </c:pt>
                <c:pt idx="27">
                  <c:v>19681.078724327555</c:v>
                </c:pt>
                <c:pt idx="28">
                  <c:v>20091.271107953802</c:v>
                </c:pt>
                <c:pt idx="29">
                  <c:v>20487.55796977512</c:v>
                </c:pt>
                <c:pt idx="30">
                  <c:v>20870.410706980696</c:v>
                </c:pt>
                <c:pt idx="31">
                  <c:v>21240.284736395002</c:v>
                </c:pt>
                <c:pt idx="32">
                  <c:v>21597.620036212164</c:v>
                </c:pt>
              </c:numCache>
            </c:numRef>
          </c:val>
          <c:smooth val="0"/>
          <c:extLst>
            <c:ext xmlns:c16="http://schemas.microsoft.com/office/drawing/2014/chart" uri="{C3380CC4-5D6E-409C-BE32-E72D297353CC}">
              <c16:uniqueId val="{0000000B-9B07-0E4D-9D30-57BD94C82997}"/>
            </c:ext>
          </c:extLst>
        </c:ser>
        <c:dLbls>
          <c:showLegendKey val="0"/>
          <c:showVal val="0"/>
          <c:showCatName val="0"/>
          <c:showSerName val="0"/>
          <c:showPercent val="0"/>
          <c:showBubbleSize val="0"/>
        </c:dLbls>
        <c:smooth val="0"/>
        <c:axId val="1859159200"/>
        <c:axId val="1992515312"/>
      </c:lineChart>
      <c:catAx>
        <c:axId val="185915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515312"/>
        <c:crosses val="autoZero"/>
        <c:auto val="1"/>
        <c:lblAlgn val="ctr"/>
        <c:lblOffset val="100"/>
        <c:noMultiLvlLbl val="0"/>
      </c:catAx>
      <c:valAx>
        <c:axId val="199251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59200"/>
        <c:crosses val="autoZero"/>
        <c:crossBetween val="between"/>
      </c:valAx>
      <c:spPr>
        <a:noFill/>
        <a:ln>
          <a:noFill/>
        </a:ln>
        <a:effectLst/>
      </c:spPr>
    </c:plotArea>
    <c:legend>
      <c:legendPos val="r"/>
      <c:layout>
        <c:manualLayout>
          <c:xMode val="edge"/>
          <c:yMode val="edge"/>
          <c:x val="0.68184226929412928"/>
          <c:y val="0.12897590208786286"/>
          <c:w val="0.3162577903522118"/>
          <c:h val="0.85403706511507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Trajectoire au budget</a:t>
            </a:r>
            <a:r>
              <a:rPr lang="fr-FR" sz="1200" baseline="0"/>
              <a:t> : Scenario ICEMAN , reprise en 2024, -0,8%/an à partir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9072818209174915"/>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2D-1E45-9627-D3513B817EF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ED2D-1E45-9627-D3513B817EFD}"/>
            </c:ext>
          </c:extLst>
        </c:ser>
        <c:ser>
          <c:idx val="5"/>
          <c:order val="1"/>
          <c:tx>
            <c:strRef>
              <c:f>Trajectoires!$S$5</c:f>
              <c:strCache>
                <c:ptCount val="1"/>
                <c:pt idx="0">
                  <c:v>Réduction de l'offre</c:v>
                </c:pt>
              </c:strCache>
            </c:strRef>
          </c:tx>
          <c:spPr>
            <a:ln w="28575" cap="rnd">
              <a:solidFill>
                <a:srgbClr val="7030A0"/>
              </a:solidFill>
              <a:round/>
            </a:ln>
            <a:effectLst/>
          </c:spPr>
          <c:marker>
            <c:symbol val="none"/>
          </c:marker>
          <c:dLbls>
            <c:dLbl>
              <c:idx val="32"/>
              <c:layout>
                <c:manualLayout>
                  <c:x val="-3.8475795013689857E-3"/>
                  <c:y val="3.2102341149133794E-4"/>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2D-1E45-9627-D3513B817EF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Trajectoires!$S$10:$S$42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3-ED2D-1E45-9627-D3513B817EFD}"/>
            </c:ext>
          </c:extLst>
        </c:ser>
        <c:ser>
          <c:idx val="4"/>
          <c:order val="2"/>
          <c:tx>
            <c:strRef>
              <c:f>Trajectoires!$AR$5</c:f>
              <c:strCache>
                <c:ptCount val="1"/>
                <c:pt idx="0">
                  <c:v>Trajectoire + CORSIA*- ICEMAN</c:v>
                </c:pt>
              </c:strCache>
            </c:strRef>
          </c:tx>
          <c:spPr>
            <a:ln w="28575" cap="rnd">
              <a:solidFill>
                <a:schemeClr val="accent5"/>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2D-1E45-9627-D3513B817EF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Trajectoires!$AR$10:$AR$42</c:f>
              <c:numCache>
                <c:formatCode>#,##0.0</c:formatCode>
                <c:ptCount val="33"/>
                <c:pt idx="0">
                  <c:v>1077.3809523809523</c:v>
                </c:pt>
                <c:pt idx="1">
                  <c:v>1088.0952380952381</c:v>
                </c:pt>
                <c:pt idx="2" formatCode="0.0">
                  <c:v>365.05472936190472</c:v>
                </c:pt>
                <c:pt idx="3" formatCode="0.0">
                  <c:v>799.00860721035497</c:v>
                </c:pt>
                <c:pt idx="4" formatCode="0.0">
                  <c:v>866.7133138178425</c:v>
                </c:pt>
                <c:pt idx="5" formatCode="0.0">
                  <c:v>939.86757907589242</c:v>
                </c:pt>
                <c:pt idx="6" formatCode="0.0">
                  <c:v>1018.8490245021845</c:v>
                </c:pt>
                <c:pt idx="7" formatCode="0.0">
                  <c:v>1047.0724878045223</c:v>
                </c:pt>
                <c:pt idx="8" formatCode="0.0">
                  <c:v>1075.3281309886097</c:v>
                </c:pt>
                <c:pt idx="9" formatCode="0.0">
                  <c:v>1090.549158554511</c:v>
                </c:pt>
                <c:pt idx="10" formatCode="0.0">
                  <c:v>1094.9843434840964</c:v>
                </c:pt>
                <c:pt idx="11" formatCode="0.0">
                  <c:v>1099.3110707461092</c:v>
                </c:pt>
                <c:pt idx="12" formatCode="0.0">
                  <c:v>1103.0899714696559</c:v>
                </c:pt>
                <c:pt idx="13" formatCode="0.0">
                  <c:v>1107.5840340835605</c:v>
                </c:pt>
                <c:pt idx="14" formatCode="0.0">
                  <c:v>1111.7014359302707</c:v>
                </c:pt>
                <c:pt idx="15" formatCode="0.0">
                  <c:v>1115.6942518212825</c:v>
                </c:pt>
                <c:pt idx="16" formatCode="0.0">
                  <c:v>1119.5230193013888</c:v>
                </c:pt>
                <c:pt idx="17" formatCode="0.0">
                  <c:v>1122.9971071234565</c:v>
                </c:pt>
                <c:pt idx="18" formatCode="0.0">
                  <c:v>1126.1972855404481</c:v>
                </c:pt>
                <c:pt idx="19" formatCode="0.0">
                  <c:v>1129.0598298386035</c:v>
                </c:pt>
                <c:pt idx="20" formatCode="0.0">
                  <c:v>1131.5101778387575</c:v>
                </c:pt>
                <c:pt idx="21" formatCode="0.0">
                  <c:v>1133.4610440052033</c:v>
                </c:pt>
                <c:pt idx="22" formatCode="0.0">
                  <c:v>1129.0037656845743</c:v>
                </c:pt>
                <c:pt idx="23" formatCode="0.0">
                  <c:v>1123.8618018088819</c:v>
                </c:pt>
                <c:pt idx="24" formatCode="0.0">
                  <c:v>1117.7233737333299</c:v>
                </c:pt>
                <c:pt idx="25" formatCode="0.0">
                  <c:v>1054.4801804561971</c:v>
                </c:pt>
                <c:pt idx="26" formatCode="0.0">
                  <c:v>968.34896567746387</c:v>
                </c:pt>
                <c:pt idx="27" formatCode="0.0">
                  <c:v>886.63204515265659</c:v>
                </c:pt>
                <c:pt idx="28" formatCode="0.0">
                  <c:v>797.29871086188632</c:v>
                </c:pt>
                <c:pt idx="29" formatCode="0.0">
                  <c:v>780.3438570351334</c:v>
                </c:pt>
                <c:pt idx="30" formatCode="0.0">
                  <c:v>761.50872174657036</c:v>
                </c:pt>
                <c:pt idx="31" formatCode="0.0">
                  <c:v>740.72618007754647</c:v>
                </c:pt>
                <c:pt idx="32" formatCode="0.0">
                  <c:v>709.37735413430096</c:v>
                </c:pt>
              </c:numCache>
            </c:numRef>
          </c:val>
          <c:smooth val="1"/>
          <c:extLst>
            <c:ext xmlns:c16="http://schemas.microsoft.com/office/drawing/2014/chart" uri="{C3380CC4-5D6E-409C-BE32-E72D297353CC}">
              <c16:uniqueId val="{00000005-ED2D-1E45-9627-D3513B817EFD}"/>
            </c:ext>
          </c:extLst>
        </c:ser>
        <c:ser>
          <c:idx val="0"/>
          <c:order val="3"/>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2D-1E45-9627-D3513B817EFD}"/>
                </c:ext>
              </c:extLst>
            </c:dLbl>
            <c:dLbl>
              <c:idx val="32"/>
              <c:layout>
                <c:manualLayout>
                  <c:x val="-1.9237897506844224E-3"/>
                  <c:y val="-4.2813440510368404E-4"/>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2D-1E45-9627-D3513B817EFD}"/>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8-ED2D-1E45-9627-D3513B817EFD}"/>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671765080728756"/>
          <c:y val="0.26821242896157438"/>
          <c:w val="0.27328234919271255"/>
          <c:h val="0.637336106249152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Trajectoire au budget</a:t>
            </a:r>
            <a:r>
              <a:rPr lang="fr-FR" sz="1200" baseline="0"/>
              <a:t> : Scenario MAVERICK , Stabilisation en 2032 à 133% du trafic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9072818209174915"/>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16-FA45-828D-ABF172D879F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4616-FA45-828D-ABF172D879F4}"/>
            </c:ext>
          </c:extLst>
        </c:ser>
        <c:ser>
          <c:idx val="5"/>
          <c:order val="1"/>
          <c:tx>
            <c:strRef>
              <c:f>Trajectoires!$T$5</c:f>
              <c:strCache>
                <c:ptCount val="1"/>
                <c:pt idx="0">
                  <c:v>Stabilisation à 102%</c:v>
                </c:pt>
              </c:strCache>
            </c:strRef>
          </c:tx>
          <c:spPr>
            <a:ln w="28575" cap="rnd">
              <a:solidFill>
                <a:srgbClr val="7030A0"/>
              </a:solidFill>
              <a:round/>
            </a:ln>
            <a:effectLst/>
          </c:spPr>
          <c:marker>
            <c:symbol val="none"/>
          </c:marker>
          <c:dLbls>
            <c:dLbl>
              <c:idx val="32"/>
              <c:layout>
                <c:manualLayout>
                  <c:x val="-3.8475795013689857E-3"/>
                  <c:y val="3.2102341149133794E-4"/>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16-FA45-828D-ABF172D879F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Trajectoires!$T$10:$T$42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1109.9511777788659</c:v>
                </c:pt>
                <c:pt idx="8">
                  <c:v>1109.9511777788659</c:v>
                </c:pt>
                <c:pt idx="9">
                  <c:v>1109.9511777788659</c:v>
                </c:pt>
                <c:pt idx="10">
                  <c:v>1109.9511777788659</c:v>
                </c:pt>
                <c:pt idx="11">
                  <c:v>1109.9511777788659</c:v>
                </c:pt>
                <c:pt idx="12">
                  <c:v>1109.9511777788659</c:v>
                </c:pt>
                <c:pt idx="13">
                  <c:v>1109.9511777788659</c:v>
                </c:pt>
                <c:pt idx="14">
                  <c:v>1109.9511777788659</c:v>
                </c:pt>
                <c:pt idx="15">
                  <c:v>1109.9511777788659</c:v>
                </c:pt>
                <c:pt idx="16">
                  <c:v>1109.9511777788659</c:v>
                </c:pt>
                <c:pt idx="17">
                  <c:v>1109.9511777788659</c:v>
                </c:pt>
                <c:pt idx="18">
                  <c:v>1109.9511777788659</c:v>
                </c:pt>
                <c:pt idx="19">
                  <c:v>1109.9511777788659</c:v>
                </c:pt>
                <c:pt idx="20">
                  <c:v>1109.9511777788659</c:v>
                </c:pt>
                <c:pt idx="21">
                  <c:v>1109.9511777788659</c:v>
                </c:pt>
                <c:pt idx="22">
                  <c:v>1109.9511777788659</c:v>
                </c:pt>
                <c:pt idx="23">
                  <c:v>1109.9511777788659</c:v>
                </c:pt>
                <c:pt idx="24">
                  <c:v>1109.9511777788659</c:v>
                </c:pt>
                <c:pt idx="25">
                  <c:v>1109.9511777788659</c:v>
                </c:pt>
                <c:pt idx="26">
                  <c:v>1109.9511777788659</c:v>
                </c:pt>
                <c:pt idx="27">
                  <c:v>1109.9511777788659</c:v>
                </c:pt>
                <c:pt idx="28">
                  <c:v>1109.9511777788659</c:v>
                </c:pt>
                <c:pt idx="29">
                  <c:v>1109.9511777788659</c:v>
                </c:pt>
                <c:pt idx="30">
                  <c:v>1109.9511777788659</c:v>
                </c:pt>
                <c:pt idx="31">
                  <c:v>1109.9511777788659</c:v>
                </c:pt>
                <c:pt idx="32">
                  <c:v>1109.9511777788659</c:v>
                </c:pt>
              </c:numCache>
            </c:numRef>
          </c:val>
          <c:smooth val="1"/>
          <c:extLst>
            <c:ext xmlns:c16="http://schemas.microsoft.com/office/drawing/2014/chart" uri="{C3380CC4-5D6E-409C-BE32-E72D297353CC}">
              <c16:uniqueId val="{00000003-4616-FA45-828D-ABF172D879F4}"/>
            </c:ext>
          </c:extLst>
        </c:ser>
        <c:ser>
          <c:idx val="4"/>
          <c:order val="2"/>
          <c:tx>
            <c:strRef>
              <c:f>Trajectoires!$AQ$5</c:f>
              <c:strCache>
                <c:ptCount val="1"/>
                <c:pt idx="0">
                  <c:v>Trajectoire + CORSIA*- MAVERICK</c:v>
                </c:pt>
              </c:strCache>
            </c:strRef>
          </c:tx>
          <c:spPr>
            <a:ln w="28575" cap="rnd">
              <a:solidFill>
                <a:schemeClr val="accent5"/>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16-FA45-828D-ABF172D879F4}"/>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Trajectoires!$AQ$10:$AQ$42</c:f>
              <c:numCache>
                <c:formatCode>#,##0.0</c:formatCode>
                <c:ptCount val="33"/>
                <c:pt idx="0">
                  <c:v>1077.3809523809523</c:v>
                </c:pt>
                <c:pt idx="1">
                  <c:v>1088.0952380952381</c:v>
                </c:pt>
                <c:pt idx="2" formatCode="0.0">
                  <c:v>357.36653503106038</c:v>
                </c:pt>
                <c:pt idx="3" formatCode="0.0">
                  <c:v>792.89174539213866</c:v>
                </c:pt>
                <c:pt idx="4" formatCode="0.0">
                  <c:v>859.06723654507209</c:v>
                </c:pt>
                <c:pt idx="5" formatCode="0.0">
                  <c:v>930.30998248492938</c:v>
                </c:pt>
                <c:pt idx="6" formatCode="0.0">
                  <c:v>1006.902028763481</c:v>
                </c:pt>
                <c:pt idx="7" formatCode="0.0">
                  <c:v>1025.3739925973578</c:v>
                </c:pt>
                <c:pt idx="8" formatCode="0.0">
                  <c:v>1042.6014234014965</c:v>
                </c:pt>
                <c:pt idx="9" formatCode="0.0">
                  <c:v>1055.5298959766753</c:v>
                </c:pt>
                <c:pt idx="10" formatCode="0.0">
                  <c:v>1066.1107388944943</c:v>
                </c:pt>
                <c:pt idx="11" formatCode="0.0">
                  <c:v>1073.7159999553769</c:v>
                </c:pt>
                <c:pt idx="12" formatCode="0.0">
                  <c:v>1056.2186451109426</c:v>
                </c:pt>
                <c:pt idx="13" formatCode="0.0">
                  <c:v>1057.9197810207045</c:v>
                </c:pt>
                <c:pt idx="14" formatCode="0.0">
                  <c:v>1056.0207584886643</c:v>
                </c:pt>
                <c:pt idx="15" formatCode="0.0">
                  <c:v>1049.8369236014494</c:v>
                </c:pt>
                <c:pt idx="16" formatCode="0.0">
                  <c:v>1038.5540937882529</c:v>
                </c:pt>
                <c:pt idx="17" formatCode="0.0">
                  <c:v>953.90313970738987</c:v>
                </c:pt>
                <c:pt idx="18" formatCode="0.0">
                  <c:v>860.63557362553956</c:v>
                </c:pt>
                <c:pt idx="19" formatCode="0.0">
                  <c:v>782.73532365220626</c:v>
                </c:pt>
                <c:pt idx="20" formatCode="0.0">
                  <c:v>680.37286306206363</c:v>
                </c:pt>
                <c:pt idx="21" formatCode="0.0">
                  <c:v>576.60144236184613</c:v>
                </c:pt>
                <c:pt idx="22" formatCode="0.0">
                  <c:v>540.89230063770037</c:v>
                </c:pt>
                <c:pt idx="23" formatCode="0.0">
                  <c:v>504.87090243393021</c:v>
                </c:pt>
                <c:pt idx="24" formatCode="0.0">
                  <c:v>469.15710748396538</c:v>
                </c:pt>
                <c:pt idx="25" formatCode="0.0">
                  <c:v>431.28051830383129</c:v>
                </c:pt>
                <c:pt idx="26" formatCode="0.0">
                  <c:v>391.2230368440184</c:v>
                </c:pt>
                <c:pt idx="27" formatCode="0.0">
                  <c:v>349.40268729742041</c:v>
                </c:pt>
                <c:pt idx="28" formatCode="0.0">
                  <c:v>305.34030366770816</c:v>
                </c:pt>
                <c:pt idx="29" formatCode="0.0">
                  <c:v>259.05424270847999</c:v>
                </c:pt>
                <c:pt idx="30" formatCode="0.0">
                  <c:v>210.58359520562709</c:v>
                </c:pt>
                <c:pt idx="31" formatCode="0.0">
                  <c:v>159.99208027013219</c:v>
                </c:pt>
                <c:pt idx="32" formatCode="0.0">
                  <c:v>163.09280115728379</c:v>
                </c:pt>
              </c:numCache>
            </c:numRef>
          </c:val>
          <c:smooth val="1"/>
          <c:extLst>
            <c:ext xmlns:c16="http://schemas.microsoft.com/office/drawing/2014/chart" uri="{C3380CC4-5D6E-409C-BE32-E72D297353CC}">
              <c16:uniqueId val="{00000005-4616-FA45-828D-ABF172D879F4}"/>
            </c:ext>
          </c:extLst>
        </c:ser>
        <c:ser>
          <c:idx val="0"/>
          <c:order val="3"/>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16-FA45-828D-ABF172D879F4}"/>
                </c:ext>
              </c:extLst>
            </c:dLbl>
            <c:dLbl>
              <c:idx val="32"/>
              <c:layout>
                <c:manualLayout>
                  <c:x val="-1.9237897506844224E-3"/>
                  <c:y val="-4.2813440510368404E-4"/>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16-FA45-828D-ABF172D879F4}"/>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8-4616-FA45-828D-ABF172D879F4}"/>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671765080728756"/>
          <c:y val="0.26821242896157438"/>
          <c:w val="0.27328234919271255"/>
          <c:h val="0.637336106249152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Trajectoire au budget</a:t>
            </a:r>
            <a:r>
              <a:rPr lang="fr-FR" sz="1200" baseline="0"/>
              <a:t> : Scenario ICEMAN , </a:t>
            </a:r>
            <a:r>
              <a:rPr lang="fr-FR" sz="1400" b="0" i="0" u="none" strike="noStrike" baseline="0">
                <a:effectLst/>
              </a:rPr>
              <a:t>Stabilisation en 2024 à 94% du trafic 2019</a:t>
            </a:r>
            <a:r>
              <a:rPr lang="fr-FR" sz="1400" b="0" i="0" u="none" strike="noStrike" baseline="0"/>
              <a:t> </a:t>
            </a:r>
            <a:endParaRPr lang="fr-FR" sz="1200"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9072818209174915"/>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5-1846-82BE-0BD2BB3EB0B3}"/>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7775-1846-82BE-0BD2BB3EB0B3}"/>
            </c:ext>
          </c:extLst>
        </c:ser>
        <c:ser>
          <c:idx val="5"/>
          <c:order val="1"/>
          <c:tx>
            <c:strRef>
              <c:f>Trajectoires!$T$5</c:f>
              <c:strCache>
                <c:ptCount val="1"/>
                <c:pt idx="0">
                  <c:v>Stabilisation à 102%</c:v>
                </c:pt>
              </c:strCache>
            </c:strRef>
          </c:tx>
          <c:spPr>
            <a:ln w="28575" cap="rnd">
              <a:solidFill>
                <a:srgbClr val="7030A0"/>
              </a:solidFill>
              <a:round/>
            </a:ln>
            <a:effectLst/>
          </c:spPr>
          <c:marker>
            <c:symbol val="none"/>
          </c:marker>
          <c:dLbls>
            <c:dLbl>
              <c:idx val="32"/>
              <c:layout>
                <c:manualLayout>
                  <c:x val="-3.8475795013689857E-3"/>
                  <c:y val="3.2102341149133794E-4"/>
                </c:manualLayout>
              </c:layout>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75-1846-82BE-0BD2BB3EB0B3}"/>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Trajectoires!$T$10:$T$42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1109.9511777788659</c:v>
                </c:pt>
                <c:pt idx="8">
                  <c:v>1109.9511777788659</c:v>
                </c:pt>
                <c:pt idx="9">
                  <c:v>1109.9511777788659</c:v>
                </c:pt>
                <c:pt idx="10">
                  <c:v>1109.9511777788659</c:v>
                </c:pt>
                <c:pt idx="11">
                  <c:v>1109.9511777788659</c:v>
                </c:pt>
                <c:pt idx="12">
                  <c:v>1109.9511777788659</c:v>
                </c:pt>
                <c:pt idx="13">
                  <c:v>1109.9511777788659</c:v>
                </c:pt>
                <c:pt idx="14">
                  <c:v>1109.9511777788659</c:v>
                </c:pt>
                <c:pt idx="15">
                  <c:v>1109.9511777788659</c:v>
                </c:pt>
                <c:pt idx="16">
                  <c:v>1109.9511777788659</c:v>
                </c:pt>
                <c:pt idx="17">
                  <c:v>1109.9511777788659</c:v>
                </c:pt>
                <c:pt idx="18">
                  <c:v>1109.9511777788659</c:v>
                </c:pt>
                <c:pt idx="19">
                  <c:v>1109.9511777788659</c:v>
                </c:pt>
                <c:pt idx="20">
                  <c:v>1109.9511777788659</c:v>
                </c:pt>
                <c:pt idx="21">
                  <c:v>1109.9511777788659</c:v>
                </c:pt>
                <c:pt idx="22">
                  <c:v>1109.9511777788659</c:v>
                </c:pt>
                <c:pt idx="23">
                  <c:v>1109.9511777788659</c:v>
                </c:pt>
                <c:pt idx="24">
                  <c:v>1109.9511777788659</c:v>
                </c:pt>
                <c:pt idx="25">
                  <c:v>1109.9511777788659</c:v>
                </c:pt>
                <c:pt idx="26">
                  <c:v>1109.9511777788659</c:v>
                </c:pt>
                <c:pt idx="27">
                  <c:v>1109.9511777788659</c:v>
                </c:pt>
                <c:pt idx="28">
                  <c:v>1109.9511777788659</c:v>
                </c:pt>
                <c:pt idx="29">
                  <c:v>1109.9511777788659</c:v>
                </c:pt>
                <c:pt idx="30">
                  <c:v>1109.9511777788659</c:v>
                </c:pt>
                <c:pt idx="31">
                  <c:v>1109.9511777788659</c:v>
                </c:pt>
                <c:pt idx="32">
                  <c:v>1109.9511777788659</c:v>
                </c:pt>
              </c:numCache>
            </c:numRef>
          </c:val>
          <c:smooth val="1"/>
          <c:extLst>
            <c:ext xmlns:c16="http://schemas.microsoft.com/office/drawing/2014/chart" uri="{C3380CC4-5D6E-409C-BE32-E72D297353CC}">
              <c16:uniqueId val="{00000003-7775-1846-82BE-0BD2BB3EB0B3}"/>
            </c:ext>
          </c:extLst>
        </c:ser>
        <c:ser>
          <c:idx val="4"/>
          <c:order val="2"/>
          <c:tx>
            <c:strRef>
              <c:f>Trajectoires!$AR$5</c:f>
              <c:strCache>
                <c:ptCount val="1"/>
                <c:pt idx="0">
                  <c:v>Trajectoire + CORSIA*- ICEMAN</c:v>
                </c:pt>
              </c:strCache>
            </c:strRef>
          </c:tx>
          <c:spPr>
            <a:ln w="28575" cap="rnd">
              <a:solidFill>
                <a:schemeClr val="accent5"/>
              </a:solidFill>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75-1846-82BE-0BD2BB3EB0B3}"/>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Trajectoires!$AR$10:$AR$42</c:f>
              <c:numCache>
                <c:formatCode>#,##0.0</c:formatCode>
                <c:ptCount val="33"/>
                <c:pt idx="0">
                  <c:v>1077.3809523809523</c:v>
                </c:pt>
                <c:pt idx="1">
                  <c:v>1088.0952380952381</c:v>
                </c:pt>
                <c:pt idx="2" formatCode="0.0">
                  <c:v>365.05472936190472</c:v>
                </c:pt>
                <c:pt idx="3" formatCode="0.0">
                  <c:v>799.00860721035497</c:v>
                </c:pt>
                <c:pt idx="4" formatCode="0.0">
                  <c:v>866.7133138178425</c:v>
                </c:pt>
                <c:pt idx="5" formatCode="0.0">
                  <c:v>939.86757907589242</c:v>
                </c:pt>
                <c:pt idx="6" formatCode="0.0">
                  <c:v>1018.8490245021845</c:v>
                </c:pt>
                <c:pt idx="7" formatCode="0.0">
                  <c:v>1047.0724878045223</c:v>
                </c:pt>
                <c:pt idx="8" formatCode="0.0">
                  <c:v>1075.3281309886097</c:v>
                </c:pt>
                <c:pt idx="9" formatCode="0.0">
                  <c:v>1090.549158554511</c:v>
                </c:pt>
                <c:pt idx="10" formatCode="0.0">
                  <c:v>1094.9843434840964</c:v>
                </c:pt>
                <c:pt idx="11" formatCode="0.0">
                  <c:v>1099.3110707461092</c:v>
                </c:pt>
                <c:pt idx="12" formatCode="0.0">
                  <c:v>1103.0899714696559</c:v>
                </c:pt>
                <c:pt idx="13" formatCode="0.0">
                  <c:v>1107.5840340835605</c:v>
                </c:pt>
                <c:pt idx="14" formatCode="0.0">
                  <c:v>1111.7014359302707</c:v>
                </c:pt>
                <c:pt idx="15" formatCode="0.0">
                  <c:v>1115.6942518212825</c:v>
                </c:pt>
                <c:pt idx="16" formatCode="0.0">
                  <c:v>1119.5230193013888</c:v>
                </c:pt>
                <c:pt idx="17" formatCode="0.0">
                  <c:v>1122.9971071234565</c:v>
                </c:pt>
                <c:pt idx="18" formatCode="0.0">
                  <c:v>1126.1972855404481</c:v>
                </c:pt>
                <c:pt idx="19" formatCode="0.0">
                  <c:v>1129.0598298386035</c:v>
                </c:pt>
                <c:pt idx="20" formatCode="0.0">
                  <c:v>1131.5101778387575</c:v>
                </c:pt>
                <c:pt idx="21" formatCode="0.0">
                  <c:v>1133.4610440052033</c:v>
                </c:pt>
                <c:pt idx="22" formatCode="0.0">
                  <c:v>1129.0037656845743</c:v>
                </c:pt>
                <c:pt idx="23" formatCode="0.0">
                  <c:v>1123.8618018088819</c:v>
                </c:pt>
                <c:pt idx="24" formatCode="0.0">
                  <c:v>1117.7233737333299</c:v>
                </c:pt>
                <c:pt idx="25" formatCode="0.0">
                  <c:v>1054.4801804561971</c:v>
                </c:pt>
                <c:pt idx="26" formatCode="0.0">
                  <c:v>968.34896567746387</c:v>
                </c:pt>
                <c:pt idx="27" formatCode="0.0">
                  <c:v>886.63204515265659</c:v>
                </c:pt>
                <c:pt idx="28" formatCode="0.0">
                  <c:v>797.29871086188632</c:v>
                </c:pt>
                <c:pt idx="29" formatCode="0.0">
                  <c:v>780.3438570351334</c:v>
                </c:pt>
                <c:pt idx="30" formatCode="0.0">
                  <c:v>761.50872174657036</c:v>
                </c:pt>
                <c:pt idx="31" formatCode="0.0">
                  <c:v>740.72618007754647</c:v>
                </c:pt>
                <c:pt idx="32" formatCode="0.0">
                  <c:v>709.37735413430096</c:v>
                </c:pt>
              </c:numCache>
            </c:numRef>
          </c:val>
          <c:smooth val="1"/>
          <c:extLst>
            <c:ext xmlns:c16="http://schemas.microsoft.com/office/drawing/2014/chart" uri="{C3380CC4-5D6E-409C-BE32-E72D297353CC}">
              <c16:uniqueId val="{00000005-7775-1846-82BE-0BD2BB3EB0B3}"/>
            </c:ext>
          </c:extLst>
        </c:ser>
        <c:ser>
          <c:idx val="0"/>
          <c:order val="3"/>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75-1846-82BE-0BD2BB3EB0B3}"/>
                </c:ext>
              </c:extLst>
            </c:dLbl>
            <c:dLbl>
              <c:idx val="32"/>
              <c:layout>
                <c:manualLayout>
                  <c:x val="-1.9237897506844224E-3"/>
                  <c:y val="-4.2813440510368404E-4"/>
                </c:manualLayout>
              </c:layout>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75-1846-82BE-0BD2BB3EB0B3}"/>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8-7775-1846-82BE-0BD2BB3EB0B3}"/>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671765080728756"/>
          <c:y val="0.26821242896157438"/>
          <c:w val="0.27328234919271255"/>
          <c:h val="0.637336106249152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Trajectoire</a:t>
            </a:r>
            <a:r>
              <a:rPr lang="fr-FR" baseline="0"/>
              <a:t> tendancielle </a:t>
            </a:r>
            <a:r>
              <a:rPr lang="fr-FR"/>
              <a:t>(hors</a:t>
            </a:r>
            <a:r>
              <a:rPr lang="fr-FR" baseline="0"/>
              <a:t> perf.) </a:t>
            </a:r>
            <a:r>
              <a:rPr lang="fr-FR"/>
              <a:t>et cible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7842381544412214"/>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9-E946-83F9-2F2C055E5D89}"/>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49F9-E946-83F9-2F2C055E5D89}"/>
            </c:ext>
          </c:extLst>
        </c:ser>
        <c:ser>
          <c:idx val="0"/>
          <c:order val="1"/>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F9-E946-83F9-2F2C055E5D89}"/>
                </c:ext>
              </c:extLst>
            </c:dLbl>
            <c:dLbl>
              <c:idx val="32"/>
              <c:numFmt formatCode="#\ ##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F9-E946-83F9-2F2C055E5D89}"/>
                </c:ext>
              </c:extLst>
            </c:dLbl>
            <c:numFmt formatCode="#\ ##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6-49F9-E946-83F9-2F2C055E5D89}"/>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1855171698180609"/>
          <c:y val="0.3060774476624547"/>
          <c:w val="0.28144828301819391"/>
          <c:h val="0.459734179046778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t>Effet </a:t>
            </a:r>
            <a:r>
              <a:rPr lang="fr-FR" sz="1200" baseline="0"/>
              <a:t>des mesures de réduction d'offre et d'efficacité court-terme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451679601200923E-2"/>
          <c:y val="0.16021598272138229"/>
          <c:w val="0.59072818209174915"/>
          <c:h val="0.69776058230302207"/>
        </c:manualLayout>
      </c:layout>
      <c:lineChart>
        <c:grouping val="standard"/>
        <c:varyColors val="0"/>
        <c:ser>
          <c:idx val="1"/>
          <c:order val="0"/>
          <c:tx>
            <c:strRef>
              <c:f>Trajectoires!$G$5</c:f>
              <c:strCache>
                <c:ptCount val="1"/>
                <c:pt idx="0">
                  <c:v>Trajectoire reprise 2024, trafic +4%, sans gain techno</c:v>
                </c:pt>
              </c:strCache>
            </c:strRef>
          </c:tx>
          <c:spPr>
            <a:ln w="28575" cap="rnd">
              <a:solidFill>
                <a:srgbClr val="FF0000"/>
              </a:solidFill>
              <a:prstDash val="sysDot"/>
              <a:round/>
            </a:ln>
            <a:effectLst/>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85-F643-9613-767876F8327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Trajectoires!$G$10:$G$42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1-4585-F643-9613-767876F83277}"/>
            </c:ext>
          </c:extLst>
        </c:ser>
        <c:ser>
          <c:idx val="5"/>
          <c:order val="1"/>
          <c:tx>
            <c:strRef>
              <c:f>Trajectoires!$S$5</c:f>
              <c:strCache>
                <c:ptCount val="1"/>
                <c:pt idx="0">
                  <c:v>Réduction de l'offre</c:v>
                </c:pt>
              </c:strCache>
            </c:strRef>
          </c:tx>
          <c:spPr>
            <a:ln w="28575" cap="rnd">
              <a:solidFill>
                <a:srgbClr val="7030A0"/>
              </a:solidFill>
              <a:round/>
            </a:ln>
            <a:effectLst/>
          </c:spPr>
          <c:marker>
            <c:symbol val="none"/>
          </c:marker>
          <c:dLbls>
            <c:dLbl>
              <c:idx val="32"/>
              <c:layout>
                <c:manualLayout>
                  <c:x val="-3.8634898234309097E-3"/>
                  <c:y val="3.9377256873500055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85-F643-9613-767876F8327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Trajectoires!$S$10:$S$42</c:f>
              <c:numCache>
                <c:formatCode>#,##0.0</c:formatCode>
                <c:ptCount val="33"/>
                <c:pt idx="0">
                  <c:v>1077.3809523809523</c:v>
                </c:pt>
                <c:pt idx="1">
                  <c:v>1088.0952380952381</c:v>
                </c:pt>
                <c:pt idx="2">
                  <c:v>369.95238095238091</c:v>
                </c:pt>
                <c:pt idx="3">
                  <c:v>826.95238095238096</c:v>
                </c:pt>
                <c:pt idx="4">
                  <c:v>906.1692162123569</c:v>
                </c:pt>
                <c:pt idx="5">
                  <c:v>992.97452589135446</c:v>
                </c:pt>
                <c:pt idx="6">
                  <c:v>1088.0952380952385</c:v>
                </c:pt>
                <c:pt idx="7">
                  <c:v>1131.6190476190482</c:v>
                </c:pt>
                <c:pt idx="8">
                  <c:v>1176.8838095238102</c:v>
                </c:pt>
                <c:pt idx="9">
                  <c:v>1223.9591619047626</c:v>
                </c:pt>
                <c:pt idx="10">
                  <c:v>1272.9175283809532</c:v>
                </c:pt>
                <c:pt idx="11">
                  <c:v>1323.8342295161913</c:v>
                </c:pt>
                <c:pt idx="12">
                  <c:v>1376.787598696839</c:v>
                </c:pt>
                <c:pt idx="13">
                  <c:v>1431.8591026447127</c:v>
                </c:pt>
                <c:pt idx="14">
                  <c:v>1489.1334667505014</c:v>
                </c:pt>
                <c:pt idx="15">
                  <c:v>1548.6988054205215</c:v>
                </c:pt>
                <c:pt idx="16">
                  <c:v>1610.6467576373425</c:v>
                </c:pt>
                <c:pt idx="17">
                  <c:v>1675.0726279428363</c:v>
                </c:pt>
                <c:pt idx="18">
                  <c:v>1742.0755330605498</c:v>
                </c:pt>
                <c:pt idx="19">
                  <c:v>1811.7585543829719</c:v>
                </c:pt>
                <c:pt idx="20">
                  <c:v>1884.2288965582909</c:v>
                </c:pt>
                <c:pt idx="21">
                  <c:v>1959.5980524206227</c:v>
                </c:pt>
                <c:pt idx="22">
                  <c:v>2037.9819745174477</c:v>
                </c:pt>
                <c:pt idx="23">
                  <c:v>2119.5012534981456</c:v>
                </c:pt>
                <c:pt idx="24">
                  <c:v>2204.2813036380717</c:v>
                </c:pt>
                <c:pt idx="25">
                  <c:v>2292.4525557835946</c:v>
                </c:pt>
                <c:pt idx="26">
                  <c:v>2384.1506580149385</c:v>
                </c:pt>
                <c:pt idx="27">
                  <c:v>2479.516684335536</c:v>
                </c:pt>
                <c:pt idx="28">
                  <c:v>2578.6973517089573</c:v>
                </c:pt>
                <c:pt idx="29">
                  <c:v>2681.8452457773155</c:v>
                </c:pt>
                <c:pt idx="30">
                  <c:v>2789.1190556084084</c:v>
                </c:pt>
                <c:pt idx="31">
                  <c:v>2900.6838178327448</c:v>
                </c:pt>
                <c:pt idx="32">
                  <c:v>3016.7111705460547</c:v>
                </c:pt>
              </c:numCache>
            </c:numRef>
          </c:val>
          <c:smooth val="1"/>
          <c:extLst>
            <c:ext xmlns:c16="http://schemas.microsoft.com/office/drawing/2014/chart" uri="{C3380CC4-5D6E-409C-BE32-E72D297353CC}">
              <c16:uniqueId val="{00000003-4585-F643-9613-767876F83277}"/>
            </c:ext>
          </c:extLst>
        </c:ser>
        <c:ser>
          <c:idx val="2"/>
          <c:order val="2"/>
          <c:tx>
            <c:strRef>
              <c:f>Trajectoires!$Y$5</c:f>
              <c:strCache>
                <c:ptCount val="1"/>
                <c:pt idx="0">
                  <c:v>Contribution des mesures d'efficacité court-terme</c:v>
                </c:pt>
              </c:strCache>
            </c:strRef>
          </c:tx>
          <c:spPr>
            <a:ln w="28575" cap="rnd">
              <a:solidFill>
                <a:schemeClr val="accent2"/>
              </a:solidFill>
              <a:round/>
            </a:ln>
            <a:effectLst/>
          </c:spPr>
          <c:marker>
            <c:symbol val="none"/>
          </c:marker>
          <c:dLbls>
            <c:dLbl>
              <c:idx val="32"/>
              <c:layout>
                <c:manualLayout>
                  <c:x val="-1.913000070645576E-3"/>
                  <c:y val="2.678254561317568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85-F643-9613-767876F832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Trajectoires!$Y$10:$Y$42</c:f>
              <c:numCache>
                <c:formatCode>#,##0.0</c:formatCode>
                <c:ptCount val="33"/>
                <c:pt idx="0">
                  <c:v>1077.3809523809523</c:v>
                </c:pt>
                <c:pt idx="1">
                  <c:v>1088.0952380952381</c:v>
                </c:pt>
                <c:pt idx="2" formatCode="0.0">
                  <c:v>368.10261904761899</c:v>
                </c:pt>
                <c:pt idx="3" formatCode="0.0">
                  <c:v>822.81761904761902</c:v>
                </c:pt>
                <c:pt idx="4" formatCode="0.0">
                  <c:v>901.63837013129512</c:v>
                </c:pt>
                <c:pt idx="5" formatCode="0.0">
                  <c:v>988.00965326189771</c:v>
                </c:pt>
                <c:pt idx="6" formatCode="0.0">
                  <c:v>1082.6547619047624</c:v>
                </c:pt>
                <c:pt idx="7" formatCode="0.0">
                  <c:v>1125.9609523809529</c:v>
                </c:pt>
                <c:pt idx="8" formatCode="0.0">
                  <c:v>1170.9993904761911</c:v>
                </c:pt>
                <c:pt idx="9" formatCode="0.0">
                  <c:v>1217.8393660952388</c:v>
                </c:pt>
                <c:pt idx="10" formatCode="0.0">
                  <c:v>1266.5529407390484</c:v>
                </c:pt>
                <c:pt idx="11" formatCode="0.0">
                  <c:v>1317.2150583686102</c:v>
                </c:pt>
                <c:pt idx="12" formatCode="0.0">
                  <c:v>1369.9036607033549</c:v>
                </c:pt>
                <c:pt idx="13" formatCode="0.0">
                  <c:v>1424.6998071314893</c:v>
                </c:pt>
                <c:pt idx="14" formatCode="0.0">
                  <c:v>1481.6877994167489</c:v>
                </c:pt>
                <c:pt idx="15" formatCode="0.0">
                  <c:v>1540.9553113934189</c:v>
                </c:pt>
                <c:pt idx="16" formatCode="0.0">
                  <c:v>1602.5935238491559</c:v>
                </c:pt>
                <c:pt idx="17" formatCode="0.0">
                  <c:v>1666.6972648031222</c:v>
                </c:pt>
                <c:pt idx="18" formatCode="0.0">
                  <c:v>1733.365155395247</c:v>
                </c:pt>
                <c:pt idx="19" formatCode="0.0">
                  <c:v>1802.6997616110571</c:v>
                </c:pt>
                <c:pt idx="20" formatCode="0.0">
                  <c:v>1874.8077520754994</c:v>
                </c:pt>
                <c:pt idx="21" formatCode="0.0">
                  <c:v>1949.8000621585195</c:v>
                </c:pt>
                <c:pt idx="22" formatCode="0.0">
                  <c:v>2027.7920646448604</c:v>
                </c:pt>
                <c:pt idx="23" formatCode="0.0">
                  <c:v>2108.903747230655</c:v>
                </c:pt>
                <c:pt idx="24" formatCode="0.0">
                  <c:v>2193.2598971198813</c:v>
                </c:pt>
                <c:pt idx="25" formatCode="0.0">
                  <c:v>2280.9902930046765</c:v>
                </c:pt>
                <c:pt idx="26" formatCode="0.0">
                  <c:v>2372.2299047248639</c:v>
                </c:pt>
                <c:pt idx="27" formatCode="0.0">
                  <c:v>2467.1191009138583</c:v>
                </c:pt>
                <c:pt idx="28" formatCode="0.0">
                  <c:v>2565.8038649504124</c:v>
                </c:pt>
                <c:pt idx="29" formatCode="0.0">
                  <c:v>2668.4360195484292</c:v>
                </c:pt>
                <c:pt idx="30" formatCode="0.0">
                  <c:v>2775.1734603303662</c:v>
                </c:pt>
                <c:pt idx="31" formatCode="0.0">
                  <c:v>2886.180398743581</c:v>
                </c:pt>
                <c:pt idx="32" formatCode="0.0">
                  <c:v>3001.6276146933246</c:v>
                </c:pt>
              </c:numCache>
            </c:numRef>
          </c:val>
          <c:smooth val="1"/>
          <c:extLst>
            <c:ext xmlns:c16="http://schemas.microsoft.com/office/drawing/2014/chart" uri="{C3380CC4-5D6E-409C-BE32-E72D297353CC}">
              <c16:uniqueId val="{0000000D-4585-F643-9613-767876F83277}"/>
            </c:ext>
          </c:extLst>
        </c:ser>
        <c:ser>
          <c:idx val="0"/>
          <c:order val="3"/>
          <c:tx>
            <c:strRef>
              <c:f>Trajectoires!$C$5</c:f>
              <c:strCache>
                <c:ptCount val="1"/>
                <c:pt idx="0">
                  <c:v>Cible "-3,39%/an, +2°C à 67%"</c:v>
                </c:pt>
              </c:strCache>
            </c:strRef>
          </c:tx>
          <c:spPr>
            <a:ln w="28575" cap="rnd">
              <a:solidFill>
                <a:schemeClr val="tx1">
                  <a:lumMod val="65000"/>
                  <a:lumOff val="35000"/>
                </a:schemeClr>
              </a:solidFill>
              <a:round/>
            </a:ln>
            <a:effectLst/>
          </c:spPr>
          <c:marker>
            <c:symbol val="none"/>
          </c:marker>
          <c:dLbls>
            <c:dLbl>
              <c:idx val="0"/>
              <c:numFmt formatCode="#,##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85-F643-9613-767876F83277}"/>
                </c:ext>
              </c:extLst>
            </c:dLbl>
            <c:dLbl>
              <c:idx val="32"/>
              <c:layout>
                <c:manualLayout>
                  <c:x val="-3.8073220303648844E-3"/>
                  <c:y val="3.6700221671506607E-3"/>
                </c:manualLayout>
              </c:layout>
              <c:numFmt formatCode="#,##0" sourceLinked="0"/>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85-F643-9613-767876F83277}"/>
                </c:ext>
              </c:extLst>
            </c:dLbl>
            <c:numFmt formatCode="#,##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Trajectoires!$B$10:$B$42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Trajectoires!$C$10:$C$42</c:f>
              <c:numCache>
                <c:formatCode>#,##0.0</c:formatCode>
                <c:ptCount val="33"/>
                <c:pt idx="0">
                  <c:v>1077.3809523809523</c:v>
                </c:pt>
                <c:pt idx="1">
                  <c:v>1040.8577380952379</c:v>
                </c:pt>
                <c:pt idx="2">
                  <c:v>1005.5726607738093</c:v>
                </c:pt>
                <c:pt idx="3">
                  <c:v>971.48374757357715</c:v>
                </c:pt>
                <c:pt idx="4">
                  <c:v>938.5504485308328</c:v>
                </c:pt>
                <c:pt idx="5">
                  <c:v>906.73358832563747</c:v>
                </c:pt>
                <c:pt idx="6">
                  <c:v>875.99531968139831</c:v>
                </c:pt>
                <c:pt idx="7">
                  <c:v>846.29907834419885</c:v>
                </c:pt>
                <c:pt idx="8">
                  <c:v>817.60953958833045</c:v>
                </c:pt>
                <c:pt idx="9">
                  <c:v>789.89257619628597</c:v>
                </c:pt>
                <c:pt idx="10">
                  <c:v>763.11521786323181</c:v>
                </c:pt>
                <c:pt idx="11">
                  <c:v>737.2456119776682</c:v>
                </c:pt>
                <c:pt idx="12">
                  <c:v>712.25298573162524</c:v>
                </c:pt>
                <c:pt idx="13">
                  <c:v>688.10760951532313</c:v>
                </c:pt>
                <c:pt idx="14">
                  <c:v>664.78076155275369</c:v>
                </c:pt>
                <c:pt idx="15">
                  <c:v>642.24469373611532</c:v>
                </c:pt>
                <c:pt idx="16">
                  <c:v>620.47259861846101</c:v>
                </c:pt>
                <c:pt idx="17">
                  <c:v>599.43857752529516</c:v>
                </c:pt>
                <c:pt idx="18">
                  <c:v>579.11760974718766</c:v>
                </c:pt>
                <c:pt idx="19">
                  <c:v>559.48552277675799</c:v>
                </c:pt>
                <c:pt idx="20">
                  <c:v>540.51896355462588</c:v>
                </c:pt>
                <c:pt idx="21">
                  <c:v>522.19537069012404</c:v>
                </c:pt>
                <c:pt idx="22">
                  <c:v>504.49294762372881</c:v>
                </c:pt>
                <c:pt idx="23">
                  <c:v>487.39063669928436</c:v>
                </c:pt>
                <c:pt idx="24">
                  <c:v>470.86809411517862</c:v>
                </c:pt>
                <c:pt idx="25">
                  <c:v>454.90566572467407</c:v>
                </c:pt>
                <c:pt idx="26">
                  <c:v>439.48436365660757</c:v>
                </c:pt>
                <c:pt idx="27">
                  <c:v>424.58584372864857</c:v>
                </c:pt>
                <c:pt idx="28">
                  <c:v>410.19238362624736</c:v>
                </c:pt>
                <c:pt idx="29">
                  <c:v>396.28686182131759</c:v>
                </c:pt>
                <c:pt idx="30">
                  <c:v>382.8527372055749</c:v>
                </c:pt>
                <c:pt idx="31">
                  <c:v>369.87402941430588</c:v>
                </c:pt>
                <c:pt idx="32">
                  <c:v>357.33529981716089</c:v>
                </c:pt>
              </c:numCache>
            </c:numRef>
          </c:val>
          <c:smooth val="1"/>
          <c:extLst>
            <c:ext xmlns:c16="http://schemas.microsoft.com/office/drawing/2014/chart" uri="{C3380CC4-5D6E-409C-BE32-E72D297353CC}">
              <c16:uniqueId val="{0000000A-4585-F643-9613-767876F83277}"/>
            </c:ext>
          </c:extLst>
        </c:ser>
        <c:dLbls>
          <c:showLegendKey val="0"/>
          <c:showVal val="0"/>
          <c:showCatName val="0"/>
          <c:showSerName val="0"/>
          <c:showPercent val="0"/>
          <c:showBubbleSize val="0"/>
        </c:dLbls>
        <c:smooth val="0"/>
        <c:axId val="1975561968"/>
        <c:axId val="1974275488"/>
      </c:lineChart>
      <c:catAx>
        <c:axId val="1975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275488"/>
        <c:crosses val="autoZero"/>
        <c:auto val="1"/>
        <c:lblAlgn val="ctr"/>
        <c:lblOffset val="100"/>
        <c:noMultiLvlLbl val="0"/>
      </c:catAx>
      <c:valAx>
        <c:axId val="197427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fr-FR" sz="1100" b="1"/>
                  <a:t>MtCO2</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561968"/>
        <c:crosses val="autoZero"/>
        <c:crossBetween val="between"/>
      </c:valAx>
      <c:spPr>
        <a:noFill/>
        <a:ln>
          <a:noFill/>
        </a:ln>
        <a:effectLst/>
      </c:spPr>
    </c:plotArea>
    <c:legend>
      <c:legendPos val="r"/>
      <c:layout>
        <c:manualLayout>
          <c:xMode val="edge"/>
          <c:yMode val="edge"/>
          <c:x val="0.72101680623282538"/>
          <c:y val="0.36224763702028667"/>
          <c:w val="0.27898319376717468"/>
          <c:h val="0.47701852725523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Hypothèse</a:t>
            </a:r>
            <a:r>
              <a:rPr lang="en-US" baseline="0"/>
              <a:t> de </a:t>
            </a:r>
            <a:r>
              <a:rPr lang="en-US"/>
              <a:t>production annuelle monde biocarburant 2G (MAVERICK)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77724779165798"/>
          <c:y val="0.13461405630607581"/>
          <c:w val="0.78705231979983103"/>
          <c:h val="0.78971698642997701"/>
        </c:manualLayout>
      </c:layout>
      <c:lineChart>
        <c:grouping val="standard"/>
        <c:varyColors val="0"/>
        <c:ser>
          <c:idx val="1"/>
          <c:order val="0"/>
          <c:tx>
            <c:v>Production annuelle SAF 2G</c:v>
          </c:tx>
          <c:spPr>
            <a:ln w="28575" cap="rnd">
              <a:solidFill>
                <a:schemeClr val="accent2"/>
              </a:solidFill>
              <a:round/>
            </a:ln>
            <a:effectLst/>
          </c:spPr>
          <c:marker>
            <c:symbol val="none"/>
          </c:marker>
          <c:cat>
            <c:numRef>
              <c:f>Prod_Carburant_Alt!$A$7:$A$37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Prod_Carburant_Alt!$B$7:$B$37</c:f>
              <c:numCache>
                <c:formatCode>0.00</c:formatCode>
                <c:ptCount val="31"/>
                <c:pt idx="0" formatCode="General">
                  <c:v>2.0501851548918237</c:v>
                </c:pt>
                <c:pt idx="1">
                  <c:v>4.1003703097836475</c:v>
                </c:pt>
                <c:pt idx="2">
                  <c:v>5.1254628872295598</c:v>
                </c:pt>
                <c:pt idx="3">
                  <c:v>6.4068286090369497</c:v>
                </c:pt>
                <c:pt idx="4">
                  <c:v>8.0085357612961872</c:v>
                </c:pt>
                <c:pt idx="5">
                  <c:v>10.010669701620234</c:v>
                </c:pt>
                <c:pt idx="6">
                  <c:v>12.513337127025292</c:v>
                </c:pt>
                <c:pt idx="7">
                  <c:v>15.641671408781615</c:v>
                </c:pt>
                <c:pt idx="8">
                  <c:v>19.55208926097702</c:v>
                </c:pt>
                <c:pt idx="9">
                  <c:v>24.440111576221273</c:v>
                </c:pt>
                <c:pt idx="10">
                  <c:v>30.550139470276591</c:v>
                </c:pt>
                <c:pt idx="11">
                  <c:v>35.132660390818074</c:v>
                </c:pt>
                <c:pt idx="12">
                  <c:v>40.402559449440787</c:v>
                </c:pt>
                <c:pt idx="13">
                  <c:v>46.462943366856891</c:v>
                </c:pt>
                <c:pt idx="14">
                  <c:v>53.432384871885425</c:v>
                </c:pt>
                <c:pt idx="15">
                  <c:v>61.44724260266824</c:v>
                </c:pt>
                <c:pt idx="16">
                  <c:v>70.664328993068466</c:v>
                </c:pt>
                <c:pt idx="17">
                  <c:v>81.263978342028736</c:v>
                </c:pt>
                <c:pt idx="18">
                  <c:v>93.453575093333029</c:v>
                </c:pt>
                <c:pt idx="19">
                  <c:v>107.47161135733299</c:v>
                </c:pt>
                <c:pt idx="20">
                  <c:v>123.59235306093292</c:v>
                </c:pt>
                <c:pt idx="21">
                  <c:v>142.13120602007285</c:v>
                </c:pt>
                <c:pt idx="22">
                  <c:v>163.45088692308377</c:v>
                </c:pt>
                <c:pt idx="23">
                  <c:v>187.96851996154632</c:v>
                </c:pt>
                <c:pt idx="24">
                  <c:v>216.16379795577825</c:v>
                </c:pt>
                <c:pt idx="25">
                  <c:v>248.58836764914497</c:v>
                </c:pt>
                <c:pt idx="26">
                  <c:v>285.8766227965167</c:v>
                </c:pt>
                <c:pt idx="27">
                  <c:v>328.75811621599416</c:v>
                </c:pt>
                <c:pt idx="28">
                  <c:v>378.07183364839324</c:v>
                </c:pt>
                <c:pt idx="29">
                  <c:v>434.78260869565219</c:v>
                </c:pt>
                <c:pt idx="30">
                  <c:v>500</c:v>
                </c:pt>
              </c:numCache>
            </c:numRef>
          </c:val>
          <c:smooth val="0"/>
          <c:extLst>
            <c:ext xmlns:c16="http://schemas.microsoft.com/office/drawing/2014/chart" uri="{C3380CC4-5D6E-409C-BE32-E72D297353CC}">
              <c16:uniqueId val="{00000001-C996-494D-9030-9B4A95FF266F}"/>
            </c:ext>
          </c:extLst>
        </c:ser>
        <c:dLbls>
          <c:showLegendKey val="0"/>
          <c:showVal val="0"/>
          <c:showCatName val="0"/>
          <c:showSerName val="0"/>
          <c:showPercent val="0"/>
          <c:showBubbleSize val="0"/>
        </c:dLbls>
        <c:smooth val="0"/>
        <c:axId val="1327927647"/>
        <c:axId val="1171913135"/>
      </c:lineChart>
      <c:catAx>
        <c:axId val="132792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913135"/>
        <c:crosses val="autoZero"/>
        <c:auto val="1"/>
        <c:lblAlgn val="ctr"/>
        <c:lblOffset val="100"/>
        <c:noMultiLvlLbl val="0"/>
      </c:catAx>
      <c:valAx>
        <c:axId val="1171913135"/>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200" b="1"/>
                  <a:t>Mt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7927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fr-FR" sz="1600"/>
              <a:t>Evolution consommation de carburants - Scenario MAVERICK</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'Calculs Scénario MAVERICK'!$CA$9</c:f>
              <c:strCache>
                <c:ptCount val="1"/>
                <c:pt idx="0">
                  <c:v>Masse de Kérosène nécessaire restante (Mt)</c:v>
                </c:pt>
              </c:strCache>
            </c:strRef>
          </c:tx>
          <c:spPr>
            <a:solidFill>
              <a:schemeClr val="accent1"/>
            </a:solidFill>
            <a:ln>
              <a:noFill/>
            </a:ln>
            <a:effectLst/>
          </c:spPr>
          <c:cat>
            <c:numRef>
              <c:f>'Calculs Scénario MAVERICK'!$B$14:$B$46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'Calculs Scénario MAVERICK'!$CA$14:$CA$46</c:f>
              <c:numCache>
                <c:formatCode>0.00</c:formatCode>
                <c:ptCount val="33"/>
                <c:pt idx="0">
                  <c:v>287.30158730158723</c:v>
                </c:pt>
                <c:pt idx="1">
                  <c:v>290.15873015873018</c:v>
                </c:pt>
                <c:pt idx="2">
                  <c:v>95.297742674949433</c:v>
                </c:pt>
                <c:pt idx="3">
                  <c:v>210.59975476450205</c:v>
                </c:pt>
                <c:pt idx="4">
                  <c:v>228.03704140360054</c:v>
                </c:pt>
                <c:pt idx="5">
                  <c:v>246.77321823545785</c:v>
                </c:pt>
                <c:pt idx="6">
                  <c:v>266.87040296960743</c:v>
                </c:pt>
                <c:pt idx="7">
                  <c:v>271.38705881681102</c:v>
                </c:pt>
                <c:pt idx="8">
                  <c:v>275.4695388956269</c:v>
                </c:pt>
                <c:pt idx="9">
                  <c:v>278.27775474614828</c:v>
                </c:pt>
                <c:pt idx="10">
                  <c:v>280.30009181232538</c:v>
                </c:pt>
                <c:pt idx="11">
                  <c:v>281.32913512200906</c:v>
                </c:pt>
                <c:pt idx="12">
                  <c:v>274.59084271653415</c:v>
                </c:pt>
                <c:pt idx="13">
                  <c:v>273.89204281879074</c:v>
                </c:pt>
                <c:pt idx="14">
                  <c:v>272.04158431767746</c:v>
                </c:pt>
                <c:pt idx="15">
                  <c:v>268.82316182347529</c:v>
                </c:pt>
                <c:pt idx="16">
                  <c:v>263.97960376420974</c:v>
                </c:pt>
                <c:pt idx="17">
                  <c:v>238.31809276602033</c:v>
                </c:pt>
                <c:pt idx="18">
                  <c:v>209.98202631450889</c:v>
                </c:pt>
                <c:pt idx="19">
                  <c:v>185.23533930494764</c:v>
                </c:pt>
                <c:pt idx="20">
                  <c:v>153.44381715500222</c:v>
                </c:pt>
                <c:pt idx="21">
                  <c:v>120.57771260858405</c:v>
                </c:pt>
                <c:pt idx="22">
                  <c:v>110.29495358200793</c:v>
                </c:pt>
                <c:pt idx="23">
                  <c:v>100.02771927616091</c:v>
                </c:pt>
                <c:pt idx="24">
                  <c:v>89.530830807601006</c:v>
                </c:pt>
                <c:pt idx="25">
                  <c:v>78.452790033392375</c:v>
                </c:pt>
                <c:pt idx="26">
                  <c:v>66.79195364270754</c:v>
                </c:pt>
                <c:pt idx="27">
                  <c:v>54.59770234227841</c:v>
                </c:pt>
                <c:pt idx="28">
                  <c:v>41.808351674449796</c:v>
                </c:pt>
                <c:pt idx="29">
                  <c:v>28.433671312848787</c:v>
                </c:pt>
                <c:pt idx="30">
                  <c:v>14.489722874266192</c:v>
                </c:pt>
                <c:pt idx="31">
                  <c:v>0</c:v>
                </c:pt>
                <c:pt idx="32">
                  <c:v>0</c:v>
                </c:pt>
              </c:numCache>
            </c:numRef>
          </c:val>
          <c:extLst>
            <c:ext xmlns:c16="http://schemas.microsoft.com/office/drawing/2014/chart" uri="{C3380CC4-5D6E-409C-BE32-E72D297353CC}">
              <c16:uniqueId val="{00000000-7D50-F64A-8AF5-B2F0823A91C9}"/>
            </c:ext>
          </c:extLst>
        </c:ser>
        <c:ser>
          <c:idx val="1"/>
          <c:order val="1"/>
          <c:tx>
            <c:strRef>
              <c:f>'Calculs Scénario MAVERICK'!$BZ$9</c:f>
              <c:strCache>
                <c:ptCount val="1"/>
                <c:pt idx="0">
                  <c:v>Masse H2 nécessaire (Mt)</c:v>
                </c:pt>
              </c:strCache>
            </c:strRef>
          </c:tx>
          <c:spPr>
            <a:solidFill>
              <a:schemeClr val="accent2"/>
            </a:solidFill>
            <a:ln w="25400">
              <a:noFill/>
            </a:ln>
            <a:effectLst/>
          </c:spPr>
          <c:val>
            <c:numRef>
              <c:f>'Calculs Scénario MAVERICK'!$BZ$14:$BZ$46</c:f>
              <c:numCache>
                <c:formatCode>General</c:formatCode>
                <c:ptCount val="33"/>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7.6281296691374539E-2</c:v>
                </c:pt>
                <c:pt idx="13" formatCode="0.00">
                  <c:v>0.15531794019313952</c:v>
                </c:pt>
                <c:pt idx="14" formatCode="0.00">
                  <c:v>0.23705452890779202</c:v>
                </c:pt>
                <c:pt idx="15" formatCode="0.00">
                  <c:v>0.32141801238092532</c:v>
                </c:pt>
                <c:pt idx="16" formatCode="0.00">
                  <c:v>0.40831572224442947</c:v>
                </c:pt>
                <c:pt idx="17" formatCode="0.00">
                  <c:v>6.156430279413394</c:v>
                </c:pt>
                <c:pt idx="18" formatCode="0.00">
                  <c:v>11.948775783779451</c:v>
                </c:pt>
                <c:pt idx="19" formatCode="0.00">
                  <c:v>18.170541252869544</c:v>
                </c:pt>
                <c:pt idx="20" formatCode="0.00">
                  <c:v>24.412132870257466</c:v>
                </c:pt>
                <c:pt idx="21" formatCode="0.00">
                  <c:v>31.156349773314368</c:v>
                </c:pt>
                <c:pt idx="22" formatCode="0.00">
                  <c:v>38.078747581563533</c:v>
                </c:pt>
                <c:pt idx="23" formatCode="0.00">
                  <c:v>45.249748694559536</c:v>
                </c:pt>
                <c:pt idx="24" formatCode="0.00">
                  <c:v>52.832798498516198</c:v>
                </c:pt>
                <c:pt idx="25" formatCode="0.00">
                  <c:v>60.703182573285346</c:v>
                </c:pt>
                <c:pt idx="26" formatCode="0.00">
                  <c:v>68.853156103444292</c:v>
                </c:pt>
                <c:pt idx="27" formatCode="0.00">
                  <c:v>77.238873101573304</c:v>
                </c:pt>
                <c:pt idx="28" formatCode="0.00">
                  <c:v>85.891454743646676</c:v>
                </c:pt>
                <c:pt idx="29" formatCode="0.00">
                  <c:v>94.793459778256704</c:v>
                </c:pt>
                <c:pt idx="30" formatCode="0.00">
                  <c:v>103.92252250516073</c:v>
                </c:pt>
                <c:pt idx="31" formatCode="0.00">
                  <c:v>113.25055770172766</c:v>
                </c:pt>
                <c:pt idx="32" formatCode="0.00">
                  <c:v>115.44540615394111</c:v>
                </c:pt>
              </c:numCache>
            </c:numRef>
          </c:val>
          <c:extLst>
            <c:ext xmlns:c16="http://schemas.microsoft.com/office/drawing/2014/chart" uri="{C3380CC4-5D6E-409C-BE32-E72D297353CC}">
              <c16:uniqueId val="{00000002-7D50-F64A-8AF5-B2F0823A91C9}"/>
            </c:ext>
          </c:extLst>
        </c:ser>
        <c:ser>
          <c:idx val="2"/>
          <c:order val="2"/>
          <c:tx>
            <c:strRef>
              <c:f>'Calculs Scénario MAVERICK'!$BW$9</c:f>
              <c:strCache>
                <c:ptCount val="1"/>
                <c:pt idx="0">
                  <c:v>Masse PTL (Mt)</c:v>
                </c:pt>
              </c:strCache>
            </c:strRef>
          </c:tx>
          <c:spPr>
            <a:solidFill>
              <a:schemeClr val="accent3"/>
            </a:solidFill>
            <a:ln w="25400">
              <a:noFill/>
            </a:ln>
            <a:effectLst/>
          </c:spPr>
          <c:val>
            <c:numRef>
              <c:f>'Calculs Scénario MAVERICK'!$BW$14:$BW$46</c:f>
              <c:numCache>
                <c:formatCode>General</c:formatCode>
                <c:ptCount val="33"/>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6.1044888159725108</c:v>
                </c:pt>
                <c:pt idx="13" formatCode="0.00">
                  <c:v>7.630611019965639</c:v>
                </c:pt>
                <c:pt idx="14" formatCode="0.00">
                  <c:v>9.5382637749570485</c:v>
                </c:pt>
                <c:pt idx="15" formatCode="0.00">
                  <c:v>11.922829718696311</c:v>
                </c:pt>
                <c:pt idx="16" formatCode="0.00">
                  <c:v>14.90353714837039</c:v>
                </c:pt>
                <c:pt idx="17" formatCode="0.00">
                  <c:v>18.629421435462987</c:v>
                </c:pt>
                <c:pt idx="18" formatCode="0.00">
                  <c:v>23.286776794328734</c:v>
                </c:pt>
                <c:pt idx="19" formatCode="0.00">
                  <c:v>29.108470992910913</c:v>
                </c:pt>
                <c:pt idx="20" formatCode="0.00">
                  <c:v>36.385588741138648</c:v>
                </c:pt>
                <c:pt idx="21" formatCode="0.00">
                  <c:v>45.48198592642332</c:v>
                </c:pt>
                <c:pt idx="22" formatCode="0.00">
                  <c:v>47.851524535420161</c:v>
                </c:pt>
                <c:pt idx="23" formatCode="0.00">
                  <c:v>50.013859638080461</c:v>
                </c:pt>
                <c:pt idx="24" formatCode="0.00">
                  <c:v>49.484820723556766</c:v>
                </c:pt>
                <c:pt idx="25" formatCode="0.00">
                  <c:v>48.875784614501477</c:v>
                </c:pt>
                <c:pt idx="26" formatCode="0.00">
                  <c:v>48.183250140261698</c:v>
                </c:pt>
                <c:pt idx="27" formatCode="0.00">
                  <c:v>47.535312984570751</c:v>
                </c:pt>
                <c:pt idx="28" formatCode="0.00">
                  <c:v>46.800393665428885</c:v>
                </c:pt>
                <c:pt idx="29" formatCode="0.00">
                  <c:v>45.974841675004285</c:v>
                </c:pt>
                <c:pt idx="30" formatCode="0.00">
                  <c:v>45.055108439882581</c:v>
                </c:pt>
                <c:pt idx="31" formatCode="0.00">
                  <c:v>44.037803596291418</c:v>
                </c:pt>
                <c:pt idx="32" formatCode="0.00">
                  <c:v>44.891276700739759</c:v>
                </c:pt>
              </c:numCache>
            </c:numRef>
          </c:val>
          <c:extLst>
            <c:ext xmlns:c16="http://schemas.microsoft.com/office/drawing/2014/chart" uri="{C3380CC4-5D6E-409C-BE32-E72D297353CC}">
              <c16:uniqueId val="{00000003-7D50-F64A-8AF5-B2F0823A91C9}"/>
            </c:ext>
          </c:extLst>
        </c:ser>
        <c:ser>
          <c:idx val="3"/>
          <c:order val="3"/>
          <c:tx>
            <c:strRef>
              <c:f>'Calculs Scénario MAVERICK'!$BU$9</c:f>
              <c:strCache>
                <c:ptCount val="1"/>
                <c:pt idx="0">
                  <c:v>Masse Biocarburants (Mt)</c:v>
                </c:pt>
              </c:strCache>
            </c:strRef>
          </c:tx>
          <c:spPr>
            <a:solidFill>
              <a:schemeClr val="accent4"/>
            </a:solidFill>
            <a:ln w="25400">
              <a:noFill/>
            </a:ln>
            <a:effectLst/>
          </c:spPr>
          <c:val>
            <c:numRef>
              <c:f>'Calculs Scénario MAVERICK'!$BU$14:$BU$46</c:f>
              <c:numCache>
                <c:formatCode>0.00%</c:formatCode>
                <c:ptCount val="33"/>
                <c:pt idx="2" formatCode="0.00">
                  <c:v>2.0501851548918237</c:v>
                </c:pt>
                <c:pt idx="3" formatCode="0.00">
                  <c:v>4.1003703097836475</c:v>
                </c:pt>
                <c:pt idx="4" formatCode="0.00">
                  <c:v>5.1254628872295598</c:v>
                </c:pt>
                <c:pt idx="5" formatCode="0.00">
                  <c:v>6.4068286090369497</c:v>
                </c:pt>
                <c:pt idx="6" formatCode="0.00">
                  <c:v>8.0085357612961872</c:v>
                </c:pt>
                <c:pt idx="7" formatCode="0.00">
                  <c:v>10.010669701620234</c:v>
                </c:pt>
                <c:pt idx="8" formatCode="0.00">
                  <c:v>12.513337127025292</c:v>
                </c:pt>
                <c:pt idx="9" formatCode="0.00">
                  <c:v>15.641671408781615</c:v>
                </c:pt>
                <c:pt idx="10" formatCode="0.00">
                  <c:v>19.55208926097702</c:v>
                </c:pt>
                <c:pt idx="11" formatCode="0.00">
                  <c:v>24.440111576221273</c:v>
                </c:pt>
                <c:pt idx="12" formatCode="0.00">
                  <c:v>30.550139470276591</c:v>
                </c:pt>
                <c:pt idx="13" formatCode="0.00">
                  <c:v>35.132660390818074</c:v>
                </c:pt>
                <c:pt idx="14" formatCode="0.00">
                  <c:v>40.402559449440787</c:v>
                </c:pt>
                <c:pt idx="15" formatCode="0.00">
                  <c:v>46.462943366856891</c:v>
                </c:pt>
                <c:pt idx="16" formatCode="0.00">
                  <c:v>53.432384871885425</c:v>
                </c:pt>
                <c:pt idx="17" formatCode="0.00">
                  <c:v>61.447242602668233</c:v>
                </c:pt>
                <c:pt idx="18" formatCode="0.00">
                  <c:v>70.664328993068466</c:v>
                </c:pt>
                <c:pt idx="19" formatCode="0.00">
                  <c:v>81.263978342028736</c:v>
                </c:pt>
                <c:pt idx="20" formatCode="0.00">
                  <c:v>93.453575093333029</c:v>
                </c:pt>
                <c:pt idx="21" formatCode="0.00">
                  <c:v>107.47161135733299</c:v>
                </c:pt>
                <c:pt idx="22" formatCode="0.00">
                  <c:v>104.02505333786992</c:v>
                </c:pt>
                <c:pt idx="23" formatCode="0.00">
                  <c:v>100.02771927616092</c:v>
                </c:pt>
                <c:pt idx="24" formatCode="0.00">
                  <c:v>98.969641447113531</c:v>
                </c:pt>
                <c:pt idx="25" formatCode="0.00">
                  <c:v>97.751569229002953</c:v>
                </c:pt>
                <c:pt idx="26" formatCode="0.00">
                  <c:v>96.366500280523397</c:v>
                </c:pt>
                <c:pt idx="27" formatCode="0.00">
                  <c:v>95.070625969141503</c:v>
                </c:pt>
                <c:pt idx="28" formatCode="0.00">
                  <c:v>93.60078733085777</c:v>
                </c:pt>
                <c:pt idx="29" formatCode="0.00">
                  <c:v>91.94968335000857</c:v>
                </c:pt>
                <c:pt idx="30" formatCode="0.00">
                  <c:v>90.110216879765161</c:v>
                </c:pt>
                <c:pt idx="31" formatCode="0.00">
                  <c:v>88.075607192582837</c:v>
                </c:pt>
                <c:pt idx="32" formatCode="0.00">
                  <c:v>89.782553401479518</c:v>
                </c:pt>
              </c:numCache>
            </c:numRef>
          </c:val>
          <c:extLst>
            <c:ext xmlns:c16="http://schemas.microsoft.com/office/drawing/2014/chart" uri="{C3380CC4-5D6E-409C-BE32-E72D297353CC}">
              <c16:uniqueId val="{00000004-7D50-F64A-8AF5-B2F0823A91C9}"/>
            </c:ext>
          </c:extLst>
        </c:ser>
        <c:dLbls>
          <c:showLegendKey val="0"/>
          <c:showVal val="0"/>
          <c:showCatName val="0"/>
          <c:showSerName val="0"/>
          <c:showPercent val="0"/>
          <c:showBubbleSize val="0"/>
        </c:dLbls>
        <c:axId val="857673808"/>
        <c:axId val="857676064"/>
      </c:areaChart>
      <c:catAx>
        <c:axId val="85767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676064"/>
        <c:crosses val="autoZero"/>
        <c:auto val="1"/>
        <c:lblAlgn val="ctr"/>
        <c:lblOffset val="100"/>
        <c:noMultiLvlLbl val="0"/>
      </c:catAx>
      <c:valAx>
        <c:axId val="857676064"/>
        <c:scaling>
          <c:orientation val="minMax"/>
          <c:max val="4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Consommation (Mt)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673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fr-FR" sz="1600"/>
              <a:t>Evolution consommation de carburants - Scenario ICEMAN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'Calculs Scénario ICEMAN'!$CA$9</c:f>
              <c:strCache>
                <c:ptCount val="1"/>
                <c:pt idx="0">
                  <c:v>Masse de Kérosène nécessaire restante (Mt)</c:v>
                </c:pt>
              </c:strCache>
            </c:strRef>
          </c:tx>
          <c:spPr>
            <a:solidFill>
              <a:schemeClr val="accent1"/>
            </a:solidFill>
            <a:ln>
              <a:noFill/>
            </a:ln>
            <a:effectLst/>
          </c:spPr>
          <c:cat>
            <c:numRef>
              <c:f>'Calculs Scénario MAVERICK'!$B$14:$B$46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'Calculs Scénario ICEMAN'!$CA$14:$CA$46</c:f>
              <c:numCache>
                <c:formatCode>0.00</c:formatCode>
                <c:ptCount val="33"/>
                <c:pt idx="0">
                  <c:v>287.30158730158723</c:v>
                </c:pt>
                <c:pt idx="1">
                  <c:v>290.15873015873018</c:v>
                </c:pt>
                <c:pt idx="2">
                  <c:v>97.347927829841254</c:v>
                </c:pt>
                <c:pt idx="3">
                  <c:v>212.64993991939386</c:v>
                </c:pt>
                <c:pt idx="4">
                  <c:v>230.59977284721532</c:v>
                </c:pt>
                <c:pt idx="5">
                  <c:v>249.97663253997632</c:v>
                </c:pt>
                <c:pt idx="6">
                  <c:v>270.87467085025548</c:v>
                </c:pt>
                <c:pt idx="7">
                  <c:v>278.19632714329708</c:v>
                </c:pt>
                <c:pt idx="8">
                  <c:v>285.47541459124318</c:v>
                </c:pt>
                <c:pt idx="9">
                  <c:v>292.65015550036873</c:v>
                </c:pt>
                <c:pt idx="10">
                  <c:v>299.64251986039085</c:v>
                </c:pt>
                <c:pt idx="11">
                  <c:v>306.35421881046966</c:v>
                </c:pt>
                <c:pt idx="12">
                  <c:v>309.49400780318166</c:v>
                </c:pt>
                <c:pt idx="13">
                  <c:v>315.88232171892491</c:v>
                </c:pt>
                <c:pt idx="14">
                  <c:v>321.41424943727372</c:v>
                </c:pt>
                <c:pt idx="15">
                  <c:v>326.45978548475324</c:v>
                </c:pt>
                <c:pt idx="16">
                  <c:v>330.89155006411897</c:v>
                </c:pt>
                <c:pt idx="17">
                  <c:v>334.25889241124747</c:v>
                </c:pt>
                <c:pt idx="18">
                  <c:v>336.65730917309128</c:v>
                </c:pt>
                <c:pt idx="19">
                  <c:v>337.86545835284159</c:v>
                </c:pt>
                <c:pt idx="20">
                  <c:v>337.61701561575671</c:v>
                </c:pt>
                <c:pt idx="21">
                  <c:v>335.59107703616985</c:v>
                </c:pt>
                <c:pt idx="22">
                  <c:v>317.30227162854908</c:v>
                </c:pt>
                <c:pt idx="23">
                  <c:v>298.65454890394318</c:v>
                </c:pt>
                <c:pt idx="24">
                  <c:v>277.38708516151411</c:v>
                </c:pt>
                <c:pt idx="25">
                  <c:v>253.1775661740113</c:v>
                </c:pt>
                <c:pt idx="26">
                  <c:v>225.65898843066623</c:v>
                </c:pt>
                <c:pt idx="27">
                  <c:v>198.68482574391714</c:v>
                </c:pt>
                <c:pt idx="28">
                  <c:v>169.33037272270485</c:v>
                </c:pt>
                <c:pt idx="29">
                  <c:v>163.67804583942655</c:v>
                </c:pt>
                <c:pt idx="30">
                  <c:v>157.53435062559072</c:v>
                </c:pt>
                <c:pt idx="31">
                  <c:v>150.88809315242969</c:v>
                </c:pt>
                <c:pt idx="32">
                  <c:v>142.22057570720324</c:v>
                </c:pt>
              </c:numCache>
            </c:numRef>
          </c:val>
          <c:extLst>
            <c:ext xmlns:c16="http://schemas.microsoft.com/office/drawing/2014/chart" uri="{C3380CC4-5D6E-409C-BE32-E72D297353CC}">
              <c16:uniqueId val="{00000000-4BFB-FB47-A6E3-9E018C70CC15}"/>
            </c:ext>
          </c:extLst>
        </c:ser>
        <c:ser>
          <c:idx val="1"/>
          <c:order val="1"/>
          <c:tx>
            <c:strRef>
              <c:f>'Calculs Scénario ICEMAN'!$BZ$9</c:f>
              <c:strCache>
                <c:ptCount val="1"/>
                <c:pt idx="0">
                  <c:v>Masse H2 nécessaire (Mt)</c:v>
                </c:pt>
              </c:strCache>
            </c:strRef>
          </c:tx>
          <c:spPr>
            <a:solidFill>
              <a:schemeClr val="accent2"/>
            </a:solidFill>
            <a:ln w="25400">
              <a:noFill/>
            </a:ln>
            <a:effectLst/>
          </c:spPr>
          <c:val>
            <c:numRef>
              <c:f>'Calculs Scénario ICEMAN'!$BZ$14:$BZ$46</c:f>
              <c:numCache>
                <c:formatCode>General</c:formatCode>
                <c:ptCount val="33"/>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5.5025881638904525E-2</c:v>
                </c:pt>
                <c:pt idx="18" formatCode="0.00">
                  <c:v>0.11284180452116391</c:v>
                </c:pt>
                <c:pt idx="19" formatCode="0.00">
                  <c:v>0.17348783673944884</c:v>
                </c:pt>
                <c:pt idx="20" formatCode="0.00">
                  <c:v>0.23699404897653514</c:v>
                </c:pt>
                <c:pt idx="21" formatCode="0.00">
                  <c:v>0.30337855068721276</c:v>
                </c:pt>
                <c:pt idx="22" formatCode="0.00">
                  <c:v>4.6304170078598528</c:v>
                </c:pt>
                <c:pt idx="23" formatCode="0.00">
                  <c:v>9.1025457376319565</c:v>
                </c:pt>
                <c:pt idx="24" formatCode="0.00">
                  <c:v>13.713172475855602</c:v>
                </c:pt>
                <c:pt idx="25" formatCode="0.00">
                  <c:v>18.454044967428679</c:v>
                </c:pt>
                <c:pt idx="26" formatCode="0.00">
                  <c:v>23.315039403154369</c:v>
                </c:pt>
                <c:pt idx="27" formatCode="0.00">
                  <c:v>28.605361094011609</c:v>
                </c:pt>
                <c:pt idx="28" formatCode="0.00">
                  <c:v>34.120038443204308</c:v>
                </c:pt>
                <c:pt idx="29" formatCode="0.00">
                  <c:v>39.853012060770538</c:v>
                </c:pt>
                <c:pt idx="30" formatCode="0.00">
                  <c:v>45.795268582039817</c:v>
                </c:pt>
                <c:pt idx="31" formatCode="0.00">
                  <c:v>51.934295181920533</c:v>
                </c:pt>
                <c:pt idx="32" formatCode="0.00">
                  <c:v>57.64139269124086</c:v>
                </c:pt>
              </c:numCache>
            </c:numRef>
          </c:val>
          <c:extLst>
            <c:ext xmlns:c16="http://schemas.microsoft.com/office/drawing/2014/chart" uri="{C3380CC4-5D6E-409C-BE32-E72D297353CC}">
              <c16:uniqueId val="{00000001-4BFB-FB47-A6E3-9E018C70CC15}"/>
            </c:ext>
          </c:extLst>
        </c:ser>
        <c:ser>
          <c:idx val="2"/>
          <c:order val="2"/>
          <c:tx>
            <c:strRef>
              <c:f>'Calculs Scénario ICEMAN'!$BW$9</c:f>
              <c:strCache>
                <c:ptCount val="1"/>
                <c:pt idx="0">
                  <c:v>Masse PTL (Mt)</c:v>
                </c:pt>
              </c:strCache>
            </c:strRef>
          </c:tx>
          <c:spPr>
            <a:solidFill>
              <a:schemeClr val="accent3"/>
            </a:solidFill>
            <a:ln w="25400">
              <a:noFill/>
            </a:ln>
            <a:effectLst/>
          </c:spPr>
          <c:val>
            <c:numRef>
              <c:f>'Calculs Scénario ICEMAN'!$BW$14:$BW$46</c:f>
              <c:numCache>
                <c:formatCode>General</c:formatCode>
                <c:ptCount val="33"/>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3.0522444079862554</c:v>
                </c:pt>
                <c:pt idx="13" formatCode="0.00">
                  <c:v>3.8153055099828195</c:v>
                </c:pt>
                <c:pt idx="14" formatCode="0.00">
                  <c:v>4.7691318874785242</c:v>
                </c:pt>
                <c:pt idx="15" formatCode="0.00">
                  <c:v>5.9614148593481548</c:v>
                </c:pt>
                <c:pt idx="16" formatCode="0.00">
                  <c:v>7.4517685741851931</c:v>
                </c:pt>
                <c:pt idx="17" formatCode="0.00">
                  <c:v>9.3147107177314918</c:v>
                </c:pt>
                <c:pt idx="18" formatCode="0.00">
                  <c:v>11.643388397164365</c:v>
                </c:pt>
                <c:pt idx="19" formatCode="0.00">
                  <c:v>14.554235496455455</c:v>
                </c:pt>
                <c:pt idx="20" formatCode="0.00">
                  <c:v>18.19279437056932</c:v>
                </c:pt>
                <c:pt idx="21" formatCode="0.00">
                  <c:v>22.740992963211649</c:v>
                </c:pt>
                <c:pt idx="22" formatCode="0.00">
                  <c:v>28.426241204014563</c:v>
                </c:pt>
                <c:pt idx="23" formatCode="0.00">
                  <c:v>32.690177384616746</c:v>
                </c:pt>
                <c:pt idx="24" formatCode="0.00">
                  <c:v>37.593703992309251</c:v>
                </c:pt>
                <c:pt idx="25" formatCode="0.00">
                  <c:v>43.232759591155634</c:v>
                </c:pt>
                <c:pt idx="26" formatCode="0.00">
                  <c:v>49.717673529828978</c:v>
                </c:pt>
                <c:pt idx="27" formatCode="0.00">
                  <c:v>57.17532455930332</c:v>
                </c:pt>
                <c:pt idx="28" formatCode="0.00">
                  <c:v>65.17352751210089</c:v>
                </c:pt>
                <c:pt idx="29" formatCode="0.00">
                  <c:v>65.483053810904593</c:v>
                </c:pt>
                <c:pt idx="30" formatCode="0.00">
                  <c:v>65.714943770116847</c:v>
                </c:pt>
                <c:pt idx="31" formatCode="0.00">
                  <c:v>65.861179694395503</c:v>
                </c:pt>
                <c:pt idx="32" formatCode="0.00">
                  <c:v>69.001441831845895</c:v>
                </c:pt>
              </c:numCache>
            </c:numRef>
          </c:val>
          <c:extLst>
            <c:ext xmlns:c16="http://schemas.microsoft.com/office/drawing/2014/chart" uri="{C3380CC4-5D6E-409C-BE32-E72D297353CC}">
              <c16:uniqueId val="{00000002-4BFB-FB47-A6E3-9E018C70CC15}"/>
            </c:ext>
          </c:extLst>
        </c:ser>
        <c:ser>
          <c:idx val="3"/>
          <c:order val="3"/>
          <c:tx>
            <c:strRef>
              <c:f>'Calculs Scénario ICEMAN'!$BU$9</c:f>
              <c:strCache>
                <c:ptCount val="1"/>
                <c:pt idx="0">
                  <c:v>Masse Biocarburants (Mt)</c:v>
                </c:pt>
              </c:strCache>
            </c:strRef>
          </c:tx>
          <c:spPr>
            <a:solidFill>
              <a:schemeClr val="accent4"/>
            </a:solidFill>
            <a:ln w="25400">
              <a:noFill/>
            </a:ln>
            <a:effectLst/>
          </c:spPr>
          <c:val>
            <c:numRef>
              <c:f>'Calculs Scénario ICEMAN'!$BU$14:$BU$46</c:f>
              <c:numCache>
                <c:formatCode>0.00%</c:formatCode>
                <c:ptCount val="33"/>
                <c:pt idx="2" formatCode="0.00">
                  <c:v>0</c:v>
                </c:pt>
                <c:pt idx="3" formatCode="0.00">
                  <c:v>2.0501851548918237</c:v>
                </c:pt>
                <c:pt idx="4" formatCode="0.00">
                  <c:v>2.5627314436147799</c:v>
                </c:pt>
                <c:pt idx="5" formatCode="0.00">
                  <c:v>3.2034143045184749</c:v>
                </c:pt>
                <c:pt idx="6" formatCode="0.00">
                  <c:v>4.0042678806480936</c:v>
                </c:pt>
                <c:pt idx="7" formatCode="0.00">
                  <c:v>5.005334850810117</c:v>
                </c:pt>
                <c:pt idx="8" formatCode="0.00">
                  <c:v>6.2566685635126458</c:v>
                </c:pt>
                <c:pt idx="9" formatCode="0.00">
                  <c:v>7.8208357043908077</c:v>
                </c:pt>
                <c:pt idx="10" formatCode="0.00">
                  <c:v>9.77604463048851</c:v>
                </c:pt>
                <c:pt idx="11" formatCode="0.00">
                  <c:v>12.220055788110637</c:v>
                </c:pt>
                <c:pt idx="12" formatCode="0.00">
                  <c:v>15.275069735138295</c:v>
                </c:pt>
                <c:pt idx="13" formatCode="0.00">
                  <c:v>17.566330195409037</c:v>
                </c:pt>
                <c:pt idx="14" formatCode="0.00">
                  <c:v>20.201279724720393</c:v>
                </c:pt>
                <c:pt idx="15" formatCode="0.00">
                  <c:v>23.231471683428445</c:v>
                </c:pt>
                <c:pt idx="16" formatCode="0.00">
                  <c:v>26.716192435942713</c:v>
                </c:pt>
                <c:pt idx="17" formatCode="0.00">
                  <c:v>30.723621301334116</c:v>
                </c:pt>
                <c:pt idx="18" formatCode="0.00">
                  <c:v>35.332164496534233</c:v>
                </c:pt>
                <c:pt idx="19" formatCode="0.00">
                  <c:v>40.631989171014368</c:v>
                </c:pt>
                <c:pt idx="20" formatCode="0.00">
                  <c:v>46.726787546666515</c:v>
                </c:pt>
                <c:pt idx="21" formatCode="0.00">
                  <c:v>53.735805678666495</c:v>
                </c:pt>
                <c:pt idx="22" formatCode="0.00">
                  <c:v>61.796176530466461</c:v>
                </c:pt>
                <c:pt idx="23" formatCode="0.00">
                  <c:v>71.065603010036426</c:v>
                </c:pt>
                <c:pt idx="24" formatCode="0.00">
                  <c:v>81.725443461541886</c:v>
                </c:pt>
                <c:pt idx="25" formatCode="0.00">
                  <c:v>93.98425998077316</c:v>
                </c:pt>
                <c:pt idx="26" formatCode="0.00">
                  <c:v>108.08189897788913</c:v>
                </c:pt>
                <c:pt idx="27" formatCode="0.00">
                  <c:v>124.2941838245725</c:v>
                </c:pt>
                <c:pt idx="28" formatCode="0.00">
                  <c:v>141.6815815480455</c:v>
                </c:pt>
                <c:pt idx="29" formatCode="0.00">
                  <c:v>142.35446480631438</c:v>
                </c:pt>
                <c:pt idx="30" formatCode="0.00">
                  <c:v>142.85857341329753</c:v>
                </c:pt>
                <c:pt idx="31" formatCode="0.00">
                  <c:v>143.17647759651203</c:v>
                </c:pt>
                <c:pt idx="32" formatCode="0.00">
                  <c:v>138.00288366369179</c:v>
                </c:pt>
              </c:numCache>
            </c:numRef>
          </c:val>
          <c:extLst>
            <c:ext xmlns:c16="http://schemas.microsoft.com/office/drawing/2014/chart" uri="{C3380CC4-5D6E-409C-BE32-E72D297353CC}">
              <c16:uniqueId val="{00000003-4BFB-FB47-A6E3-9E018C70CC15}"/>
            </c:ext>
          </c:extLst>
        </c:ser>
        <c:dLbls>
          <c:showLegendKey val="0"/>
          <c:showVal val="0"/>
          <c:showCatName val="0"/>
          <c:showSerName val="0"/>
          <c:showPercent val="0"/>
          <c:showBubbleSize val="0"/>
        </c:dLbls>
        <c:axId val="857673808"/>
        <c:axId val="857676064"/>
      </c:areaChart>
      <c:catAx>
        <c:axId val="85767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676064"/>
        <c:crosses val="autoZero"/>
        <c:auto val="1"/>
        <c:lblAlgn val="ctr"/>
        <c:lblOffset val="100"/>
        <c:noMultiLvlLbl val="0"/>
      </c:catAx>
      <c:valAx>
        <c:axId val="85767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Consommation (Mt)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673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Production, capacité d'emport et consommation réelle de SAF</a:t>
            </a:r>
            <a:r>
              <a:rPr lang="fr-FR" baseline="0"/>
              <a:t> - ICEMAN</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38501059918956E-2"/>
          <c:y val="0.13619897346147183"/>
          <c:w val="0.64399015534743709"/>
          <c:h val="0.75221456161859901"/>
        </c:manualLayout>
      </c:layout>
      <c:lineChart>
        <c:grouping val="standard"/>
        <c:varyColors val="0"/>
        <c:ser>
          <c:idx val="0"/>
          <c:order val="0"/>
          <c:tx>
            <c:v>Production SAF (Biocarburants 2G + PTL)</c:v>
          </c:tx>
          <c:spPr>
            <a:ln w="28575" cap="rnd">
              <a:solidFill>
                <a:schemeClr val="accent1"/>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82-E84E-862E-476AE2750B5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'Calculs Scénario ICEMAN'!$B$16:$B$46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'Calculs Scénario ICEMAN'!$BK$16:$BK$46</c:f>
              <c:numCache>
                <c:formatCode>0.00</c:formatCode>
                <c:ptCount val="31"/>
                <c:pt idx="0">
                  <c:v>0</c:v>
                </c:pt>
                <c:pt idx="1">
                  <c:v>2.0501851548918237</c:v>
                </c:pt>
                <c:pt idx="2">
                  <c:v>2.5627314436147799</c:v>
                </c:pt>
                <c:pt idx="3">
                  <c:v>3.2034143045184749</c:v>
                </c:pt>
                <c:pt idx="4">
                  <c:v>4.0042678806480936</c:v>
                </c:pt>
                <c:pt idx="5">
                  <c:v>5.005334850810117</c:v>
                </c:pt>
                <c:pt idx="6">
                  <c:v>6.2566685635126458</c:v>
                </c:pt>
                <c:pt idx="7">
                  <c:v>7.8208357043908077</c:v>
                </c:pt>
                <c:pt idx="8">
                  <c:v>9.77604463048851</c:v>
                </c:pt>
                <c:pt idx="9">
                  <c:v>12.220055788110637</c:v>
                </c:pt>
                <c:pt idx="10">
                  <c:v>18.32731414312455</c:v>
                </c:pt>
                <c:pt idx="11">
                  <c:v>21.381635705391858</c:v>
                </c:pt>
                <c:pt idx="12">
                  <c:v>24.970411612198916</c:v>
                </c:pt>
                <c:pt idx="13">
                  <c:v>29.192886542776598</c:v>
                </c:pt>
                <c:pt idx="14">
                  <c:v>34.167961010127904</c:v>
                </c:pt>
                <c:pt idx="15">
                  <c:v>40.038332019065614</c:v>
                </c:pt>
                <c:pt idx="16">
                  <c:v>46.975552893698598</c:v>
                </c:pt>
                <c:pt idx="17">
                  <c:v>55.186224667469823</c:v>
                </c:pt>
                <c:pt idx="18">
                  <c:v>64.919581917235831</c:v>
                </c:pt>
                <c:pt idx="19">
                  <c:v>76.476798641878148</c:v>
                </c:pt>
                <c:pt idx="20">
                  <c:v>90.222417734481027</c:v>
                </c:pt>
                <c:pt idx="21">
                  <c:v>103.75578039465317</c:v>
                </c:pt>
                <c:pt idx="22">
                  <c:v>119.31914745385114</c:v>
                </c:pt>
                <c:pt idx="23">
                  <c:v>137.2170195719288</c:v>
                </c:pt>
                <c:pt idx="24">
                  <c:v>157.7995725077181</c:v>
                </c:pt>
                <c:pt idx="25">
                  <c:v>181.46950838387579</c:v>
                </c:pt>
                <c:pt idx="26">
                  <c:v>208.68993464145717</c:v>
                </c:pt>
                <c:pt idx="27">
                  <c:v>239.99342483767572</c:v>
                </c:pt>
                <c:pt idx="28">
                  <c:v>275.99243856332703</c:v>
                </c:pt>
                <c:pt idx="29">
                  <c:v>317.39130434782606</c:v>
                </c:pt>
                <c:pt idx="30">
                  <c:v>375</c:v>
                </c:pt>
              </c:numCache>
            </c:numRef>
          </c:val>
          <c:smooth val="1"/>
          <c:extLst>
            <c:ext xmlns:c16="http://schemas.microsoft.com/office/drawing/2014/chart" uri="{C3380CC4-5D6E-409C-BE32-E72D297353CC}">
              <c16:uniqueId val="{00000001-9282-E84E-862E-476AE2750B57}"/>
            </c:ext>
          </c:extLst>
        </c:ser>
        <c:ser>
          <c:idx val="1"/>
          <c:order val="1"/>
          <c:tx>
            <c:v>Capacité d'emport SAF (hors LH2)</c:v>
          </c:tx>
          <c:spPr>
            <a:ln w="28575" cap="rnd">
              <a:solidFill>
                <a:schemeClr val="accent2"/>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55-3B49-8F1A-E4A862A0F6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'Calculs Scénario ICEMAN'!$B$16:$B$46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'Calculs Scénario ICEMAN'!$BJ$16:$BJ$46</c:f>
              <c:numCache>
                <c:formatCode>0.00</c:formatCode>
                <c:ptCount val="31"/>
                <c:pt idx="0">
                  <c:v>1.9469585565968248</c:v>
                </c:pt>
                <c:pt idx="1">
                  <c:v>8.5880050029714265</c:v>
                </c:pt>
                <c:pt idx="2">
                  <c:v>13.989750257449806</c:v>
                </c:pt>
                <c:pt idx="3">
                  <c:v>20.254403747559582</c:v>
                </c:pt>
                <c:pt idx="4">
                  <c:v>27.487893873090361</c:v>
                </c:pt>
                <c:pt idx="5">
                  <c:v>33.984199439292865</c:v>
                </c:pt>
                <c:pt idx="6">
                  <c:v>40.842491641665816</c:v>
                </c:pt>
                <c:pt idx="7">
                  <c:v>48.075358592761518</c:v>
                </c:pt>
                <c:pt idx="8">
                  <c:v>55.695341608358284</c:v>
                </c:pt>
                <c:pt idx="9">
                  <c:v>63.714854919716061</c:v>
                </c:pt>
                <c:pt idx="10">
                  <c:v>72.087908695992738</c:v>
                </c:pt>
                <c:pt idx="11">
                  <c:v>80.875896990351166</c:v>
                </c:pt>
                <c:pt idx="12">
                  <c:v>89.956096474548062</c:v>
                </c:pt>
                <c:pt idx="13">
                  <c:v>99.44048709889735</c:v>
                </c:pt>
                <c:pt idx="14">
                  <c:v>109.33532356673693</c:v>
                </c:pt>
                <c:pt idx="15">
                  <c:v>119.44859403088221</c:v>
                </c:pt>
                <c:pt idx="16">
                  <c:v>129.96369476542068</c:v>
                </c:pt>
                <c:pt idx="17">
                  <c:v>140.881560393744</c:v>
                </c:pt>
                <c:pt idx="18">
                  <c:v>152.20108730839812</c:v>
                </c:pt>
                <c:pt idx="19">
                  <c:v>163.91878421261029</c:v>
                </c:pt>
                <c:pt idx="20">
                  <c:v>171.83257520564879</c:v>
                </c:pt>
                <c:pt idx="21">
                  <c:v>179.8458053447018</c:v>
                </c:pt>
                <c:pt idx="22">
                  <c:v>187.93632245344986</c:v>
                </c:pt>
                <c:pt idx="23">
                  <c:v>196.07854475952976</c:v>
                </c:pt>
                <c:pt idx="24">
                  <c:v>204.24307966065459</c:v>
                </c:pt>
                <c:pt idx="25">
                  <c:v>205.64975424503493</c:v>
                </c:pt>
                <c:pt idx="26">
                  <c:v>206.85510906014639</c:v>
                </c:pt>
                <c:pt idx="27">
                  <c:v>207.83751861721899</c:v>
                </c:pt>
                <c:pt idx="28">
                  <c:v>208.5735171834144</c:v>
                </c:pt>
                <c:pt idx="29">
                  <c:v>209.03765729090753</c:v>
                </c:pt>
                <c:pt idx="30">
                  <c:v>207.0043254955377</c:v>
                </c:pt>
              </c:numCache>
            </c:numRef>
          </c:val>
          <c:smooth val="1"/>
          <c:extLst>
            <c:ext xmlns:c16="http://schemas.microsoft.com/office/drawing/2014/chart" uri="{C3380CC4-5D6E-409C-BE32-E72D297353CC}">
              <c16:uniqueId val="{00000002-9282-E84E-862E-476AE2750B57}"/>
            </c:ext>
          </c:extLst>
        </c:ser>
        <c:ser>
          <c:idx val="2"/>
          <c:order val="2"/>
          <c:tx>
            <c:v>Consommation réelle</c:v>
          </c:tx>
          <c:spPr>
            <a:ln w="28575" cap="rnd">
              <a:solidFill>
                <a:schemeClr val="accent3"/>
              </a:solidFill>
              <a:round/>
            </a:ln>
            <a:effectLst/>
          </c:spPr>
          <c:marker>
            <c:symbol val="none"/>
          </c:marker>
          <c:dLbls>
            <c:dLbl>
              <c:idx val="2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78-D548-B312-B483B14C04EE}"/>
                </c:ext>
              </c:extLst>
            </c:dLbl>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2-E84E-862E-476AE2750B5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'Calculs Scénario ICEMAN'!$B$16:$B$46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'Calculs Scénario ICEMAN'!$BS$16:$BS$46</c:f>
              <c:numCache>
                <c:formatCode>0.00</c:formatCode>
                <c:ptCount val="31"/>
                <c:pt idx="0">
                  <c:v>0</c:v>
                </c:pt>
                <c:pt idx="1">
                  <c:v>2.0501851548918237</c:v>
                </c:pt>
                <c:pt idx="2">
                  <c:v>2.5627314436147799</c:v>
                </c:pt>
                <c:pt idx="3">
                  <c:v>3.2034143045184749</c:v>
                </c:pt>
                <c:pt idx="4">
                  <c:v>4.0042678806480936</c:v>
                </c:pt>
                <c:pt idx="5">
                  <c:v>5.005334850810117</c:v>
                </c:pt>
                <c:pt idx="6">
                  <c:v>6.2566685635126458</c:v>
                </c:pt>
                <c:pt idx="7">
                  <c:v>7.8208357043908077</c:v>
                </c:pt>
                <c:pt idx="8">
                  <c:v>9.77604463048851</c:v>
                </c:pt>
                <c:pt idx="9">
                  <c:v>12.220055788110637</c:v>
                </c:pt>
                <c:pt idx="10">
                  <c:v>18.32731414312455</c:v>
                </c:pt>
                <c:pt idx="11">
                  <c:v>21.381635705391858</c:v>
                </c:pt>
                <c:pt idx="12">
                  <c:v>24.970411612198916</c:v>
                </c:pt>
                <c:pt idx="13">
                  <c:v>29.192886542776598</c:v>
                </c:pt>
                <c:pt idx="14">
                  <c:v>34.167961010127904</c:v>
                </c:pt>
                <c:pt idx="15">
                  <c:v>40.038332019065614</c:v>
                </c:pt>
                <c:pt idx="16">
                  <c:v>46.975552893698598</c:v>
                </c:pt>
                <c:pt idx="17">
                  <c:v>55.186224667469823</c:v>
                </c:pt>
                <c:pt idx="18">
                  <c:v>64.919581917235831</c:v>
                </c:pt>
                <c:pt idx="19">
                  <c:v>76.476798641878148</c:v>
                </c:pt>
                <c:pt idx="20">
                  <c:v>90.222417734481027</c:v>
                </c:pt>
                <c:pt idx="21">
                  <c:v>103.75578039465317</c:v>
                </c:pt>
                <c:pt idx="22">
                  <c:v>119.31914745385114</c:v>
                </c:pt>
                <c:pt idx="23">
                  <c:v>137.2170195719288</c:v>
                </c:pt>
                <c:pt idx="24">
                  <c:v>157.7995725077181</c:v>
                </c:pt>
                <c:pt idx="25">
                  <c:v>181.46950838387579</c:v>
                </c:pt>
                <c:pt idx="26">
                  <c:v>206.85510906014639</c:v>
                </c:pt>
                <c:pt idx="27">
                  <c:v>207.83751861721899</c:v>
                </c:pt>
                <c:pt idx="28">
                  <c:v>208.5735171834144</c:v>
                </c:pt>
                <c:pt idx="29">
                  <c:v>209.03765729090753</c:v>
                </c:pt>
                <c:pt idx="30">
                  <c:v>207.0043254955377</c:v>
                </c:pt>
              </c:numCache>
            </c:numRef>
          </c:val>
          <c:smooth val="1"/>
          <c:extLst>
            <c:ext xmlns:c16="http://schemas.microsoft.com/office/drawing/2014/chart" uri="{C3380CC4-5D6E-409C-BE32-E72D297353CC}">
              <c16:uniqueId val="{00000004-9282-E84E-862E-476AE2750B57}"/>
            </c:ext>
          </c:extLst>
        </c:ser>
        <c:dLbls>
          <c:showLegendKey val="0"/>
          <c:showVal val="0"/>
          <c:showCatName val="0"/>
          <c:showSerName val="0"/>
          <c:showPercent val="0"/>
          <c:showBubbleSize val="0"/>
        </c:dLbls>
        <c:smooth val="0"/>
        <c:axId val="1336198175"/>
        <c:axId val="1395440207"/>
      </c:lineChart>
      <c:catAx>
        <c:axId val="133619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5440207"/>
        <c:crosses val="autoZero"/>
        <c:auto val="1"/>
        <c:lblAlgn val="ctr"/>
        <c:lblOffset val="100"/>
        <c:tickLblSkip val="2"/>
        <c:tickMarkSkip val="1"/>
        <c:noMultiLvlLbl val="0"/>
      </c:catAx>
      <c:valAx>
        <c:axId val="13954402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fr-FR" sz="1200" b="1"/>
                  <a:t>Mt</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198175"/>
        <c:crosses val="autoZero"/>
        <c:crossBetween val="between"/>
      </c:valAx>
      <c:spPr>
        <a:noFill/>
        <a:ln>
          <a:noFill/>
        </a:ln>
        <a:effectLst/>
      </c:spPr>
    </c:plotArea>
    <c:legend>
      <c:legendPos val="r"/>
      <c:layout>
        <c:manualLayout>
          <c:xMode val="edge"/>
          <c:yMode val="edge"/>
          <c:x val="0.75053506463495656"/>
          <c:y val="0.36968117125327793"/>
          <c:w val="0.23842674730263269"/>
          <c:h val="0.380756124546420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Production, capacité d'emport et consommation réelle de SAF</a:t>
            </a:r>
            <a:r>
              <a:rPr lang="fr-FR" baseline="0"/>
              <a:t> - Maverick</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38501059918956E-2"/>
          <c:y val="0.13619897346147183"/>
          <c:w val="0.64399015534743709"/>
          <c:h val="0.75221456161859901"/>
        </c:manualLayout>
      </c:layout>
      <c:lineChart>
        <c:grouping val="standard"/>
        <c:varyColors val="0"/>
        <c:ser>
          <c:idx val="0"/>
          <c:order val="0"/>
          <c:tx>
            <c:v>Production SAF (Biocarburants 2G + PTL)</c:v>
          </c:tx>
          <c:spPr>
            <a:ln w="28575" cap="rnd">
              <a:solidFill>
                <a:schemeClr val="accent1"/>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00-9846-B7F2-A61402339F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'Calculs Scénario MAVERICK'!$B$16:$B$46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'Calculs Scénario MAVERICK'!$BK$16:$BK$46</c:f>
              <c:numCache>
                <c:formatCode>0.00</c:formatCode>
                <c:ptCount val="31"/>
                <c:pt idx="0">
                  <c:v>2.0501851548918237</c:v>
                </c:pt>
                <c:pt idx="1">
                  <c:v>4.1003703097836475</c:v>
                </c:pt>
                <c:pt idx="2">
                  <c:v>5.1254628872295598</c:v>
                </c:pt>
                <c:pt idx="3">
                  <c:v>6.4068286090369497</c:v>
                </c:pt>
                <c:pt idx="4">
                  <c:v>8.0085357612961872</c:v>
                </c:pt>
                <c:pt idx="5">
                  <c:v>10.010669701620234</c:v>
                </c:pt>
                <c:pt idx="6">
                  <c:v>12.513337127025292</c:v>
                </c:pt>
                <c:pt idx="7">
                  <c:v>15.641671408781615</c:v>
                </c:pt>
                <c:pt idx="8">
                  <c:v>19.55208926097702</c:v>
                </c:pt>
                <c:pt idx="9">
                  <c:v>24.440111576221273</c:v>
                </c:pt>
                <c:pt idx="10">
                  <c:v>36.6546282862491</c:v>
                </c:pt>
                <c:pt idx="11">
                  <c:v>42.763271410783716</c:v>
                </c:pt>
                <c:pt idx="12">
                  <c:v>49.940823224397832</c:v>
                </c:pt>
                <c:pt idx="13">
                  <c:v>58.385773085553204</c:v>
                </c:pt>
                <c:pt idx="14">
                  <c:v>68.335922020255822</c:v>
                </c:pt>
                <c:pt idx="15">
                  <c:v>80.076664038131227</c:v>
                </c:pt>
                <c:pt idx="16">
                  <c:v>93.951105787397196</c:v>
                </c:pt>
                <c:pt idx="17">
                  <c:v>110.37244933493966</c:v>
                </c:pt>
                <c:pt idx="18">
                  <c:v>129.83916383447166</c:v>
                </c:pt>
                <c:pt idx="19">
                  <c:v>152.9535972837563</c:v>
                </c:pt>
                <c:pt idx="20">
                  <c:v>180.44483546896205</c:v>
                </c:pt>
                <c:pt idx="21">
                  <c:v>213.19680903010928</c:v>
                </c:pt>
                <c:pt idx="22">
                  <c:v>245.17633038462566</c:v>
                </c:pt>
                <c:pt idx="23">
                  <c:v>281.95277994231947</c:v>
                </c:pt>
                <c:pt idx="24">
                  <c:v>324.24569693366738</c:v>
                </c:pt>
                <c:pt idx="25">
                  <c:v>372.88255147371746</c:v>
                </c:pt>
                <c:pt idx="26">
                  <c:v>428.81493419477505</c:v>
                </c:pt>
                <c:pt idx="27">
                  <c:v>493.13717432399125</c:v>
                </c:pt>
                <c:pt idx="28">
                  <c:v>567.10775047258983</c:v>
                </c:pt>
                <c:pt idx="29">
                  <c:v>652.17391304347825</c:v>
                </c:pt>
                <c:pt idx="30">
                  <c:v>750</c:v>
                </c:pt>
              </c:numCache>
            </c:numRef>
          </c:val>
          <c:smooth val="1"/>
          <c:extLst>
            <c:ext xmlns:c16="http://schemas.microsoft.com/office/drawing/2014/chart" uri="{C3380CC4-5D6E-409C-BE32-E72D297353CC}">
              <c16:uniqueId val="{00000000-1E00-9846-B7F2-A61402339F13}"/>
            </c:ext>
          </c:extLst>
        </c:ser>
        <c:ser>
          <c:idx val="1"/>
          <c:order val="1"/>
          <c:tx>
            <c:v>Capacité d'emport SAF (hors LH2)</c:v>
          </c:tx>
          <c:spPr>
            <a:ln w="28575" cap="rnd">
              <a:solidFill>
                <a:schemeClr val="accent2"/>
              </a:solidFill>
              <a:round/>
            </a:ln>
            <a:effectLst/>
          </c:spPr>
          <c:marker>
            <c:symbol val="none"/>
          </c:marker>
          <c:dLbls>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73-CE45-9D0A-350780F26A8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'Calculs Scénario MAVERICK'!$B$16:$B$46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'Calculs Scénario MAVERICK'!$BJ$16:$BJ$46</c:f>
              <c:numCache>
                <c:formatCode>0.00</c:formatCode>
                <c:ptCount val="31"/>
                <c:pt idx="0">
                  <c:v>3.2449309276613749</c:v>
                </c:pt>
                <c:pt idx="1">
                  <c:v>14.313341671619046</c:v>
                </c:pt>
                <c:pt idx="2">
                  <c:v>23.316250429083013</c:v>
                </c:pt>
                <c:pt idx="3">
                  <c:v>33.757339579265974</c:v>
                </c:pt>
                <c:pt idx="4">
                  <c:v>45.813156455150605</c:v>
                </c:pt>
                <c:pt idx="5">
                  <c:v>56.23264608226652</c:v>
                </c:pt>
                <c:pt idx="6">
                  <c:v>67.10001011327796</c:v>
                </c:pt>
                <c:pt idx="7">
                  <c:v>78.231553928237176</c:v>
                </c:pt>
                <c:pt idx="8">
                  <c:v>89.755752867941851</c:v>
                </c:pt>
                <c:pt idx="9">
                  <c:v>101.6682745271616</c:v>
                </c:pt>
                <c:pt idx="10">
                  <c:v>113.68038383857491</c:v>
                </c:pt>
                <c:pt idx="11">
                  <c:v>126.03853879131094</c:v>
                </c:pt>
                <c:pt idx="12">
                  <c:v>138.7298950331587</c:v>
                </c:pt>
                <c:pt idx="13">
                  <c:v>151.7387691130605</c:v>
                </c:pt>
                <c:pt idx="14">
                  <c:v>165.04633972907402</c:v>
                </c:pt>
                <c:pt idx="15">
                  <c:v>161.43172757263125</c:v>
                </c:pt>
                <c:pt idx="16">
                  <c:v>157.57418841445684</c:v>
                </c:pt>
                <c:pt idx="17">
                  <c:v>157.00569318811137</c:v>
                </c:pt>
                <c:pt idx="18">
                  <c:v>154.46499992224398</c:v>
                </c:pt>
                <c:pt idx="19">
                  <c:v>153.48809310552724</c:v>
                </c:pt>
                <c:pt idx="20">
                  <c:v>151.87657787329007</c:v>
                </c:pt>
                <c:pt idx="21">
                  <c:v>150.0415789142414</c:v>
                </c:pt>
                <c:pt idx="22">
                  <c:v>148.4544621706703</c:v>
                </c:pt>
                <c:pt idx="23">
                  <c:v>146.62735384350441</c:v>
                </c:pt>
                <c:pt idx="24">
                  <c:v>144.5497504207851</c:v>
                </c:pt>
                <c:pt idx="25">
                  <c:v>142.60593895371227</c:v>
                </c:pt>
                <c:pt idx="26">
                  <c:v>140.40118099628666</c:v>
                </c:pt>
                <c:pt idx="27">
                  <c:v>137.92452502501285</c:v>
                </c:pt>
                <c:pt idx="28">
                  <c:v>135.16532531964774</c:v>
                </c:pt>
                <c:pt idx="29">
                  <c:v>132.11341078887423</c:v>
                </c:pt>
                <c:pt idx="30">
                  <c:v>134.67383010221928</c:v>
                </c:pt>
              </c:numCache>
            </c:numRef>
          </c:val>
          <c:smooth val="1"/>
          <c:extLst>
            <c:ext xmlns:c16="http://schemas.microsoft.com/office/drawing/2014/chart" uri="{C3380CC4-5D6E-409C-BE32-E72D297353CC}">
              <c16:uniqueId val="{00000002-1E00-9846-B7F2-A61402339F13}"/>
            </c:ext>
          </c:extLst>
        </c:ser>
        <c:ser>
          <c:idx val="2"/>
          <c:order val="2"/>
          <c:tx>
            <c:v>Consommation réelle</c:v>
          </c:tx>
          <c:spPr>
            <a:ln w="28575" cap="rnd">
              <a:solidFill>
                <a:schemeClr val="accent3"/>
              </a:solidFill>
              <a:round/>
            </a:ln>
            <a:effectLst/>
          </c:spPr>
          <c:marker>
            <c:symbol val="none"/>
          </c:marker>
          <c:dLbls>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73-CE45-9D0A-350780F26A84}"/>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0-9846-B7F2-A61402339F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'Calculs Scénario MAVERICK'!$BS$16:$BS$46</c:f>
              <c:numCache>
                <c:formatCode>0.00</c:formatCode>
                <c:ptCount val="31"/>
                <c:pt idx="0">
                  <c:v>2.0501851548918237</c:v>
                </c:pt>
                <c:pt idx="1">
                  <c:v>4.1003703097836475</c:v>
                </c:pt>
                <c:pt idx="2">
                  <c:v>5.1254628872295598</c:v>
                </c:pt>
                <c:pt idx="3">
                  <c:v>6.4068286090369497</c:v>
                </c:pt>
                <c:pt idx="4">
                  <c:v>8.0085357612961872</c:v>
                </c:pt>
                <c:pt idx="5">
                  <c:v>10.010669701620234</c:v>
                </c:pt>
                <c:pt idx="6">
                  <c:v>12.513337127025292</c:v>
                </c:pt>
                <c:pt idx="7">
                  <c:v>15.641671408781615</c:v>
                </c:pt>
                <c:pt idx="8">
                  <c:v>19.55208926097702</c:v>
                </c:pt>
                <c:pt idx="9">
                  <c:v>24.440111576221273</c:v>
                </c:pt>
                <c:pt idx="10">
                  <c:v>36.6546282862491</c:v>
                </c:pt>
                <c:pt idx="11">
                  <c:v>42.763271410783716</c:v>
                </c:pt>
                <c:pt idx="12">
                  <c:v>49.940823224397832</c:v>
                </c:pt>
                <c:pt idx="13">
                  <c:v>58.385773085553204</c:v>
                </c:pt>
                <c:pt idx="14">
                  <c:v>68.335922020255822</c:v>
                </c:pt>
                <c:pt idx="15">
                  <c:v>80.076664038131227</c:v>
                </c:pt>
                <c:pt idx="16">
                  <c:v>93.951105787397196</c:v>
                </c:pt>
                <c:pt idx="17">
                  <c:v>110.37244933493966</c:v>
                </c:pt>
                <c:pt idx="18">
                  <c:v>129.83916383447166</c:v>
                </c:pt>
                <c:pt idx="19">
                  <c:v>152.9535972837563</c:v>
                </c:pt>
                <c:pt idx="20">
                  <c:v>151.87657787329007</c:v>
                </c:pt>
                <c:pt idx="21">
                  <c:v>150.0415789142414</c:v>
                </c:pt>
                <c:pt idx="22">
                  <c:v>148.4544621706703</c:v>
                </c:pt>
                <c:pt idx="23">
                  <c:v>146.62735384350441</c:v>
                </c:pt>
                <c:pt idx="24">
                  <c:v>144.5497504207851</c:v>
                </c:pt>
                <c:pt idx="25">
                  <c:v>142.60593895371227</c:v>
                </c:pt>
                <c:pt idx="26">
                  <c:v>140.40118099628666</c:v>
                </c:pt>
                <c:pt idx="27">
                  <c:v>137.92452502501285</c:v>
                </c:pt>
                <c:pt idx="28">
                  <c:v>135.16532531964774</c:v>
                </c:pt>
                <c:pt idx="29">
                  <c:v>132.11341078887423</c:v>
                </c:pt>
                <c:pt idx="30">
                  <c:v>134.67383010221928</c:v>
                </c:pt>
              </c:numCache>
            </c:numRef>
          </c:val>
          <c:smooth val="1"/>
          <c:extLst>
            <c:ext xmlns:c16="http://schemas.microsoft.com/office/drawing/2014/chart" uri="{C3380CC4-5D6E-409C-BE32-E72D297353CC}">
              <c16:uniqueId val="{00000003-1E00-9846-B7F2-A61402339F13}"/>
            </c:ext>
          </c:extLst>
        </c:ser>
        <c:dLbls>
          <c:showLegendKey val="0"/>
          <c:showVal val="0"/>
          <c:showCatName val="0"/>
          <c:showSerName val="0"/>
          <c:showPercent val="0"/>
          <c:showBubbleSize val="0"/>
        </c:dLbls>
        <c:smooth val="0"/>
        <c:axId val="1336198175"/>
        <c:axId val="1395440207"/>
      </c:lineChart>
      <c:catAx>
        <c:axId val="133619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5440207"/>
        <c:crosses val="autoZero"/>
        <c:auto val="1"/>
        <c:lblAlgn val="ctr"/>
        <c:lblOffset val="100"/>
        <c:tickLblSkip val="2"/>
        <c:tickMarkSkip val="1"/>
        <c:noMultiLvlLbl val="0"/>
      </c:catAx>
      <c:valAx>
        <c:axId val="13954402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fr-FR" sz="1200" b="1"/>
                  <a:t>Mt</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198175"/>
        <c:crosses val="autoZero"/>
        <c:crossBetween val="between"/>
      </c:valAx>
      <c:spPr>
        <a:noFill/>
        <a:ln>
          <a:noFill/>
        </a:ln>
        <a:effectLst/>
      </c:spPr>
    </c:plotArea>
    <c:legend>
      <c:legendPos val="r"/>
      <c:layout>
        <c:manualLayout>
          <c:xMode val="edge"/>
          <c:yMode val="edge"/>
          <c:x val="0.75053506463495656"/>
          <c:y val="0.36968117125327793"/>
          <c:w val="0.23842674730263269"/>
          <c:h val="0.380756124546420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1317811</xdr:colOff>
      <xdr:row>107</xdr:row>
      <xdr:rowOff>197222</xdr:rowOff>
    </xdr:from>
    <xdr:ext cx="5829300" cy="140970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5691223" y="26897104"/>
          <a:ext cx="5829300" cy="1409700"/>
        </a:xfrm>
        <a:prstGeom prst="rect">
          <a:avLst/>
        </a:prstGeom>
        <a:noFill/>
      </xdr:spPr>
    </xdr:pic>
    <xdr:clientData fLocksWithSheet="0"/>
  </xdr:oneCellAnchor>
  <xdr:twoCellAnchor>
    <xdr:from>
      <xdr:col>7</xdr:col>
      <xdr:colOff>485775</xdr:colOff>
      <xdr:row>13</xdr:row>
      <xdr:rowOff>9525</xdr:rowOff>
    </xdr:from>
    <xdr:to>
      <xdr:col>11</xdr:col>
      <xdr:colOff>619125</xdr:colOff>
      <xdr:row>24</xdr:row>
      <xdr:rowOff>177800</xdr:rowOff>
    </xdr:to>
    <xdr:graphicFrame macro="">
      <xdr:nvGraphicFramePr>
        <xdr:cNvPr id="3" name="Graphique 2">
          <a:extLst>
            <a:ext uri="{FF2B5EF4-FFF2-40B4-BE49-F238E27FC236}">
              <a16:creationId xmlns:a16="http://schemas.microsoft.com/office/drawing/2014/main" id="{E24791DE-367C-EC44-87F6-D7E870C22FC4}"/>
            </a:ext>
            <a:ext uri="{147F2762-F138-4A5C-976F-8EAC2B608ADB}">
              <a16:predDERef xmlns:a16="http://schemas.microsoft.com/office/drawing/2014/main" pre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917388</xdr:colOff>
      <xdr:row>125</xdr:row>
      <xdr:rowOff>421340</xdr:rowOff>
    </xdr:from>
    <xdr:to>
      <xdr:col>13</xdr:col>
      <xdr:colOff>457200</xdr:colOff>
      <xdr:row>150</xdr:row>
      <xdr:rowOff>124010</xdr:rowOff>
    </xdr:to>
    <xdr:graphicFrame macro="">
      <xdr:nvGraphicFramePr>
        <xdr:cNvPr id="4" name="Graphique 3">
          <a:extLst>
            <a:ext uri="{FF2B5EF4-FFF2-40B4-BE49-F238E27FC236}">
              <a16:creationId xmlns:a16="http://schemas.microsoft.com/office/drawing/2014/main" id="{DCA49861-E595-3345-8495-C1CCE9F505DF}"/>
            </a:ext>
            <a:ext uri="{147F2762-F138-4A5C-976F-8EAC2B608ADB}">
              <a16:predDERef xmlns:a16="http://schemas.microsoft.com/office/drawing/2014/main" pred="{E24791DE-367C-EC44-87F6-D7E870C22F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0.25322</cdr:x>
      <cdr:y>0.75644</cdr:y>
    </cdr:from>
    <cdr:to>
      <cdr:x>0.25446</cdr:x>
      <cdr:y>0.91762</cdr:y>
    </cdr:to>
    <cdr:cxnSp macro="">
      <cdr:nvCxnSpPr>
        <cdr:cNvPr id="3" name="Connecteur droit 2">
          <a:extLst xmlns:a="http://schemas.openxmlformats.org/drawingml/2006/main">
            <a:ext uri="{FF2B5EF4-FFF2-40B4-BE49-F238E27FC236}">
              <a16:creationId xmlns:a16="http://schemas.microsoft.com/office/drawing/2014/main" id="{4D204DD6-8F5E-7F47-9B7A-FDA83A8BC821}"/>
            </a:ext>
          </a:extLst>
        </cdr:cNvPr>
        <cdr:cNvCxnSpPr/>
      </cdr:nvCxnSpPr>
      <cdr:spPr>
        <a:xfrm xmlns:a="http://schemas.openxmlformats.org/drawingml/2006/main" flipH="1">
          <a:off x="2130612" y="3704242"/>
          <a:ext cx="10432" cy="789318"/>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0.3885</cdr:x>
      <cdr:y>0.75578</cdr:y>
    </cdr:from>
    <cdr:to>
      <cdr:x>0.3891</cdr:x>
      <cdr:y>0.84986</cdr:y>
    </cdr:to>
    <cdr:cxnSp macro="">
      <cdr:nvCxnSpPr>
        <cdr:cNvPr id="9" name="Connecteur droit 8">
          <a:extLst xmlns:a="http://schemas.openxmlformats.org/drawingml/2006/main">
            <a:ext uri="{FF2B5EF4-FFF2-40B4-BE49-F238E27FC236}">
              <a16:creationId xmlns:a16="http://schemas.microsoft.com/office/drawing/2014/main" id="{9F1D69A1-FF49-D144-A8A0-C47EFFABE3C5}"/>
            </a:ext>
          </a:extLst>
        </cdr:cNvPr>
        <cdr:cNvCxnSpPr/>
      </cdr:nvCxnSpPr>
      <cdr:spPr>
        <a:xfrm xmlns:a="http://schemas.openxmlformats.org/drawingml/2006/main" flipH="1">
          <a:off x="3281680" y="3749040"/>
          <a:ext cx="5137" cy="46665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0.2336</cdr:x>
      <cdr:y>0.92281</cdr:y>
    </cdr:from>
    <cdr:to>
      <cdr:x>0.27435</cdr:x>
      <cdr:y>0.98246</cdr:y>
    </cdr:to>
    <cdr:sp macro="" textlink="">
      <cdr:nvSpPr>
        <cdr:cNvPr id="12" name="ZoneTexte 11">
          <a:extLst xmlns:a="http://schemas.openxmlformats.org/drawingml/2006/main">
            <a:ext uri="{FF2B5EF4-FFF2-40B4-BE49-F238E27FC236}">
              <a16:creationId xmlns:a16="http://schemas.microsoft.com/office/drawing/2014/main" id="{B40145E3-D482-7743-98A2-E01D869FDD38}"/>
            </a:ext>
          </a:extLst>
        </cdr:cNvPr>
        <cdr:cNvSpPr txBox="1"/>
      </cdr:nvSpPr>
      <cdr:spPr>
        <a:xfrm xmlns:a="http://schemas.openxmlformats.org/drawingml/2006/main">
          <a:off x="1965512" y="4518960"/>
          <a:ext cx="3429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83</a:t>
          </a:r>
        </a:p>
      </cdr:txBody>
    </cdr:sp>
  </cdr:relSizeAnchor>
  <cdr:relSizeAnchor xmlns:cdr="http://schemas.openxmlformats.org/drawingml/2006/chartDrawing">
    <cdr:from>
      <cdr:x>0.16417</cdr:x>
      <cdr:y>0.65828</cdr:y>
    </cdr:from>
    <cdr:to>
      <cdr:x>0.16417</cdr:x>
      <cdr:y>0.85278</cdr:y>
    </cdr:to>
    <cdr:cxnSp macro="">
      <cdr:nvCxnSpPr>
        <cdr:cNvPr id="13" name="Connecteur droit 12">
          <a:extLst xmlns:a="http://schemas.openxmlformats.org/drawingml/2006/main">
            <a:ext uri="{FF2B5EF4-FFF2-40B4-BE49-F238E27FC236}">
              <a16:creationId xmlns:a16="http://schemas.microsoft.com/office/drawing/2014/main" id="{CF847DDB-2D0F-124E-BDA2-EC120CD9F36E}"/>
            </a:ext>
          </a:extLst>
        </cdr:cNvPr>
        <cdr:cNvCxnSpPr/>
      </cdr:nvCxnSpPr>
      <cdr:spPr>
        <a:xfrm xmlns:a="http://schemas.openxmlformats.org/drawingml/2006/main">
          <a:off x="1381312" y="3223560"/>
          <a:ext cx="0" cy="95250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0.15396</cdr:x>
      <cdr:y>0.60946</cdr:y>
    </cdr:from>
    <cdr:to>
      <cdr:x>0.30605</cdr:x>
      <cdr:y>0.67384</cdr:y>
    </cdr:to>
    <cdr:sp macro="" textlink="">
      <cdr:nvSpPr>
        <cdr:cNvPr id="17" name="ZoneTexte 1">
          <a:extLst xmlns:a="http://schemas.openxmlformats.org/drawingml/2006/main">
            <a:ext uri="{FF2B5EF4-FFF2-40B4-BE49-F238E27FC236}">
              <a16:creationId xmlns:a16="http://schemas.microsoft.com/office/drawing/2014/main" id="{23B2F6FA-591F-0149-8C06-1DE96BD35606}"/>
            </a:ext>
          </a:extLst>
        </cdr:cNvPr>
        <cdr:cNvSpPr txBox="1"/>
      </cdr:nvSpPr>
      <cdr:spPr>
        <a:xfrm xmlns:a="http://schemas.openxmlformats.org/drawingml/2006/main">
          <a:off x="1295400" y="2984500"/>
          <a:ext cx="1279712" cy="31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Eolien France 2019</a:t>
          </a:r>
        </a:p>
      </cdr:txBody>
    </cdr:sp>
  </cdr:relSizeAnchor>
  <cdr:relSizeAnchor xmlns:cdr="http://schemas.openxmlformats.org/drawingml/2006/chartDrawing">
    <cdr:from>
      <cdr:x>0.16115</cdr:x>
      <cdr:y>0.58047</cdr:y>
    </cdr:from>
    <cdr:to>
      <cdr:x>0.16115</cdr:x>
      <cdr:y>0.85538</cdr:y>
    </cdr:to>
    <cdr:cxnSp macro="">
      <cdr:nvCxnSpPr>
        <cdr:cNvPr id="18" name="Connecteur droit 17">
          <a:extLst xmlns:a="http://schemas.openxmlformats.org/drawingml/2006/main">
            <a:ext uri="{FF2B5EF4-FFF2-40B4-BE49-F238E27FC236}">
              <a16:creationId xmlns:a16="http://schemas.microsoft.com/office/drawing/2014/main" id="{98D8496B-4608-F44A-92E7-1A6B73FFB7EB}"/>
            </a:ext>
          </a:extLst>
        </cdr:cNvPr>
        <cdr:cNvCxnSpPr/>
      </cdr:nvCxnSpPr>
      <cdr:spPr>
        <a:xfrm xmlns:a="http://schemas.openxmlformats.org/drawingml/2006/main">
          <a:off x="1355912" y="2842560"/>
          <a:ext cx="0" cy="134620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0.14792</cdr:x>
      <cdr:y>0.53166</cdr:y>
    </cdr:from>
    <cdr:to>
      <cdr:x>0.31057</cdr:x>
      <cdr:y>0.59603</cdr:y>
    </cdr:to>
    <cdr:sp macro="" textlink="">
      <cdr:nvSpPr>
        <cdr:cNvPr id="20" name="ZoneTexte 1">
          <a:extLst xmlns:a="http://schemas.openxmlformats.org/drawingml/2006/main">
            <a:ext uri="{FF2B5EF4-FFF2-40B4-BE49-F238E27FC236}">
              <a16:creationId xmlns:a16="http://schemas.microsoft.com/office/drawing/2014/main" id="{85A85B63-6BC2-E247-A3F3-5CA2FE34E71B}"/>
            </a:ext>
          </a:extLst>
        </cdr:cNvPr>
        <cdr:cNvSpPr txBox="1"/>
      </cdr:nvSpPr>
      <cdr:spPr>
        <a:xfrm xmlns:a="http://schemas.openxmlformats.org/drawingml/2006/main">
          <a:off x="1244600" y="2603500"/>
          <a:ext cx="1368612" cy="31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Eolien Monde 2014</a:t>
          </a:r>
        </a:p>
      </cdr:txBody>
    </cdr:sp>
  </cdr:relSizeAnchor>
  <cdr:relSizeAnchor xmlns:cdr="http://schemas.openxmlformats.org/drawingml/2006/chartDrawing">
    <cdr:from>
      <cdr:x>0.21699</cdr:x>
      <cdr:y>0.6868</cdr:y>
    </cdr:from>
    <cdr:to>
      <cdr:x>0.21699</cdr:x>
      <cdr:y>0.85797</cdr:y>
    </cdr:to>
    <cdr:cxnSp macro="">
      <cdr:nvCxnSpPr>
        <cdr:cNvPr id="25" name="Connecteur droit 24">
          <a:extLst xmlns:a="http://schemas.openxmlformats.org/drawingml/2006/main">
            <a:ext uri="{FF2B5EF4-FFF2-40B4-BE49-F238E27FC236}">
              <a16:creationId xmlns:a16="http://schemas.microsoft.com/office/drawing/2014/main" id="{D7259311-D442-EF43-946F-1A3086568FA3}"/>
            </a:ext>
          </a:extLst>
        </cdr:cNvPr>
        <cdr:cNvCxnSpPr/>
      </cdr:nvCxnSpPr>
      <cdr:spPr>
        <a:xfrm xmlns:a="http://schemas.openxmlformats.org/drawingml/2006/main">
          <a:off x="1825812" y="3363260"/>
          <a:ext cx="0" cy="83820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0.20075</cdr:x>
      <cdr:y>0.64577</cdr:y>
    </cdr:from>
    <cdr:to>
      <cdr:x>0.33472</cdr:x>
      <cdr:y>0.71015</cdr:y>
    </cdr:to>
    <cdr:sp macro="" textlink="">
      <cdr:nvSpPr>
        <cdr:cNvPr id="28" name="ZoneTexte 1">
          <a:extLst xmlns:a="http://schemas.openxmlformats.org/drawingml/2006/main">
            <a:ext uri="{FF2B5EF4-FFF2-40B4-BE49-F238E27FC236}">
              <a16:creationId xmlns:a16="http://schemas.microsoft.com/office/drawing/2014/main" id="{F1C4E396-35D7-A142-AF9D-D819B19BE2F4}"/>
            </a:ext>
          </a:extLst>
        </cdr:cNvPr>
        <cdr:cNvSpPr txBox="1"/>
      </cdr:nvSpPr>
      <cdr:spPr>
        <a:xfrm xmlns:a="http://schemas.openxmlformats.org/drawingml/2006/main">
          <a:off x="1689100" y="3162300"/>
          <a:ext cx="1127312" cy="31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Mix France 2019</a:t>
          </a:r>
        </a:p>
      </cdr:txBody>
    </cdr:sp>
  </cdr:relSizeAnchor>
  <cdr:relSizeAnchor xmlns:cdr="http://schemas.openxmlformats.org/drawingml/2006/chartDrawing">
    <cdr:from>
      <cdr:x>0.83734</cdr:x>
      <cdr:y>0.26148</cdr:y>
    </cdr:from>
    <cdr:to>
      <cdr:x>0.83885</cdr:x>
      <cdr:y>0.845</cdr:y>
    </cdr:to>
    <cdr:cxnSp macro="">
      <cdr:nvCxnSpPr>
        <cdr:cNvPr id="29" name="Connecteur droit 28">
          <a:extLst xmlns:a="http://schemas.openxmlformats.org/drawingml/2006/main">
            <a:ext uri="{FF2B5EF4-FFF2-40B4-BE49-F238E27FC236}">
              <a16:creationId xmlns:a16="http://schemas.microsoft.com/office/drawing/2014/main" id="{9616D667-2837-184B-A200-185055FEEAE3}"/>
            </a:ext>
          </a:extLst>
        </cdr:cNvPr>
        <cdr:cNvCxnSpPr/>
      </cdr:nvCxnSpPr>
      <cdr:spPr>
        <a:xfrm xmlns:a="http://schemas.openxmlformats.org/drawingml/2006/main" flipH="1">
          <a:off x="7045512" y="1280460"/>
          <a:ext cx="12700" cy="2857500"/>
        </a:xfrm>
        <a:prstGeom xmlns:a="http://schemas.openxmlformats.org/drawingml/2006/main" prst="line">
          <a:avLst/>
        </a:prstGeom>
        <a:ln xmlns:a="http://schemas.openxmlformats.org/drawingml/2006/main" w="1587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0.72112</cdr:x>
      <cdr:y>0.21266</cdr:y>
    </cdr:from>
    <cdr:to>
      <cdr:x>0.86149</cdr:x>
      <cdr:y>0.27704</cdr:y>
    </cdr:to>
    <cdr:sp macro="" textlink="">
      <cdr:nvSpPr>
        <cdr:cNvPr id="32" name="ZoneTexte 1">
          <a:extLst xmlns:a="http://schemas.openxmlformats.org/drawingml/2006/main">
            <a:ext uri="{FF2B5EF4-FFF2-40B4-BE49-F238E27FC236}">
              <a16:creationId xmlns:a16="http://schemas.microsoft.com/office/drawing/2014/main" id="{0658AAB7-A982-9847-B48A-C3AE0B4AB27A}"/>
            </a:ext>
          </a:extLst>
        </cdr:cNvPr>
        <cdr:cNvSpPr txBox="1"/>
      </cdr:nvSpPr>
      <cdr:spPr>
        <a:xfrm xmlns:a="http://schemas.openxmlformats.org/drawingml/2006/main">
          <a:off x="6067612" y="1041400"/>
          <a:ext cx="1181100" cy="31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Mix Monde 2020 </a:t>
          </a:r>
        </a:p>
      </cdr:txBody>
    </cdr:sp>
  </cdr:relSizeAnchor>
</c:userShapes>
</file>

<file path=xl/drawings/drawing3.xml><?xml version="1.0" encoding="utf-8"?>
<xdr:wsDr xmlns:xdr="http://schemas.openxmlformats.org/drawingml/2006/spreadsheetDrawing" xmlns:a="http://schemas.openxmlformats.org/drawingml/2006/main">
  <xdr:twoCellAnchor>
    <xdr:from>
      <xdr:col>61</xdr:col>
      <xdr:colOff>238125</xdr:colOff>
      <xdr:row>144</xdr:row>
      <xdr:rowOff>142875</xdr:rowOff>
    </xdr:from>
    <xdr:to>
      <xdr:col>61</xdr:col>
      <xdr:colOff>238125</xdr:colOff>
      <xdr:row>148</xdr:row>
      <xdr:rowOff>127000</xdr:rowOff>
    </xdr:to>
    <xdr:cxnSp macro="">
      <xdr:nvCxnSpPr>
        <xdr:cNvPr id="2" name="Connecteur droit 1">
          <a:extLst>
            <a:ext uri="{FF2B5EF4-FFF2-40B4-BE49-F238E27FC236}">
              <a16:creationId xmlns:a16="http://schemas.microsoft.com/office/drawing/2014/main" id="{950B50A2-01A5-4670-8F5F-31411E5708E4}"/>
            </a:ext>
          </a:extLst>
        </xdr:cNvPr>
        <xdr:cNvCxnSpPr/>
      </xdr:nvCxnSpPr>
      <xdr:spPr>
        <a:xfrm>
          <a:off x="33278445" y="27346275"/>
          <a:ext cx="0" cy="68516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491066</xdr:colOff>
      <xdr:row>44</xdr:row>
      <xdr:rowOff>76199</xdr:rowOff>
    </xdr:from>
    <xdr:to>
      <xdr:col>26</xdr:col>
      <xdr:colOff>203200</xdr:colOff>
      <xdr:row>64</xdr:row>
      <xdr:rowOff>84667</xdr:rowOff>
    </xdr:to>
    <xdr:graphicFrame macro="">
      <xdr:nvGraphicFramePr>
        <xdr:cNvPr id="3" name="Graphique 2">
          <a:extLst>
            <a:ext uri="{FF2B5EF4-FFF2-40B4-BE49-F238E27FC236}">
              <a16:creationId xmlns:a16="http://schemas.microsoft.com/office/drawing/2014/main" id="{983F5138-B6A3-6F46-B5B6-3542258C50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101600</xdr:colOff>
      <xdr:row>102</xdr:row>
      <xdr:rowOff>44450</xdr:rowOff>
    </xdr:from>
    <xdr:to>
      <xdr:col>8</xdr:col>
      <xdr:colOff>12700</xdr:colOff>
      <xdr:row>120</xdr:row>
      <xdr:rowOff>127000</xdr:rowOff>
    </xdr:to>
    <xdr:graphicFrame macro="">
      <xdr:nvGraphicFramePr>
        <xdr:cNvPr id="2" name="Graphique 1">
          <a:extLst>
            <a:ext uri="{FF2B5EF4-FFF2-40B4-BE49-F238E27FC236}">
              <a16:creationId xmlns:a16="http://schemas.microsoft.com/office/drawing/2014/main" id="{73F5CCCA-5F1D-6D4E-9216-98E898E5B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311150</xdr:colOff>
      <xdr:row>102</xdr:row>
      <xdr:rowOff>0</xdr:rowOff>
    </xdr:from>
    <xdr:to>
      <xdr:col>15</xdr:col>
      <xdr:colOff>660400</xdr:colOff>
      <xdr:row>120</xdr:row>
      <xdr:rowOff>101600</xdr:rowOff>
    </xdr:to>
    <xdr:graphicFrame macro="">
      <xdr:nvGraphicFramePr>
        <xdr:cNvPr id="3" name="Graphique 2">
          <a:extLst>
            <a:ext uri="{FF2B5EF4-FFF2-40B4-BE49-F238E27FC236}">
              <a16:creationId xmlns:a16="http://schemas.microsoft.com/office/drawing/2014/main" id="{CD66CDE3-A87D-6C4E-B8E6-856D23750BFC}"/>
            </a:ext>
            <a:ext uri="{147F2762-F138-4A5C-976F-8EAC2B608ADB}">
              <a16:predDERef xmlns:a16="http://schemas.microsoft.com/office/drawing/2014/main" pred="{73F5CCCA-5F1D-6D4E-9216-98E898E5B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138545</xdr:colOff>
      <xdr:row>122</xdr:row>
      <xdr:rowOff>115454</xdr:rowOff>
    </xdr:from>
    <xdr:to>
      <xdr:col>7</xdr:col>
      <xdr:colOff>786245</xdr:colOff>
      <xdr:row>141</xdr:row>
      <xdr:rowOff>24822</xdr:rowOff>
    </xdr:to>
    <xdr:graphicFrame macro="">
      <xdr:nvGraphicFramePr>
        <xdr:cNvPr id="8" name="Graphique 7">
          <a:extLst>
            <a:ext uri="{FF2B5EF4-FFF2-40B4-BE49-F238E27FC236}">
              <a16:creationId xmlns:a16="http://schemas.microsoft.com/office/drawing/2014/main" id="{03EF7D42-DB98-0F4D-9B38-2E0A6740EFBD}"/>
            </a:ext>
            <a:ext uri="{147F2762-F138-4A5C-976F-8EAC2B608ADB}">
              <a16:predDERef xmlns:a16="http://schemas.microsoft.com/office/drawing/2014/main" pred="{64355116-F3C1-F240-8FA1-BB6CCEF4B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189</xdr:row>
      <xdr:rowOff>173703</xdr:rowOff>
    </xdr:from>
    <xdr:to>
      <xdr:col>7</xdr:col>
      <xdr:colOff>647700</xdr:colOff>
      <xdr:row>208</xdr:row>
      <xdr:rowOff>83355</xdr:rowOff>
    </xdr:to>
    <xdr:graphicFrame macro="">
      <xdr:nvGraphicFramePr>
        <xdr:cNvPr id="11" name="Graphique 10">
          <a:extLst>
            <a:ext uri="{FF2B5EF4-FFF2-40B4-BE49-F238E27FC236}">
              <a16:creationId xmlns:a16="http://schemas.microsoft.com/office/drawing/2014/main" id="{4581E56E-03F6-D741-A70B-1886D4A42B30}"/>
            </a:ext>
            <a:ext uri="{147F2762-F138-4A5C-976F-8EAC2B608ADB}">
              <a16:predDERef xmlns:a16="http://schemas.microsoft.com/office/drawing/2014/main" pred="{03EF7D42-DB98-0F4D-9B38-2E0A6740E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62</xdr:row>
      <xdr:rowOff>21986</xdr:rowOff>
    </xdr:from>
    <xdr:to>
      <xdr:col>7</xdr:col>
      <xdr:colOff>647700</xdr:colOff>
      <xdr:row>80</xdr:row>
      <xdr:rowOff>104536</xdr:rowOff>
    </xdr:to>
    <xdr:graphicFrame macro="">
      <xdr:nvGraphicFramePr>
        <xdr:cNvPr id="13" name="Graphique 12">
          <a:extLst>
            <a:ext uri="{FF2B5EF4-FFF2-40B4-BE49-F238E27FC236}">
              <a16:creationId xmlns:a16="http://schemas.microsoft.com/office/drawing/2014/main" id="{361A60B0-F64A-2A40-82EA-2B778862A071}"/>
            </a:ext>
            <a:ext uri="{147F2762-F138-4A5C-976F-8EAC2B608ADB}">
              <a16:predDERef xmlns:a16="http://schemas.microsoft.com/office/drawing/2014/main" pred="{4581E56E-03F6-D741-A70B-1886D4A4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21937</xdr:colOff>
      <xdr:row>62</xdr:row>
      <xdr:rowOff>1155</xdr:rowOff>
    </xdr:from>
    <xdr:to>
      <xdr:col>15</xdr:col>
      <xdr:colOff>371187</xdr:colOff>
      <xdr:row>80</xdr:row>
      <xdr:rowOff>51955</xdr:rowOff>
    </xdr:to>
    <xdr:graphicFrame macro="">
      <xdr:nvGraphicFramePr>
        <xdr:cNvPr id="14" name="Graphique 13">
          <a:extLst>
            <a:ext uri="{FF2B5EF4-FFF2-40B4-BE49-F238E27FC236}">
              <a16:creationId xmlns:a16="http://schemas.microsoft.com/office/drawing/2014/main" id="{2475A01A-F4C7-EB41-A8C9-4BA0E0F773F8}"/>
            </a:ext>
            <a:ext uri="{147F2762-F138-4A5C-976F-8EAC2B608ADB}">
              <a16:predDERef xmlns:a16="http://schemas.microsoft.com/office/drawing/2014/main" pred="{361A60B0-F64A-2A40-82EA-2B778862A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81</xdr:row>
      <xdr:rowOff>76893</xdr:rowOff>
    </xdr:from>
    <xdr:to>
      <xdr:col>7</xdr:col>
      <xdr:colOff>714433</xdr:colOff>
      <xdr:row>99</xdr:row>
      <xdr:rowOff>164523</xdr:rowOff>
    </xdr:to>
    <xdr:graphicFrame macro="">
      <xdr:nvGraphicFramePr>
        <xdr:cNvPr id="15" name="Graphique 14">
          <a:extLst>
            <a:ext uri="{FF2B5EF4-FFF2-40B4-BE49-F238E27FC236}">
              <a16:creationId xmlns:a16="http://schemas.microsoft.com/office/drawing/2014/main" id="{D7FD02C0-2573-9448-BB06-745E5BEB2804}"/>
            </a:ext>
            <a:ext uri="{147F2762-F138-4A5C-976F-8EAC2B608ADB}">
              <a16:predDERef xmlns:a16="http://schemas.microsoft.com/office/drawing/2014/main" pred="{2475A01A-F4C7-EB41-A8C9-4BA0E0F77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23091</xdr:colOff>
      <xdr:row>81</xdr:row>
      <xdr:rowOff>127001</xdr:rowOff>
    </xdr:from>
    <xdr:to>
      <xdr:col>15</xdr:col>
      <xdr:colOff>372341</xdr:colOff>
      <xdr:row>100</xdr:row>
      <xdr:rowOff>4621</xdr:rowOff>
    </xdr:to>
    <xdr:graphicFrame macro="">
      <xdr:nvGraphicFramePr>
        <xdr:cNvPr id="16" name="Graphique 15">
          <a:extLst>
            <a:ext uri="{FF2B5EF4-FFF2-40B4-BE49-F238E27FC236}">
              <a16:creationId xmlns:a16="http://schemas.microsoft.com/office/drawing/2014/main" id="{145A9575-DF24-2044-B393-291BAEFEDC40}"/>
            </a:ext>
            <a:ext uri="{147F2762-F138-4A5C-976F-8EAC2B608ADB}">
              <a16:predDERef xmlns:a16="http://schemas.microsoft.com/office/drawing/2014/main" pred="{D7FD02C0-2573-9448-BB06-745E5BEB2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xdr:row>
      <xdr:rowOff>0</xdr:rowOff>
    </xdr:from>
    <xdr:to>
      <xdr:col>7</xdr:col>
      <xdr:colOff>647700</xdr:colOff>
      <xdr:row>18</xdr:row>
      <xdr:rowOff>164809</xdr:rowOff>
    </xdr:to>
    <xdr:graphicFrame macro="">
      <xdr:nvGraphicFramePr>
        <xdr:cNvPr id="17" name="Graphique 16">
          <a:extLst>
            <a:ext uri="{FF2B5EF4-FFF2-40B4-BE49-F238E27FC236}">
              <a16:creationId xmlns:a16="http://schemas.microsoft.com/office/drawing/2014/main" id="{F714EA4A-7BF7-934E-BB91-F4FBF0310304}"/>
            </a:ext>
            <a:ext uri="{147F2762-F138-4A5C-976F-8EAC2B608ADB}">
              <a16:predDERef xmlns:a16="http://schemas.microsoft.com/office/drawing/2014/main" pred="{145A9575-DF24-2044-B393-291BAEFED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67862</xdr:colOff>
      <xdr:row>20</xdr:row>
      <xdr:rowOff>29084</xdr:rowOff>
    </xdr:from>
    <xdr:to>
      <xdr:col>5</xdr:col>
      <xdr:colOff>795226</xdr:colOff>
      <xdr:row>38</xdr:row>
      <xdr:rowOff>9694</xdr:rowOff>
    </xdr:to>
    <xdr:graphicFrame macro="">
      <xdr:nvGraphicFramePr>
        <xdr:cNvPr id="18" name="Graphique 17">
          <a:extLst>
            <a:ext uri="{FF2B5EF4-FFF2-40B4-BE49-F238E27FC236}">
              <a16:creationId xmlns:a16="http://schemas.microsoft.com/office/drawing/2014/main" id="{CC17DB9A-3E03-EC45-BF45-406E8D24C476}"/>
            </a:ext>
            <a:ext uri="{147F2762-F138-4A5C-976F-8EAC2B608ADB}">
              <a16:predDERef xmlns:a16="http://schemas.microsoft.com/office/drawing/2014/main" pred="{F714EA4A-7BF7-934E-BB91-F4FBF0310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41</xdr:row>
      <xdr:rowOff>1</xdr:rowOff>
    </xdr:from>
    <xdr:to>
      <xdr:col>7</xdr:col>
      <xdr:colOff>647700</xdr:colOff>
      <xdr:row>58</xdr:row>
      <xdr:rowOff>150092</xdr:rowOff>
    </xdr:to>
    <xdr:graphicFrame macro="">
      <xdr:nvGraphicFramePr>
        <xdr:cNvPr id="21" name="Graphique 20">
          <a:extLst>
            <a:ext uri="{FF2B5EF4-FFF2-40B4-BE49-F238E27FC236}">
              <a16:creationId xmlns:a16="http://schemas.microsoft.com/office/drawing/2014/main" id="{E67A9798-3AD2-A34C-A0DC-17CFC7EC840F}"/>
            </a:ext>
            <a:ext uri="{147F2762-F138-4A5C-976F-8EAC2B608ADB}">
              <a16:predDERef xmlns:a16="http://schemas.microsoft.com/office/drawing/2014/main" pred="{236DD6EC-CBB1-3745-88FE-77EB5003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8881</xdr:colOff>
      <xdr:row>1</xdr:row>
      <xdr:rowOff>8882</xdr:rowOff>
    </xdr:from>
    <xdr:to>
      <xdr:col>15</xdr:col>
      <xdr:colOff>358131</xdr:colOff>
      <xdr:row>19</xdr:row>
      <xdr:rowOff>43518</xdr:rowOff>
    </xdr:to>
    <xdr:graphicFrame macro="">
      <xdr:nvGraphicFramePr>
        <xdr:cNvPr id="23" name="Graphique 22">
          <a:extLst>
            <a:ext uri="{FF2B5EF4-FFF2-40B4-BE49-F238E27FC236}">
              <a16:creationId xmlns:a16="http://schemas.microsoft.com/office/drawing/2014/main" id="{EBA00DFA-EE8B-4440-8E2A-3E96A86C14E1}"/>
            </a:ext>
            <a:ext uri="{147F2762-F138-4A5C-976F-8EAC2B608ADB}">
              <a16:predDERef xmlns:a16="http://schemas.microsoft.com/office/drawing/2014/main" pred="{3BB93C35-9A57-D341-8D47-C543C375D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763777</xdr:colOff>
      <xdr:row>81</xdr:row>
      <xdr:rowOff>115455</xdr:rowOff>
    </xdr:from>
    <xdr:to>
      <xdr:col>23</xdr:col>
      <xdr:colOff>260440</xdr:colOff>
      <xdr:row>99</xdr:row>
      <xdr:rowOff>170697</xdr:rowOff>
    </xdr:to>
    <xdr:graphicFrame macro="">
      <xdr:nvGraphicFramePr>
        <xdr:cNvPr id="24" name="Graphique 23">
          <a:extLst>
            <a:ext uri="{FF2B5EF4-FFF2-40B4-BE49-F238E27FC236}">
              <a16:creationId xmlns:a16="http://schemas.microsoft.com/office/drawing/2014/main" id="{98D42587-CA95-5640-9E30-CC2C7DF59963}"/>
            </a:ext>
            <a:ext uri="{147F2762-F138-4A5C-976F-8EAC2B608ADB}">
              <a16:predDERef xmlns:a16="http://schemas.microsoft.com/office/drawing/2014/main" pred="{EBA00DFA-EE8B-4440-8E2A-3E96A86C1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34954</xdr:colOff>
      <xdr:row>122</xdr:row>
      <xdr:rowOff>118937</xdr:rowOff>
    </xdr:from>
    <xdr:to>
      <xdr:col>15</xdr:col>
      <xdr:colOff>384204</xdr:colOff>
      <xdr:row>141</xdr:row>
      <xdr:rowOff>144337</xdr:rowOff>
    </xdr:to>
    <xdr:graphicFrame macro="">
      <xdr:nvGraphicFramePr>
        <xdr:cNvPr id="27" name="Graphique 26">
          <a:extLst>
            <a:ext uri="{FF2B5EF4-FFF2-40B4-BE49-F238E27FC236}">
              <a16:creationId xmlns:a16="http://schemas.microsoft.com/office/drawing/2014/main" id="{63E89324-B518-3149-AF55-1D99D7D17B1F}"/>
            </a:ext>
            <a:ext uri="{147F2762-F138-4A5C-976F-8EAC2B608ADB}">
              <a16:predDERef xmlns:a16="http://schemas.microsoft.com/office/drawing/2014/main" pred="{98D42587-CA95-5640-9E30-CC2C7DF59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145</xdr:row>
      <xdr:rowOff>1828</xdr:rowOff>
    </xdr:from>
    <xdr:to>
      <xdr:col>23</xdr:col>
      <xdr:colOff>349251</xdr:colOff>
      <xdr:row>164</xdr:row>
      <xdr:rowOff>25401</xdr:rowOff>
    </xdr:to>
    <xdr:graphicFrame macro="">
      <xdr:nvGraphicFramePr>
        <xdr:cNvPr id="28" name="Graphique 27">
          <a:extLst>
            <a:ext uri="{FF2B5EF4-FFF2-40B4-BE49-F238E27FC236}">
              <a16:creationId xmlns:a16="http://schemas.microsoft.com/office/drawing/2014/main" id="{1ED22728-7083-4045-8AC8-B0B8EC651FB0}"/>
            </a:ext>
            <a:ext uri="{147F2762-F138-4A5C-976F-8EAC2B608ADB}">
              <a16:predDERef xmlns:a16="http://schemas.microsoft.com/office/drawing/2014/main" pred="{63E89324-B518-3149-AF55-1D99D7D17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33421</xdr:colOff>
      <xdr:row>209</xdr:row>
      <xdr:rowOff>77983</xdr:rowOff>
    </xdr:from>
    <xdr:to>
      <xdr:col>7</xdr:col>
      <xdr:colOff>681121</xdr:colOff>
      <xdr:row>227</xdr:row>
      <xdr:rowOff>162405</xdr:rowOff>
    </xdr:to>
    <xdr:graphicFrame macro="">
      <xdr:nvGraphicFramePr>
        <xdr:cNvPr id="35" name="Graphique 34">
          <a:extLst>
            <a:ext uri="{FF2B5EF4-FFF2-40B4-BE49-F238E27FC236}">
              <a16:creationId xmlns:a16="http://schemas.microsoft.com/office/drawing/2014/main" id="{EAB8981D-EE24-8946-AAE9-7B64996E0B67}"/>
            </a:ext>
            <a:ext uri="{147F2762-F138-4A5C-976F-8EAC2B608ADB}">
              <a16:predDERef xmlns:a16="http://schemas.microsoft.com/office/drawing/2014/main" pred="{1ED22728-7083-4045-8AC8-B0B8EC65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145</xdr:row>
      <xdr:rowOff>0</xdr:rowOff>
    </xdr:from>
    <xdr:to>
      <xdr:col>7</xdr:col>
      <xdr:colOff>647700</xdr:colOff>
      <xdr:row>163</xdr:row>
      <xdr:rowOff>87168</xdr:rowOff>
    </xdr:to>
    <xdr:graphicFrame macro="">
      <xdr:nvGraphicFramePr>
        <xdr:cNvPr id="47" name="Graphique 46">
          <a:extLst>
            <a:ext uri="{FF2B5EF4-FFF2-40B4-BE49-F238E27FC236}">
              <a16:creationId xmlns:a16="http://schemas.microsoft.com/office/drawing/2014/main" id="{092BA760-1F42-CF40-BFEB-9A41C15BC2F8}"/>
            </a:ext>
            <a:ext uri="{147F2762-F138-4A5C-976F-8EAC2B608ADB}">
              <a16:predDERef xmlns:a16="http://schemas.microsoft.com/office/drawing/2014/main" pred="{6E4961B1-E0EF-854D-ABCE-484BA6B7F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145</xdr:row>
      <xdr:rowOff>10160</xdr:rowOff>
    </xdr:from>
    <xdr:to>
      <xdr:col>15</xdr:col>
      <xdr:colOff>349250</xdr:colOff>
      <xdr:row>164</xdr:row>
      <xdr:rowOff>35560</xdr:rowOff>
    </xdr:to>
    <xdr:graphicFrame macro="">
      <xdr:nvGraphicFramePr>
        <xdr:cNvPr id="48" name="Graphique 47">
          <a:extLst>
            <a:ext uri="{FF2B5EF4-FFF2-40B4-BE49-F238E27FC236}">
              <a16:creationId xmlns:a16="http://schemas.microsoft.com/office/drawing/2014/main" id="{B6A914D5-E8DD-4E45-B7F0-CB870DAC81D1}"/>
            </a:ext>
            <a:ext uri="{147F2762-F138-4A5C-976F-8EAC2B608ADB}">
              <a16:predDERef xmlns:a16="http://schemas.microsoft.com/office/drawing/2014/main" pred="{092BA760-1F42-CF40-BFEB-9A41C15BC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77983</xdr:colOff>
      <xdr:row>190</xdr:row>
      <xdr:rowOff>22281</xdr:rowOff>
    </xdr:from>
    <xdr:to>
      <xdr:col>16</xdr:col>
      <xdr:colOff>7491</xdr:colOff>
      <xdr:row>208</xdr:row>
      <xdr:rowOff>89123</xdr:rowOff>
    </xdr:to>
    <xdr:graphicFrame macro="">
      <xdr:nvGraphicFramePr>
        <xdr:cNvPr id="29" name="Graphique 28">
          <a:extLst>
            <a:ext uri="{FF2B5EF4-FFF2-40B4-BE49-F238E27FC236}">
              <a16:creationId xmlns:a16="http://schemas.microsoft.com/office/drawing/2014/main" id="{CFDE9185-D8A7-0F4F-B16E-1803EE9A8A7F}"/>
            </a:ext>
            <a:ext uri="{147F2762-F138-4A5C-976F-8EAC2B608ADB}">
              <a16:predDERef xmlns:a16="http://schemas.microsoft.com/office/drawing/2014/main" pred="{B6A914D5-E8DD-4E45-B7F0-CB870DAC8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209</xdr:row>
      <xdr:rowOff>0</xdr:rowOff>
    </xdr:from>
    <xdr:to>
      <xdr:col>15</xdr:col>
      <xdr:colOff>647700</xdr:colOff>
      <xdr:row>227</xdr:row>
      <xdr:rowOff>84422</xdr:rowOff>
    </xdr:to>
    <xdr:graphicFrame macro="">
      <xdr:nvGraphicFramePr>
        <xdr:cNvPr id="51" name="Graphique 50">
          <a:extLst>
            <a:ext uri="{FF2B5EF4-FFF2-40B4-BE49-F238E27FC236}">
              <a16:creationId xmlns:a16="http://schemas.microsoft.com/office/drawing/2014/main" id="{45C95D06-7D90-4A4B-8BB5-4ED07CE8DB5A}"/>
            </a:ext>
            <a:ext uri="{147F2762-F138-4A5C-976F-8EAC2B608ADB}">
              <a16:predDERef xmlns:a16="http://schemas.microsoft.com/office/drawing/2014/main" pred="{CFDE9185-D8A7-0F4F-B16E-1803EE9A8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230</xdr:row>
      <xdr:rowOff>0</xdr:rowOff>
    </xdr:from>
    <xdr:to>
      <xdr:col>7</xdr:col>
      <xdr:colOff>647700</xdr:colOff>
      <xdr:row>248</xdr:row>
      <xdr:rowOff>84422</xdr:rowOff>
    </xdr:to>
    <xdr:graphicFrame macro="">
      <xdr:nvGraphicFramePr>
        <xdr:cNvPr id="54" name="Graphique 53">
          <a:extLst>
            <a:ext uri="{FF2B5EF4-FFF2-40B4-BE49-F238E27FC236}">
              <a16:creationId xmlns:a16="http://schemas.microsoft.com/office/drawing/2014/main" id="{4394AA8B-22A0-C44B-9771-76A44B04B1ED}"/>
            </a:ext>
            <a:ext uri="{147F2762-F138-4A5C-976F-8EAC2B608ADB}">
              <a16:predDERef xmlns:a16="http://schemas.microsoft.com/office/drawing/2014/main" pred="{005A94D5-02D0-504B-B11B-CA2FB2372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230</xdr:row>
      <xdr:rowOff>0</xdr:rowOff>
    </xdr:from>
    <xdr:to>
      <xdr:col>15</xdr:col>
      <xdr:colOff>647700</xdr:colOff>
      <xdr:row>248</xdr:row>
      <xdr:rowOff>84422</xdr:rowOff>
    </xdr:to>
    <xdr:graphicFrame macro="">
      <xdr:nvGraphicFramePr>
        <xdr:cNvPr id="55" name="Graphique 54">
          <a:extLst>
            <a:ext uri="{FF2B5EF4-FFF2-40B4-BE49-F238E27FC236}">
              <a16:creationId xmlns:a16="http://schemas.microsoft.com/office/drawing/2014/main" id="{A9F12902-1740-8041-AF66-831EAFA71B38}"/>
            </a:ext>
            <a:ext uri="{147F2762-F138-4A5C-976F-8EAC2B608ADB}">
              <a16:predDERef xmlns:a16="http://schemas.microsoft.com/office/drawing/2014/main" pred="{4394AA8B-22A0-C44B-9771-76A44B04B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92364</xdr:colOff>
      <xdr:row>20</xdr:row>
      <xdr:rowOff>138546</xdr:rowOff>
    </xdr:from>
    <xdr:to>
      <xdr:col>15</xdr:col>
      <xdr:colOff>474517</xdr:colOff>
      <xdr:row>38</xdr:row>
      <xdr:rowOff>23091</xdr:rowOff>
    </xdr:to>
    <xdr:graphicFrame macro="">
      <xdr:nvGraphicFramePr>
        <xdr:cNvPr id="49" name="Graphique 48">
          <a:extLst>
            <a:ext uri="{FF2B5EF4-FFF2-40B4-BE49-F238E27FC236}">
              <a16:creationId xmlns:a16="http://schemas.microsoft.com/office/drawing/2014/main" id="{12204A25-C5C6-DE40-BAF8-7D484AF3C504}"/>
            </a:ext>
            <a:ext uri="{147F2762-F138-4A5C-976F-8EAC2B608ADB}">
              <a16:predDERef xmlns:a16="http://schemas.microsoft.com/office/drawing/2014/main" pred="{A9F12902-1740-8041-AF66-831EAFA71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168</xdr:row>
      <xdr:rowOff>0</xdr:rowOff>
    </xdr:from>
    <xdr:to>
      <xdr:col>7</xdr:col>
      <xdr:colOff>647700</xdr:colOff>
      <xdr:row>186</xdr:row>
      <xdr:rowOff>89109</xdr:rowOff>
    </xdr:to>
    <xdr:graphicFrame macro="">
      <xdr:nvGraphicFramePr>
        <xdr:cNvPr id="26" name="Graphique 25">
          <a:extLst>
            <a:ext uri="{FF2B5EF4-FFF2-40B4-BE49-F238E27FC236}">
              <a16:creationId xmlns:a16="http://schemas.microsoft.com/office/drawing/2014/main" id="{91DA96AD-1565-D644-8EE6-250F13EF08A1}"/>
            </a:ext>
            <a:ext uri="{147F2762-F138-4A5C-976F-8EAC2B608ADB}">
              <a16:predDERef xmlns:a16="http://schemas.microsoft.com/office/drawing/2014/main" pred="{03EF7D42-DB98-0F4D-9B38-2E0A6740E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0.42763</cdr:x>
      <cdr:y>0.62781</cdr:y>
    </cdr:from>
    <cdr:to>
      <cdr:x>0.42973</cdr:x>
      <cdr:y>0.88319</cdr:y>
    </cdr:to>
    <cdr:cxnSp macro="">
      <cdr:nvCxnSpPr>
        <cdr:cNvPr id="2" name="Connecteur droit 1">
          <a:extLst xmlns:a="http://schemas.openxmlformats.org/drawingml/2006/main">
            <a:ext uri="{FF2B5EF4-FFF2-40B4-BE49-F238E27FC236}">
              <a16:creationId xmlns:a16="http://schemas.microsoft.com/office/drawing/2014/main" id="{7B2642FB-5D58-CB47-88FA-6F8A15B87465}"/>
            </a:ext>
          </a:extLst>
        </cdr:cNvPr>
        <cdr:cNvCxnSpPr/>
      </cdr:nvCxnSpPr>
      <cdr:spPr>
        <a:xfrm xmlns:a="http://schemas.openxmlformats.org/drawingml/2006/main" flipH="1">
          <a:off x="2711324" y="2059860"/>
          <a:ext cx="13336" cy="837899"/>
        </a:xfrm>
        <a:prstGeom xmlns:a="http://schemas.openxmlformats.org/drawingml/2006/main" prst="line">
          <a:avLst/>
        </a:prstGeom>
        <a:ln xmlns:a="http://schemas.openxmlformats.org/drawingml/2006/main" w="9525">
          <a:solidFill>
            <a:schemeClr val="accent4"/>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0.50383</cdr:x>
      <cdr:y>0.63916</cdr:y>
    </cdr:from>
    <cdr:to>
      <cdr:x>0.50383</cdr:x>
      <cdr:y>0.88319</cdr:y>
    </cdr:to>
    <cdr:cxnSp macro="">
      <cdr:nvCxnSpPr>
        <cdr:cNvPr id="3" name="Connecteur droit 2">
          <a:extLst xmlns:a="http://schemas.openxmlformats.org/drawingml/2006/main">
            <a:ext uri="{FF2B5EF4-FFF2-40B4-BE49-F238E27FC236}">
              <a16:creationId xmlns:a16="http://schemas.microsoft.com/office/drawing/2014/main" id="{BCF37D7C-9A7D-394A-B321-EB1E6B5C2657}"/>
            </a:ext>
          </a:extLst>
        </cdr:cNvPr>
        <cdr:cNvCxnSpPr/>
      </cdr:nvCxnSpPr>
      <cdr:spPr>
        <a:xfrm xmlns:a="http://schemas.openxmlformats.org/drawingml/2006/main">
          <a:off x="3194476" y="2097106"/>
          <a:ext cx="0" cy="800652"/>
        </a:xfrm>
        <a:prstGeom xmlns:a="http://schemas.openxmlformats.org/drawingml/2006/main" prst="line">
          <a:avLst/>
        </a:prstGeom>
        <a:ln xmlns:a="http://schemas.openxmlformats.org/drawingml/2006/main" w="9525">
          <a:solidFill>
            <a:srgbClr val="FFC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0.43219</cdr:x>
      <cdr:y>0.78929</cdr:y>
    </cdr:from>
    <cdr:to>
      <cdr:x>0.5</cdr:x>
      <cdr:y>0.78944</cdr:y>
    </cdr:to>
    <cdr:cxnSp macro="">
      <cdr:nvCxnSpPr>
        <cdr:cNvPr id="4" name="Connecteur droit avec flèche 3">
          <a:extLst xmlns:a="http://schemas.openxmlformats.org/drawingml/2006/main">
            <a:ext uri="{FF2B5EF4-FFF2-40B4-BE49-F238E27FC236}">
              <a16:creationId xmlns:a16="http://schemas.microsoft.com/office/drawing/2014/main" id="{6D10169C-1CDF-E840-AABB-D237DB267E58}"/>
            </a:ext>
          </a:extLst>
        </cdr:cNvPr>
        <cdr:cNvCxnSpPr/>
      </cdr:nvCxnSpPr>
      <cdr:spPr>
        <a:xfrm xmlns:a="http://schemas.openxmlformats.org/drawingml/2006/main" flipH="1" flipV="1">
          <a:off x="2740247" y="2589677"/>
          <a:ext cx="429939" cy="492"/>
        </a:xfrm>
        <a:prstGeom xmlns:a="http://schemas.openxmlformats.org/drawingml/2006/main" prst="straightConnector1">
          <a:avLst/>
        </a:prstGeom>
        <a:ln xmlns:a="http://schemas.openxmlformats.org/drawingml/2006/main" w="12700">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0.42627</cdr:x>
      <cdr:y>0.79736</cdr:y>
    </cdr:from>
    <cdr:to>
      <cdr:x>0.51237</cdr:x>
      <cdr:y>0.86244</cdr:y>
    </cdr:to>
    <cdr:sp macro="" textlink="">
      <cdr:nvSpPr>
        <cdr:cNvPr id="5" name="ZoneTexte 4">
          <a:extLst xmlns:a="http://schemas.openxmlformats.org/drawingml/2006/main">
            <a:ext uri="{FF2B5EF4-FFF2-40B4-BE49-F238E27FC236}">
              <a16:creationId xmlns:a16="http://schemas.microsoft.com/office/drawing/2014/main" id="{D067DD4E-5CCC-2D49-8E54-719DBFA073F8}"/>
            </a:ext>
          </a:extLst>
        </cdr:cNvPr>
        <cdr:cNvSpPr txBox="1"/>
      </cdr:nvSpPr>
      <cdr:spPr>
        <a:xfrm xmlns:a="http://schemas.openxmlformats.org/drawingml/2006/main">
          <a:off x="2702714" y="2616155"/>
          <a:ext cx="545903" cy="2135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accent1"/>
              </a:solidFill>
            </a:rPr>
            <a:t>~4 ans</a:t>
          </a:r>
        </a:p>
      </cdr:txBody>
    </cdr:sp>
  </cdr:relSizeAnchor>
  <cdr:relSizeAnchor xmlns:cdr="http://schemas.openxmlformats.org/drawingml/2006/chartDrawing">
    <cdr:from>
      <cdr:x>0.69837</cdr:x>
      <cdr:y>0.52614</cdr:y>
    </cdr:from>
    <cdr:to>
      <cdr:x>0.69895</cdr:x>
      <cdr:y>0.62706</cdr:y>
    </cdr:to>
    <cdr:cxnSp macro="">
      <cdr:nvCxnSpPr>
        <cdr:cNvPr id="6" name="Connecteur droit avec flèche 5">
          <a:extLst xmlns:a="http://schemas.openxmlformats.org/drawingml/2006/main">
            <a:ext uri="{FF2B5EF4-FFF2-40B4-BE49-F238E27FC236}">
              <a16:creationId xmlns:a16="http://schemas.microsoft.com/office/drawing/2014/main" id="{55B55B96-6545-4F41-8D2D-1A1A39F6747D}"/>
            </a:ext>
          </a:extLst>
        </cdr:cNvPr>
        <cdr:cNvCxnSpPr/>
      </cdr:nvCxnSpPr>
      <cdr:spPr>
        <a:xfrm xmlns:a="http://schemas.openxmlformats.org/drawingml/2006/main" flipV="1">
          <a:off x="4382912" y="1764051"/>
          <a:ext cx="3640" cy="338364"/>
        </a:xfrm>
        <a:prstGeom xmlns:a="http://schemas.openxmlformats.org/drawingml/2006/main" prst="straightConnector1">
          <a:avLst/>
        </a:prstGeom>
        <a:ln xmlns:a="http://schemas.openxmlformats.org/drawingml/2006/main" w="12700">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0.70735</cdr:x>
      <cdr:y>0.54289</cdr:y>
    </cdr:from>
    <cdr:to>
      <cdr:x>0.79345</cdr:x>
      <cdr:y>0.60796</cdr:y>
    </cdr:to>
    <cdr:sp macro="" textlink="">
      <cdr:nvSpPr>
        <cdr:cNvPr id="10" name="ZoneTexte 1">
          <a:extLst xmlns:a="http://schemas.openxmlformats.org/drawingml/2006/main">
            <a:ext uri="{FF2B5EF4-FFF2-40B4-BE49-F238E27FC236}">
              <a16:creationId xmlns:a16="http://schemas.microsoft.com/office/drawing/2014/main" id="{6C4DF501-1EB2-504C-A702-954D9FC66C0E}"/>
            </a:ext>
          </a:extLst>
        </cdr:cNvPr>
        <cdr:cNvSpPr txBox="1"/>
      </cdr:nvSpPr>
      <cdr:spPr>
        <a:xfrm xmlns:a="http://schemas.openxmlformats.org/drawingml/2006/main">
          <a:off x="4484864" y="1781227"/>
          <a:ext cx="545902" cy="213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accent1"/>
              </a:solidFill>
            </a:rPr>
            <a:t>9 422</a:t>
          </a:r>
        </a:p>
      </cdr:txBody>
    </cdr:sp>
  </cdr:relSizeAnchor>
  <cdr:relSizeAnchor xmlns:cdr="http://schemas.openxmlformats.org/drawingml/2006/chartDrawing">
    <cdr:from>
      <cdr:x>0.69684</cdr:x>
      <cdr:y>0.43721</cdr:y>
    </cdr:from>
    <cdr:to>
      <cdr:x>0.69761</cdr:x>
      <cdr:y>0.50722</cdr:y>
    </cdr:to>
    <cdr:cxnSp macro="">
      <cdr:nvCxnSpPr>
        <cdr:cNvPr id="8" name="Connecteur droit avec flèche 7">
          <a:extLst xmlns:a="http://schemas.openxmlformats.org/drawingml/2006/main">
            <a:ext uri="{FF2B5EF4-FFF2-40B4-BE49-F238E27FC236}">
              <a16:creationId xmlns:a16="http://schemas.microsoft.com/office/drawing/2014/main" id="{DF2C30AC-A980-1E4E-B816-535BBEF6C515}"/>
            </a:ext>
          </a:extLst>
        </cdr:cNvPr>
        <cdr:cNvCxnSpPr/>
      </cdr:nvCxnSpPr>
      <cdr:spPr>
        <a:xfrm xmlns:a="http://schemas.openxmlformats.org/drawingml/2006/main" flipH="1">
          <a:off x="4418202" y="1434497"/>
          <a:ext cx="4861" cy="229685"/>
        </a:xfrm>
        <a:prstGeom xmlns:a="http://schemas.openxmlformats.org/drawingml/2006/main" prst="straightConnector1">
          <a:avLst/>
        </a:prstGeom>
        <a:ln xmlns:a="http://schemas.openxmlformats.org/drawingml/2006/main" w="12700">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0.70824</cdr:x>
      <cdr:y>0.44053</cdr:y>
    </cdr:from>
    <cdr:to>
      <cdr:x>0.79434</cdr:x>
      <cdr:y>0.50561</cdr:y>
    </cdr:to>
    <cdr:sp macro="" textlink="">
      <cdr:nvSpPr>
        <cdr:cNvPr id="11" name="ZoneTexte 1">
          <a:extLst xmlns:a="http://schemas.openxmlformats.org/drawingml/2006/main">
            <a:ext uri="{FF2B5EF4-FFF2-40B4-BE49-F238E27FC236}">
              <a16:creationId xmlns:a16="http://schemas.microsoft.com/office/drawing/2014/main" id="{0E833387-AFE1-C84F-B9EF-D937AA1BFB1E}"/>
            </a:ext>
          </a:extLst>
        </cdr:cNvPr>
        <cdr:cNvSpPr txBox="1"/>
      </cdr:nvSpPr>
      <cdr:spPr>
        <a:xfrm xmlns:a="http://schemas.openxmlformats.org/drawingml/2006/main">
          <a:off x="4444836" y="1477017"/>
          <a:ext cx="540356" cy="218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accent1"/>
              </a:solidFill>
            </a:rPr>
            <a:t>7 645</a:t>
          </a:r>
        </a:p>
      </cdr:txBody>
    </cdr:sp>
  </cdr:relSizeAnchor>
</c:userShapes>
</file>

<file path=xl/drawings/drawing6.xml><?xml version="1.0" encoding="utf-8"?>
<c:userShapes xmlns:c="http://schemas.openxmlformats.org/drawingml/2006/chart">
  <cdr:relSizeAnchor xmlns:cdr="http://schemas.openxmlformats.org/drawingml/2006/chartDrawing">
    <cdr:from>
      <cdr:x>0.50294</cdr:x>
      <cdr:y>0.63519</cdr:y>
    </cdr:from>
    <cdr:to>
      <cdr:x>0.50365</cdr:x>
      <cdr:y>0.88941</cdr:y>
    </cdr:to>
    <cdr:cxnSp macro="">
      <cdr:nvCxnSpPr>
        <cdr:cNvPr id="4" name="Connecteur droit 3">
          <a:extLst xmlns:a="http://schemas.openxmlformats.org/drawingml/2006/main">
            <a:ext uri="{FF2B5EF4-FFF2-40B4-BE49-F238E27FC236}">
              <a16:creationId xmlns:a16="http://schemas.microsoft.com/office/drawing/2014/main" id="{75B3F876-B3BE-B445-9050-60CF6FB654C9}"/>
            </a:ext>
          </a:extLst>
        </cdr:cNvPr>
        <cdr:cNvCxnSpPr/>
      </cdr:nvCxnSpPr>
      <cdr:spPr>
        <a:xfrm xmlns:a="http://schemas.openxmlformats.org/drawingml/2006/main">
          <a:off x="3188819" y="2088042"/>
          <a:ext cx="4502" cy="835718"/>
        </a:xfrm>
        <a:prstGeom xmlns:a="http://schemas.openxmlformats.org/drawingml/2006/main" prst="line">
          <a:avLst/>
        </a:prstGeom>
        <a:ln xmlns:a="http://schemas.openxmlformats.org/drawingml/2006/main" w="952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0.46342</cdr:x>
      <cdr:y>0.78851</cdr:y>
    </cdr:from>
    <cdr:to>
      <cdr:x>0.50138</cdr:x>
      <cdr:y>0.78851</cdr:y>
    </cdr:to>
    <cdr:cxnSp macro="">
      <cdr:nvCxnSpPr>
        <cdr:cNvPr id="7" name="Connecteur droit avec flèche 6">
          <a:extLst xmlns:a="http://schemas.openxmlformats.org/drawingml/2006/main">
            <a:ext uri="{FF2B5EF4-FFF2-40B4-BE49-F238E27FC236}">
              <a16:creationId xmlns:a16="http://schemas.microsoft.com/office/drawing/2014/main" id="{756B8B73-7B4F-CF4A-8DB4-454FD09662F7}"/>
            </a:ext>
          </a:extLst>
        </cdr:cNvPr>
        <cdr:cNvCxnSpPr/>
      </cdr:nvCxnSpPr>
      <cdr:spPr>
        <a:xfrm xmlns:a="http://schemas.openxmlformats.org/drawingml/2006/main" flipH="1">
          <a:off x="2938266" y="2592067"/>
          <a:ext cx="240679" cy="0"/>
        </a:xfrm>
        <a:prstGeom xmlns:a="http://schemas.openxmlformats.org/drawingml/2006/main" prst="straightConnector1">
          <a:avLst/>
        </a:prstGeom>
        <a:ln xmlns:a="http://schemas.openxmlformats.org/drawingml/2006/main" w="12700">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0.44529</cdr:x>
      <cdr:y>0.81178</cdr:y>
    </cdr:from>
    <cdr:to>
      <cdr:x>0.53139</cdr:x>
      <cdr:y>0.87677</cdr:y>
    </cdr:to>
    <cdr:sp macro="" textlink="">
      <cdr:nvSpPr>
        <cdr:cNvPr id="11" name="ZoneTexte 1">
          <a:extLst xmlns:a="http://schemas.openxmlformats.org/drawingml/2006/main">
            <a:ext uri="{FF2B5EF4-FFF2-40B4-BE49-F238E27FC236}">
              <a16:creationId xmlns:a16="http://schemas.microsoft.com/office/drawing/2014/main" id="{8C979873-FA81-DF47-AA38-405889BFE976}"/>
            </a:ext>
          </a:extLst>
        </cdr:cNvPr>
        <cdr:cNvSpPr txBox="1"/>
      </cdr:nvSpPr>
      <cdr:spPr>
        <a:xfrm xmlns:a="http://schemas.openxmlformats.org/drawingml/2006/main">
          <a:off x="2823264" y="2668560"/>
          <a:ext cx="545903" cy="2136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accent1"/>
              </a:solidFill>
            </a:rPr>
            <a:t>~2 ans</a:t>
          </a:r>
        </a:p>
      </cdr:txBody>
    </cdr:sp>
  </cdr:relSizeAnchor>
  <cdr:relSizeAnchor xmlns:cdr="http://schemas.openxmlformats.org/drawingml/2006/chartDrawing">
    <cdr:from>
      <cdr:x>0.69743</cdr:x>
      <cdr:y>0.52324</cdr:y>
    </cdr:from>
    <cdr:to>
      <cdr:x>0.69792</cdr:x>
      <cdr:y>0.60806</cdr:y>
    </cdr:to>
    <cdr:cxnSp macro="">
      <cdr:nvCxnSpPr>
        <cdr:cNvPr id="12" name="Connecteur droit avec flèche 11">
          <a:extLst xmlns:a="http://schemas.openxmlformats.org/drawingml/2006/main">
            <a:ext uri="{FF2B5EF4-FFF2-40B4-BE49-F238E27FC236}">
              <a16:creationId xmlns:a16="http://schemas.microsoft.com/office/drawing/2014/main" id="{D592822B-94C5-DA40-8505-D2131DB56BB0}"/>
            </a:ext>
          </a:extLst>
        </cdr:cNvPr>
        <cdr:cNvCxnSpPr/>
      </cdr:nvCxnSpPr>
      <cdr:spPr>
        <a:xfrm xmlns:a="http://schemas.openxmlformats.org/drawingml/2006/main" flipV="1">
          <a:off x="4421909" y="1720035"/>
          <a:ext cx="3156" cy="278834"/>
        </a:xfrm>
        <a:prstGeom xmlns:a="http://schemas.openxmlformats.org/drawingml/2006/main" prst="straightConnector1">
          <a:avLst/>
        </a:prstGeom>
        <a:ln xmlns:a="http://schemas.openxmlformats.org/drawingml/2006/main" w="12700">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0.70415</cdr:x>
      <cdr:y>0.54942</cdr:y>
    </cdr:from>
    <cdr:to>
      <cdr:x>0.79025</cdr:x>
      <cdr:y>0.61441</cdr:y>
    </cdr:to>
    <cdr:sp macro="" textlink="">
      <cdr:nvSpPr>
        <cdr:cNvPr id="14" name="ZoneTexte 1">
          <a:extLst xmlns:a="http://schemas.openxmlformats.org/drawingml/2006/main">
            <a:ext uri="{FF2B5EF4-FFF2-40B4-BE49-F238E27FC236}">
              <a16:creationId xmlns:a16="http://schemas.microsoft.com/office/drawing/2014/main" id="{D8955EB6-6656-DC4F-B96F-2E2238391952}"/>
            </a:ext>
          </a:extLst>
        </cdr:cNvPr>
        <cdr:cNvSpPr txBox="1"/>
      </cdr:nvSpPr>
      <cdr:spPr>
        <a:xfrm xmlns:a="http://schemas.openxmlformats.org/drawingml/2006/main">
          <a:off x="4464565" y="1806094"/>
          <a:ext cx="545902" cy="2136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accent1"/>
              </a:solidFill>
            </a:rPr>
            <a:t>9 373</a:t>
          </a:r>
        </a:p>
      </cdr:txBody>
    </cdr:sp>
  </cdr:relSizeAnchor>
  <cdr:relSizeAnchor xmlns:cdr="http://schemas.openxmlformats.org/drawingml/2006/chartDrawing">
    <cdr:from>
      <cdr:x>0.46088</cdr:x>
      <cdr:y>0.62855</cdr:y>
    </cdr:from>
    <cdr:to>
      <cdr:x>0.46159</cdr:x>
      <cdr:y>0.88278</cdr:y>
    </cdr:to>
    <cdr:cxnSp macro="">
      <cdr:nvCxnSpPr>
        <cdr:cNvPr id="10" name="Connecteur droit 9">
          <a:extLst xmlns:a="http://schemas.openxmlformats.org/drawingml/2006/main">
            <a:ext uri="{FF2B5EF4-FFF2-40B4-BE49-F238E27FC236}">
              <a16:creationId xmlns:a16="http://schemas.microsoft.com/office/drawing/2014/main" id="{66FE7982-9E38-504F-BDC0-831565DB62F1}"/>
            </a:ext>
          </a:extLst>
        </cdr:cNvPr>
        <cdr:cNvCxnSpPr/>
      </cdr:nvCxnSpPr>
      <cdr:spPr>
        <a:xfrm xmlns:a="http://schemas.openxmlformats.org/drawingml/2006/main">
          <a:off x="2922105" y="2066234"/>
          <a:ext cx="4502" cy="835718"/>
        </a:xfrm>
        <a:prstGeom xmlns:a="http://schemas.openxmlformats.org/drawingml/2006/main" prst="line">
          <a:avLst/>
        </a:prstGeom>
        <a:ln xmlns:a="http://schemas.openxmlformats.org/drawingml/2006/main" w="9525">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0.15378</cdr:x>
      <cdr:y>0.2322</cdr:y>
    </cdr:from>
    <cdr:to>
      <cdr:x>0.15405</cdr:x>
      <cdr:y>0.86235</cdr:y>
    </cdr:to>
    <cdr:cxnSp macro="">
      <cdr:nvCxnSpPr>
        <cdr:cNvPr id="3" name="Connecteur droit 2">
          <a:extLst xmlns:a="http://schemas.openxmlformats.org/drawingml/2006/main">
            <a:ext uri="{FF2B5EF4-FFF2-40B4-BE49-F238E27FC236}">
              <a16:creationId xmlns:a16="http://schemas.microsoft.com/office/drawing/2014/main" id="{04CE7AE3-F6DD-B24F-B486-02A7439BEC62}"/>
            </a:ext>
          </a:extLst>
        </cdr:cNvPr>
        <cdr:cNvCxnSpPr/>
      </cdr:nvCxnSpPr>
      <cdr:spPr>
        <a:xfrm xmlns:a="http://schemas.openxmlformats.org/drawingml/2006/main">
          <a:off x="1017940" y="727099"/>
          <a:ext cx="1800" cy="1973241"/>
        </a:xfrm>
        <a:prstGeom xmlns:a="http://schemas.openxmlformats.org/drawingml/2006/main" prst="line">
          <a:avLst/>
        </a:prstGeom>
        <a:ln xmlns:a="http://schemas.openxmlformats.org/drawingml/2006/main" w="9525">
          <a:solidFill>
            <a:schemeClr val="tx2">
              <a:lumMod val="75000"/>
              <a:lumOff val="25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0.32748</cdr:x>
      <cdr:y>0.67767</cdr:y>
    </cdr:from>
    <cdr:to>
      <cdr:x>0.67434</cdr:x>
      <cdr:y>0.81163</cdr:y>
    </cdr:to>
    <cdr:sp macro="" textlink="">
      <cdr:nvSpPr>
        <cdr:cNvPr id="2" name="ZoneTexte 7">
          <a:extLst xmlns:a="http://schemas.openxmlformats.org/drawingml/2006/main">
            <a:ext uri="{FF2B5EF4-FFF2-40B4-BE49-F238E27FC236}">
              <a16:creationId xmlns:a16="http://schemas.microsoft.com/office/drawing/2014/main" id="{412E6883-FEC3-4011-8F65-C04D8DD3E746}"/>
            </a:ext>
          </a:extLst>
        </cdr:cNvPr>
        <cdr:cNvSpPr txBox="1"/>
      </cdr:nvSpPr>
      <cdr:spPr>
        <a:xfrm xmlns:a="http://schemas.openxmlformats.org/drawingml/2006/main">
          <a:off x="1635128" y="2115478"/>
          <a:ext cx="1731876" cy="41818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t>Chute</a:t>
          </a:r>
          <a:r>
            <a:rPr lang="fr-FR" sz="900" baseline="0"/>
            <a:t> du trafic de 66% prévue  par l'IATA en 2020</a:t>
          </a:r>
          <a:endParaRPr lang="fr-GF" sz="900"/>
        </a:p>
      </cdr:txBody>
    </cdr:sp>
  </cdr:relSizeAnchor>
  <cdr:relSizeAnchor xmlns:cdr="http://schemas.openxmlformats.org/drawingml/2006/chartDrawing">
    <cdr:from>
      <cdr:x>0.61324</cdr:x>
      <cdr:y>0.36226</cdr:y>
    </cdr:from>
    <cdr:to>
      <cdr:x>0.86288</cdr:x>
      <cdr:y>0.5773</cdr:y>
    </cdr:to>
    <cdr:sp macro="" textlink="">
      <cdr:nvSpPr>
        <cdr:cNvPr id="3" name="ZoneTexte 7">
          <a:extLst xmlns:a="http://schemas.openxmlformats.org/drawingml/2006/main">
            <a:ext uri="{FF2B5EF4-FFF2-40B4-BE49-F238E27FC236}">
              <a16:creationId xmlns:a16="http://schemas.microsoft.com/office/drawing/2014/main" id="{C1956848-BDB7-5449-969F-EE04CAF2CD45}"/>
            </a:ext>
          </a:extLst>
        </cdr:cNvPr>
        <cdr:cNvSpPr txBox="1"/>
      </cdr:nvSpPr>
      <cdr:spPr>
        <a:xfrm xmlns:a="http://schemas.openxmlformats.org/drawingml/2006/main">
          <a:off x="2994891" y="1159164"/>
          <a:ext cx="1219200" cy="68810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t>Retour au niveau de 2019 en</a:t>
          </a:r>
          <a:r>
            <a:rPr lang="fr-FR" sz="900" baseline="0"/>
            <a:t> 2024</a:t>
          </a:r>
          <a:endParaRPr lang="fr-GF" sz="900"/>
        </a:p>
      </cdr:txBody>
    </cdr:sp>
  </cdr:relSizeAnchor>
</c:userShapes>
</file>

<file path=xl/drawings/drawing9.xml><?xml version="1.0" encoding="utf-8"?>
<c:userShapes xmlns:c="http://schemas.openxmlformats.org/drawingml/2006/chart">
  <cdr:relSizeAnchor xmlns:cdr="http://schemas.openxmlformats.org/drawingml/2006/chartDrawing">
    <cdr:from>
      <cdr:x>0.66261</cdr:x>
      <cdr:y>0.81128</cdr:y>
    </cdr:from>
    <cdr:to>
      <cdr:x>0.74123</cdr:x>
      <cdr:y>0.89136</cdr:y>
    </cdr:to>
    <cdr:sp macro="" textlink="">
      <cdr:nvSpPr>
        <cdr:cNvPr id="27" name="ZoneTexte 26">
          <a:extLst xmlns:a="http://schemas.openxmlformats.org/drawingml/2006/main">
            <a:ext uri="{FF2B5EF4-FFF2-40B4-BE49-F238E27FC236}">
              <a16:creationId xmlns:a16="http://schemas.microsoft.com/office/drawing/2014/main" id="{0E051D0A-E655-1849-AF0D-28E31A6374C4}"/>
            </a:ext>
          </a:extLst>
        </cdr:cNvPr>
        <cdr:cNvSpPr txBox="1"/>
      </cdr:nvSpPr>
      <cdr:spPr>
        <a:xfrm xmlns:a="http://schemas.openxmlformats.org/drawingml/2006/main">
          <a:off x="4087091" y="2690091"/>
          <a:ext cx="484909" cy="2655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10.xml><?xml version="1.0" encoding="utf-8"?>
<xdr:wsDr xmlns:xdr="http://schemas.openxmlformats.org/drawingml/2006/spreadsheetDrawing" xmlns:a="http://schemas.openxmlformats.org/drawingml/2006/main">
  <xdr:oneCellAnchor>
    <xdr:from>
      <xdr:col>6</xdr:col>
      <xdr:colOff>0</xdr:colOff>
      <xdr:row>38</xdr:row>
      <xdr:rowOff>0</xdr:rowOff>
    </xdr:from>
    <xdr:ext cx="314325" cy="333375"/>
    <xdr:sp macro="" textlink="">
      <xdr:nvSpPr>
        <xdr:cNvPr id="2"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00000000-0008-0000-0300-000002000000}"/>
            </a:ext>
          </a:extLst>
        </xdr:cNvPr>
        <xdr:cNvSpPr/>
      </xdr:nvSpPr>
      <xdr:spPr>
        <a:xfrm>
          <a:off x="5242560" y="672084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0</xdr:colOff>
      <xdr:row>18</xdr:row>
      <xdr:rowOff>0</xdr:rowOff>
    </xdr:from>
    <xdr:ext cx="314325" cy="333375"/>
    <xdr:sp macro="" textlink="">
      <xdr:nvSpPr>
        <xdr:cNvPr id="3"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A2AC3954-1622-4A4D-A384-F94E41BD544A}"/>
            </a:ext>
          </a:extLst>
        </xdr:cNvPr>
        <xdr:cNvSpPr/>
      </xdr:nvSpPr>
      <xdr:spPr>
        <a:xfrm>
          <a:off x="10226040" y="32080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0</xdr:colOff>
      <xdr:row>18</xdr:row>
      <xdr:rowOff>0</xdr:rowOff>
    </xdr:from>
    <xdr:ext cx="314325" cy="333375"/>
    <xdr:sp macro="" textlink="">
      <xdr:nvSpPr>
        <xdr:cNvPr id="4"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478F9EC7-CDB5-D94D-BF17-A2F3AEBE9645}"/>
            </a:ext>
          </a:extLst>
        </xdr:cNvPr>
        <xdr:cNvSpPr/>
      </xdr:nvSpPr>
      <xdr:spPr>
        <a:xfrm>
          <a:off x="10226040" y="32080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24</xdr:col>
      <xdr:colOff>0</xdr:colOff>
      <xdr:row>23</xdr:row>
      <xdr:rowOff>0</xdr:rowOff>
    </xdr:from>
    <xdr:ext cx="314325" cy="333375"/>
    <xdr:sp macro="" textlink="">
      <xdr:nvSpPr>
        <xdr:cNvPr id="5"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9C53F7B6-4828-FD43-9C66-799EB2C9DEDE}"/>
            </a:ext>
          </a:extLst>
        </xdr:cNvPr>
        <xdr:cNvSpPr/>
      </xdr:nvSpPr>
      <xdr:spPr>
        <a:xfrm>
          <a:off x="21488400" y="40843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18</xdr:col>
      <xdr:colOff>0</xdr:colOff>
      <xdr:row>23</xdr:row>
      <xdr:rowOff>0</xdr:rowOff>
    </xdr:from>
    <xdr:ext cx="314325" cy="333375"/>
    <xdr:sp macro="" textlink="">
      <xdr:nvSpPr>
        <xdr:cNvPr id="6"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478660CA-4FBF-9848-837A-F3D906C48406}"/>
            </a:ext>
          </a:extLst>
        </xdr:cNvPr>
        <xdr:cNvSpPr/>
      </xdr:nvSpPr>
      <xdr:spPr>
        <a:xfrm>
          <a:off x="15727680" y="40843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24</xdr:col>
      <xdr:colOff>0</xdr:colOff>
      <xdr:row>23</xdr:row>
      <xdr:rowOff>0</xdr:rowOff>
    </xdr:from>
    <xdr:ext cx="314325" cy="333375"/>
    <xdr:sp macro="" textlink="">
      <xdr:nvSpPr>
        <xdr:cNvPr id="7"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C6B3327F-FD22-8948-964B-E5AD724B5C15}"/>
            </a:ext>
          </a:extLst>
        </xdr:cNvPr>
        <xdr:cNvSpPr/>
      </xdr:nvSpPr>
      <xdr:spPr>
        <a:xfrm>
          <a:off x="21488400" y="40843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18</xdr:col>
      <xdr:colOff>0</xdr:colOff>
      <xdr:row>23</xdr:row>
      <xdr:rowOff>0</xdr:rowOff>
    </xdr:from>
    <xdr:ext cx="314325" cy="333375"/>
    <xdr:sp macro="" textlink="">
      <xdr:nvSpPr>
        <xdr:cNvPr id="8"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AE6C56CC-107E-0845-A855-1BB2F578CE4B}"/>
            </a:ext>
          </a:extLst>
        </xdr:cNvPr>
        <xdr:cNvSpPr/>
      </xdr:nvSpPr>
      <xdr:spPr>
        <a:xfrm>
          <a:off x="15727680" y="40843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twoCellAnchor>
    <xdr:from>
      <xdr:col>7</xdr:col>
      <xdr:colOff>361950</xdr:colOff>
      <xdr:row>65</xdr:row>
      <xdr:rowOff>19050</xdr:rowOff>
    </xdr:from>
    <xdr:to>
      <xdr:col>12</xdr:col>
      <xdr:colOff>219075</xdr:colOff>
      <xdr:row>78</xdr:row>
      <xdr:rowOff>28575</xdr:rowOff>
    </xdr:to>
    <xdr:graphicFrame macro="">
      <xdr:nvGraphicFramePr>
        <xdr:cNvPr id="3" name="Graphique 1">
          <a:extLst>
            <a:ext uri="{FF2B5EF4-FFF2-40B4-BE49-F238E27FC236}">
              <a16:creationId xmlns:a16="http://schemas.microsoft.com/office/drawing/2014/main" id="{3A5D932C-8EA1-8743-9076-13C4EFAE42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0.09937</cdr:x>
      <cdr:y>0.5999</cdr:y>
    </cdr:from>
    <cdr:to>
      <cdr:x>0.38264</cdr:x>
      <cdr:y>0.68701</cdr:y>
    </cdr:to>
    <cdr:sp macro="" textlink="">
      <cdr:nvSpPr>
        <cdr:cNvPr id="3" name="ZoneTexte 2">
          <a:extLst xmlns:a="http://schemas.openxmlformats.org/drawingml/2006/main">
            <a:ext uri="{FF2B5EF4-FFF2-40B4-BE49-F238E27FC236}">
              <a16:creationId xmlns:a16="http://schemas.microsoft.com/office/drawing/2014/main" id="{5710E545-2243-854F-BF97-753D9183F2D3}"/>
            </a:ext>
          </a:extLst>
        </cdr:cNvPr>
        <cdr:cNvSpPr txBox="1"/>
      </cdr:nvSpPr>
      <cdr:spPr>
        <a:xfrm xmlns:a="http://schemas.openxmlformats.org/drawingml/2006/main">
          <a:off x="696999" y="3065840"/>
          <a:ext cx="1986834" cy="445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aseline="0"/>
            <a:t>McKinsey : 4 - 8 Mt produites en 2025</a:t>
          </a:r>
          <a:endParaRPr lang="fr-FR" sz="900"/>
        </a:p>
      </cdr:txBody>
    </cdr:sp>
  </cdr:relSizeAnchor>
  <cdr:relSizeAnchor xmlns:cdr="http://schemas.openxmlformats.org/drawingml/2006/chartDrawing">
    <cdr:from>
      <cdr:x>0.44752</cdr:x>
      <cdr:y>0.48264</cdr:y>
    </cdr:from>
    <cdr:to>
      <cdr:x>0.81654</cdr:x>
      <cdr:y>0.56975</cdr:y>
    </cdr:to>
    <cdr:sp macro="" textlink="">
      <cdr:nvSpPr>
        <cdr:cNvPr id="4" name="ZoneTexte 1">
          <a:extLst xmlns:a="http://schemas.openxmlformats.org/drawingml/2006/main">
            <a:ext uri="{FF2B5EF4-FFF2-40B4-BE49-F238E27FC236}">
              <a16:creationId xmlns:a16="http://schemas.microsoft.com/office/drawing/2014/main" id="{9D3096A3-1B70-2A4A-8115-DBEC272899BD}"/>
            </a:ext>
          </a:extLst>
        </cdr:cNvPr>
        <cdr:cNvSpPr txBox="1"/>
      </cdr:nvSpPr>
      <cdr:spPr>
        <a:xfrm xmlns:a="http://schemas.openxmlformats.org/drawingml/2006/main">
          <a:off x="3138912" y="2466580"/>
          <a:ext cx="2588391" cy="4451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AIE (SDS) :</a:t>
          </a:r>
          <a:r>
            <a:rPr lang="fr-FR" sz="900" baseline="0"/>
            <a:t> Consommation ~64 Mt en 2040</a:t>
          </a:r>
          <a:endParaRPr lang="fr-FR" sz="900"/>
        </a:p>
      </cdr:txBody>
    </cdr:sp>
  </cdr:relSizeAnchor>
  <cdr:relSizeAnchor xmlns:cdr="http://schemas.openxmlformats.org/drawingml/2006/chartDrawing">
    <cdr:from>
      <cdr:x>0.33542</cdr:x>
      <cdr:y>0.55145</cdr:y>
    </cdr:from>
    <cdr:to>
      <cdr:x>0.5877</cdr:x>
      <cdr:y>0.63856</cdr:y>
    </cdr:to>
    <cdr:sp macro="" textlink="">
      <cdr:nvSpPr>
        <cdr:cNvPr id="5" name="ZoneTexte 1">
          <a:extLst xmlns:a="http://schemas.openxmlformats.org/drawingml/2006/main">
            <a:ext uri="{FF2B5EF4-FFF2-40B4-BE49-F238E27FC236}">
              <a16:creationId xmlns:a16="http://schemas.microsoft.com/office/drawing/2014/main" id="{29B3B05D-E0CF-DA40-ADA9-6BD101FBD637}"/>
            </a:ext>
          </a:extLst>
        </cdr:cNvPr>
        <cdr:cNvSpPr txBox="1"/>
      </cdr:nvSpPr>
      <cdr:spPr>
        <a:xfrm xmlns:a="http://schemas.openxmlformats.org/drawingml/2006/main">
          <a:off x="2352646" y="2818241"/>
          <a:ext cx="1769501" cy="4451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aseline="0"/>
            <a:t>OACI : 6,5 Mt produites en 2032</a:t>
          </a:r>
          <a:endParaRPr lang="fr-FR" sz="900"/>
        </a:p>
      </cdr:txBody>
    </cdr:sp>
  </cdr:relSizeAnchor>
  <cdr:relSizeAnchor xmlns:cdr="http://schemas.openxmlformats.org/drawingml/2006/chartDrawing">
    <cdr:from>
      <cdr:x>0.24488</cdr:x>
      <cdr:y>0.64671</cdr:y>
    </cdr:from>
    <cdr:to>
      <cdr:x>0.24488</cdr:x>
      <cdr:y>0.91916</cdr:y>
    </cdr:to>
    <cdr:cxnSp macro="">
      <cdr:nvCxnSpPr>
        <cdr:cNvPr id="7" name="Connecteur droit avec flèche 6">
          <a:extLst xmlns:a="http://schemas.openxmlformats.org/drawingml/2006/main">
            <a:ext uri="{FF2B5EF4-FFF2-40B4-BE49-F238E27FC236}">
              <a16:creationId xmlns:a16="http://schemas.microsoft.com/office/drawing/2014/main" id="{8E829EA5-9AF2-BA42-8F45-FCC3006B54C4}"/>
            </a:ext>
          </a:extLst>
        </cdr:cNvPr>
        <cdr:cNvCxnSpPr/>
      </cdr:nvCxnSpPr>
      <cdr:spPr>
        <a:xfrm xmlns:a="http://schemas.openxmlformats.org/drawingml/2006/main">
          <a:off x="1717632" y="3305062"/>
          <a:ext cx="0" cy="1392409"/>
        </a:xfrm>
        <a:prstGeom xmlns:a="http://schemas.openxmlformats.org/drawingml/2006/main" prst="straightConnector1">
          <a:avLst/>
        </a:prstGeom>
        <a:ln xmlns:a="http://schemas.openxmlformats.org/drawingml/2006/main">
          <a:tailEnd type="diamo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0.08403</cdr:x>
      <cdr:y>0.90719</cdr:y>
    </cdr:from>
    <cdr:to>
      <cdr:x>0.26234</cdr:x>
      <cdr:y>0.90745</cdr:y>
    </cdr:to>
    <cdr:cxnSp macro="">
      <cdr:nvCxnSpPr>
        <cdr:cNvPr id="9" name="Connecteur droit 8">
          <a:extLst xmlns:a="http://schemas.openxmlformats.org/drawingml/2006/main">
            <a:ext uri="{FF2B5EF4-FFF2-40B4-BE49-F238E27FC236}">
              <a16:creationId xmlns:a16="http://schemas.microsoft.com/office/drawing/2014/main" id="{1AE60C3D-EC32-7D44-BC53-3CF82AF3BA70}"/>
            </a:ext>
          </a:extLst>
        </cdr:cNvPr>
        <cdr:cNvCxnSpPr/>
      </cdr:nvCxnSpPr>
      <cdr:spPr>
        <a:xfrm xmlns:a="http://schemas.openxmlformats.org/drawingml/2006/main" flipH="1" flipV="1">
          <a:off x="526364" y="4636266"/>
          <a:ext cx="1116989" cy="1332"/>
        </a:xfrm>
        <a:prstGeom xmlns:a="http://schemas.openxmlformats.org/drawingml/2006/main" prst="line">
          <a:avLst/>
        </a:prstGeom>
        <a:ln xmlns:a="http://schemas.openxmlformats.org/drawingml/2006/main" w="12700">
          <a:solidFill>
            <a:schemeClr val="accent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0.03762</cdr:x>
      <cdr:y>0.88623</cdr:y>
    </cdr:from>
    <cdr:to>
      <cdr:x>0.09135</cdr:x>
      <cdr:y>0.93713</cdr:y>
    </cdr:to>
    <cdr:sp macro="" textlink="">
      <cdr:nvSpPr>
        <cdr:cNvPr id="13" name="ZoneTexte 12">
          <a:extLst xmlns:a="http://schemas.openxmlformats.org/drawingml/2006/main">
            <a:ext uri="{FF2B5EF4-FFF2-40B4-BE49-F238E27FC236}">
              <a16:creationId xmlns:a16="http://schemas.microsoft.com/office/drawing/2014/main" id="{58696BC0-C459-1F4D-A8D1-1E40D7E44E2B}"/>
            </a:ext>
          </a:extLst>
        </cdr:cNvPr>
        <cdr:cNvSpPr txBox="1"/>
      </cdr:nvSpPr>
      <cdr:spPr>
        <a:xfrm xmlns:a="http://schemas.openxmlformats.org/drawingml/2006/main">
          <a:off x="235638" y="4529158"/>
          <a:ext cx="336629" cy="260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accent2"/>
              </a:solidFill>
            </a:rPr>
            <a:t>10</a:t>
          </a:r>
        </a:p>
      </cdr:txBody>
    </cdr:sp>
  </cdr:relSizeAnchor>
  <cdr:relSizeAnchor xmlns:cdr="http://schemas.openxmlformats.org/drawingml/2006/chartDrawing">
    <cdr:from>
      <cdr:x>0.4219</cdr:x>
      <cdr:y>0.60778</cdr:y>
    </cdr:from>
    <cdr:to>
      <cdr:x>0.42362</cdr:x>
      <cdr:y>0.91114</cdr:y>
    </cdr:to>
    <cdr:cxnSp macro="">
      <cdr:nvCxnSpPr>
        <cdr:cNvPr id="15" name="Connecteur droit avec flèche 14">
          <a:extLst xmlns:a="http://schemas.openxmlformats.org/drawingml/2006/main">
            <a:ext uri="{FF2B5EF4-FFF2-40B4-BE49-F238E27FC236}">
              <a16:creationId xmlns:a16="http://schemas.microsoft.com/office/drawing/2014/main" id="{8BA8276E-EE38-9944-82F6-F687DEC1043B}"/>
            </a:ext>
          </a:extLst>
        </cdr:cNvPr>
        <cdr:cNvCxnSpPr/>
      </cdr:nvCxnSpPr>
      <cdr:spPr>
        <a:xfrm xmlns:a="http://schemas.openxmlformats.org/drawingml/2006/main">
          <a:off x="2959255" y="3106146"/>
          <a:ext cx="12055" cy="1550318"/>
        </a:xfrm>
        <a:prstGeom xmlns:a="http://schemas.openxmlformats.org/drawingml/2006/main" prst="straightConnector1">
          <a:avLst/>
        </a:prstGeom>
        <a:ln xmlns:a="http://schemas.openxmlformats.org/drawingml/2006/main">
          <a:tailEnd type="diamo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0.62513</cdr:x>
      <cdr:y>0.52994</cdr:y>
    </cdr:from>
    <cdr:to>
      <cdr:x>0.62696</cdr:x>
      <cdr:y>0.82228</cdr:y>
    </cdr:to>
    <cdr:cxnSp macro="">
      <cdr:nvCxnSpPr>
        <cdr:cNvPr id="16" name="Connecteur droit avec flèche 15">
          <a:extLst xmlns:a="http://schemas.openxmlformats.org/drawingml/2006/main">
            <a:ext uri="{FF2B5EF4-FFF2-40B4-BE49-F238E27FC236}">
              <a16:creationId xmlns:a16="http://schemas.microsoft.com/office/drawing/2014/main" id="{9E50EC8A-1526-AB42-B524-ECB4125A289A}"/>
            </a:ext>
          </a:extLst>
        </cdr:cNvPr>
        <cdr:cNvCxnSpPr/>
      </cdr:nvCxnSpPr>
      <cdr:spPr>
        <a:xfrm xmlns:a="http://schemas.openxmlformats.org/drawingml/2006/main" flipH="1">
          <a:off x="4384674" y="2708315"/>
          <a:ext cx="12895" cy="1494010"/>
        </a:xfrm>
        <a:prstGeom xmlns:a="http://schemas.openxmlformats.org/drawingml/2006/main" prst="straightConnector1">
          <a:avLst/>
        </a:prstGeom>
        <a:ln xmlns:a="http://schemas.openxmlformats.org/drawingml/2006/main">
          <a:tailEnd type="diamo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0.88002</cdr:x>
      <cdr:y>0.1376</cdr:y>
    </cdr:from>
    <cdr:to>
      <cdr:x>0.88037</cdr:x>
      <cdr:y>0.64671</cdr:y>
    </cdr:to>
    <cdr:cxnSp macro="">
      <cdr:nvCxnSpPr>
        <cdr:cNvPr id="17" name="Connecteur droit avec flèche 16">
          <a:extLst xmlns:a="http://schemas.openxmlformats.org/drawingml/2006/main">
            <a:ext uri="{FF2B5EF4-FFF2-40B4-BE49-F238E27FC236}">
              <a16:creationId xmlns:a16="http://schemas.microsoft.com/office/drawing/2014/main" id="{DFD17C0F-ED5F-C04E-BF41-3A92385BED38}"/>
            </a:ext>
          </a:extLst>
        </cdr:cNvPr>
        <cdr:cNvCxnSpPr/>
      </cdr:nvCxnSpPr>
      <cdr:spPr>
        <a:xfrm xmlns:a="http://schemas.openxmlformats.org/drawingml/2006/main" flipV="1">
          <a:off x="6172508" y="703244"/>
          <a:ext cx="2447" cy="2601818"/>
        </a:xfrm>
        <a:prstGeom xmlns:a="http://schemas.openxmlformats.org/drawingml/2006/main" prst="straightConnector1">
          <a:avLst/>
        </a:prstGeom>
        <a:ln xmlns:a="http://schemas.openxmlformats.org/drawingml/2006/main">
          <a:tailEnd type="diamo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0.73864</cdr:x>
      <cdr:y>0.67365</cdr:y>
    </cdr:from>
    <cdr:to>
      <cdr:x>0.98534</cdr:x>
      <cdr:y>0.79341</cdr:y>
    </cdr:to>
    <cdr:sp macro="" textlink="">
      <cdr:nvSpPr>
        <cdr:cNvPr id="20" name="ZoneTexte 19">
          <a:extLst xmlns:a="http://schemas.openxmlformats.org/drawingml/2006/main">
            <a:ext uri="{FF2B5EF4-FFF2-40B4-BE49-F238E27FC236}">
              <a16:creationId xmlns:a16="http://schemas.microsoft.com/office/drawing/2014/main" id="{DF3889F7-219F-B24B-B28C-EFC5EECCC2CC}"/>
            </a:ext>
          </a:extLst>
        </cdr:cNvPr>
        <cdr:cNvSpPr txBox="1"/>
      </cdr:nvSpPr>
      <cdr:spPr>
        <a:xfrm xmlns:a="http://schemas.openxmlformats.org/drawingml/2006/main">
          <a:off x="4627087" y="3442773"/>
          <a:ext cx="1545422" cy="6120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0.70768</cdr:x>
      <cdr:y>0.64671</cdr:y>
    </cdr:from>
    <cdr:to>
      <cdr:x>0.98255</cdr:x>
      <cdr:y>0.77844</cdr:y>
    </cdr:to>
    <cdr:sp macro="" textlink="">
      <cdr:nvSpPr>
        <cdr:cNvPr id="21" name="ZoneTexte 20">
          <a:extLst xmlns:a="http://schemas.openxmlformats.org/drawingml/2006/main">
            <a:ext uri="{FF2B5EF4-FFF2-40B4-BE49-F238E27FC236}">
              <a16:creationId xmlns:a16="http://schemas.microsoft.com/office/drawing/2014/main" id="{BECB3716-EB7A-0541-9783-3E95D418BC9A}"/>
            </a:ext>
          </a:extLst>
        </cdr:cNvPr>
        <cdr:cNvSpPr txBox="1"/>
      </cdr:nvSpPr>
      <cdr:spPr>
        <a:xfrm xmlns:a="http://schemas.openxmlformats.org/drawingml/2006/main">
          <a:off x="4963713" y="3305062"/>
          <a:ext cx="1927953" cy="673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McKinsey : 500 Mt de capacité</a:t>
          </a:r>
          <a:r>
            <a:rPr lang="fr-FR" sz="900" baseline="0"/>
            <a:t> de production Monde. Limite physique prise  en hypothèse de production réelle en 2050 dans MAVERICK</a:t>
          </a:r>
          <a:endParaRPr lang="fr-FR" sz="900"/>
        </a:p>
      </cdr:txBody>
    </cdr:sp>
  </cdr:relSizeAnchor>
</c:userShapes>
</file>

<file path=xl/drawings/drawing13.xml><?xml version="1.0" encoding="utf-8"?>
<xdr:wsDr xmlns:xdr="http://schemas.openxmlformats.org/drawingml/2006/spreadsheetDrawing" xmlns:a="http://schemas.openxmlformats.org/drawingml/2006/main">
  <xdr:oneCellAnchor>
    <xdr:from>
      <xdr:col>12</xdr:col>
      <xdr:colOff>0</xdr:colOff>
      <xdr:row>27</xdr:row>
      <xdr:rowOff>0</xdr:rowOff>
    </xdr:from>
    <xdr:ext cx="314325" cy="333375"/>
    <xdr:sp macro="" textlink="">
      <xdr:nvSpPr>
        <xdr:cNvPr id="2"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B52BC890-58C4-DB4A-8851-B8ECA5BF3014}"/>
            </a:ext>
          </a:extLst>
        </xdr:cNvPr>
        <xdr:cNvSpPr/>
      </xdr:nvSpPr>
      <xdr:spPr>
        <a:xfrm>
          <a:off x="9387840" y="497586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0</xdr:colOff>
      <xdr:row>27</xdr:row>
      <xdr:rowOff>0</xdr:rowOff>
    </xdr:from>
    <xdr:ext cx="314325" cy="333375"/>
    <xdr:sp macro="" textlink="">
      <xdr:nvSpPr>
        <xdr:cNvPr id="3"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EB807D8E-59DB-6C48-BFA1-ACC177D82BBE}"/>
            </a:ext>
          </a:extLst>
        </xdr:cNvPr>
        <xdr:cNvSpPr/>
      </xdr:nvSpPr>
      <xdr:spPr>
        <a:xfrm>
          <a:off x="4404360" y="497586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0</xdr:colOff>
      <xdr:row>70</xdr:row>
      <xdr:rowOff>0</xdr:rowOff>
    </xdr:from>
    <xdr:ext cx="314325" cy="333375"/>
    <xdr:sp macro="" textlink="">
      <xdr:nvSpPr>
        <xdr:cNvPr id="4"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034E6BBC-61BE-5B4B-961B-CCD8CBD7B302}"/>
            </a:ext>
          </a:extLst>
        </xdr:cNvPr>
        <xdr:cNvSpPr/>
      </xdr:nvSpPr>
      <xdr:spPr>
        <a:xfrm>
          <a:off x="9387840" y="123520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0</xdr:colOff>
      <xdr:row>70</xdr:row>
      <xdr:rowOff>0</xdr:rowOff>
    </xdr:from>
    <xdr:ext cx="314325" cy="333375"/>
    <xdr:sp macro="" textlink="">
      <xdr:nvSpPr>
        <xdr:cNvPr id="5"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2777D66D-D383-954F-9A07-C5DA35236F8D}"/>
            </a:ext>
          </a:extLst>
        </xdr:cNvPr>
        <xdr:cNvSpPr/>
      </xdr:nvSpPr>
      <xdr:spPr>
        <a:xfrm>
          <a:off x="4404360" y="12352020"/>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0</xdr:colOff>
      <xdr:row>113</xdr:row>
      <xdr:rowOff>0</xdr:rowOff>
    </xdr:from>
    <xdr:ext cx="314325" cy="333375"/>
    <xdr:sp macro="" textlink="">
      <xdr:nvSpPr>
        <xdr:cNvPr id="6"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5C5DDA2E-1479-9B4D-8C4B-3E3D05A28F22}"/>
            </a:ext>
          </a:extLst>
        </xdr:cNvPr>
        <xdr:cNvSpPr/>
      </xdr:nvSpPr>
      <xdr:spPr>
        <a:xfrm>
          <a:off x="9434286" y="16183429"/>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0</xdr:colOff>
      <xdr:row>113</xdr:row>
      <xdr:rowOff>0</xdr:rowOff>
    </xdr:from>
    <xdr:ext cx="314325" cy="333375"/>
    <xdr:sp macro="" textlink="">
      <xdr:nvSpPr>
        <xdr:cNvPr id="7" name="Shape 4" descr="data:image/png;base64,iVBORw0KGgoAAAANSUhEUgAAAhQAAAFGCAYAAAAy1AaEAAAgAElEQVR4XuzdB5SmRZU38Ns590RyTqIEBVFAEERQgogiKmKO65rXVc/u6q67uut+a3bdNa1xJQgoogKCJAVFBRRBURQByWmY3Dl/51c9NfvSzEx3T3czPT31nPOe7vd9nqfq1r/C/de9VbeqRkZGRqJcBYGCQEFgDAIHfPiRdWKy/byauPjdCwteBYGCQEHgUQhUFUJRWkRBoCBQECgIFAQKAlNFoBCKqSJY3i8IFAQKAgWBgkBBIAqhKI2gIFAQKAgUBAoCBYEpI1AIxZQhLAkUBAoCBYGCQEGgIFAIRWkDBYGCQEGgIFAQKAhMGYFCKKYMYUmgIFAQKAgUBAoCBYFCKEobKAgUBAoCBYGCQEFgyggUQjFlCEsCBYGCQEGgIFAQKAgUQlHaQEGgIFAQKAgUBAoCU0agEIopQ1gSKAgUBAoCBYGCQEGgEIrSBgoCBYGCQEGgIFAQmDIChVBMGcKSQEGgIFAQKAgUBAoChVCUNlAQKAgUBAoCBYGCwJQRmBZCkQ8szX+rqqoeJdjY7+uT2vs+np/oO1NGICLlWZnv+sqxobxyGvmZyjJU3tvUZZsoXhtTF8PDw4973U1neTamzBPNvzxXECgIFATmOgJTJhRDQ0OxfPnyWLp0afT09ERNTU20tbVFa2trDAwMJPy23377cQnC4OBg3HPPPdHZ2Rk77bRTzJ8/f9x3plo5FCCZH3nkkVi9enVstdVWsWjRonjwwQfXyl1XVzduNhTRsmXL4i9/+UtKZ8GCBbHLLrukv7lc8PH/1ltvHTvuuGM0NzfPePkI3tHREXfffXfU1tbGbrvtFg0NDeOWBy4rVqxI9bHDDjskXMYjeMp25513hneVvbGxcdx8Hq8Hcv0sWbIk1a/yVFdXPyb7rq6uuOOOOxJGO++8czQ1NT1eIpZ8CgIFgYLAZo/ARhMKg/SqVavi+uuvj9tvvz0N0EgABUyJUaz+f9KTnhRHHHFEIhoburq7u+Pyyy9PxOTQQw+NJz7xieO+M1X05fmHP/whbrrppmShOPzww2O77baLX/ziF+n7s571rGhvbx83G4Tk2muvTYoIIXrooYeS/E94whPij3/8Y1BUlPmtt96ayvfUpz41DjrooITPTF933XVX/PjHP04E5qijjoptt912g1kiBAjVVVddlUjF0UcfnepwQ4TCOzCEG7IkH21htlzqR3m0yYMPPjiVB8Eae8HqJz/5SSJD6h4RLldBoCBQECgITAyBjSIUFAjFePXVVycyQVk++clPXjvzQzQoap8DDjggjjnmmHGVpxmu2SEysuuuu6aZ5Hiz4okVcf1PKQfl/7Of/SxZKSgR1hHKx0Vu1pYNXdK48cYb47e//W1SVuS+99570+xWWX73u9/FiSeeGIsXLw4zZHghLcjGupTaVMs09n11AVd57bXXXkkuWN93332JALGYZLLH2vTAAw/Er3/96yTrU57ylNhvv/2StWl9V39/f/zpT39KZEIZDzzwwDS7fzzI0kSwYjn66U9/GitXroy99947kQlkJ7fh3N7g43+kDy7a9IbKPZG8yzMFgYJAQWBLQmDShMLM3SzcjPy6665LyoMiNvOtr69PJIDCopB+9atfJQVmxuqeQZwbxH0WDb9lZSbdvr6+oKDMEN1zUXLe87z3/E9ZeS8TDs94Txp+pxw2ZBHxnLR8KBHKkCJVDuZ636XNYmFmn5+XDzmk7292mVBY3B1m88iQdGH0y1/+MuHwyle+MpVJ2VkrlA1RyWb3SnmUuRIX36XnXfnJW/krTfbeJ5vn/O9+JitZRn+zCV9Z1R+luc8++6TfpQcLFhVKGA7qtqWlZb3ETp6IGLy4d5Ak7oRMJtwnT647/yvb+mSH+diy5TLltqBePVOJmfdynVeSUGVWB1xyyooswt276gVxUi/PeMYzEgbeZbVy3/dKwpfrwDO5bVW2P/KRy2+5rirbivuV7Si30w2R5tz2PeN/n1z/+T1pavvuZfyy3Lld5DVB+f31EdlcRs+PzSe3L2XM/XAiZdiSBtNS1oLAlo7ApAmFgYVP/rLLLkum8Re+8IWx7777PsY3b1A1CzZAmxka3A3izOhZSZgp8tFTMpSZe9Y0LFy4MLkamKgpN+8a+CmG3t7e2GabbZJp3aDve07XgGowNOv2zLpIRV7z4R3/y88MGwFAfHbfffdkcfAu64qBVb4+yAAlYSYufQO5dQbcPg8//HByZWQl7HmKVvrHHXdcSs/zvs+bNy89l0mGcvsgVPCSPiuG+55nRYGPSxndYwkhmzKwQsDJs9JAAuDj/Yyr55A+MiCCLCfZLYMEURTIAeuKcpJRGgjCuhSQOvGcOoaBWT1MuAmkxSIAA5d7yqdNSJP86lw78BzZpeWSn/pTj7n+s0JUFsRlzz33TPfgosy5fbAoaBPaDplZ0ViEtBHlIRvc5IXssiqRhftJnrAlT8bKO/73W24vmdyqT+1XOe6///6EK9ICe4RNeeGvnsmlrMrpQx4YwUtbH2vNUV6yw0+67itvbjuIERxc6kzbI6dLXsrkndxuM/nVTmDgkwl7HgC1f/0ZNpm4ai/K6B554A8nZdBO3VOfSNpMWxO39IG6lL8gsDkgMGlCYYDjL7/yyiuTknzFK16RBqg86zSwGTApDx/fDXIGPorMjN/zBkED1WGHHZa+G/gN8AY0A7yB6pZbbonf//73abCiCFyUiDRYE5ARg7n3DMwGOAsDDYSU+9gFiHlGbXZOdgOvQVc+vrMwmGVLw3ezdHJnGbLlxWB8yCGHJJmQEXgYcLkHyGSA9R6lBQNlVAZ58dNTPM985jMTLpSPNOBHSXATwc87MGD5IB+MKLg///nPqZzcK56n6FgV1AtFCh+Ez31l4e6QJkXL4kIOFhXpcIGQxXMUFtkoE+WEK/myHJUKg8KjXNSZ/DynbMrM4gHX2267LbkP5Asn8pGVzMcee2z6zfPkQIIQAFhIG7bSJLd01KN0KFRKmCvq5z//eVL0vsMesaHMkQ3lgfvNN9+clHp25agXrjlpsVyoV/W1//77JxInHXlKR/0oh9/UI1w8q32qE9+f/vSnp/y1a9hpP/CEvzZGqSOplDCcpJ1n+PDVZtWTfCqtNuRlPdGu1YXn4K+O4Kh88vbbFVdckZ6Rr/vk5dYhK7nhp13AEF7IP7dUpSsvr4HRzhAgbV8Z1BG3F9mlpezZAocwKYu01PlscXFtDoNukbEgMFcRmDShoOwMlpQS5fDyl788Dcb5MuhTDD4GIAMNZWhWQ/EagMyMKRLfWQEswnT/mmuuSTNkJmjKmWK3SE46lAxLB0VAARvwDZzSYVFwn4L0jgHW+5WEotJVY3bOskIuSk1ZzN6e/exnp8HR7Cubtlli3KN0EAlKQZ5kkQbFatEjuZ/znOckheZdhAnpogBOO+20hIOZvN/kKy+XgVr65Dc7/81vfpMUifwM3gZ5ygeBQiis95D2c5/73JQOK4gywNF3ivXiiy9OclBmeY0ImchHubGoeM9iWQqWQsnWFOWiUMignOqGrJUKg7JGVMhKcbHqqD+LarUJJIRyg6s6oDQ95zsS8rKXvSyRPvVPPmVFEhEjeCCUT3va01IeWTGrT+SAsofTt771rVRXcIO99TzyUib3pUMGaSnPDTfckHCkUMmDFKhb6R555JGpfGboFDTlDl8KFVkg50knnZRcJpSydppdZPAio/wQJelpPz/4wQ8SAfIbhe4d72q32qd2rK7UKxmVP1/aKlmlgWy5D+O8vgXhIB88fvjDH8Yee+yRnkHYtA/tQF2rH/0HHuTyHvKiXVX2DfJoM0hhxkJ70C6RpJwPnLWpTLoRNkRG+6iUf64OlqVcBYGCwIYRmDShMEhWEgrKsnJbIQVq4DOYUVwGMIMSRWCQ9KwZotkrZWmgM+OkpAy6lAolQUFSlJS1PE844YSklJAHSpkS8oyZIWVi8DcDN/OiHHyvdHnkWeqFF16Y8mdZQRAMmgbhPLhTUi6DOsV91llnJYXAWiA9MzPlo5hf+tKXJuVAkZLjec97XiI1+V0KCx6vec1rUl5mfZdccklSpgZmCkCZDfBkN8hTRpSu9LMFw6yTtcQ9ist7xx9/fMKUAjRLpsQRDgoItmQ226zEkJJRH2a/ykwRwFB5fvSjHyXcYEyhKicFQmFm5VVpHqdwEDty5S3CyJxyUtiwosyyRcIsW73Jl3JGQtUbgqr8LBTqAunyneL1PZMUsiqndiLf888/P5EdBIKilrayK6O6Vh745C3L2YVAXlhn4mUGrn2SWzoXXHBBkkk68NBe1It1MP4iKeoM2ZE3UqudIx7e0S7V+fe+971EhP2mjXz3u99NZUYM8mJg9Qh/5EndVV6IqjJqS9qKutQPWGaQI4pf3sixdL2vfWkf6hhp046+//3vJwIAv/XtWCIP8qjO4SVv6fir7hEp5EaZ//qv/zr1YYSssn4nshuqDMYFgYLA3EZg0oTCYIksZJcHC4UBp9JkawCl1M4555xkjaBozWAoaEoqm8fNag2oBt2JEgoWAkoZEUE8DNoGWQMipWBAZwWp3L2gCqVvgL3ooovS4PziF794rRKj5MhltlhJKKRJEVCqBuU8qzPbN2sz+FJiG0MoKAQKGDljJaAcx5qNK9cpIGOUGeWvLAiWv5Qy2RCKde1KYAHIpGwsoaBI4Y/EwQCZYNnI/nXllObYdRQUD2sDWcYqQ+8iEWb72kgloZAHJYQMSdcs3d9s/cldDRFACKWPlPmfUiUHsoAMnHnmmakelUEdwBEpUYfKjGhpe2bvuW36K23Kl3I0K18foZCudoxQIJPIo/TVgXJMlFCQm2uPJUGbZSGpvMgCo7FrGihzpCRvX1ZW7QGZgD3Spv0jQchsXi+hHSNkiD4ZEQE4wGVDu1bIiJCoN0ROOvDSZpAwxKSSUOQttuRHOsYSork9bJbSFQQKAutCYNKEwoBudnLppZcmgmBLpEG5MgiQZxCKc889Nw1mFiWaIZrVGtApkDwLMqOfCqEwEEub8qcYKTvyUNgG6uz7R4TIRIlQTCwUSEGlhcI7mVAYvD1vUDcTNCDn9Cga1gIDrs/GEAqzWzhSTghL5YAPP0TJX2XyoVDIxu9PLqZ0M2mEArHxPhKVrSvKBWukbTxCIU2kjPLNlg7pKGfelQKrjCXlJV/KR916L19w8R4ysCFCQba8OwTByDNcuFNulLf0YVtJKPKuBgqaNUP7QfTM3snBAsCCgVBkd0Y2xyNgnnNRnhsiFGb02gwCqr1UWigmQyjUi/JIx7oeRDAvcs27fvIakbEWinURCtYlRAwBzVuctRNrKmCTXZEsFBMlFORgYYEbcopAcXkhbqyHhVAU5VEQKAhMBIFJE4q8+p4CYuplhs6zmMqtnpWEwuBsZsW6QJFSjO4bxAxg2Uw91uXBJGxGW+nyqLRQsERQYAZEgysFTS4DLIXLv5tnp5QcBZT90qeeempS0tnXn9cpUEKVLo+zzz47KVIzTcqLFQGRkhciQBGaRVNQlS4Ps2TKcH0uj8qZNPcAMkMZkpecyiwvGEsDcTPDpMjlrXxInLxhYN1JXhwHN8qA5QNxgyHyQTnkxXoUDxlgaDYqHfXHHUAOMsGEUlfuyrggFCQywNwOA7KTLUeazO1API9KC4U8/UapUtL+9w73BtnlSXbyqE/lQgwqCYW6gYe0kCVkSh0w+yNU8FMXXB6eUycUoktZkE/vIEWUPHKrfZJZW2CRYPGAlXqn1LUdCpqiRdTkrY4yAc1rUny3lgE+uZ1p20jSeeedl+REnrS7TGryltZMBnOnzRYKbVnbyy4vuKt/dacdkgUJZCnKa0BgoX2zgJEjE9Z1xVTJ/fmb3/xmIqCsDbBAmqTHUiNvriAWvre85S2p7rKFQpm0xWKhmMhwW54pCMxtBCZNKMBhkDOYMTMjBny2ZvEGajNZSsL6CISBSd2A51kKiLKyhoDiMCgZnMzczC7zoj2Dsg+lTBkiDAYtA7HB22BHyXlPOgY+5l8KyYDLDEwhUACV+/X9Lg/khmmf9YSiNUPPK+DN/JAkF8VC0ZKbUqPkDLYUBkXJ7Ox/So8CpzwQEnn67nfpv/rVr04K14p76SkzJWamarZpcVtOPytMeCoPAsHqkuNFSCOv5EcYfCcfckG+HK1T+aQBGxgqS94WKz9WC88jXWbwZqeUpHL5nWwwQUDUoXQzlupDvjlglLqwRiJvq6XAKN5MKOBCybFYqL9MKrURCx7Jnl0t3vMs2REa5aesKNCsiCnhM844I+120Za0OfLBUFukwMnGNadNUoiIRt4lot61LWsU1IW8pEO5wgURoUjJoQxm64gvV4L6VHbPqEMuDPjD2PPKjpggvuTQRrzHsgB3eGaC4zn4k4cyH2uhIJ+6R/pgTGZtVT7aqfLpC3CRh/oim/pEMDPx0rfUvffGhhwnI8y//vWvp/KTRd2zbkgPNt7XZxC11772takM8lE3SIq+qc+UraNzW1mU0hUExkNgowhFJhV5nz9FRMkY1CuDGhkkDbB5ALLQi2IzeFMSFIb3srKk1AxilADiYaBDWAx00vG7AZWypsD8Jj0zNoowK1PPGQjHrjw30zQoG9wpWoqMjJSEPCg1aeYtqnlWS26zZs+YkVEIOfYGdwQZKVOK2ICMPBh8KRXlo/iVh+wGagoQ8ZAfhUGpwtCArFzwMIh7lzKTB1zzWhUzTzLmxY/S9Zvn4UD5kCO7TAz+7kkTLnm9CqylmRcSkledKKf6ITNZxp6rkreNKjdlqp5gTalIH0bu+fg9/0ahwl/9ICkIE1Kh/sjqPfLA1nf3lEu9wgpmFBi5//d//3dtkDPy5GBUygLvHBZeW4GrMigPYgBjuCMBCCmFnBcjkkVaMNQWchA3bV29kjHHkkByuNeQa+RZXuTTvskoX3LLl8XBM/DNMSxye1vXuTV5UaZFtWTLsSzkD09Yy49S96zv6p5syo4oKQe88zvKtK7Fk/pQjnqrP+ivfsvlgZd0YKFukCA4+agbmKubxyPy63gDWrlfECgIbDoENppQZLeAgceM0QDqf4OoWbwB0EBpgDKAMl8bHClvg67fDYSUmwHL7DEHKTIw5fgB2eftew7URNlIk7Iy4zLQSScrFco2Rz4cC20OBJUP68ppSI8S9V7l7hBpKp+B2ozP82Z6yuB7DiglH7L4nZxkQjK8Dw9llA45YaT8Ob5ADkxFNu9TBjmyaGVwJwojBywykOegSHCUdg5qxXyeg2JRnJkwSVOdeJci9Z4yK08O6pSDKZFPOuuLlKlc6gaO6l6dkccHccvySDdjqg0oI5w853c4ZQxhq+ww8Lt04eVSHu+oGwTLjBnZUSZpylP7ct96AmWSbi6P9qhd+Jsjd3peHpQsWcgHw5xfDlyVA1JJ27uIEWXLxcF6kMvruRz4TNvwfw62ldsRvHI9k3F9h8RlQkEeylo95Tr3P1kyQdbOpAM3daIclREt1YH72s+6Dm0jmzZINjLnc1hgIx8fcuS2nOsnlzEvol1XILlNN7SVnAsCBYHHG4EpEYpKYZlOfbJiHWtazQQkv1PpipiqqTTPUHPeEwExv1OZ94bkqHx+qvKuS76c/oZwm4h863p/MvmpQ7JIZyLl9Kx3PDvRvMfKk9MYL0/PUXJ2D1FiTO3ZVUC5mTFTriwUyEduczm65brKk2Ufr6y5bec1FNx1XDfcbvmqbP9kXV9+E2mnCIUdRtLhrmC5obDXlaZnXFPtU5Xp5P8r051IvyrPFAQKAlsuAtNGKLZcCEvJHy8EMqGwZTS7qMzWWUfyOTDcA5VbX6dTthzLxMJfFgrrdnzGbvmcap7ZVWGrJpJlDZIylePUp4pseb8gUBCYSQQKoZhJdEva044AS4Q1IdbbZNM+EzyLhAWZ3DQzFbUxL7ZkCeGSsejX4uHxjoSfLAh5G6et0C5rGrh3KhcZTzbN8nxBoCBQEJhpBAqhmGmES/rTjkCO05HXV7BQWF8w9iTT6c44x+XI63XyOp51rUuYSt7ZEqOc/p+pfKYiY3m3IFAQKAiMRaAQitImCgIFgYJAQaAgUBCYMgKFUEwZwpJAQaAgUBAoCBQECgKFUJQ2UBAoCBQECgIFgYLAlBEohGLKEJYECgIFgYJAQaAgUBAohKK0gYJAQaAgUBAoCBQEpoxAIRRThrAkUBAoCBQECgIFgYJAIRSlDRQECgIFgYJAQaAgMGUECqGYMoQlgYJAQaAgUBAoCBQECqEobaAgUBAoCBQECgIFgSkjsNkRivUdujRlJDaTBMYr/3j3J1rMsQdOTfS98lxBoCBQECgIbJkIzBpCIZyxUMNCKG/o5MeHH344ndXglMmNPd1yc63qfMS746XHlj2Ho/bXMdVTuYSYdqqnyxHb5SoIFAQKAgWBgsB4CMwKQkEJ/uQnPwlHQzuS2mFP67rMmj/zmc/Ek570pDj88MOjvb19vPI95r40kJfpPiFy0oJEpHMaJnL0t+eWLFkSP/jBD9KJky9+8YvT30rilY/VdoDVy1/+8o0mW729vXHDDTeko7Of9axnxQtf+MKNKVp5pyBQECgIFAS2MAQmTSgGh0ZiZWd/dHQPjQtVfW11LJpXF431Net9lrLs6OiID37wg0m5vv3tb09HNSMZPg5+MhtHAurq6uLuu+9O1olFixal382mveeeQ5TywU1ZUVceGOWkyjvuuCMcP/2KV7wipe05V57xS8//0nNJj+L2nOd9yJV/l2cmBmPzlJaPi+XF5Xs+9On++++Pu+66K3bdddfYY489HiVDfo8sTra87rrrYvny5fHMZz4znTopr/xMlmHFihVJLvfJpLz+ktkzGVNy+D1j4zn35OU5GJ1xxhnxxCc+MV796lePW8/lgYJAQaAgUBAoCEyaUCxb1R8XX/dQXHvLihgeWT+AVRGx01aNcerRO8bu27VElR/WcVFmv/3tb+NHP/pRPPDAA3Hccccl68Ptt98ef/jDH2K//fZLZnfHVVNwv//972OrrbZKCvihhx5K7/T19SVrRb5P8SIEXV1dKS3PUqDcJWeeeWbK701velNwISxbtiwpVmlSvCwBTo+UFqX9s5/9LB2NTak7Hpt1xDOU7rx585J7gRwsA5loPOUpT4ltttkmkQVK3rtIEhJ08803J0sM+RyDTf5jjjkmfZQBSUAe3MtyIVC33HJLOq774IMPTmnBY+nSpck1QY7dd9895aXM0nL09T333BMsDmTcbbfd4t57700ysW5478gjj0xy/uIXv0hERPnh7f+zzz47dt5550IoyhhRECgIFAQKAhNCYFKEAn94eFlfnHXFPXHZr5ZskFDIfc8dWuLtL9o99t21fZ2EgpKnBL/+9a8nBX799denmfypp56aFN4ll1ySFOUTnvCEpMT33Xff9Czl6HekA1mghK+++up46lOfmkgDpXnYYYfFlVdeGUcffXQ873nPS8qZAj7nnHOSUn/3u98dl19+eVLo3qNkEQwysRzsvffesf3228enP/3pOOKII9LvlPXTnva0lD6SsM8++ySQyU1xH3DAAXHTTTcllw0ShCwddNBBSZHL6/jjj49f/vKXqYzyvO2221Jep5xySnoOyfDOt771rZTOgQcemORW9p122ikRBBYE7/7mN79JmP3ud79L5X/GM56RSIjyv+ENb4ivfOUr8fSnPz1ZVzyzyy67pPL9+te/Tr//8Y9/TOn7kA1pggUypNzf+c53CqGYUBcqDxUECgIFgYIABCZNKB5Z0RfnXX1//OSmpTG8ARMFi8Ru27bEG0/cJfbeqW2dhILyNNP+xje+Ec997nPTLNzM/0UvelGaKV900UVp9s8qwC2AUHz0ox9Ns2pKmwLk46d0WR78pcgp6de85jXxuc99LqXzspe9LLlJWAasQ6CsuVguuOCCeOSRR1IaFC8Fj+CQQ56U/Ic//OE0S3f/xhtvTIr7wQcfTOsMEIonP/nJyYVidi+dq666Kr2vbHvttVciRywob33rWxNxQAoo90wuKHtrIuTnYhX5/ve/n0jACSeckMjEFVdcEc9//vOThYIcLBLyQQZggAwhCcrFMnHaaafFv/3bv8Xf/d3fJauH9RCwQRpYfU466aRklWC5YM1AiJCSW2+9NREKspx//vmFUJQxoiBQECgIFAQmjMCkCIVUO7oH4zd/Xhm33tuZZu0buhbPa4jD918Y2yxofAyh8C7XxMUXX5zIAYuD2fVll10WO+ywQyIBlCOl7zuSQRFTlEiDd1gKXvCCFyTF+O1vfzuJ4h4S8sY3vjE+9alPJfeARYqtra3JLYFQ/OpXv4p//Md/TIqaJeSlL31pUswsGpQuwrDtttsmK8dHPvKRlBZFzrrAWsFKgHwgFZS6dFkdyEjRu2ddCDcKMsKFIg3EgbWCVeXEE09MVpVrr702Kfj9998/kRIXIkXxIxHIke/SkR5SgXSw3iAJdnwgTSwYmcxYH4Iw/e3f/m2yNsDQ+ghlQ3YQm5/+9KeJiHgX5vBHdsiGuMGJywMxK1dBoCBQECgIFATGQ2DShEKC4/CIR+W5vrUT/PTM7ueee268973vTYqRBYHvniuDkqckzdYpPrNuSpGFwloEs2izeJYLyp+VwOz6vvvuS4SAZeBrX/taIiHezesgkAhpvv71r0/rMbgB5GV2TnFTqFwj5Dn00EPji1/8YlrAiQCxUMiX7Dl/xIEFgjuEe4U7hXxIB+XtN9tcuWoQCpYB5UIiyE8eLgzrGeTJUsCiwHKDoMgLRjCg6LlFEAvrLOSh/NLzrrSRmbe85S3xpS99KZUFUUDMEAuysmIgM95HYFh7EBFpww15Q26saeFaQihmw46Y8RpyuV8QKAgUBAoCmxaBjSIU0yGymbYZPvJg1k/xsRZQdGbx1jBQtEz+lHm2YLAiUKruWcfg/axkWSOY7/1OybJgsExwU1CclLVZOOJAEbMsIC/XpdsAACAASURBVClcG5S+9QXkYv2wwJK7gIKmmH0nHwsIAuE599374Q9/GHfeeWdSyr6b9VPCFn+yfPjfb9Kw9sF7FlcqF2sJ+cmIFCAm2XKCILESkMHiUJYYWHHLeIYMeWcGl4f0kbKjjjoquVzg675dHz5Ik/IjCkgTsgJHzyEX5GSJIQcSAjNEh4tlQ7FBpqM9lDQKAgWBgkBBYPNGYJMRionCtqHIj+7lLZgU4kSUXt7iSdGOfb4yOuR4+eYtokiJBZDy56ZhLclbUKWRt6GyJqzrmkhEyiyz9+V74YUXJksMKwlXC4JhPQdCVVkm2OTtrhvCZqzraiI4TrT+ynMFgYJAQaAgsGUgMOsJxWyuBorYTJ97gBIWCIrLYCYjeCIJ1ldwv8ifNYXFwQLQ9QUEm80YFtkKAgWBgkBBYG4gUAjFFOuR+4ObgXLnyrAAc6Zn+FwV3B052Jf1FdwmM53vFKEqrxcECgIFgYLAHEagEIppqNxKl8HjpdQ3RZ7TAFVJoiBQECgIFATmKAKFUMzRii3FKggUBAoCBYGCwOOJwKwhFBYvch9UnmHBjD/e6aMTBcviRDsf8tkf1jnY2ZHXO7gv2qX78sw7Hiaa/mx6TllsEVW+fCbJbJKvyFIQmG4Ecv/NIeT14RzXZbrzmqn08vk7xim70x4va+dMlaeku+UhMEVCseHAVo+Gc92HeeTTP23/tKUx72jQqWyZtHVyYwaG3DntrvC+NQc5EqatnH4XJVJ8CqRCkC1bOC2ytJXSjonNURnnEOFOb7WVVMyK9e0w2fKaeynxXEXAVnHbtEXatWXcuGGb9eaklJEhW91tm7c9fHMcf+Zq+yrlmhgCG08ohvpjpGd1jAyNnqa5/qsqquobo6qhNaL6sVsndSLxEZyxYeuj8ynEYhAbQRwEwZ3yCZ8Uf/7fjMT3vJaA0vRbPj1UwCokZeutt05BnRwCds0116QYC2I42CnhPA/Bq8xm5Gf7p//f/OY3J1nyttQc6yGTHYNUPr3T/5Wnnubtq3ZjuLKc6xocKk8Mzaeqeo+VRLp+q5Qhp5d/9/7Y7a35gDJlRYzEzXDl7av5hNWMlXL4bE4D78Sadnlqc0Agt9fcbzcks7a7vsXHJiD6tZgwdlsJW1+56ylPXKSvveuzect5HkPW1Qdz3x/bP8b2U/fzab6V45S0fc99Nfe/PJbkk4JzPxcZ10eUXs9mi2qlbJ71yX13c6jnIuOWgcDGEYqR4Rhafl/033hBDK9+eBykqqN256dE3T7Pjurm+Y4PedTzYih8/OMfT0GjnD1hdqETieiIFJhp2EXhPjcEq4V3/JajX2ZrRj59U0dDJpAEhEFwJvd8d7jXeeedl8JeOwpcSGyuAdEiRbO07VPkTiRE5Eh5IRnIDZcMYmI3h+8sHXZ1OCdE2HCzJL973hkhLuTIMwhKpaUgB8oSuAupQnzMqKTDWmIAQQYMHNLKsy3/k43FRdowIn8mDbAQxCqH0XZPespvMBYnwzvKJQ1pOUV1Y6xAW0YXKaWcSQT0YzNyfWdsPJTKfCllEWi1bf1pXZdw8kLwH3vssYlQZBIvXf1WSH79TjqCtelLXIPIgD5o6zVXA4Xuec96Lp8dlPP0rHf1Ke/qQ8Ymv+WThI1j/lcufdf4ZVzT1/yu73KxkiUH2MvkxTgjSJ6/ZPGsfksWY1I+xNBvLJAzuU19Juu+pD33ENg4QjE8GIP33xLdF/6/GFxyxzioVEXDASdG07PeFNXzt4/KQz10dIOJgFCvetWr4nWve11Szlk56lDcEEyZOu2Pf/zjdLw5JSlippmITizc9cknn5wOtHLiprgMLkqTW0PkSApWx3UiKEKhk7JSvO1tb0uKnqlROt555zvfmQYfkTMNMsJ6CyKFSBi0HAgmfLXzNJCanJdw2Z4xmDj3w2BDVuTIQOdenukYKDxDqVP4ObS2WZaomgiR5xEo530Ih43sfO9730uzF2ky73ovH4hmYGGB4eog2zve8Y5EbliADGiw4coxyIlIaoBySJlPiWEx9zr35lAiBFq/o5w3RCgQXmRC31hfWxVNNhMKbRqhkCbFLRS997R944pxwARD+Hvjhf5vLNC3P/vZzyYFzkWaA9aZ2OQrx4FBFPRN0XH1QWl4z9h0+OGHp/5lDHnOc56TjhkQfdbkxmQGMSCPcc0Yh2ggLuQl4wc+8IE0PnkPuTEukk2UX2MeLJz1YyworpHNoaVvGTJOiVB0XfDvMbTk9okRiqPe/BhCwQx49913pwO+uB8c4pVn2xJlAXCuhY7pQCv/GzQ8Z42AczKwdYr5la98ZbqHCDjLwkCh4zq6PJMCCplCdTw4gsDNIsS3zixf73rvta99bTowi/vFwCQdafNrkleHdj6IwUR6BhAyksXgZfAxEMgXEXCw1xlnnJHy8IzZDEKAVBgUEAGzFmd2kFFZKX+DB0LBiuEId4OpZ5Ak55AgCU44Ndg4A8UgQ16DkgEpH3pGZmU04DnbBFExuMFRCHLylFnOltHhZ1spEQp9jtLckNsjEwr9aTKEIrtUP/ShD8UnP/nJpKyRcjN77V7feMlLXpLGAgf96fOf+cxnUt/R71gwuF31a9Y/7xh7EHeTG33KhABBdzyAyYtx4ayzzkr92Hk+xiDPCUZnrHM8gMvZPtL/9Kc/nWRAGBAQ44kxg0xIBkuJ/PVteRtHjBvISIk/M9ta9JYtz0YSiqEYWnpn9FxzegyvuC9iQ2szq6qibq/DouHAF0R1G3/+/7k8KD6dlkVAZ3zPe96TOrpZvFkEpeqkTJ2KAqfUHXXOksFSoPPqaA7FQgJ0asoeoTD70DF1Qu9T4Dqs/7/5zW+mmYL3pOMsD4ODgcBZGzqzfBEDCtuA5/RNA4NBxT0mSYMKhe/EVDMS5ARhYHW4/PLLE2mRhoPKHDImXLYPMyfyghAgQvngro997GNptuQwMgPtd77znfSsAQuhMJgaZBz1zhqi7CwzBhWEwrvKSwbuI/cMmAZqZmCDsgHWjNDvCIW8y/qJLXsQ2JSl17ZZ41gPN2ShYEU0NrAGVE46KmUfa6HwDqLCwuigwM9//vOprbNQuse9wVLAQorwc0s++9nPjk984hNpooB4szgg4dJgvTR+sAwi6AgDIu4cHwcO6v9cLcqjLyMirIOVhMJvxhjEBGkh33/+53+m/41PxiSRd8mElHjXWMOiatKi/xt3EBNjQ7kKArMJgY0jFDESI/29af3EyEDfuOWpbm6P6tZFETX1j3mW8mWe96HUdWoK0kyCz5G7g+LVsZgGKWKWCR1YR6cgzbZ1SCQiuyx0egMH02Z2SyAOCIGBRV4GFW4SHdlAwlxqRuEkUkqXbE4Flb4ZBmXNxcBS4rn3ve99KY0zzzwzDT46fl4wZWBgoZD2G97whviv//qv9J1y947ZCtLBQmAgMrgpKxKlLMqPBLkvf+WETbbMGLQMMsgKvFhdkBskAl6OZzcDMlB7lhwGIgOgPLiAkDADZ7FOjNuEywMzhIB2nbdrj5eFdl651bvyef2aItbnkXsf/Vc/5Y7QZ1kBKGV9z5olZAax1k+Qd5Ma/edzn/tcsvrpeywWfs9bzhES/ZaF0KJnYwu5TDr0fWOT/sUKYUwxYTEZMHFCPBAOrgxjgIkLK6X8yCY9i6lZR93z13PWgbFSIDeslsYKz7NIlsnAeK2m3H88EdhIQkHEEVsYJiarM8zTOeaP3TqqE1KAFKUOrvNbdKXTUJBcAQYFHddzlLLZgeeZCylDnZ07gNJn2bC+ARkxwFhDYBAxOJjdICQ6JeUvLZ3czIcZ1RoNMwYDgdk8Ba/TUtxmJiwO8jNbQRje//73p3wMAgYYZCOTgywzFwY3hdkMQpP9nSwQ3pO/gcI97yuX7wYSg6f8EQqDEBlggAQYoJAO60g8m3ewsLzAEeFyoqlyISaIBWsEK4a8rV1h6YBJ2VY6sWZcnpoZBDZkmRib4/oUqD6qX5pU6D/GCP1DP2FlZBXIJwTrg+5bI6EvsCKaQBgnjAssmPqi75475JBD1q7LIqvJikXc+pRJDbIubdYI4xRZvOfDHet73hVizGEVkY7+x61r3LHuyT2uUmMH96q+7n0TAWOPcrHCGpvct1arTAZmpk2WVDcOgSkQio3LcF1v6Vw6pA6KEDAHUoQUqo6IOJjF+F0npwD95tl8aigSwtTvYi3wDMWaqM/ISJpxSE868kE0/Cb9vOVUmiwIfpeX7+SStne9ZzAxICAhXC5Zdp0/500msvhr8JIOgqRMeUCUj4HGPc/kcsnD7/L3jr9kzs953/NmdsiMZ1zkzGZc93JgK+8bWN1XBh+4eca7Bs4yy5m+tlxS2jQI6Avaub6i3+Ut5fqnSYr+aHKired+pU/kQHZ5LLFeCoFnmcgLOhEGRCNf3pFW3mGlX3tWn/Ob8cIYRAYymfDI10d/9N3lPfnmd4xJvvsYg7xvguNCKvRvY4NLGaYr6N+mqbGS61xEYFYQis0BWIMAsyYTJt8lM2lW5puD/EXGgkBBYHwEWPZYDZEQCl9f52os6xXGx648URAohGKCbYAlg/mUiZLrgSuiXAWBgsDcQoC1gIXCWizuC67SSsvi3CptKU1BYHoRKIRievEsqRUECgIFgYJAQWCLRKAQii2y2kuhCwIFgYJAQaAgML0IFEIxvXiW1AoCBYGCQEGgILBFIlAIxRZZ7aXQBYGCQEGgIFAQmF4ECqGYXjxLagWBgkBBoCBQENgiESiEYous9lLogkBBoCBQECgITC8ChVBML54ltYJAQaAgUBAoCGyRCBRCsUVWeyl0QaAgUBAoCBQEpheBQiimF8+SWkGgIFAQKAgUBLZIBAqh2CKrvRS6IFAQKAgUBAoC04vARhMKoagdvuWgKqFp84FYQtY6+MpvDrzynIOzHGrjYCqH3OQTN6e3KCW1gkBBoCBQECgIFAQ2FQIbRSictudMi7PPPjv233//dIQ2EuGIYEeIIxFOwjvuuONi6dKl6Xcn6DmRz1HAjvh2BG+5CgIFgYJAQaAgUBCYGwhsFKFw9LVjvN///vfH8573vHjJS14Sd999d1xwwQVx+OGHJ8vEGWecEQceeGA6NhsBef7znx/f+ta3koXC89tuu+3cQLCUoiBQECgIFAQKAgWB2ChCATdE4V3velcceuihcfLJJ8c111wTP/vZz+L1r399Ig3f+MY30nHfO+ywQyIWp556apx11llx6623xmmnnRYHHXRQgb8gUBAoCBQECgIFgTmCwEYTCi6Md77znXHwwQfHSSedFD/60Y/i5ptvjje/+c2JUJx++ulx3nnnxROf+MRkxUA6zj///EQ6Xvayl8URRxwRVVVVa2Hs7e2N1atXJ9fJo6+R8FR1dU1UVVfPEdhLMQoCBYGCQEGgIDD7EKCXGxsb05rHSh09EUmnhVC84AUviCuvvDJuuOGG+Ku/+qvk8jjzzDPjiiuuiF133TWOOuqoOOWUU+Lb3/523HjjjYlQPP3pT18rrLUV9997b9x7z13R29cfQ8PDMTwyKn7VyHBUx0jU1dVHXW1NtLS1R0tLS9TV10ddfUNU1yAZ/0dMJgvAREAqz2wZCCDJ1v/U19eXNT5bRpXPqlKaTGmDrqamplklWxFmy0CALtYO/V28eHEaCydzbTSh4PJgoUAMrIn4wx/+kKwUL3zhC5OF4pxzzkmDM6ZDsBe/+MXJ5cES4fk99thjrZwKcM/dd0dfb08MDw5GX39/dHd1RU9Pd/p/wILOqqpEG+obm6KhrjYaMKim5tTxmltbo7GhPuobmqK2vi6qq6qTNQO5yJ/JgFKe3TIRWLVqVVgfZIeSRcXlKgg8nghYa9bR0ZEG84ULFz6eWZe8CgIJAW0PqeUtWLRo0aSJ7UYRCkTBLo8Pf/jDsddee8UrXvGKxGpYJBAIA/Lvf//7OProo9PW0ttuuy2e9KQnpTUVXCB2hXgmX8lCcf/90draGk2NDTE8NJQK1d/bG719fdHT3Z3+dnasjv6BwfR9ZGQ4qqqqo6amOlkqWC8aEYzGhmhqbknmGkqhoakpzTa5TGxt9Smuk9J71oWA7c3aXXt7+6Q7UkG0IDBVBJDZ7Pbdaqutpppceb8gMGkE6GKTfuEfFixYMOlxcKMJxcMPPxzXX399UtwHHHBAGoSRDMTA5fd99903Ojs7044QQjKfsEzoLJWuiUwokIwc02INXUpEZWhoMO0U6e/rjcHBoRTTAtnwt7urM7p7+6K3pytGV1tEIhC1NTXJLdLU2Jg+La1t0dTcFI3NzdHY2JSIRU1NbSIXiWRUrOeYdC2UF+YEAoVQzIlq3GwLUQjFZlt1c0bwTUIoZMpKoQO4EAVK2e/9/f2JBLAO1NTUpN88hxBQ9IJajVXe6yUU66mm4eGhUaIxOBiDA4PRP9AffT3d0dvbFyuXL4vunu7o7OiIvv6BGLLGsyqipromamuqor6hIRrraqO5tS0WzF+QiE9zW1siH9U1NWvdJcpTri0LgUIotqz6nm2lLYRittXIlifPJiEU0w3zZAnFuvKXRlhQMjKcyMZAf18M9A/GiqWPxKoVy2JVR0esWrkq+gYHYyisx6gKlIHLpKGuJpobG2Ph4q1i/vx50dY+P1rmzU+EKK3BkOGa9RjTXfaS3uxBoBCK2VMXW6IkhVBsibU+u8pcCMUG6iOTjJEYieGh4RgcGEiul6UP3p/iaCxbvjy5ZAaGR2JIOmtISU11VdTXVEd7+/xYtGhBtLJmLN46rcewqyQv+ixWjNnVGaYqTSEUU0WwvD8VBAqhmAp65d3pQKAQismgOIJajLprRpCIoaFEMro6V0fnqlXR2dU1asXo74/+wcEYXuPasQC0pro6Guvro62tPVpbW6K1rT3aFyyI2hpunNqosW6jrm40XkZZjzGZWpk1zxZCMWuqYosUpBCKLbLaZ1WhC6GYYnXkfbd2lowuAB2Kgf7+6OpYFT29vdGxenX09PSMbl9Na0FGSQhigmQ01DekhaS2r7a2t0WDba31DVFvG6tYGQ0Nay0aUxS1vD7DCBRCMcMAl+Q3iEAhFKWBbGoECqGYgRpIJAPBsB5jaCiGhobTok/bVXt6e6KrszMRjJ7unhgYQDQGY2BwYE1Ez+pELtJnzfbV+rr6aGlribrauuQ2sTC1RP6cgYqbYpKFUEwRwPL6lBAohGJK8JWXpwGBQiimAcSJJMHtMTw8knatjKzZytrd2Rm9vT3R3d2zhmz0Rm9Pz+iuExE/BwdTvAw7TFra26Kxrj4F4bKNNcXMaGpcEyujOWpra6LaNtbiLplIdczIM4VQzAisJdEJIlAIxQSBKo/NGAKFUMwYtJNMWISxnp7o7emO7p6e6OroiG7WjK7uFD+jJ8XK6EkulRgZTpE+U5TPZusxWlNsDCHF6+vqEumwHkOcDDtN7DAp18wjUAjF+jE20AhSJ/CXODKsbNN1UaTSt8hZHfgrqI4F1Lafj7f4mUtSIB6xcATHm8mLrPJKLs7W1glPAMTMEbRKHyfn2Iu7VTksFndNNLCV7fh33nlnbL311inKpq35eVKyzTbbrBOKvL3fs2l8meAlr0ceeSSVezJlh5k6VDb166TpqbYf4Qm0R2UQiblc04NAIRTTg+OMpMJdIuCWNRmdnV2JZPRURP7s7elN1gyWDJxBlNH62tpom78gGhtE/MxWDAG5mlKwrto1MT/SZtaylXVa660QivXDiQj/5Cc/CQHtTjjhhHRej8sARIFlxZTXIa2NSltVldYm5UP/8lbsRKzXvH/TTTel3VbC+Iuq6/Icxf3Upz41Ke8cfC6n43tO96677oprr702PbvPPvuMLroeI1cu2do1U8PDayPnpt1g6QDC0dgz3s/p5/dy+Sixn//857HzzjvHfvvtl26TI2Mw1sKYZXTK8m9/+9sk31Oe8pS1suf3KGqHKzqdWchjH3KMly6S8p//+Z/pyINly5YluSl7ZXISdLKorjmfIWPvmAR477333mvJjWdy3KBc/ox5jjukf1x22WWx//77p3Lkesp1ksuey5wxu+qqq2K33XZL5RHk8PDDD0/EKteT5yrxrqzjsWQyp62sDpq0fu24445LablX2e6mdXDYQhIrhGIzq2gLOlks+vp6o7uzK63JMDNBLrhOWDjsMPGcjlZfXxcNDSJ9tkZDXV00cZkgG6wZ9RZ+NqzZXbIm2mchGRvdIgqhWD90Zqff+ta30mz4da97XYpSaxA366TAhOCnUB588MG47777UsA4BwP667eHHnootVeKhRKgPPOs9cILL0zK8D3veU+axUsbQfDe29/+9pTHTjvtlPJx3grLxXbbbZfIzd13353yczChQwoPPPDAuOeee9JM2JlCu+yyy6PCB5vFe8d952XsuOOOSbkqizT9RVDcy3kZZClfs2rl+O53v5sUKgIkMjCSwZKibCwrWbGamYserBx//vOfE1ly7MDTnva0JCPCBB/YIVXnnntuHHnkkfGMZzwj9X3PmGTsvvvuicBl5aoulixZksqtPB//+Mfj7//+79daJ7xLuVL8S5cuTXjCdfvtt0/Wgc985jNpzHn+85+fiIvZvu+iGCsLeVlRYAdzdaOc0nK8gtOj4SFd9QIncrCIKDO5fUeOyPIv//IvqVwwI7f/YYpcyBfunpW+796VjrqRZiYm6kadKzfsfvnLX6b3XvOa16Q8pY2oKMdkLCgbPWDMwRcLodjMK9V6jMHB0UiiXCLJbdLncLTO1LkMdr29zjLpj8H+gaipq0vbVM3aLPbkMmlu5j5pjtY1h1o1Nrc8ylWSA3Nt5lDNuPiFUEyMUDgtmPIz0BvAKZZjjz02KdPvf//76TeKicWA6Z6y5yqhEJEJ73/gAx9Iz1EIZu6w/5u/+ZukFLT5P/3pT0lJvPe97015mYFTvIgIpWL27QBCCpeSv/fee9NJx2T54x//mJS/PA855JA0I6bkKU5K6De/+U16z7POGKJ8kZTjjz8+/T3jjDPi4IMPjl/96ldJETt/6OSTT06EqJJQUHzIh7QoVfLBQbmywrzkkksSTp5TNgcjupALhAeRoNgpyAsuuCCRCQqRnBStMYBife5zn7vWKkS5X3rppQkn48ZXvvKV+NKXvpSUPGLzi1/8Isnz5Cc/OR3YqOzZnfT6178+Pv/5zydsKHbKGfbIn88111yTlDiLCULCmvLTn/40fXddffXVqZ6kqQynnnpqOqPJ/3BGnNSdtkDOZz/72fG5z30ulWvPPfdMzymvU6cRCoRGOY455piEkTOgkCf1gNTBC04u6V188cWjRy50d6d8ETTtjLXCewgcUqls+b0ZHzjmUAaFUMyhysxFyWHFuUJYM/IMwi6Trq7OWL1qZXSzaHR1h8jiNbU1oztIGhqSRUMgrqa6UdeJmBlNza3pDJNyKNqGG0shFBMjFE4O/p//+Z+krM3KDeaUJoXq/7e97W1p8OffZu6meJ33QxFcdNFFSaG94x3vSK4TA/8PfvCDpGzf/e53J0VpUKNIKcU3vvGN8b73vS9ZRShIipYi8v+3v/3t+Id/+IekhK688sqklChEs36KkJvB7PqjH/1oko8SOvvss5MyywSI8kdo3HvlK1+ZZPzkJz+Z0kKEKFlKy2zdVUkosjsCeaF0yazs1jOYYVPmZDvxxBOTIqXopYtk6dPk/MIXvpDICxyVIVsvlJPyZ035y1/+khQ3xWlskBciglQhOaw4ZFYfvp955pmJdFHwXBQUrLr54Ac/mA50ZGVARJy19Otf/zrJS+GTD14Oe0S64ILUqAfkwloF9e6+vuK+evQe5Q7z22+/PWHFeuN3Zfv0pz+dMHCR5znPeU6qOwSQ64i8LCfImw8SgmRoO8rmGW1C3eYTrdXX+eefn+65yH3UUUclrMjO2oUslmtyCBRCMTm8NsunR/2go1tYDQTcIXaROO49DbzLl8XSZcti1arVEcNDDldJM4i6uvq0JgPRaGqsj9aWlpi/YGG0WAg6b37UNzZulnjMlNCFUEycUJx11lmBWFA4XBYUH6WFGLAqZL/7hz70oaRkKEzKkKL4p3/6p2Sif+tb35oUzje+8Y1kZv/bv/3b+N73vpdm0xQy5c6cjWj4S6lRtLfccktS9JTYf/zHf6T0uSHIQimb3bpvFk5pf+QjH0mEQv5mz5QaSwcTOkWH8OhHCAXLymc/+9lkETDbfuYzn5kUOXKkTJWEwqwdgcrWENYXZaAcs8IjwymnnJIsAT/+8Y+TXMgEZWl2jvQ4lZk7wH3rMq677rpEeg466KBUFqQH1kiZ/s8KRMmTXd+GN+VMiY8lFAgDQvSEJzwhEZR//ud/ToQEFn6DpXRZRSh51hDWGAToa1/7WpJV3cEDofAbIrMuQsH9AT+kCeGDAfmQPhYmWLAwkPOb3/xmajdwPf3009eSCdghe9wfiAbCIn/lZu1BYpRVG2GhgoMPkqk8ud0gFL6Xa3IIFEIxObzmzNMqHrHQgS+77NJknn3eCSfE/vvvF73dPbFi2SPJiqGz6WTDjnp3wmpdXdRW1ySC4ZC0+YsWR1tLS7S0tUdLe3vU1I4e3sZNknzBW9AOk0IoJk4ozPTNms22meopWgqfAvvHf/zH5HbghqAkmdApGUqMAqbYKF7KwowcoaBwmdIpGcqCAtF2EQkKiVJmMqeI/W42fN5556UFiZQMGczQ3c9Whez3f+1rX5vSRFAQCX+Z5BELCpsSo+y4YtyX7kknnZSUKgsKhZsXLGZCgbxYnGl9Q3aPuGdGLT2KmDUG2UFUkBOWAQpbn/WXvFwV3D7IA0XPmoD0+Pzd3/1dwlU5KHF5IUEwha/FiEjMq1/96vi3f/u3JMdYQsHKYuaO7LHyIBTkVl4KF6GRt/+/853vJDwobKQGOYOTPBErazBYGxAOxNAzSCE3CNykY40NAsbioV695693stUGwbEe51//9V/TyqSCVAAAIABJREFUGowvfvGLac0DUsdtgVAgplxP2ohyG+/gQyblhS9XmPJLFzGxtgMR0R60F2mXa3IIFEIxObzmxNN5psQE+MMf/jCs2ma+NFMx0xkeGoyBvr4Y4DLp70+DRFeHxW6daRurwFyDKabGcNTU1kd1DEdtbV1yl1ib0dY+L1oaG6Jl3oJobGpMg6lAXOnvmgPT5gSQYwpRCMX6a5VSMTOm+K01oMDNkM2yKUrYURQGeb5rJmhkwYCPZOQFhSwGFBvSQdEjIWaePmbB8hldjFyfZrMvf/nL0/sUjLUKrAl5rYKZrfZKEVHSnkVi9Ifsh6dkkZm8hoLyu/7665OMlLXZL4UlL8oTWaEsX/SiFyWfPqXPdJ4XBpKDrJQVa4m+RdFS+iwVFCwXgj5K6SMV8pauGTtFS0Z5ICWUHxn8zpxPsSJOiBdzPsUvPQQnb49kDZIuLLIrgCUIGSEDKw/FCn+KHhmRh/EBaTObh0NWuMqoHkxKvIvswMZYIg2KnAsFBiwaSJNFm9w1yu6edsAK4T6SYv2D9Qx//dd/nSwfLs9ySbC2wM7/MNBWuL98V+9HHHFE+o1LQxvJbg1rasgHc+OacnCPKAciicipB2STW4UM5ZocAoVQTA6vOfE0Ro71MwnqwAZpA8Ub3vCGNChWXmnL2JozSyz+FNWzv380JgaS0dM/EJ2rVqbIn4Npu11EdVVVCi0+6jKpSXExWhzz3tIazS0t6fe6enEyatL/iWTIdDO3ZhRCsf7uoR1RhJQixYBYmFkzaVM+BniKiFLgCqDYKEYKkgL0m/biHT52awAoOYrdPe/5n3mfAkYeKCbKhGWDMiEDAkFRUCJmw5QWGXzyDF5+lG1e8U/Zubyf81IO96UvTRYESj/3H2VhyaDEKc+8c4Mykyei5Pm8VoS8yozsSM+F6CAllLv35YccSBd+vnuH7Kw48M27JRAJ75l5Kyt5cuwGWHuWHNKFjwkF2RE3aXsfTtq08qsHbhSWCO/DLm1Tr69PVibvIjlwsI4h78hRfvnIL5M9i1SNOVxOcPSs92EpDWWGk3wtFFV3sIIZubhX5MECxBIlD20BKVQeGHlOnn6Hk4vc0uIeU5fwQEjkrf14nyzSlwbsyjU5BAqhmBxec+JpnZDpkanQ7IBJ1tYsrHwigWr+j2T0x1A66h3R6A+RP7u7raC2u2R1DAyOHgM/ElUpOmhUV0et497rG6KltSWam5qSq0TkzzrnltTXp07s7+iMtGrCgX9mQ8UUQrHhWsixI9RtVi7eqIwx4XcD/yjZHHWfpfNxBgbS/wZ8f7XhHBchr7eQVrZk5HUUOa6ANF1ZSeQ1EX73TI5lkNPOZvCxAZSSq3BwMMnjXr7vN2lRsjmegWdzLIaMTOo7a+JOyIvic0nHvVym/Hw6gDDFmRmN1ZGJifd8V56cn/wpXs9Qsp7xP8IxNr6FvDyfd3BUpi29LHtOuxJzsuW6TO7NNbtA8u/SJVcOkpXz8tdvuU7Seq419Zh/kwZspZ+DkuXYJLkMWdbRs5EGU5vwW467kZ/Lbayy7NLy3ti24FkkRlqVwb1mw7iyOclQCMXmVFvTJKsZCHOjvfpYvG1Y73rXuxKb39grk4zh4dGzS4aGBqO/ty86Vq9IazE6Vq1KQbkMcoMDgzG0xvKRBsqqkWhpaYvW1lErRmt7e4qdgXiwZNTW1afTWMcOzhsr60y9VwjFTCFb0p0IAiX09kRQKs/MJAKFUMwkurMwbSZFC+L4D/karaPgI+XPngkT3+gOkxH24uQ66Vy9Mro6O2L16o5YzS/c15cWgQ6OjKQD0oaHhqNqZDiFEGfitG21fd6C0RgZjU2jM4g6R76PWjFsZR07+9pUsBdCsamQL/nmmT1XgFn4RENvF+QKAtOJQCEU04nmLE+LSc/iIwvILBpDKPiE+TNzKOTHswjJfNzfFx0rl6fAW8uXicrXHd29fdFn4dTgqKl7eHgwqoaHoqmpJVpbRP1sT9tXBeMSUnyUZDA/1yeCsaksGVsioUhkcc01HrHLYY8nQ1wRYO9po5N5r7IdW0tgDcC6TP/rau85UFVeczE2fPNk+ghTurUQruk6J4Rc2Rqh32a3y8ZYKJTVuguug7yGYjLlK88WBCoRKIRiC2kPBjYrwv/3f/837eO2LSovVppNELBi5EPSujq7YvWqFdFtl0l3d/T3D6bTWe0+GR4cSIs/m5qboqmhMVrb50Vbe3vyYVM+9YJ0NTQmJZTdJTNdzi2JUOSBw4K7rOgttlzfoU0Ul0WS7lt8hwRO5EKAucly1MyJvDP2GYGwbN+0GHAih0oh3rZrUtB2aGhTG3uJYGnxIbxsv5yOS1+2mNMOLf04H+K1MYTCokiBwaQhkBXSVa6CwMYiUAjFxiK3Gb2nkq1u/vrXv55WkIseaNHWeDPKTVnEPPNNC+4GB1MQLou9OlatjN7evkQwnFvSy2XSg2QMxdCa80saGhvWnuboFFY7SyiFxqamaGxojJq62nSGyXTvKtlSCIUZN4VrO6b1OLZW2gFga6JdAOtayGgWbCEwxSWmgJ0PVttT3szzflfXFHDewYCg2EbKwoBQ2NaXz+RgWUNS3DNLdw+x8T6SY5GeeBLau22mYg/Y3kgO7+YdGmTlJpBn3jGBkNreSUHbZSAf5UWC7DJhaWA5odQ9Y6eAHQm5PymHnRjksOhZTAjvksFOAnlx5ykf+WAAC2kqBzyQKLsdYC3tHOzKoku/eV6chVe96lWpL5Mhn1Viy6T35ZGjRJIHNv7avWEXA4zIKBAXlyd8yONd6eeTPdVN3ikjjZzfREnhphxHSt6PLwKFUDy+eG+S3Awa1k0YfAWdMdBOxYy7KQqR12GkxZ8pKFd/OoXV4Nfb3RW9/f3R3eHvaEhxh6f1O79kaDDFyLC4E7mwo8TR722tLWk21tzaNrptsLExLf6cyjXXCQXlKTaCdTfaFAVmuyGLF+VGoVPeY7ceU0a2hgrbTJFTrJQxkjsakbUuxaBQD2I0uCh5cRHEhPCxYBgppFxPO+20RI7zaZPahDgMFKX4CBRzVvQUpeBG3iEXKx1Fqt0gB9x+TkFFMshCiYs7UblFEalBWuQnf3EKkARbJ1MU2aam9I6tmS4KX4AtafrfNlRBm1gouBvlj0TAThkRM4QFfmSHD8sMYpCJtfJR5mJ2ZIIh2ij5fffcYYcdlgiLkNVIgLyVkWVGMCtlhqG8vWebLXmUgcsDaZGG2BOsScoFE+VF5m3VzWTLjjDyF4vGVEaMufduIRRzr04fVSKDEtOo4DIGViFtNzcysb4qGh1sLfoc3Xo4KBaGQ9JYM9Yc855OY+3uScG4esXP6O6O4eGRqG2oT+eXjFot6tN6jGbBuFpao62tNf1e19QcVVWjR1JP5JqrhAK24gsInGR2bXYraJEwz5QQQiCiokBRCCtFU7neQT0hCB/72MfSTNoiYFEVKTqzdC4BBIDSpTDNupENSp3lw2w5nzApOJbDot7//vcnGaQh0BQFStk5h4EFhCkf6RAAS+hswbTUD7nMxJEBfYICRQ78RZCkjdywElDOiAQy7owNhDzHtvCXzIiENMmibC5YCQ2dI08iLGJcKKvyWb8k7oEdVgiFeAreVRbKXLAlpIA1hsyCVMEajtLK7sr//u//TlFDpXv55ZevjRtBLodiIX/IijykYXu4dAR8Ig+5yYF0IXiCRQlEhdzAkzzkyITDM4KHIRdcQSYmhVBMZGTYcp4phGIO1zXzphkbRSCsrFC7s9nNMa1VwVUyNBS2sbJU9K1xj4j2KW7GqtUd0dPVET29vWnGhprU1NSmGVxLOn21KZqbGtOnpW1++ptOYa1rWO8haXONUCBnLBFCTFNO3BQiIlL8Y9dLUL7WKlAyIh56tvKS1qc+9ankEmEpEDI6BxAykzd7RkTkJ2R02l48OJhcHuqHO8Vg5RwPp2MKAU0xU3oIM1eGto24OOeD0hN2W4huipeSRgjM9K0VsMvJQVXq2QcRQpSkL6AWGbPZH/HQf8ghn6zckR15CrRFvmyhoIRZGER0ZJFhdSGXyz2WCpYI7QVpQH7yseRcGiwYIjrKXxum9FmBECZkxdkkXCnOxfA/8oNoITnSQpgyoUCGlAuuysB1xMWBBEpDedQpa4Z6YO2QB8uGdL3nf5ggayYo+og69t5U1pdMa38vic0KBAqhmBXVMP1CGJDNGs1cDPJMvlv6bOL/YmUMR093V9pJ0tvXG73dvbF8VWf8+a6lsaqjK7Zuj2iuz9E+a6OxwU6SuuQW4TIxsPsIK97Q1BrVNaMxMvK5J+3z5q2Ndjj9NTuzKeYAP5SNmb9IqvkkUDNuynNdCxvzOQuUjrYm4mOlJSwHU6NApfHVr341KSTfKXrPIiFO13Qwk9kwZefcCAo/EwoWhy9/+cspEBulKR+EAnnm0/ceawIFKR3HnDtJk4meMkRoMqFgUUFq5GPWT5k608KM3joBGLDOSN+6I30KMeB+gYn0yI5sITcO6XJxDVDwZv7aCULPGpCPBvdsXgtBabMIsAywHrLWIAA50ByFjbggW9JChJAI5USUxI/JhEKayqK/O1eEq0iIc9YIFhnhqZUNocjHr+eQ54iI8qoDMqgj5UQo4AIPZYezENssMi94wQvWLgid2VZZUt9cECiEYnOpqUnImU3UBkKDmAHMLKNcj0VABE9rMpau6IpLfn5P/P6O5XHE/m2x3y7N0dcj6mf3qBWjuzsGhoZSiPDRLap1UVdbm1wjTRaBNrfG0GB/1NY1xPxFW0VLS/PaM0yme/HnTNSjNkNZUFQUCiJBCVIslBDFm0NCry9/M1uuDMqPi6Fy9opQUODWKDi8iXld+tY9UFTeocwoYsqKO4BipLTly9RusOI2+fjHP55IgoBslF4+Ths5sVbAX9YEZXFuhBNFWeeQDIpVXzAb94zfuREQGgpb/lwmrA2sCNJCflg4EAoykI9iJxv5EQJlQlRcFnRa36CNSNd9Vh3lsaMCcWDRQQSsT2C1QASkJV2EDHFiBWABQVBYReADP9YU1otPfOITyeLALcMVxaWB4Kg7+SEDCGJep8EyAmeWDRYYRAFhc18dwAOx4SbR7jNO6l46ZFMGExWWIWXO54PMRJssaW5+CBRCsfnV2bgSGywdx2yQMCsxAE4kpPa4Cc/hB3r6huKiXz4Ul1z3cBzz1K3jhEO2jsYagbYGkoukv783WTS61xyQ5q8Q44PDw2n7qlNWkZPaupqY1z4vFiyYH+3t86K5tT1q14QG5lKpqk7nsM4aJA0AeXZqwaJZrYuJm+KjsMcjErkwCImTNs10nZBZSWLlQ5mbbVNglJd1ElwTFCKFycJAGeZzO/jpkztqZGTtQVQsINY7SIdyo2SRD8/w+1sPYQFoLoNyiAhrlq4PWK9gJo/MsG54nyUGeXAfoUBU5EGJUvoIFvKAHOSzRChrrggKn2LWxyxydCFPSATlLw3Eym4LlgdrJKSV80dYclrKKg2WICSDTFwmyJ6yqQfEQ17qDBbwy3Iqo4WbLCZ5sWt238CI7EhLPr8HqVDfrBSeh6f6hh/yQB742OniIjtLFBwQkw1tE541DbwI8rgiUAjF4wr3zGdmgEEmKAdmYjOOLd3VMRHULey86rdL4/TLHoh57c1x1AGL4kk7NcXi9tpoqqsO5wQJES7+hZ0jwofbadLT1Rmdq1dFB5/4iuXR1evMiKp04BlXSENdfSyYPz8WL2yPeQsXR0NTUyIfo+RClE/SbRqCYcZNubIWWLRHoWovZr2Uz2T94wYTyvnSSy9NSnHsmh33WQkQh3zWBmWYz0+AhO/kSme61NWtPecju0/cd6/yLI989kQ+z6HyDIt8lHkOdlaZvnwpfW4BeZHNDJ9FDw4u72XSRenCxG/yzMpc/xobdCvfl0Y+GyLLR1H7LZ9LIv3KtMY+N/Z8D9/TduohYe5HP2SQp0kEpW+BqTzIm1x9a84Pyeeo5PM3cuAtv+ddHZ6Xhg8ZKw8Vg6288jkrE+lb5ZktB4FCKOZQXatM/k2mUKu/mTiZccs1MQR+d/uqOP3y+2J1b1XsvP38uHfZQDQ3VseTd2mOJ+/aFLtvUx8tjTVRU03RVCUa4Aj37DYxO+xYvjRF/1y5alXc8WBX3L6sLpprh2Ln9o5oqK2K+W3NsXjR4thq622ibcHiUetFba1j0KY9Lsb6Sk25mOHa/mlhIsVz6qmnxjOf+cxkwp5I8Kf1pU2hOcnWX8ddz/b2R6EiFWbtcLGugzVhY6NyTqylzcxTGxPYamYkKaluqQgUQjFHal5F8qO+9a1vTT5YZttsgp0jRZzxYtyzpCfOufK+eHBZb7zuhF1irx1b484lfXHTnd3xuzt7orNnOHbfriEO3K0p9tmxKdpbaqK2pip9eDLSLo81ZuKhqrq45paO+PoVS2OH9v44ec97oqunL/r6B5ObxJLP5vqaWDh/fmy19daxcPHW0dTaNho+nPVizSmO01loypNbgvXKlkquBTshbH3UVqbLLXbllVemtQzWPUxXdMjpxGFsWnkG7+9Ya8BM5jvdaRdCMd2IlvQmi0AhFJNFbBY+b2bFD2tbHr8m/7X4AHMl3sTjBfmKjoE4/2cPxLV/WB6vO37nOHS/hTEyHNE/OBK9/cOxrGMw7lrSH7c/1BcPrxiMRe01sdOi+thhUV0snlcbI/2dUVs1EIsXzEthv/94X2/8x3kPxuDQcHzpzdtFzXBPdK5aGStXrkgWjK6e3hgYGEwz45oYiabm5pjf1hLzFm0Vra1t0dTSkiJ6WgRaXV2z3u2q4+HDTM2Ub30Bq4Q1DrYWUvb8+szi07md2KJEId4pONs2Z7uVYjz8Npf7hVBsLjU1d+UshGIzr1vKyEzz29/+dlr5/YY3vGHttrbNvGiPu/h9A8NpUeYPrnkwXnTEdnH8IdtEfe1oYCtxKoaGRtaSi47e4XhoRX/cv2wglqwaTBaK+ur+aKkbjh23aYttFjZFb/9IfOGSJXHbA33x32/eKXbbui6qR4ZjaHgoBvp609bVzg4nr65KloOevv4Y6OtLR7vX1VQngiG4U5vFnc0tSTHniJ7WYIy3e4Rf3mI85nyL76yXsEhPTAML8PjZZ4J0soTYKil+gx0TYj+Ua+YRKIRi5jEuOWwYgUIoNvMWQkmINWGrl8HbgroSY3/jKnVoeCR+fvOyOOfH98cBe86Llx29Q8xrqVtnYsMjLBfD0dc/El19o9aLOx9YHQ8u743q2oZobqxPi+F+d1dP3HBHd7z35G3imCe3RUPdmsibaxbKCbxlgWG/iJ49oxaMzu6udOpqCh/eP5DWaQgfbitqW1t7iuZp9T/CkQmGBaD5yu4v2w2t+LcI0PZP2wqtD0BSZnqNAPebrZOsH7Y5FivFxrXJybxVCMVk0CrPzgQChVDMBKqPU5pmoLaXiWTIhM1nXQbujQffTo/f37k6zr7yvmisr46/ev6usd2i8U+a9B4y8siyldHZ1RuD1S2xoqcmHlw+EA8s74/vXbsyTnr6vPir4xZHa2PNOgXUEdPiTiHEB/rTYWjdnR1pm6Dtg909CEd3cpG4GhsaorWtLVkZfFqaW6KuoSFWrlodv73598kigaCwRCCZ/iIhM00kcuFYKS666KK060OQJVtQyzWzCBRCMbP4ltTHR6AQivExmpVPqDimbIGE7JV/xSte8ZhDmWal4LNYKMTgvkd64pwf3xe33dcTLzhyx9hnl5bYqr02WhqrU7yJDV2VobcdRDYwNBK33t8bf/OV++KJOzbER165QyxsWzehWA/LSCRjYMCJqt3RsWJ5rOroTCSDBcM5JYMDA2n9A0vH8uUr4s6774m/3Hln7LTjjikw0lMOPChZMqZzjcREq1DciXPOOSet53E+x1R2j0w0zy35uUIotuTanx1lL4RidtTDpKRQaYICCSLE926wFtSmXFNHYGXnQJx39QNx8fVL48l7bxW7btsSbU01sbC1JsWkWNRWG/NbaqK+tiotYUAyMs8Ye5YHgvLI6sF425ecqhnx/169fey+TUPUpOBWG3cNc4/09aTYFytWLI9777kvbrz55vjTrbfFimVLUzjwgw48MJ520FNj/rx50drORdISjUKFNzRFbX3DKLmYgV0kY0tEwTmTgtvFNmbulnLNHAKFUMwctiXliSFQCMXEcJpVT4m0J6KfgdoW0RyEZ1YJuZkK09s/lBZmnvuT++OYp20be+w4L5asHoqu3qFEHhCJ5obqRC5YLraaV5vcGNXVER2rVsbAQH+KLpijS67uHopPfv/htJbinSduHYc/qSW5Uzb20mGtuUBebrnlD3Hjb36TIhuKNrn3XnvGDjtsH4N9fWkHSV9vdzottampMe0aaWltidbWUYLR3NISDU3No7tHkIsZiOBZaUXLga6ma2vqxuI3l98rhGIu1+7mUbZCKCZYT8nHvebjlfEGRs9Ot5lZmi5xBKygF5rYgUTjyTLBIqbyubLceX9+/m3sjoAcfW9sOSvfyxEKJyrDpn5uYHA4rrtlRZx+2T1x4F7z45XP2THamutiVfdQPLxyIB5aMRhLVw9GV99Q9A2MxODQSCxoq4mdF9fHvPqeaK0fikUL7MpoSjs/evqH44e/XhXfuHJZvOSwBfGSw+Yni8dkr9z2uDssthTZ0oJcES3t2th/v/3SWorhocHo6Vwd3T290dmxOjqsw1g1+revz1kj9dHU7ETVlmizyHPe/GhvbYmWeQvWWC9Gyc50tV0Brrg9/H3d615Xzn6YbMVP4vlCKCYBVnl0RhAohGICsFpgZmumkxDNBsXVF+vfAsh1Dbyev/vuu9PgOfYY5wlkt85HzEptC82hdK3czzEEJptmDq2LiGQyYoGn+AEW7fF5Iwu2HDrHQF4OA/LhB/e+2AbWcFjsJyhSJht+9x7SY4CzGM8Jj4/XYsDJYjH2eVtD/3xfZ3zt4rtTwKr3nLpnbD2/4VGPiUuxsnMwlnUMJXKxtGMg/f/gsp6ojqHYc/vW2Gfnlth1m4ZorK+KvzzUF+/6yr3xjL1b453P3yq5TSZ7qQNnNzhcinLOx4irE21sXe1wJG1P7YveNTtIujpXx6oVK9J5D6s7OhIZskvEAs+W5uaY19Ya8xcsiPkL5kdz+8JpcYtotwiQQFoIBfIzXWRlshjO9ecLoZjrNTz7y1cIxTh1hBw4iMhATvkKHIVU+DgRcLvttnvMXn5K1c4Lgz6FOx2XUMnXXXddOojIYT35HICNSVtwI24TpMiCTpfvYgeY5YqyKYT3mWeembYbUgDWbFAGFn8iG7apfu5zn4sjjzwyreJHKig6ERJtY0UiXA5jko+jjqU92y8dYsnKvvjKhXfHH+9eHf/x5v1i522a1ik2g46TSlkhOrqH44Elq+KB5T2xoqc+HumIWNk1lFwirBciZu68VUO8+wVbx27b1E94HUUmbtbLIKnw5j5wiJPtnxONI5GsRukMkv5EBkX0XL38kVi+clUsf+SR6OobXdwpFHhjfX20NDcmS8vChYujfeHiqGtoTOeTTPbcEflyz/zXf/1XIuKCrpG7XNOPQCEU049pSXFyCBRCMQ5ezMrOOzAzf97znpcUOrOzSIDcDY4JNrO3TY+idRwxkmG7nCBC+SQ/s3aH6jgpUBp5lmZwd+yzkwuRFWSBtcBiS8qewnB4k5l+Pt2QYmadcFogywlFzhpC4bAaeM+JjqwCiI9Z4q233pqUkMWbzlqQp4Vy+TllOPfcc5Mv/iUveUm8853vTMrrWc96VrKKOOJZWi996UtTvl/84hfTeRAsEY6HVlYz6PPPPz8OPfTQtI1V4yI7LE455ZSE1UQV4OSa8fQ+bb3E6ZfeHZde/3B88LVPiqfsMS9ZK8a71HVHd2/U1rfF4EhdIhT3L++Pu5YMxMU3rIr5LdXxV8duFQfv1RINdetPL3dKdXbhhRemCJfWyThCG0FVR1Od5cvDcesOOevv642ujtWxcvmydKz2ytWro39gKEXmFKWzub4u2tvbYuGC+bFw8eJoap2fiMfo+guobBgbis72Zu3ugx/8YDoKvVzTj0AhFNOPaUlxcggUQjEOXo7sNTsU7c+ZBwgABS7UNSVOEbMcWOgmpDElfvzxx6cTF5/znOektQ6IAGUungCyQSmbpQE/x5FAJu6///44/PDDkytFWhQzZS765b//+7+nfJASMkhH3AlWBWGVkQgkAVmR34477pisBKwRrBmUEFLjACgkwLMCDlFUZM6EglzkttgTaSI3ywwzOfkdf0y2L3/5y+lodKZspzOyQjgmGqmQLt++8nHTsGQIqoRUbA6uDxEzL772oTj7ivvi5cfsGMc+fetoaRrfTTF2l8fQcER331Cs7ByK869dGdf+uStOOXR+nHDQvGhtfOzCTIQUgXV0NCLGKgRHpE9dmuHPFCEbcorqgGPabVHtia7Vq2I1krFiZfT09qY4GxZuqr+WxoYUYKt9Xntag9HY1BS1dQ3pkLPqqurHhAjXDpTrAx/4QBxxxBHJAlasFJMbqCfydCEUE0GpPDOTCBRCMQ66BvYrrrhirTWC+8OCOD5tg7wZo9MKKWyKHClAPBAKivaSSy5JK/79xvzv8453vCOREQqEe8AslMJVGdwkBl+RBllAvHvsscfG1772tWQloGBYSFgxHA/tN3lb90DRIxQsAkgPF4V1H0gDywQ3DNeEdz3LfeF3s91MKFg/WCZYL8S4oMRcKZpjf386Kvnqq68OB0BRDAgTosGUbSYNAweUkcOlLB/72Mdir7322mxiEYgfccOtK+N/fvCX2G/3eXHyETtEa3Nt1K3Z4dFQm48df3TjGUso8t1hEThv7YrPXrAkDn9iU7zqWQtjq4p1GbBF2FiYEDJ/1adFt9oY8vh4xnAQ+4L1QpRO1ovREOGd0bF6VXR2daV2oEwIRl1tTTRZ4NnaEm3taGpcAAAgAElEQVTt89P5I41NLVHfUJ+OaK88Nlygq4svvjje8573pPYwU+RoJgfM2Zx2IRSzuXa2DNlmDaHIRyqbfecdEmbnZv6UN/M6ZWa2PTbin+cp8nTuwST8yhOpYi4E52RQyhQ8y4TfrCEgM3+272SlPLkqzPCRkEwouCu4DiiLn//858mdwKJAbls/r7rqquQasY5BepQH07P8pIuMnH766Yk8cC0ovzy9b1B2yNPtt9+erA4IAdcEvFhVzHIpfkrJgE4ZZIsDSwmC4qq0ULA8WBfxhS98Ye2CSkSBhYO7AzFBHvbbb78k9w033JCsEurOIs58ngj5vMM9Aj+BljYHCwVl6eTRT55zW1RVRxx3yI4xFKMni85rqYn5zTVppwYrg+PNhdNee9poX9+jto3mNnb3I/3x/m/eE+1VS+NVR7bHIQc8IR2Brp5ZJNQnsonAcZtxC3BrsUhN1b0xkXa+oWdG114Mpi2xKYJnV2c6gwSx7e7uioHBoRge4iKpigb9s31Bslyk7anNzanPatNI7rvf/e7UL5DkYqWYas08+v1CKKYXz5La5BGYNYSCYqKkKTYzNpf1BMIGW59A8VJYZmxm8ZWD0UwSCiThjDPOSLNw7gIzfAMppeqywp5SoNQpXUqBr5vyz4SCMuUSoHgrCUVe8Klsgv6Y9bNIUPJwUHbKhIJGajKhYM1g2UAQWCm4Jz7+8Y/HTjvtlNYpsFAgEtYxUOgnnXRSUlSZUCAplNiLX/zihDGCkQmF8iAa//zP/5yw5nahEFgiuFbsKmD1YIb3gT3rCSuJexZzstrI2+U78sHdQe7NYVZqsWVnz2B89Ozb4s/3dsTbTt4zGhrr0wmjD68aSIsw5zULclUTC9tqY0HrKMEY6uuIuqqBWLRwXjQ3PXohp7M+PvzNm+Pnl50bxx3YHq9/1UuTgkXA1D/cubtgyLpDAW9qIrGu4WR0S/BQDA0iGQPR292VSMWq5Utj9bIl0fXIfTFQ2xTRvDBq6hsTIVY2HwSD+1AEzTe96U2pfW0O7WHyw+qmeaMQik2De8n1/xCYFYSCEGbYBhuDLOJAIZopWwh59tlnp9k3EnHiiScmZZUDBynKTBIKVggkgWxkYgFwRgIyIEIlawCliQSwMLCmsChYe5HXUCBAlClixErhPWsRyG1dBJdHXlTJqmB2yjTMyiB/ChxhsEbBrgvkxG4K7hSK2vevfvWriRQgJsiCgRoB8huCQ0mxhBh05PXDH/4w3WcFMdCTXXowZtGg5L7yla+kGaayKpc1G2bM8HAQWbZucAshQ+qK6d6OmGxF8h2hyYs7N5fOZ0vl/1x4V1xxw5J4x8l7xCH7LEiWCL+v7hlKx5jf8VBf3LWkL7r7RlKQqwWNA7FV20jsuHV7LJzfGC0NNSkIlmBYK1b3xL986sz41lc/HvvutWMc9awjk7VLO4YlIqhtTVdMkccNZ7FZwg6Soei775ZY8dMzozMaonunw6KjpjVZ7LQ5bT1vOWb54iLTLhENhFW5C7mYWq0VQjE1/MrbU0dgVhAKSpNCo7iY1ClEwXBsNWSi/+53v5t8/RZ08b1WkomZJhQZ4hxfwYzfAkpKn/k+kx+WDL/7zcyS3KwZfqeUKQsEgaWDKTub/vPCRbM2vyME7rEGcOP4jTLnsvAuhU7pS8tgnaMyIjlIgPS4ReRLqcOU9cBg7jf3vSNtAznXi3sGI1Yigzqy42KJQfRYjCzORETUk2crFwi6Lz11p5yV75mFwmE2zrY31H3Eo7j4uofjjEvviZMO2zZOPGy7WNj22JNHbRtd3jmUYk387o5VcfuDvRFVdbH1gvrYYVFd7LCwLkXVvP8vN8f73vM38Yebb4r6+to4+tnPTq6vvAh36l1506cwvOL+6LnqyzG86qGoP/i0iD0OS20UqWTF0/60U+uLtOV999039WtrRRBe/Vqb1P4RjM2tzWzqGiiEYlPXQMl/VhCKymqgoLkFLrjggvjwhz+c3Ai2M5qlG3T46lkoKhepZV+9wcigVAai0rCnigC3xx/u6ozPX3B/7L1TS5z27K1j2wX1G0yWkuznBhhuiAdWRPzl4b648+HeWLJ0Zfziu/8ed/3x2hipaYnFWy2Ot77h5fH2t7xpqmLOqvdHejti6KYfRNVtV0fNPs+NqgNPiZHq0d0xiC2SjSibIHAZWnyKhOvTyCoyipQiwMiwPp4tF6VPj1/VMEbgjIcwLFdBYFMgoJ+b8Jqsjp38jydP1YjWO40XF4L1AQbnt7zlLcnkr5Nwedh+aF0Bc2neRZAtFNwRns0WgmkUqSS1hSIgWNUnzl8SNdUj8dpjFsUu29RvMOICMpwXDlfX1IaegWDc+Ls/xY8vuygG6xbGXd3bx4677B6nHb1L7LfL7A/0NZmqrxoZipq7rovam74bQ4v3iMGDXh4jzQselQTrlfU5dgqxWtiJZOLAasZ64WNAQiBMEHxY5azFYOkzQD2eO14mU/5N/ayhOC9qn+xAvqllL/nPHQSMgT6s6pNth9NKKHQIi9T4962VsNo9EwZm9c985jNp4LFugCsgX96zzdIMx8ym+GLnTuPclCURe+Ffv3lbsjQcf8g28fS925MLo7khB3R6tHRM+pQhlxQF6EJyH3lkadTX18XK3to49+er495lQ/HiwxbE0fvPvYiRQ/ffEoO/+J+Ivgei7sAXRvUuR0Y0bRtRM2rd0VftgPrEJz6RFimzNlr/YzaDTJhI+JhE+NvbsSzq+h8ajQzbtnM0ti5K+OrrPgaszW7dyQw1amMkwqbNVU64Zii7kmxB4DEIZFJrLOQ636SEwloBMR4sPnzve9+bhLVDgG+QH57v1a4EcRIer0WZGTEy8AWTw+BWeRn8zLbMDsysPOMj0qFFkbaN+p79yTmuAPANmhaiMvUWd83s66FfveiuuPzGlbHbTvNi+8XNUV9bHdvMr4tdt6mPXRbXpx0e2Ry//jgUw+mZzt7hOP+XK+PSG1fHiU9rj1c+azRWx1y6rJ/ov+4bMXzHhVG/w45Ru/UuEXVtEfP3jliwb8S8PWN1V39aaP35z38+BWATHE3cjdEdJMPpk82mfQ/eENV3nBW9ff1xf9vxsWJoFLNssUAqEAwTDX9zSPot0UVS1lDMpZ60eZZlVq2hoFjtgsCy7QygbBEMiw0NPKwSQlebzVQOGDO5y0O1GtxYTuxkePWrX538vpWXaJTuMc0a0LhlyMtPTE5MzYJS/mOWFITIQEhuByeJJmnHxXQdJLZ5NsXZKfWPf/NInH7pvfGEXebFgU9YGAPDVbGqayg6+4ajr3845rfWxB7bNqRP3UhnDA8OrDMOhdKxeFx+U0d8/cqlcejeLfGW47ZKu0Dm0jUy0Bt9N/4g+q/9RtTtsGs07nNoVA2siBhYGdG/KmKkKkbmPSHu7V4Ynz/rirj/ka745Kc+nQjFOq+Vt8bIdX8fA6vujtX7fCg6/n977wEe1XWmj78zoxmNeq+ogGiiCjC92GCMbdxwd5zYsZPYibObX8pmd53NbjY9m/bfZDfZuMS9xTa2sQnu2HRMBwsQEiAQaqj36e3/vGc8RlTNSDMqM995nnlGmjn33Hve890z7/1q7DR09/QoB0/uF7w3aeYkGad20kcu6ENAE0kkmUCFUITTnTQy5zKsCAU3Bz7lUYVJlR1VeKxVwfA6bhYMU+QP8YXKZYcqsRVtQcyPwRTXzJL5+9//XkVR+Bqv8aWXXlJ9GIJJUsFIDV4zU1wzpJMhoAy5ZHZKaieYvIr9ODbVv4ycYD4JX10OfkdCwjnTN4QkhZoOEhPmmuD30gYHgcp6E377t2PIz4zBvVcXIDvViPYeJxpUKXOHqtdhc3pgd7ihcduQGgcU5SZiVHos4oxa6HUalRDLW/MC2H3cjCc+aFaRHw+sSMeYrDBbS48HjuPbVbSHJj4dscv/AbqkVKCnBug56X13mOCwdWNv6TEcrrHjtrvuQfKoKUBMFqCLBrQGQPtZITKSkD0/Auo+Bkr+FZ6iO2B3aZV5xGcW8Wn5+Bk3NN4vvTUYPvMI7xsSDF/2znDTYgihGJw9Qc5ycQSGFaHo70KFUkPBH33mlKCGgtEnDz/8sAp18zU+JbEqJ79nAitqGWjioAmEOSaoUSHZ4DG8TvYhWeDTE8kTCQU3PDqaMaKFmyEJBsNSad6hOpgEht9Tw0HfEobOimNaf6UlsON6LC785Okjqv7V/dcUYNLohM8rhbJWR7fFhcYOh3rVN/eg2+yARkdnQj1S43XIStEjK0mvEl+xIFhNix0vbmpTZc/vWZqKhcXh5ZipNDFNlbBueRqu5pOIueIB6IuXqlLoqjktgLke6KlGT0s1OtqakZVgh95j85pGEkYD8QVAbJb3f6YqrXgWOP4CkLsMmPEDINob1qyGczqVqdFHMHqTDH5O8sB75VyC4cvgGU4EQwhFYPe29A4+AkIo+sCUAFFzwvwT/HFnhr/ehILEgb4d1D6QBDCFMrUr1EhQo0HzDTUL1DTQVMKNjQSCya6odWCyKZo7WA+E5ITH0lmNGx1NJywKRq94boCs5EmNBxMC8X9poUeAZoo/vHpcpeK+7YpczJuUCqPhfDMFQ50amtrR1G6BzRODHnsUOkxOdFlY2tyFtMQo5NKh06DFlrIe7D5mxu0Lk3HbopQ+anWGfo7BPoPH0gnrzldh278Wxtm3wbjgi0DUBUJuXXZ4bG3QWBq8JMPcANjaAWsrwHDTuDwvuTDVAceeA6LigcV/ARIKL3jJ9L3wEQz6Y5Fc8EXzCMPY+B21Ej6C4fO/8Dl39g5THYmO3UIogi3JMl6gCAih8BMx/uCzwua5hIJPRjRVcDPy1blgzow777zzc891ZsikgyZVruzPvoy7p2mE1UaZWpuprfk3NSIkFjTvkDywDgY1IFTrktCQzLAOAjdBaaFHgETh5Y9qsO1gG5bNysDVszOREHvhyqO9nTKj9EaYbG6lwaBZpL7NoUqZe9xQ2oxt5SZcMyMR37g245KlzEM/wxCcwe2C7dCHsG58HFGFMxFz5UPQJmRc+kQEhtoLWxtga/WSiC6aSKq8ZpCGrYC1Bbj8SSBrvl8X7SMYfCDwEQySC64TiQbvNZ8Gg+ZFahfpe8F7i8Sf9+lIMo8IofBLLKRTCBEQQuEnuOcSCgLHG5i+GzRp0IzB2hbUVjBnButr0N+Bm9bPfvYzZeqgtoLRHiQVJBAslsVMlDRjMMcGi23ReZNaC5o9mK6bIXXPPvusIhlCKPxcrCB321railc21GFSYQJuvTwX6YkGpYnXas74RvCUF4vy4HcO+lk4PXB7gJ1HTXj241YUZhjw0LXpyEu/dMKsIE9nUIZz1h5UhMLjtCFm2UOIKpjhNV/429xOwG0HXDbA3g6UPQKcehuY+i1g0kOBjfVZuKovioSaChIMkguaEall7E0wfPVHqC3ki46evcmFv1MY7H5CKAYbcTnfuQgIofBTJmiyYBEslvVm8StGazz66KO4//77VTQHzRT0dSDBoAmDBbboXEriwIyAJBSMVqGfBD3SSRCooWBKa6Yg/vWvf62IBkkINRrUYNBRk9oJ1tQgGWHFUfan86doKPxcuCB0O3nahD+9fgIuaDGuMBVR+ihMyjNi4iijChvVaTXq1dnRAbv9wtVGe1/G4WoLnv64FSarG1+9Kh1zxoWf+crd3QznzkfhOfYSoiYsg27y3UDKZCAq1mvO0PD1mV9FX2vk6AFOvg4c+l8gdTpwxROAhk6bA2s+gsEfYl9IN7WNJIa+Ojq+CBKaLRldRi1k7+iR4eTYKYRiYPIgRw8cASEUfmLIH3v6UfgcKvk/a47Qb4KbD4kC81QwioOf+XwcWDiLxIGbEZ+GGPlBNSqdNWnG8EVzMCqEmg1+x/BYOmdSBcvMofS34FMVSQzHJdmQZD5+LlwQujV32PHImyeU+WLprCzoDHpVHKypw6mcLQvSDcjPMLAkFgxaBzLTk5CcEPO58+a5l0CTx4sb27C9woQvL0vFTXOTg3CVw2sIj8sBx4E3YN/2ZxgykqDPzoAGTq9PRFIxkDQWMGYChkSv8yUrlF6sUVvRsgfY+TBg7wJu2gLog2vy8+W/8BXC471JYkEtBsk87z9fJl7eg9Q00jziS2JGDYbPwXOoVkIIxVAhL+f1ISCEwk9ZIFDcbHxFi3wmD1+0Be203HRIBHpHYJB4+Kop+jYrnpJq1d6pwn21DvidL3aeTz/s46vSyD78TMiEn4sWpG7dFieef78GDCG9dm4W5hSnwA2oRFUkFfVtdjR2OGEyWxCr9yArLRaZKTEqyiMlPgpJsd4ID1+zOdx4fXsHnt/YhlsXJOO+K9NURdKwajQJntgJ66bHoYmNQ8yiL0IXYwS6TwDdpwBLExAVDUSnATGZ3mya6j0DMCQD2t6F2DxAdxWw+0dAwxZg2fNA9qKgaCkuhLlPc8H7jT/SNI+QVFCrqLJ3Wq2fV1DlvejzvyC5INngvd07RHWw1lUIxWAhLee5GAJCKEQ2BIE+ECABePuTBmwpbcX8yam4aVE2YqJ1yh+CvhFWhxtWuxs1DZ043WaFyWGA1UlTCBATrVXJq1Ljo1TuCb7ijVpsONiNv37QihljjPjaigxkJV/Y0XMkL46r5RSsW59RYaSxK76NqMISwGXxOl9S02A57c1LQQdMmjWoqaDmIToFiM0BYnO97/pYwNoGHHkcOPIYMOE+YNaPziEdoUGKG2Rv3ws+OJybIpzhqfwxJwEh+Sex8KUHp3mTL5IMX4Xh0Fwp1DWQ9PAhhBpRaYLAYCMghGKwEZfzjTgEnC4Pdpa14fVN9SjKjcO9V+cjKf78Uuatbe0wmW2Ijk2ACwY0dzH5lVNFdThcHkRHaRFj0CAxVofmTifWl3YjKVaLr12VjqmFl1D5jzjEvBfssfXAuvMV2PethfHyryG6ZCWg+ww3RnW4HV7HS6fZGypKLUTPKcDa7B1AF+slGMxJQU1GZwWw75fecNLr3/f6Ywxy0G1vgkECQTJB/wtqMKi9oPmTGgwSDzaSCR/BoCaDGgxfDoxgh6YKoRihN0oYXbYQijBaTJlKaBBwezyoqO7Bcx/UIC5ah6+sLMSoDG/xr97t3CgPajC8T7dQmTVPNdlxqsmGDrMLZpsb5bU2pd346vI0LC9JDM3FD+Wobhfsh9erJFdRY+chZsn90JxTffTM5REsNwHzai+6jgEdR4DOY95ID/pYUItx4jXA2QPcsgtIKAqZ2SMQ2HqTDGovfGnBqS0gwfBVUKWGgn4X9I3iy0cuSDqCkSJcCEUgqyZ9Q4GAEIpQoCpjhhUCzEVR22TBi+tr0NHjwN3L8zC9KOm8IIVLhY36AOHvZZfFhZMNNry9tws7Knpw95JU3LkkBVHa8POjcNYegmXzk4DLjriV/wRt+pjPQj79nCsdMk01QPthoPVT4PRm4PQW4PLHgDG3X9qZcwil0OdjRa0FCQZf/NtXop3fk0j4yMW52ov+ZMIVQjGECy6n9molPR6loWOAgq/gZSDQBLV8eSAn7t03lKm3+3tNclx4IdDaZccbW05j3/EeLJyahuUz0pCSoFN1OhgySi7gD6Hojcp7+7rw9EctWDQpHl9elobkuIGHQg4v1D1wdzV703BXrkfMolsRNXqBN9KD5gqGjvpqdvhz4dRcVL4MbP82MOHLwNzfAtEjI0KGfg0+506aR/jyZfKkeYTOnSQYDAenFoOh6edWNe4LIiEUfSEk34caASEUoUZYxg8LBExWF9bvbcGbnzQjPi4GU4sSERetxeisaBRlRSMtIQo93Z1wOGxISkxUPw59tT3HTXh2QxsSjDp8/Zp0jM4MvwRXHrsFtr1vwLHzMRgLMqHPGeN1skws8pYzTxx7pmZHX4mv6HPRWgqsWwokjQdWrAHi8wNOctXXugzG9/zxp7aCJhFqLnxRJEyyRd+KK664QmkvAvGzEEIxGCsn57gUAkIoRD4EAT8QcDjd2HWkAy9vqENCnAFXz81Bh8mNpi4nuswuVVk0N9GJsRnA6NxkRTr6asxl8cLGVpxssuNb12VgZlH4JbhiPgrn8R2wbPgLdEmJiJ1zPTSeTm90B0NHPS4gaQKQtcBLMC6Vj4KAmk8D79/krftxxdNAzmJAd74/S1/YD6fvqb3wkQGm6GdOmssvv1zloxFCMZxWSq6lLwSEUPSFkHwvCABwuz04cqobL66vVeaNf7ylCEnxBrSbXGjrdqKuzYHjdd2oa7EjNdGI6WPiMK0wBlnJehU+eqHGPBYvbW7D23s68f+uz8Dy6Yl+J48cMYviccPVWgPze/8Nd3st4u/6LXSpo7z1Okgoeqq90RudlYCjA0i/DMi5wksuLpS8iuXMD/wGKP8rUPIwMOkBb96KMGiMGGFyOxYYZGZdmj0CyTkjGoowEIIRPgUhFCN8AeXyBwcBOmZWN5rx8se1qGux4sHrR2NakTcyg46WVocHdQ3taOqwosNqQE27BzWtdiRE6zB9TCxKRhuRkaRXjpefV/J2efD3XZ14cVMrbpqXjNsXpqicFeHWPJYumDc8BvvB9xC36kfQj1sADZNasalaHZ3ewl+maqCNzpcHvJ+nzwRylnpTdqtS5hpvqGnjJ8D7NwKFq4D5v/MmxQqDRkLAFP+sDcRMusXFxWclyetrikIo+kJIvg81AkIoQo2wjB82CLR02vH37aexo6wdqxbl4Lr5WWfNjU6ZVqsNUcYE2Fx6tHZ7c1A0tDvQ2OlUGTPpJ1GQYVAJrqL1Wuw9blJaisJMAx5YkY7MpPPzW4x0AD0OG+yl78Cy8a+ILrkO0Qu+BG1cyjnT8qhIEKW5oDmDya5UXooqL2Ojz0XyJK/PBUnFOyuA+EJgwR+89T1YH2SEN2babWxsxLZt21BYWKiKDQbimCmEYoQLQBhcvhCKMFhEmcLgIGCyOrFxfyvWbKnHnOJkfO360SrKw9fOy0PhBsx2Nzp6nGjrcaGly4nmLie6zS4YDRpFHliBlFkzWer8X27Jwtjsz57cB2dKg3MWtxPO+nKY1v4S2thExN34Q2hTCy5dHEyVMie5aPRm1DTVe/0n6HNhTAcqngXcVm/GzMIbgai4wZlLCM9CXwo6ZbKgIKuczpkzRzn3+luATAhFCBdHhvYLASEUfsEknQQBwO50Y29FB57/oBpZKdH43h3jkRh35sn4UmGjfMhmMqtOswsdJqfKlElyQUJx8JQFR2qs+NFd2ZhZFKd8NMKqMX21uR09b/0CroZyxF/zIKKyxgAx6YAxA9D1QaJUqu52r1mE2ovuk0D1e0DzLmDSg8CU/wcY00Y8ZCQUjPbYsmWLqgUyb948lWVTCMWIX9qImYAQiohZapnoQBHwZcx85r1qdJud+MaqsYpYqOJfBi26OjtUKmaG+10qbJQZNFkfxGJzKw3G+/u6sGZnB75+dTqumZl0ViGxgV7zcDne47TDsvkp2PasRty4dOiT9NAkjQMyZwNxo7yVR2Oy+jBdeLzmDvpcNO8BtnwTyLkcmP1TIGH0oKfhDja23IwZRsoKxZSjBQsWqKqm/kZ6iIYi2Csi4wWKgBCKQBGT/hGNQG2zRTlm7jzSibnTcpCRbERRtgE5KQaVEprlyzPSkhDrRx4KAml3eE0ez2xoxbwJcbj/ynBMcEXPVRfsx7bDvO6/YMhKgzEnHlrHacDWBkQZgPTZQN7Kz7QWmd4CYZfyizDVAh/f6y0QNvOHQPbisPCjIJHYtWsXWltbMX/+fFXky99IDyEUEb01DYvJC6EYFssgFzFSEGjvduDdXY3Kj2LZzGxkZybg0CkrbE43MuLcKEzXYGxeIrKSYxAfo1PVRi9lwmDhsUPVFjz2Xgt0Og3+444cZKeMfAfD89aTNU16WtD94nfVV3HXP4yo7HFA5xHg5JtA0w7A0gxEGYG8q72ah9hsr+aC2TBVOfNetiBbO7D3p95y5pMeAibcO+LzURAXkoLDhw/j5MmTyikzLy/P7yqlQihGyi4SvtcphCJ811ZmFgIELDYXth9qw1/XVWHJ9HQ8eEOhIgKn2xzYe7Qdh6rNcHr0yEiOxqhUPUal6VUWzdSEKEUwevlwqquj+aOx3YH/XdeEw9UW/OGBfBRlRw9yDc0QAHWBIT1OB8zrfgXHqf2IXfog9MVLoYn+zJmSNTs6KoCqNUBbqTfKg2m5M+YCmfO86bppGmE5c43OG1Z6/CXgwC+B0bd5tRSGpMGZSAjPwkgPkonS0lJMmTIFRUVFfkd6CKEI4cLI0H4hIITCL5ikkyDgRcDp9uBgZSf+tOYE8jJi8L3bxyE5QQ94gLb2DpgtVjg0cWjo0uBEgx1tPU4Y9BqkxOoUqWCiq5wUPVLivXVA2ExWNx7/oBlv7+7ET+7OxdwJcTBEhZtnphc/2543YN32HAxTliN67p3QJvYKvVXVRl3ekuYd5UDDNm+1UZILlxVIHAOkzgDiRwGJ471Fwz75HpA8GbjsJ0DyxBEvpiyJztDRHTt2KDIxadIk5aDpTxNC4Q9K0ieUCAihCCW6MnbYIcAEVyfrTXjs71WgtuI7t49FUU6cyrnki/KIT0iEwWCEw+VBt8WF0+0O1Lc6VOgoCQnJB+uA5KbpVU4KOnV+cKALz21oxaq53gRXSWFXKMwrCq6GCpje+jk0STmIueIBRGWPv3AtDo8TcDm8RIJRHe2HvOm6+be5FojO8Gok6j4ColOBGT/who+O8MZID1Zq3Lp1K3JycjB16lRV5tyfJoTCH5SkTygREEIRSnRl7LBEoKndhlc31mHf0Q589bpCLJySCq1Wc8FqowwXdbk9ikhQE8FwUSa6Irlg6m2L3QWdRqP+3nioGxNGReN7N2UpLUY4No+1G6Y3fwa3qRXGxfdDP3bemayZF5swyQVNIiQXTNXNUub0t2g7CJzeBDi6gWnf9abiHuGNGzKrkG7atElFCyPAFYcAACAASURBVM2YMUNVIPUndFQIxQhf/DC4fCEUYbCIMoXBRaDb4sTHe5uxemMdbl6Si5sWZcMQpfWrfDk1HL6cFMyiWd/mQGOHU2kxNpR2gaGpv/9qvkpwFZZGD48blo1PwHF0MwzTViJ65g3QxATi+0AE6XziBLqOA8deAI4+AxTcAMz7TVjU9WA5840bNypnTDpmspy5P6GjQigGdx+Qs52PgBAKkQpBIEAE7A630k7835snMbEwEfOnZSLOqEOs1oJYvRMZqUmq2qiuV92Oiz58ewCL3Y26Vgcefb8Z+ytN+PmXRmHO+FhFUsKx2cs3wbblr9AnGxE9aSE0GZO8Tpc0YTBUlBEddLz0p9VvAPb8J6BPAmb/BMiY7c9Rw7oP/Sho8mAIaUlJiQodFUIxrJdMLu4zBIRQiCgIAgEiQC3C8VoT/nv1ccRE67GwJAsOjxZd3RZoPS7kZsQhLz0W6Uk6xBt1ysGSr95pus89JcNH6UOxens77rkiDdfPTkJyuPpRNJ+E5YPfQ2M5BePYCdAlpVJv402pTWIRn+/9OyrWGwqqNVzYz4IgMjKE1Udb9gLTv+8NHx3huh36Uezbtw8tLS0q0iM3N9evXBSioQjwRpbuQUdACEXQIZUBIwGB+lYrHl9bhbZuO764ogDpyUbUNXWhqcMGpycaNrcODqcHibE6ZCd7ozsYPsoaHtQ86Pkg7is7qsJHPdhSZsIf1zZiVlEsvnpVugo5DcfmMXfAsuExuE4fQvSUxdAXTITG0QaYmwB7h9cnQhfjJRYJBUBsnjcXBT9TBKNXng57F3D4z0DZ/wET7gdm/WffqbyHOajclI8cOYKqqipMmDBBFQrT6/uWBSEUw3xhI+DyhFBEwCLLFIOPQEe3A6s31eGTw22479oCLJySBlNPJ3pMVmgM8XB4DOgwudDEaqPq5YROCxXVMTrDoCI8EmK82gu9zpv8qrbVjh88V6c++7fbsjFhlDH4Fz4MRmT1Udv+tbCXvgt90VwYF3wJGmMsQHLAzJl8meuB7lPeqA6HCYjN9ZYxTy4G4nIBnQHQklzogBOrvWaP9MuAub8CEsYMg1n2/xK4KZ86dUoluBozZgzGjh3rV+ioEIr+Yy5HBgcBIRTBwVFGiTAEGJ2xfk+zSsN965JcVcrcau6G3X6mlgedLxk6Sp8Li8ODhjYHyuusOFJrVaXNs5P1mD46BlPyY5CVHKUiRb77ZDVOtznxg9uycdnYWOjDMR+F2wXHyT2wbnka2oR0xFz5TWhTRp0tQazZwagOFgazNHojOpp3A62lXi1F1kIgZ7GXZLQdAg782ktIWNeDmTZHcOOm3NDQgP379ytzx8SJEy9ZG8Y3VSEUI3jRw+TShVCEyULKNAYXAbfbgz0VHfjD6uO4YmY67r4yH257z1mE4twrYgoKHsf3dpML5bVW7D9hVu96nQbTCo2oqLPiRKMd9yxNw4qSBGUyCb/mgbulCuYNj8Njaodx2TegL5x5iWkyd4f7TOhoxxGgboM37batBYgrAFjbo6cKmPFDYOq3RzxkLGPOmh6pqamYPHmyCh3tqwmh6Ash+T7UCAihCDXCMn7YIlBR04M/vV6JnDQjvnxNPuL0Njjs9j6rjRIQkgqH063Kl1vsHjCE9GSDHZvLelBea8FVJQn4wpJUZIdpPgp3Tytsu1bDUbkDhpLrYJx7h5/OlGRln+WkUNqLJm9eipOvA7XvARO+Asz+2YhPw93T04Pt27cjLi5OJbdiToq+clEIoQjbrWbETEwIxYhZKrnQ4YZAXYsVT79brRJV3Xp5LvJTXYjWuZCemuh3tVHOiZkVnE6PKmle2WDH795sUOaQh67NwLgc/9IuDzds+roej7UTjoNvwr7/TehGlcB41fegiQ4kH8VnZ1DkwgLUvAvs/y+vI+fsnwNpJX1dwrD+3mq1YufOneoaGemRlpYmhGJYr5hcnNrLPB5QdpntNSUlxS9TXW/kNB6OMMSNl1BXV4eEhAT18idme4gvWU4fBgh09NAx8zQ+2NeBmRNTkZ+mgUHrRmZqvIr6YNgnU2gnGLV9/hj44LA6PPiXZ2phsbrx0Mp0zBgTe8lw0xELo60DrqNvwLn/RZVzwjDrDmiSxwJxOd4CYPoE/3NREIT2MmD/L73aist+DIy+ZcRCwwtnDooDBw6Amori4mKVhruvfU00FCN6ycPi4oVQhMUyyiSGAgGbw4UPdjfj+Q/rcdmkNORn6NFlcqhU0sZoPaKjNIjWa1WoaGp8lHqxKBj9Ii5V/Ou3bzTiSK0Fty5IwZXTEhBnDMMEV24H3E0H4dj9NNy1O6DPn4ConPFAVBygjweMGd7qonzFZPZdmpwOmYf+CBx5HJj2PWDqtwDtyNXukByUlZWpQmHjx49HQUFBn7kohFAMxS4g5+yNgBAKkQdBoJ8IMHfEzrJ2PLq2CoumpmLZ9FjERLnhiYpDhy1KmUIYsdHa5UC0QYtYgxYxBo3KqknNRWq8DikkGXE6GA3UYngv5PXt7Xh7bxfmTYjD7QuTVf6KcGzMR2ErXacqkOrHzkHs7BXedNpMVuXo8pILQ4I3yVUsyUW+N2T0gmXKPcCxl4B9PwNyl3nzUbDvCG3Mlnn8+HGVi2L06NEqdJSpuC/VhFCM0MUOo8sWQhFGiylTGVwEaOyrqO7G4+uqkJEUjZWz45GTojvLKZN97C5vam3vy47mLifcbijNA6uO8p1ai5S4KCTGaZVz5vMb21CYacCDK8I3wRWcduWUaf74UWgTMxB/80+giUvxRnRYGrxmDIaLsiAYU3GzqihfsdleswhzUxhTP8ukqQMatwP7fgkw5HTer0d0Gm5my2QuioqKCowaNUqFjhoMBiEUg3uLy9kCREAIRYCASXdBwIcAyUJDmxXPvFeN5g4bbp6fhIl50X1GeTCyo63HicZ2J+rbHSr5Fet5GHQalXfCZPNg46EuZCRG4ZsrM1CcF6MSX4Vd83jgbDgKy4ZH4W6rRdyqHyEqf/o502Q4jAnorgIYLtp1DLBRe2H0ajCiU7zEgqYRurfS5FH7ATD/90DhTRdP2T3MweTGfPr0aZSWliIzM1OFjhqNl050JhqKYb6oEXB5QigiYJFliqFDoMfiVMmttpa24dZFSZg7IR5JSYkBeTdTW9FjdaGly6m0F6xAuvlwN0w2N+5anIIlkxMu6XMRutmFfmR3V6MKH7UdeBvGJV+Bce7tlyYBHhdgbQG6KoGuk4DltDf5ldsOxGYBHceBk695y5lP/qaXdIzQxloerOnBaqPTpk1DbGysaChG6FpGymULoYiUlZZ5hgQBl9uDv29vwCsf1+KaWfG4ckYSMtICD5fqfXFWuxuvbGvH9iM9WDw5AbctSEZsdBg6ZlKnYLfAXr4Rlvf/CP2ExYi97l+g0fubctwDOM3eTJqmOq+ppKMcOPJXIHUKMPsX3jDSEdo6OjpUtkzW8WAuiuTkZCEUI3QtI+WyhVBEykrLPEOGwNaDrcrsQf+HwpxEFGQnYmxuLArSDUiK1X3ubOnvBbDyKBNcvby5HWOzDXhoZYYaJyybxw1n7SFY3v0F9LoGRF92KzR5VwBJ473RHn41ZtJkRzfQ+imw7xdA9wlg6TNA2gy/RhiOnbq7u5XJg6aMSZMmISsrSwjFcFwouabPERBCIcIgCAwQgfLqbjz59il095gxZWwKjHEJaDUBbV0uxBk1KMyKxrisaIzNiUZ6YpTKK3Eplwjl7Flnxf+ua0KMQYt/WpUVtpVHCb2rvQ62zU/Ac+JtGCdOhC7a6TVhJE8EshYAabO8jph0zOyrMXPmgf8CKp4Blj0P5F97dnXSvo4fRt+bzWZVdZSaClYdzc+/tLZFfCiG0eJF6KUMK0LR2tqKPXv2oLq6Wnk0T58+XZXu5U3V1NSkssXROencrHGS2CpCpXeYTJsly59YV4WKqnbcuiQDJRMz4YQBPRYX2ntc6DC70NbtRJfZpa6YpIIptXOS9UhNiFLmDNbyoEMmyYav8uhfP2hRfhX3X5mOOeMvbT8fJlD06zLc1m7YS9+HbfMjiJ66FNEzroLG3uatz0FTBquPMlQ0aRyQOB5ILDpTypxVR3sTDacJqHgaOPAboPgBYNp3AMOlTQX9uuhBOIjJrY4ePYr6+noVNjpu3DjRUAwC7nKK/iMwbAgF2TXthe+++66yGTKRy8yZM3Hy5EnU1taq9LM7duxQ4VPLli1TGTF9TQhF/wVAjhw4Aja7G8+8dwrr9zTiC0szcO38XMTFxoCaBqvDDZPVrZwuuy1udFtc6LK40WPmu0tVIyWh8Ca+0qnsmvFGnYr6eGdvJw5VW3HtrETcvjBl4Bc6TEfwuJ1wVX8K05s/hy5vCmKv+S60MQmAvQOwtQLWZm/NDt/LZff6RjCyg+GjxjTAkOjNrgktUL8R2PMf3uRYSx4bsX4UTqcTJ06cUC/uhzR7XKqeh2gohqmAR9BlDRtCQbXeunXrsHnzZhQVFWHx4sXKZvjSSy8hOzsbd9xxB5599lnQrviFL3xBqQAvRChYla+vFLURtL4y1UFAgMRhzZZ6vL6pHktLknH9whykJMacf+bPypmbbW6YbS6YrB50W11Kc9FtdqPD7FTkg2aOmGgtqprsKKuxYva4WPzDyoyAfTEGYernnYKmHGpZ+AqkuVqrYX73vwFrJ2KW/wOicooB7WcmDkZ2UPNgawesbd4oD3OD1xnT0Q0Y4lUSK018HhCdBo+tFZrS3wOdR+FZ/hqQMsVLNEZK02iBKIOqTHuquhrl5eUq9TYjPXS6i5t9hFCMlAUO3+vsTShYKTcm5gL74CWmH7RaHl1dXYpM8EUVH00dy5cvx+rVq3H55Zfj1ltvxauvvqpK+t59991YuHDhWYSipqZGmUk4ASEU4Suww3VmO8o68MrGRqQkRmNOcQpS4i+dhIjzoB8hq47aHR6lyVAvu0dpMzrNbtS3u1Dd6kJeugF3zItDgL/RQwKVQa9BbmoUMpN00AaQPINZM117XoOm7H0YJi+FLrsYGh+hOHcmLAhGIuHs8WoxrE3Q2BqhsTWTzUATkwZt9yGg+xhc4/8V7sQSQKMfEjwCPalHo4FHb4QzZxrcUTEq9TaTW3FzZk0Pam8v1qjRoN8Fk2L1FRES6HVJf0HAHwRIKOx2u5LDjIyMoSMUvgvp7OxUpOLll1/G3LlzcezYMVx99dVYtWoV3njjDWzdulVpKBYtWvS5+o/H0u+CDJ3pafsq8+sPMNJHEAgEgZpmB97c2YWqBjv0+sB+TM86D6tzezxwUZvh1sHijoZGq0GS3godoxiGa2MEp9sDox64fEoMFk2OU5oWv5vbAX3NXsTsegYaaiS0TDPtj5aDER504nRCAwe0Ogd0Bhv0hi66e8JmzYPLFQ+Pxw+HTr8vNlQdPfA47XDrY2Ba+s/wpOSjs7sHfFjymYEv9cRHIsHNnPthoE+GoZqRjBtZCFD2KId8z83NDVgOg6ah4AXwRTLA/PUvvvii+ptlUEtKSpTJg5/xuzvvvFOp/3xNfCgiS2iH42zpgPnxnnpU1nXBEG3os+6CP3OwO4FO5mzyACksazGMfxO9WUNtqKw34fLpabhj6SgkxwemFXC318JW+j5g7fosDNQflMKnj8dphbOuDK6mSsTf9RtEjZ2Hji4TDh06BNb24J5Hh/SLNTF5hI8sjNSZDAsfCl4ETR4+swX9KaiJmDNnjqq4xxK+N9xwA15//XV1Q918881nxWQLoRip4hde1025pWd+YmJgmTLDAQUSirKqLjz5zinkpsXgi1flITfd3wRV4YDAwOfgsXbDtn8tzB/+GbHLv4noOXegx+ZUeyD3R0a4sa6HEIqBYy0jhAaBYUMoqHl47733lP8DHZC4Kc+fP195ODOUlHnsTSYTLrvsMnVj9a68J4QiNMIhowaGQCQTCiJ1qtGMp9+pVtEtd105CpNHn4nECgzJyOztcVjhqNwJ0+ofwjD9WsRc/W3YoEd5eYXypaAjOh3WhVBEpnyMhFkPC0JBoKxWKxoaGtQTHh2K+KKTJR2NaPYgmWAu+5SUlPOq7gmhGAmiFv7XGOmEggXSXv64DlUNZty8OAdLpl9cPR/+0hD4DD0uJ1wNR9Hzt+9DlzEGcav+A86YNBw7flyFzzMXBR0zL+YjJiaPwDGXI4KLwLAhFD4fCp8fRe9IDZ+TB2+kC0VwCKEIrlDIaP1DINIJRbfZiXXbG7DtUCuump2JGxdmQxdApEf/UA+jozxuuDsa0LP63+BxWBB/60+B9LE4UXVKmT0Y+UZ/MiEUYbTmYTaVYUMoBoKrEIqBoCfHBguBSCcUdocbH+9vxtptDZg9MVn5URiHsydpsBY+iOO4zR0wv/t7OKv2Ie6Gf0NU0VxU1zeomh7My8NkfxcLHRUNRRAXQobqFwJCKPoFmxwkCJyPQKQTCoa77j7SjhfX16IwOxb3X1OAtKS+83GILJ1BwGM3w7Z7NSzbnkfMFQ8iuuR6nG7rwsGDB8GkfdRQ8P1CTQiFSNJQIyCEYqhXQM4fNghEOqHgQh6p7sYLH9QoU8e9VxdgfF5c2KzvYEyEeSicJ3bB9OZPYSi5HsZF96LN4sbBQ4fU6UkomORKCMVgrIacI1AEhFAEipj0FwQugoAQCqCu2YJXNtShusmCu5aNwoIpF/7xEyG6CAJuF1wtVej52z8hatRUxFz5TXRr43C47IgKn2cuCkbBCaEQCRqOCAihGI6rItc0IhEQQgF09Djw5tbT+ORQG65fkIXrF4hjZkDCzAR/lk50v/BdaKJjvKGj8aNwpOKoCh1lkcTRo0cLoQgIVOk8WAgIoRgspOU8YY+AEAqAlVff392INVtOq7DRL63IR7Q+gBTcYS8lfU/Q47Qpk4e7rQYxyx6CZ1QJKipPorKyUuXg6V0Ysfdo4kPRN7bSI7QICKEILb4yegQhIIQCKn3+1tJWPPN+NYoLEvDA9YVISRDHzIBuA5cTli1Pw374Qxjn3Q391BU4dqpOpeAmmZg6deoFQ0eFUASEsnQOAQJCKEIAqgwZmQgIofCue+mJLrzwfjX0ei2+srIQ40aJY2ZAd4TbBXvZelg2/BWGaVfDOOcOVDW149NPS1FQUKD8KC4UOiqEIiCUpXMIEBBCEQJQZcjIREAIhXfdmYL7bx/VKgfNe1bkY95kccwM6I7wuOGsKYVp3W+gL5gO4+L7Ud/jxMGDh1Sm4OnTp6uswec2IRQBoSydQ4CAEIoQgCpDRiYCQii8697WZcfrm+uVY+ZtS3Oxcm4WtJIxM6CbwtVWA/Oan0CTkI6Yyx9AqyYBBw8dVpoJEgqWJhBCERCk0nkQEBBCMQggyykiAwEhFN51ttrdeGdHgyIV187Jwl1X5sGg10SGEARplm5TG8zv/A4eSxeMi76MnuQiHD5SoWod0eSRmZkphCJIWMswwUNACEXwsJSRIhwBIRReAWC10U2fNuPZ92owY1wS7ru2AMnx+giXjsCm77H1wLL5KThP7Uf0nNvhHL0QZUePo7W1VRGKC5UxF5NHYBhL7+AjIIQi+JjKiBGKgBCKMwt/4Hgnnnu/Golxetx/bQFGZ59v849QMfFr2gwdte1bC/u+t1SUh3bGKlScqMapU6dUlMeYMWNEQ+EXktJpMBEQQjGYaMu5whoBIRRnlpclzOmYyZLmTME9c3xSWK990CfndsFxdCssGx5HVNFsRC+6D8dqm1BeXo5Jkyap8NFzq46KhiLoqyADBoiAEIoAAZPugsDFEBBCcQaZti4HXttUh93l7bh7eR6WzcyARtwoArh5PHDWHoL5vf+GLjUfMUu/jqoOOw4fPqwyZZJUREVFnTWeEIoA4JWuIUFACEVIYJVBIxEBIRRnVt3udGPd9gaVMXPV4hzcsiRHFQyT5j8CrpaTMK//P8DlQsyS+9CgTVfJrTIyMlQKbqPRKITCfzil5yAgIIRiEECWU0QGAkIozqyzB8DG/S146cMazJ6Ugi9elYeEmLOfqCNDKvo/S3dXE6xbn4Hz9FEY592F9ozpilDExMSo0NFzy5iLhqL/WMuRwUFACEVwcJRRBAEIoThbCA4c68CL62uRmmTAfdcUIDft7CdqEZlLI+CxdsO2+3XYD6+HoeQ6WCZcjcNHyuF0OlUZcya56t2EUIhEDTUCQiiGegXk/GGDgBCKs5fy5GkTXv64Du3ddnztukJMLEgIm7UejIl4XA7YD74P67bnYRi/CK65X0LZ0UpFXGfOnKlMH0IoBmMl5Bz+IiCEwl+kpJ8g0AcCQijOBqi1y47VG+uw72gHHrxhNOYUn/1ELQLVBwIeDxzHt8Oy4THoMoqgXfIAymuaUVdXh1mzZiE3N1cIhQjRsEJACMWwWg65mJGMgBCKs1ePGTPf2nZaOWd++Zp8XDkrQxwzAxRwZ91hWDb+lenCYFjyNRzv1qky5vShKCwsPCt0VEweAYIr3YOOgBCKoEMqA0YqAkIozl55l9uDj/Y245UNdVg+KwM3L85BrFEXqeLRr3m722pg2fosXE3HYVhwL2oMBaioqFB5KMaOHQud7gyeQij6BbEcFEQEhFAEEUwZKrIREEJx9vq7PR7sKe9QCa4Ks2Jx79X5SEsyRLaQBDh7j7kD1h0vw3H4Q+hn34amnIU4Ul6uUm9PnDgRBsMZPIVQBAiudA86AkIogg6pDBipCAihOHvlWdPjWG0PXlpfC6vDhX+8uQj5mTGRKh79m7fLAeu+N2Hd8jQMU65G++RbUVZeoaqNMgU3Q0h9TQhF/yCWo4KHgBCK4GEpI0U4AkIoziEUAJrabfjb+lqUnujEw3dPwIT8eMmYGeB9Yj/yMSwf/QW6nEkwz/oSyk41KFMHIz1656IQQhEgsNI96AgIoQg6pDJgpCIghOL8lTdZnFi9sR7v7mzEP905DrMnJkOnk4yZgdwjrDhq2fg4oNHCPucelLe5YbFYMGfOHCQlnamRIoQiEFSlbygQEEIRClRlzIhEQAjF+ctus7vx3u4mvLaxDrddkYtr5mQhJlobkfLR30m7WqpgZSnzpkp45t6Do840NDc3Y/78+UhLSxOTR3+BleOCjoAQiqBDKgNGKgJCKM5feYfTjZ1H2vH8BzWYXpSIe67OR1KcPlJFpF/zdpvbYdv+Imyl70I7526cSJiK6upqpaHIzs7+PHRUNBT9glcOCiICQiiCCKYMFdkICKE4f/1dLg8qanrwxNtVMBp0+N4dY5GRHB3ZghLo7N0OWHe/DsumJ6GdfgNqc69AZVW1ykWRn5//eeioEIpAgZX+wUZACEWwEZXxIhYBIRTnLz0jPRrbbXj0rZM41WTCT74yCYWZsRErI/2duP3whzCvfwSa/GloHLMSFbXNGD9+PMaNG/d5GXMhFP1FV44LFgJCKIKFpIwT8QgIobiwCHSbnXjqnVPYerAV/3HvREwZk4goccwM6H5xVu1TKbjdUUa0TrwR5S12lXp78uTJn+eiEEIREKTSOQQICKEIAagyZGQiIITiwutusbvx5uZ6vLn1NO5fWYArZqQjNloyZgZyl7ia6Zj5JBwtp9A95VaUmWKQmJiIGTNmfJ6LQghFIIhK31AgIIQiFKjKmBGJgBCKCy+73enG1tJWPPXuKSwtScftS0chOV4cMwO5STyWTli3Pgfr4fWwldyOw25vYTBGesTFxam/hVAEgqj0DQUCQihCgaqMGZEICKG48LI7P3PM/ONrx5GbYsQ/3FKErFRxzAzoJvG4Yd21GpYtz8I19XqUGYrRbbFiyZIlSlMhhCIgNKVziBAQQhEiYGXYyENACMWF15yOma2ddvzi+XJ0mpz48X0TUZgdJxkzA7xFHIc+gGXTU3DmTkN54iw099ixePFipKSkQKvVioYiQDyle/AREEIRfExlxAhFQAjFxRfebHXhv1cfx6ETXfjXu8djWlEi9FGS4CqQW8V5cg/M9KOIisXJrMtR2+P5PBcFU3GLySMQNKVvKBAQQhEKVGXMiERACMXFl93ucKvkVu/tasTXrivEkpI0xBmjIlJO+jtpV9MJWLY8BXtLLWrHrESlyaByURQUFECv1wuh6C+wclzQEBBCETQoZaBIR0AIxcUlwOX24MM9TXj6nVNYOS8LNy3KQWqilDIP5J5xm9q8jplHNqJp4i0otyZi/IQJKhdFdHS0EIpAwJS+IUFACEVIYJVBIxEBIRQXX3W3x4Oyqm785qWjKC5IwP0rCzEq3RiJYtLvOXucNth2vgrzzlfROX4lDrqykJ2bj2nTpqnQUTF59BtaOTBICAihCBKQMowgIITi4jKgHDO77Pj3J8pUCu5v3TwG4/KklHlAd43bCfvB92He8hx6smfgU00R4lIzMWfuXBU6KoQiIDSlcwgQEEIRAlBlyMhEQAjFJQgFAFYeZaRHY5sND944GjPGJcEgjpn+3yweNxyVO5VjpsWQgk+NJfDEp2PBggWqjLkQCv+hlJ6hQUAIRWhwlVEjEAEhFJdedPpRPL62CruOtOGu5XlYMl0cMwO6TTweuBoqYN70JKwdTTiYvgym6DRFKFJTU+FyudDV1QW3242MjIyAhpbOgkAwEBh2hIIXxJdGo/m8LC//Zzv3cx8A/Lyurg4JCQnqxZhsaYLAYCMghKJvxNdtb8Drm+ux/LIMXDcvSxwz+4asVw8P3J2NsGx+Cpajn6Ci8CY069KVyYNlzEkkhFAEBKh0DjICw4ZQ8EJ6enpQU1MDi8WiyvJmZmYqEtHW1oampibYbDaVFY43T2zsmYqFQiiCLBUyXL8QEELRN2yllZ3439dPYFJhAu5enodccczsG7TelMLSBeuOv8Gy9y1U5q1AtTYXs+bMRV5enuolhCIgOKVzkBEYNoSCm/HGjRuxd+9enD59Gunp6fjOd76D+Ph4vP3229i2bZtS6a1cuRJLly5VmgjRUARZGmS4ASEghKJv7BTcjAAAGe5JREFU+JrabfjF8xVIjNPjy9fkY9yoOGg1mr4PlB5eLa3dAvun78C89TlUp8zA8ejxmDzjMhQVFSnNrBAKEZShRGBYEApeRH19Pfbt24e0tDRUVlbi1VdfxT/+4z9i1KhRWLt2rdJKsFTv2LFjVR9mhhNCMZSiI+c+FwEhFH3LhMnqwu9ePgqWNKeGomRskmTM7Bu2Mz2cdjiOb4f540fRYBiFw7HTMLp4OoqLi1VyKyEUgYApfYONwLAhFGazGSaTSWkeSktL8cgjj+BLX/oSjEYjnnrqKfXdwoULsWrVKhQWFp7lJ8FJ1NbWfu5DQf8LaYLAYCPQ2dn5uVmOcivtfATomPnY2iqU1/Rg1aIcLJyaihiD+Dz5LStuF1ynj8D8wZ/QZrbj05QlyBhdjGnTp6u90kcoqOGVJggMBQJWqxXt7e3KUZj5UQJpGo/PYzKQoy7Q1+eMSeKwfft29frGN76BqKgolJWVKZKxc+dO3HDDDbjxxhuVKaS3hoK+F2TovKnEKXOAiyGH9wsB+gA5nU7l32MwSBbIC4HI+3zdjlZsO9yJ+ZOTcOWMZCTGSgpufwXO43bD09UAz6bHYG44hv3ZN8CYPRbFkyYpueODGTFmGKk0QWCwEaDsMXyZfpCMNBoyQsGJ0+ny2LFjikBQCzFz5kxl2qD3Mh0z//jHPyInJwd33XUXsrKyziMUJBKykQ+2CMn5fAjwJqKfD0ktibC0CyNwoNKMNz9pQ1F2NK6fm4K0RMEqEFnRWLuh3f0i7Me24UD2SrjSijBhYrHS0HIP5abORFfSBIGhQIAPVXa7Xf1GDxmhIKupqKjAnj17kJycjIkTJypNA5k2N2cSBZo+GPlBx0yW7O2toaDJgzcRX2LyGAoxknNS3cwbiRs7aytIuzACJ06b8eQ7NUiMi8IXluWiIDNGSpkHIix2Mxz71sCyczVKkxfCnDEZ02ZeplTMPg0F/5YmCAwFAiS1NP/S13HICEVjYyPWrFmjTBu0/5FE8KZgJb3u7m7k5uaiqqoKM2bMUBX2xClzKERFznkpBMQp0z/5YKTH43+vgsXuwl1XjsKU0YnQacXvyT/0ADjtsB3ZAPP6P6MsejJaMmegZPYC9URIQiGJrfxGUjoGGYFh45TJUNFdu3ahpaVFTZGaBkZ1kO3Qd4I3C50ySSzO9ZGQPBRBlgoZrl8ICKHwD7YeixNPv1uNqgYzVi3OwYLJKRLp4R903l5uJ5x1R2Be+wsc9WSiLn0OimfOUxFx3C+FUAQCpvQNJgLDglAMdEJCKAaKoBwfDASEUPiHotXuxltb67GjrF2l375ufpYqGCbNTwQ8bri7mtDzxo9Q3W7DiawrUDh1NsaMGaMc4oRQ+ImjdAs6AkIogg6pDBipCAih8G/lHS4Ptpa24O/bG1BcEI8vLM+XSA//oPP28njgtnXD/M7v0HCyAkcylyNr4kyMHz9ekQkhFIGAKX2DiYAQimCiKWNFNAJCKPxbfrfbg9ITXXj5o1pVy+O+awuQlSJOrP6h9xmncNph3fwkWvZ/iNL0pUgqmoHiSZM/4xseKQ4WCJjSN2gICKEIGpQyUKQjIITCPwlgrb+Tp0144YMaONwe3HdtPsblnskr498oEd7L7YKt9F20b3gKpYkLoB89A8WTp6pcPNzUpdpohMvHEE1fCMUQAS+nDT8EhFD4v6aNbTb87eNa1DVbcOeyUZhTfCYM3P9RIrinxw1n7SF0rvkZPjVOgytvFoqnzVA5UNiEUESwbAzh1IVQDCH4curwQkAIhf/r2dHjUD4Ueys6cNVlGbhhYbb/B0tPrx9FVyO6X3kYpe5RMOXMwvipM1UOFObhEUIhQjIUCAihGArU5ZxhiYAQCv+X1WxzYdOBFry7qxEzxiYpPwrJReE/fuzpsZlgWvNjlLVr0Jo5E6Mnz1QJ/5ijRwhFYFhK7+AgIIQiODjKKIIAhFD4LwQOpxt7j3Zi9YY6ZKVG41u3FCHWKKGj/iPIfBQumD78X1SeqEJd6kzkTJyhiASzCguhCAhJ6RwkBIRQBAlIGUYQEELhvwy4PR6UV/fghQ+rAQ/w3TvGITNZIj38R9Db07p3Dap3rUdlUglSx5aoxH/0oxBCESiS0j8YCAihCAaKMoYgAIiGIkApqG6y4OX1tahrseDrN47BlDEJAY4g3Z2n9qP2/SdQEVOMuNElyC8oVFVHhVCIbAwFAkIohgJ1OWdYIiAaisCWtaXTjrXbTmPnkXbcsiQH1849U0E4sJEit7erow4Na/+AMvcoROVNQf7oIlVQUQhF5MrEUM5cCMVQoi/nDisEhFAEtpys6fHxvmas3d6ABVNScb84ZgYG4GeOmS3r/j8c6o6BI7MYBUXjVVFFVmWWJggMNgJCKAYbcTlf2CIghCKwpbU73NhV3q4SXOVnxuCf7hyHmGhxzAwIRY8bnR8+gtLTPehJHou8oomqkKIQioBQlM5BQkAIRZCAlGEEASEUgcmA2wMcPtmFJ98+Ba0W+OGXJiBdHDMDAxFAz+41OFxegdaYfGSNKUZeXp4iFdIEgcFGQAjFYCMu5wtbBIRQBL60J0+b8fwHNahpMuN7d4zD5NHimBkoitbjO1C+azPqtJlIKZigqo7m5OQEOoz0FwQGjIAQigFDKAMIAl4EhFAELglN7Tas2VKPzaVt+Mp1BVg+KwOawIeJ6CMcjcdRuWUtKh1JiMspwoQJE1X4qDRBYLAREEIx2IjL+cIWASEUgS9tl9mBj/a24OWPa3Hjgmx8cUUetBqhFIEg6epuwanNr6GiUwd9xmhMmjwZo0aNCmQI6SsIBAUBIRRBgVEGEQREQ9EfGbDRMfNIG/7yZhVmT0zCt24di2i9tj9DRewxbqsJpz95C2UNJnhS8jBpylTk5+dHLB4y8aFDQAjF0GEvZw4zBERDEfiC0jGzrKoLf3i1EpkpBvzL3eOREm+AKCn8x9LjsKLl0w04eKIe9rhMTJ5WgoKCAv8HkJ6CQJAQEEIRJCBlGEFACEX/ZKCqwYzH/16FLpMD375tLMbnxQuhCARKlwMdx/eh9HAZTPoUFE8tUY6Z0gSBwUZACMVgIy7nC1sEhFD0b2mbOmx4bWMddpd34KvXFWLR1FRoteJH4Teabhe664+jbP9utHtiMW7ydIwbN87vw6WjIBAsBIRQBAtJGSfiERBC0T8R6DY78dG+ZqzeWIdbluTi5sU5iNIJofAfTQ8srQ2o2LMFjTYdRk+YgonFxf4fLj0FgSAhIIQiSEDKMIKAEIr+yYDDwVLmHfjja5W4vCRdaSmMBnHMDARNe3c7Kj/9BNVtFuSOmYCpU6dCI44ogUAofYOAgBCKIIAoQwgCREAIRf/kgJvQ0VoTfvPSMRTlxOKbN49BaoI4ZgaCptPSg+ryAzhW04j03HzMnDUbWqYflSYIDCICQigGEWw5VXgjIISi/+tb22zBn9ecgNPlwUM3jVHEQvwo/MfTZbfi9MlylFVUIi4lHfMXLIIuKsr/AaSnIBAEBIRQBAFEGUIQEA3FwGSgtdOOF9fX4NDJbnxlZQFmjk8WP4oAIPW4HGipr8ahw4ehi47FgoWLYIg2BDCCdBUEgoCAxwOr1Yb2jg6kpaUhJiYmoEE1HlKSIW68hLq6OiQkJKiXqPqGeEEi9PSioej/wpssTry9oxFvbKnH1bMzcdlEIRSBoemBpaMFjVWHodFpMGnieBgD3MwDO5/0FgQugIDHA4fDAYfLg5y8PMTGxgYEkxCKgOCSzuGMgBCK/q8uN6Dth1rxh9WViNICscYoyUURIJyJUWZMTDiN1HgHojRuaDzuAEeQ7oLAwBHQ6bTIzSvAtFmXIS4uPqABhVAEBJd0DmcEhFAMbHUr600qH4XJ6sKQqz0HNpUhOTpGa0NudDPSjT0w6HVDcg1yUkGAwUWpGZkonjINcXFxAQEihCIguKRzOCMghGJgq0uHTJo+XMIm+gWky2mHuasdcNmQmprarzHkIEFgQAh4PLDZbTCZLcjMykaMmDwGBKccHMEICKEY+OIPvUfWwOcwVCM4nA50dXbC43YjPSNjqC5DzhvBCNCf0Wa1oq29XZFaccqMYGGQqQ8MASEUA8NPjh4YAnSG6+rqgtvtRoYQioGBKUf3CwEJG+0XbHKQIHA+AkIoRCqGEgEhFEOJvpybCAihED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kIoggimDBXZCAihiOz1H+rZC6EY6hWQ8wuhEBkQBIKEgBCKIAEpw/QLASEU/YJNDgoiAiOCULhcLjidTuh0OkRFRZ03fU6irq4OCQkJ6qXVaoMIkQwlCPiHgBAK/3CSXqFBQAhFaHCVUf1HYFgTCl5cS0sLTp48CZvNpsjE2LFjkZ6efhZpEELh/4JLz9AhIIQidNjKyH0jIISib4ykR2gRGNaEwmw244MPPkBFRQUmTJiAffv2YebMmVixYoXSRPiaEIrQComM7h8CQij8w0l6hQYBIRShwVVG9R+BYU0oqqur8dhjj6GwsBB33303nnzySbS2tuKLX/wiJk2aJITC/3WWnoOAgBCKQQBZTnFRBIRQiHAMNQLDmlAcOnQIf/rTn7Bs2TLccssteO2117B9+3ZFLhYtWgSNRqPwc7vdOHLkCMrLy5UpxPf5UIMr548sBKhRo69PTEwM9Hp9ZE1eZjvkCNDXzGKxqOuIj48f8uuRC4hMBPh7nJmZiRkzZgQshxoPKUmI2sGDB/HnP/8ZV111FVatWoU33ngD27Ztw1133XUWoeAlnD59Gjt37gRZujRBYCgQ4I3ERkIrpHYoVkDO6ZNBcUwXWRgqBBg8MX78eBQXF8NgMAR0GSElFJWVlcrkMWXKFNx555148cUXQTMI/546depZF9pb3RfQDKSzICAICAKCgCAgCAQFAT5MxcbGKk1toA9WISUUtElTK9Hd3a20FG+//TYyMjJwww03qHdpgoAgIAgIAoKAIBAeCISUUNAmePz4cXz66acqBwVDR0tKSlTEh9iow0OAZBaCgCAgCAgCgoAyF4fSh4InoCmjvb0dVqsVRqMRSUlJiI6OFvQFAUFAEBAEBAFBIIwQCDmhCCOsZCqCgCAgCAgCgoAgcBEEQk4o6LXMcDyaO6iZoKMHPZipueBnbHFxceozhuz5QveozWBfNvbzZdqks0igjiKy+pGNAKOIGI5HLRmztVLeaIKjvPnC9ChvNMPRTEcZtNvtSl4pb5RN/s/jeRw/v1AK+chGWWbfFwLcwyhbvj2PHvTcHymDlDv+T9nqHU5PueP//I7yyjF4jE9eZS/sC3X53ocA90HKEH0ae8sgP6dcUdZ8Msg9jzJpMpnUO+WM+ybfuQ/yM8rgudaGkBIKCj7DQT/66CMwhHTUqFG4/vrrlUPm4cOHUVVVpSbBeFdGfTAq5OOPP8apU6cwefJkXHvttWoz379/v6r1wc2cOS1yc3PV39IEAX8QaG5uxsaNG5UvT3JyspKrcePGKRlkrhTeUIxEogw2NTWpvsyJUlBQgNtuuw2JiYnYsmWLkmXecNOnT1dhVeIH5A/60ocIkEgwUzBliwSC+9jChQuVTO3du1d9lpWVhVmzZqn9kRs35Zb7Ife7yy67DGVlZTh27Jh6GBszZozyR6NsShME/EGAMsbf4ffffx9tbW1YsmQJli5dqlwSuA/yPTU1VclgTk6OkrV33nkHDK6gTHLfpOwdOHBAvfMzjtE763VICQVvok8++QQnTpxQF/D3v/9dEQpu5iQJ8+bNU58ztPTXv/61+owEg7U/uKGvXLlSJdZg6m4ex+OptbjnnnskSsQfCZI+CgEfSSXbpozl5+crovDSSy+pG4rsnGTjpptuUjcV+7EGDZOw3XvvvUob8cQTT+Chhx5SJIR9eDzHkSYI+INAaWkpdu3apUgoN3Vu0t/61rfwt7/9TT08cU/csWOHer/66qsVyf3www/x3HPPKVkj4X3llVcwe/ZstekzZw+TA86fP1+0Zf4sQIT3oUahtrZWRVqSoFIe+fra176mAifYli9fjg0bNiitA/dC7o98kB89erSSURIHPlj5kl5RHufMmaN+p30a25ASCjIiMnCfmeIXv/iFSsNNzQU38S984QvqQpiK++GHH1YXTuZ99OhRFW7qYz58Kvz617+ubqL/+Z//wW9/+1s1QWmCgD8IkASQTVNVR1JKTRifDt9880386le/Uk+Hf/jDH9RGfsUVV6h+vNl2796tWDkZPQnGj370I8XOqXG75pprFBmRJgj4gwA3856eHvXkx035vffew5VXXqmI6j//8z+ryDc+DbI0AR+YSDgodzU1NWrT5g8CZZJ7Jjf0559/Xo3FJIGSVdOfFYjsPjR1UCvR1dWFvLw89dDOh3gSVOaGogaMJGLNmjVKW3Hddddh9erVat+jBYF7Y0NDg5JbZrqmhpZ5pfj7/oMf/ED9VquEgKGM8iDL5o1AswUnwAsg0+YGz5Pff//9ynTBp0DeRGTiJB/UapDNZ2dnq758J6Gg1uLBBx/EX/7yFwWAZJOL7JvE39lTC0ZZ4Y3Dpz42ElkSAxJUasX+/d//HZdffrnaoMnY165dq2SWMkkmTrL7/e9/X91sJLsLFixQ30kTBPxBgPugr04CCyaSKNAE/OijjypSyyrMJLvc72688Ub1NMmIOJpJ+BDW2NioTCDcM1mtmXWRuHdyP0xJSfHnEqRPBCNA2eODPN+5F1IbRnLAfY1EldoJkgg+ZG3atEntbbQw8OGeD1asvUXzGktkfPvb31ak5NVXX1Xj/OxnP1PmupATCt/6kRVt3rxZaSXIdl5//XVl6rjvvvvU5L785S/jgQce+FzlTE0EiQVVM2RJZOQkFLQhUk3I+iAcRwhFBN8hAU6djkjcnOkjwZSy/Jvkwkco/vM//1NpJ5jFlUycMsgnRG70tCXSn4KEgupqkg1qOMjopQkC/iJAUsENmrJHjQQ37J///OeKUNDUsW7dOmVmKyoqUuSBWlhu7tRE+EgxCUVaWhqefvpp5RT3la98RREPaYKAPwiQVJCckjjw4Z4yyAcr7n00Xbz11ltKBilnEydOVNpaas5oNiYBpkbiO9/5jjL3klCQbPz0pz9VJHdQCAXt0VQTc5OeNm2a8oHghkw7NDdvmjOonaAZg+YOPgFSPcPJ8CZiQTH2IRPnxZOZ8yakykWaIOAPAiSylCs+FfJpj8K/detWRRh+8pOfKKL7yCOPKLXeihUr1JDc0ElmeQPyh4DaDZo86GtBlTVvPtqvpQkC/iBAOaKzOfdCOgZzf6N9+sc//rEiqvyf8kjtGJ/++BDGfdCnqeVnnZ2dSoPGp0H6XnC/ZI0kXzScP9chfSIXAe5jfKAiOaC2gVp++ieSUJC83nzzzYpo0CTM32QSCGpyqZWgltbnqMnfbRLil19+WZlEaLLzpekOqcmDqmSycV4kNQ40XdDeR1UdVXp8UqSTEi+MGztvNhYPo9MRWTc1E2RIvPH4RMixSC5uv/12xdKlCQL+IECVHs0UvKF4U/Bmok8FN2uSXDJrOg4zPTzt3HxRXvkZnxwpoy+88IK64Si3ZPVMH08NmjRBwB8E6uvr1T7IDZxaL2oXqEZev3690n5R9UztBTdxRhtx7ySp5dMhyQQ97/lDQO0FCTHNv3Rq54+CRLz5swKR3YeElj/+NKvRWsCHIe5rNJfxcz5UzZ07Vz14UTZJGKiN4AMYH8RIbrnf8TeY5IGyy4cyajn4EOaTwZASCpIBhkRx4/aVJeeNQyLBm4WMm43kgRs7J0r1MvvyAtmPGzo3dk6Y2g46kfAGkzwAkX2D+Dt72gz37NmjbH28KXgT8QmPPhDUmpEgUNZINPiUyL5UCbIPiS03f8ojtRK+eGzKH/sGWonP32uWfuGHAP1x6EHPzZtklfsX7dbUwvKJkDLIjZp7HmWPMsf9kRs4N33KG4kxj+d33DO5qYv/RPjJSihmRELB/Y7+O5QhRnKQODAEng/51MByr+TnJBF8aKJFwKcEoEWAD2LUslFeeSzlkESXMujLhxJSQuFLEkRi4auSzpuJF8PNnQSBjSpANp+az+c4whuMLx7Pp0Zu4JyU+E6EQuTCd0z6T/gSAlHwedPwJqJ8UuYob5Qrkg3KGaM++Df7+HJNUAY5Dv9nghfJQRG+8hKKmfn2MF95chIIyhzfKVfUSPgqPPr2N/blcfyfMss9k/JJuaUMch+VxFahWK3wG5N7HGXMJz+cIWWPckRyyz2PL/7eUg59JTMoX5RTH4HwySD3U0Z2sG/vFlJCEX7LIjMSBAQBQUAQEAQEgQshIIRC5EIQEAQEAUFAEBAEBoyAEIoBQygDCAKCgCAgCAgCgoAQCpEBQUAQEAQEAUFAEBgwAkIoBgyhDCAICAKCgCAgCAgCQihEBgQBQUAQEAQEAUFgwAgIoRgwhDKAICAICAKCgCAgCAihEBkQBAQBQUAQEAQEgQEjIIRiwBDKAIKAICAICAKCgCAghEJkQBAQBAQBQUAQEAQGjIAQigFDKAMIAoKAICAICAKCgBAKkQFBQBAQBAQBQUAQGDACQigGDKEMIAgIAoKAICAICAL/P+oiYlXLFzICAAAAAElFTkSuQmCC">
          <a:extLst>
            <a:ext uri="{FF2B5EF4-FFF2-40B4-BE49-F238E27FC236}">
              <a16:creationId xmlns:a16="http://schemas.microsoft.com/office/drawing/2014/main" id="{2DD275D1-028E-C543-9BF2-AB310E94BC40}"/>
            </a:ext>
          </a:extLst>
        </xdr:cNvPr>
        <xdr:cNvSpPr/>
      </xdr:nvSpPr>
      <xdr:spPr>
        <a:xfrm>
          <a:off x="4426857" y="16183429"/>
          <a:ext cx="314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xdr:from>
      <xdr:col>25</xdr:col>
      <xdr:colOff>9073</xdr:colOff>
      <xdr:row>10</xdr:row>
      <xdr:rowOff>7256</xdr:rowOff>
    </xdr:from>
    <xdr:to>
      <xdr:col>32</xdr:col>
      <xdr:colOff>780143</xdr:colOff>
      <xdr:row>29</xdr:row>
      <xdr:rowOff>127000</xdr:rowOff>
    </xdr:to>
    <xdr:graphicFrame macro="">
      <xdr:nvGraphicFramePr>
        <xdr:cNvPr id="8" name="Graphique 7">
          <a:extLst>
            <a:ext uri="{FF2B5EF4-FFF2-40B4-BE49-F238E27FC236}">
              <a16:creationId xmlns:a16="http://schemas.microsoft.com/office/drawing/2014/main" id="{E46DB8F9-9B8A-6F4C-BEC0-747D45252448}"/>
            </a:ext>
            <a:ext uri="{147F2762-F138-4A5C-976F-8EAC2B608ADB}">
              <a16:predDERef xmlns:a16="http://schemas.microsoft.com/office/drawing/2014/main" pred="{2DD275D1-028E-C543-9BF2-AB310E94BC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15679</xdr:colOff>
      <xdr:row>53</xdr:row>
      <xdr:rowOff>15679</xdr:rowOff>
    </xdr:from>
    <xdr:to>
      <xdr:col>32</xdr:col>
      <xdr:colOff>786749</xdr:colOff>
      <xdr:row>72</xdr:row>
      <xdr:rowOff>140350</xdr:rowOff>
    </xdr:to>
    <xdr:graphicFrame macro="">
      <xdr:nvGraphicFramePr>
        <xdr:cNvPr id="9" name="Graphique 8">
          <a:extLst>
            <a:ext uri="{FF2B5EF4-FFF2-40B4-BE49-F238E27FC236}">
              <a16:creationId xmlns:a16="http://schemas.microsoft.com/office/drawing/2014/main" id="{208F89EE-CD6C-D64F-9579-125EEB762811}"/>
            </a:ext>
            <a:ext uri="{147F2762-F138-4A5C-976F-8EAC2B608ADB}">
              <a16:predDERef xmlns:a16="http://schemas.microsoft.com/office/drawing/2014/main" pred="{E46DB8F9-9B8A-6F4C-BEC0-747D45252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31358</xdr:colOff>
      <xdr:row>73</xdr:row>
      <xdr:rowOff>15679</xdr:rowOff>
    </xdr:from>
    <xdr:to>
      <xdr:col>32</xdr:col>
      <xdr:colOff>807966</xdr:colOff>
      <xdr:row>92</xdr:row>
      <xdr:rowOff>185809</xdr:rowOff>
    </xdr:to>
    <xdr:graphicFrame macro="">
      <xdr:nvGraphicFramePr>
        <xdr:cNvPr id="11" name="Graphique 10">
          <a:extLst>
            <a:ext uri="{FF2B5EF4-FFF2-40B4-BE49-F238E27FC236}">
              <a16:creationId xmlns:a16="http://schemas.microsoft.com/office/drawing/2014/main" id="{124D6C92-FD7B-0D49-BA60-81992FC4BD8F}"/>
            </a:ext>
            <a:ext uri="{147F2762-F138-4A5C-976F-8EAC2B608ADB}">
              <a16:predDERef xmlns:a16="http://schemas.microsoft.com/office/drawing/2014/main" pred="{728F84BC-4332-C448-91CD-3B9C58314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9071</xdr:colOff>
      <xdr:row>30</xdr:row>
      <xdr:rowOff>18019</xdr:rowOff>
    </xdr:from>
    <xdr:to>
      <xdr:col>32</xdr:col>
      <xdr:colOff>785679</xdr:colOff>
      <xdr:row>50</xdr:row>
      <xdr:rowOff>1</xdr:rowOff>
    </xdr:to>
    <xdr:grpSp>
      <xdr:nvGrpSpPr>
        <xdr:cNvPr id="18" name="Groupe 17">
          <a:extLst>
            <a:ext uri="{FF2B5EF4-FFF2-40B4-BE49-F238E27FC236}">
              <a16:creationId xmlns:a16="http://schemas.microsoft.com/office/drawing/2014/main" id="{8ED7DFA0-A338-384F-8DB6-E08EB58EDD99}"/>
            </a:ext>
          </a:extLst>
        </xdr:cNvPr>
        <xdr:cNvGrpSpPr/>
      </xdr:nvGrpSpPr>
      <xdr:grpSpPr>
        <a:xfrm>
          <a:off x="20202071" y="6952219"/>
          <a:ext cx="6577333" cy="3763407"/>
          <a:chOff x="20266355" y="6932463"/>
          <a:chExt cx="6593522" cy="3729266"/>
        </a:xfrm>
      </xdr:grpSpPr>
      <xdr:graphicFrame macro="">
        <xdr:nvGraphicFramePr>
          <xdr:cNvPr id="10" name="Graphique 9">
            <a:extLst>
              <a:ext uri="{FF2B5EF4-FFF2-40B4-BE49-F238E27FC236}">
                <a16:creationId xmlns:a16="http://schemas.microsoft.com/office/drawing/2014/main" id="{728F84BC-4332-C448-91CD-3B9C583147A4}"/>
              </a:ext>
              <a:ext uri="{147F2762-F138-4A5C-976F-8EAC2B608ADB}">
                <a16:predDERef xmlns:a16="http://schemas.microsoft.com/office/drawing/2014/main" pred="{208F89EE-CD6C-D64F-9579-125EEB762811}"/>
              </a:ext>
            </a:extLst>
          </xdr:cNvPr>
          <xdr:cNvGraphicFramePr/>
        </xdr:nvGraphicFramePr>
        <xdr:xfrm>
          <a:off x="20266355" y="6932463"/>
          <a:ext cx="6593522" cy="3729266"/>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13" name="Connecteur droit 12">
            <a:extLst>
              <a:ext uri="{FF2B5EF4-FFF2-40B4-BE49-F238E27FC236}">
                <a16:creationId xmlns:a16="http://schemas.microsoft.com/office/drawing/2014/main" id="{D86E89EC-8872-8047-9708-73D57BA706FC}"/>
              </a:ext>
            </a:extLst>
          </xdr:cNvPr>
          <xdr:cNvCxnSpPr/>
        </xdr:nvCxnSpPr>
        <xdr:spPr>
          <a:xfrm>
            <a:off x="23440123" y="9689630"/>
            <a:ext cx="0" cy="548765"/>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A1D8E266-C787-8A46-B424-1615323BF472}"/>
              </a:ext>
            </a:extLst>
          </xdr:cNvPr>
          <xdr:cNvCxnSpPr/>
        </xdr:nvCxnSpPr>
        <xdr:spPr>
          <a:xfrm>
            <a:off x="22745856" y="9653882"/>
            <a:ext cx="4391" cy="584513"/>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c:userShapes xmlns:c="http://schemas.openxmlformats.org/drawingml/2006/chart">
  <cdr:relSizeAnchor xmlns:cdr="http://schemas.openxmlformats.org/drawingml/2006/chartDrawing">
    <cdr:from>
      <cdr:x>0.6254</cdr:x>
      <cdr:y>0.50452</cdr:y>
    </cdr:from>
    <cdr:to>
      <cdr:x>0.6254</cdr:x>
      <cdr:y>0.88291</cdr:y>
    </cdr:to>
    <cdr:cxnSp macro="">
      <cdr:nvCxnSpPr>
        <cdr:cNvPr id="3" name="Connecteur droit 2">
          <a:extLst xmlns:a="http://schemas.openxmlformats.org/drawingml/2006/main">
            <a:ext uri="{FF2B5EF4-FFF2-40B4-BE49-F238E27FC236}">
              <a16:creationId xmlns:a16="http://schemas.microsoft.com/office/drawing/2014/main" id="{55ED0311-334A-F74E-A597-2445695176D1}"/>
            </a:ext>
          </a:extLst>
        </cdr:cNvPr>
        <cdr:cNvCxnSpPr/>
      </cdr:nvCxnSpPr>
      <cdr:spPr>
        <a:xfrm xmlns:a="http://schemas.openxmlformats.org/drawingml/2006/main">
          <a:off x="4123580" y="1881482"/>
          <a:ext cx="23" cy="1411129"/>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oneCellAnchor>
    <xdr:from>
      <xdr:col>21</xdr:col>
      <xdr:colOff>83276</xdr:colOff>
      <xdr:row>3</xdr:row>
      <xdr:rowOff>129812</xdr:rowOff>
    </xdr:from>
    <xdr:ext cx="5124450" cy="28194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1822047" y="478155"/>
          <a:ext cx="5124450" cy="2819400"/>
        </a:xfrm>
        <a:prstGeom prst="rect">
          <a:avLst/>
        </a:prstGeom>
        <a:noFill/>
      </xdr:spPr>
    </xdr:pic>
    <xdr:clientData fLocksWithSheet="0"/>
  </xdr:oneCellAnchor>
  <xdr:oneCellAnchor>
    <xdr:from>
      <xdr:col>20</xdr:col>
      <xdr:colOff>356507</xdr:colOff>
      <xdr:row>19</xdr:row>
      <xdr:rowOff>0</xdr:rowOff>
    </xdr:from>
    <xdr:ext cx="5543550" cy="178117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21376821" y="3320143"/>
          <a:ext cx="5543550" cy="178117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Olivier DEL BUCCHIA" id="{54BC568B-1873-EA4F-8B06-FFFD9B8F1509}" userId="S::olivier@goliveprojet.com::3046d681-f087-4b0d-a5db-1ed9afa8a6b1" providerId="AD"/>
  <person displayName="Utilisateur invité" id="{B42FCBF1-BEBD-9348-9ADF-F495C3071C4F}" userId="S::urn:spo:anon#d2074b0e7fdf67c182efe763b11f0202b4442b93d138d1101dfae589c79334f5::" providerId="AD"/>
  <person displayName="Utilisateur invité" id="{C9356277-7397-5240-AC2E-F39BF85325C6}" userId="S::urn:spo:anon#d4392263bdcced3f9f2cc2f19af745499ce3457d974fd9abde99f49217f931e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86" dT="2020-12-01T16:01:52.19" personId="{54BC568B-1873-EA4F-8B06-FFFD9B8F1509}" id="{DCA55A17-6594-4B4A-8ADB-DC2553384F51}">
    <text>Résolution numérique de l’équation : Budget Global Monde à 2100 / Emissions Monde 2018 = (1-(1-x)^83)/x, selon la formule de la somme des termes d’une suite géométrique, les émissions de l’année n+1 étant multipliées par (1-x) par rapport à l’année n</text>
  </threadedComment>
</ThreadedComments>
</file>

<file path=xl/threadedComments/threadedComment2.xml><?xml version="1.0" encoding="utf-8"?>
<ThreadedComments xmlns="http://schemas.microsoft.com/office/spreadsheetml/2018/threadedcomments" xmlns:x="http://schemas.openxmlformats.org/spreadsheetml/2006/main">
  <threadedComment ref="P42" dT="2020-11-15T12:54:34.98" personId="{C9356277-7397-5240-AC2E-F39BF85325C6}" id="{49C43C37-DF1E-4E55-A740-FF637F39E90E}">
    <text>[14]</text>
  </threadedComment>
  <threadedComment ref="H43" dT="2020-11-13T10:42:53.12" personId="{C9356277-7397-5240-AC2E-F39BF85325C6}" id="{408E57FE-1A16-4460-AB02-2C6247D98C6D}">
    <text>[4]</text>
  </threadedComment>
  <threadedComment ref="I43" dT="2020-11-17T19:43:09.10" personId="{B42FCBF1-BEBD-9348-9ADF-F495C3071C4F}" id="{5E38A779-10F1-4CD4-AC04-1A45C0065F79}">
    <text>[4]</text>
  </threadedComment>
  <threadedComment ref="J43" dT="2020-11-16T13:47:07.74" personId="{C9356277-7397-5240-AC2E-F39BF85325C6}" id="{3D1CC725-AD6C-428B-B132-E1C2C8F77C28}">
    <text>[3] Table 14</text>
  </threadedComment>
  <threadedComment ref="I45" dT="2020-11-18T17:55:16.47" personId="{C9356277-7397-5240-AC2E-F39BF85325C6}" id="{235D41BB-784D-42CF-906A-137F021D159C}">
    <text>[6]</text>
  </threadedComment>
  <threadedComment ref="I46" dT="2020-11-13T10:42:24.01" personId="{C9356277-7397-5240-AC2E-F39BF85325C6}" id="{70ED6ACD-F511-4FDF-8275-A50F5ACA7D5B}">
    <text>[8]</text>
  </threadedComment>
  <threadedComment ref="H47" dT="2020-11-18T18:05:05.38" personId="{C9356277-7397-5240-AC2E-F39BF85325C6}" id="{9DD251D2-C5F2-45FE-807C-D030087FB51B}">
    <text>[13]</text>
  </threadedComment>
  <threadedComment ref="I47" dT="2020-11-13T10:42:31.75" personId="{C9356277-7397-5240-AC2E-F39BF85325C6}" id="{FE6F3B6F-A66C-4F48-9AE2-D1855E51F8C5}">
    <text>[8]</text>
  </threadedComment>
  <threadedComment ref="L48" dT="2020-12-08T22:35:21.25" personId="{C9356277-7397-5240-AC2E-F39BF85325C6}" id="{2480F11A-611C-4EB0-B79F-43E3302F79CD}">
    <text>[15] figure 11</text>
  </threadedComment>
  <threadedComment ref="G61" dT="2020-11-17T19:59:16.19" personId="{B42FCBF1-BEBD-9348-9ADF-F495C3071C4F}" id="{6A8467A2-DCD8-4991-9984-5BDF2BDA315C}">
    <text>[15] indique 15Mt de captation pour le CSC (stockage) ce qui ferait environ 5Mt pour du PTL, 3Mt est donc conservatif</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www.ecologique-solidaire.gouv.fr/sites/default/files/Emissions_gazeusesVF.pdf" TargetMode="External"/><Relationship Id="rId13" Type="http://schemas.openxmlformats.org/officeDocument/2006/relationships/hyperlink" Target="https://eco-calculateur.dta.aviation-civile.gouv.fr/" TargetMode="External"/><Relationship Id="rId18" Type="http://schemas.openxmlformats.org/officeDocument/2006/relationships/hyperlink" Target="https://theicct.org/sites/default/files/GACA-FS-FR-oct2020.pdf" TargetMode="External"/><Relationship Id="rId26" Type="http://schemas.openxmlformats.org/officeDocument/2006/relationships/drawing" Target="../drawings/drawing1.xml"/><Relationship Id="rId3" Type="http://schemas.openxmlformats.org/officeDocument/2006/relationships/hyperlink" Target="https://www.iata.org/en/pressroom/pr/2020-07-28-02/" TargetMode="External"/><Relationship Id="rId21" Type="http://schemas.openxmlformats.org/officeDocument/2006/relationships/hyperlink" Target="https://www.icao.int/Meetings/a40/Documents/WP/wp_560_rev1_en.pdf" TargetMode="External"/><Relationship Id="rId7" Type="http://schemas.openxmlformats.org/officeDocument/2006/relationships/hyperlink" Target="https://www.fch.europa.eu/publications/hydrogen-powered-aviation" TargetMode="External"/><Relationship Id="rId12" Type="http://schemas.openxmlformats.org/officeDocument/2006/relationships/hyperlink" Target="https://data.ademe.fr/datasets/base-carbone(r)" TargetMode="External"/><Relationship Id="rId17" Type="http://schemas.openxmlformats.org/officeDocument/2006/relationships/hyperlink" Target="https://www.icao.int/environmental-protection/Documents/Env_Report_07.pdf" TargetMode="External"/><Relationship Id="rId25" Type="http://schemas.openxmlformats.org/officeDocument/2006/relationships/printerSettings" Target="../printerSettings/printerSettings1.bin"/><Relationship Id="rId2" Type="http://schemas.openxmlformats.org/officeDocument/2006/relationships/hyperlink" Target="https://www.eurocontrol.int/sites/default/files/2020-04/eurocontrol-aviation-recovery-factsheet-27042020.pdf" TargetMode="External"/><Relationship Id="rId16" Type="http://schemas.openxmlformats.org/officeDocument/2006/relationships/hyperlink" Target="https://www.iea.org/reports/renewable-power" TargetMode="External"/><Relationship Id="rId20" Type="http://schemas.openxmlformats.org/officeDocument/2006/relationships/hyperlink" Target="https://www.eesi.org/papers/view/fact-sheet-the-growth-in-greenhouse-gas-emissions-from-commercial-aviation" TargetMode="External"/><Relationship Id="rId29" Type="http://schemas.microsoft.com/office/2017/10/relationships/threadedComment" Target="../threadedComments/threadedComment1.xml"/><Relationship Id="rId1" Type="http://schemas.openxmlformats.org/officeDocument/2006/relationships/hyperlink" Target="https://www.iata.org/en/pressroom/pr/2020-05-13-03/" TargetMode="External"/><Relationship Id="rId6" Type="http://schemas.openxmlformats.org/officeDocument/2006/relationships/hyperlink" Target="https://www.icao.int/Meetings/a40/Documents/WP/wp_054_fr.pdf" TargetMode="External"/><Relationship Id="rId11" Type="http://schemas.openxmlformats.org/officeDocument/2006/relationships/hyperlink" Target="https://www.globalcarbonproject.org/carbonbudget/" TargetMode="External"/><Relationship Id="rId24" Type="http://schemas.openxmlformats.org/officeDocument/2006/relationships/hyperlink" Target="https://www.iata.org/en/iata-repository/publications/economic-reports/airline-industry-economic-performance---november-2020---report/" TargetMode="External"/><Relationship Id="rId5" Type="http://schemas.openxmlformats.org/officeDocument/2006/relationships/hyperlink" Target="https://www.ecologie.gouv.fr/sites/default/files/bulletin_stat_trafic_aerien_2019.pdf" TargetMode="External"/><Relationship Id="rId15" Type="http://schemas.openxmlformats.org/officeDocument/2006/relationships/hyperlink" Target="https://gwec.net/global-wind-report-2019/" TargetMode="External"/><Relationship Id="rId23" Type="http://schemas.openxmlformats.org/officeDocument/2006/relationships/hyperlink" Target="https://www.ecologie.gouv.fr/sites/default/files/bilan_emissions_gazeuses_2019.pdf" TargetMode="External"/><Relationship Id="rId28" Type="http://schemas.openxmlformats.org/officeDocument/2006/relationships/comments" Target="../comments1.xml"/><Relationship Id="rId10" Type="http://schemas.openxmlformats.org/officeDocument/2006/relationships/hyperlink" Target="https://www.iata.org/contentassets/060a388cfde24a83b7f38fda101a2239/2020-06-09-01-fr.pdf" TargetMode="External"/><Relationship Id="rId19" Type="http://schemas.openxmlformats.org/officeDocument/2006/relationships/hyperlink" Target="https://theicct.org/publications/co2-emissions-commercial-aviation-2018" TargetMode="External"/><Relationship Id="rId4" Type="http://schemas.openxmlformats.org/officeDocument/2006/relationships/hyperlink" Target="https://www.iata.org/en/iata-repository/pressroom/fact-sheets/fact-sheet---industry-statistics/" TargetMode="External"/><Relationship Id="rId9" Type="http://schemas.openxmlformats.org/officeDocument/2006/relationships/hyperlink" Target="https://www.iata.org/contentassets/6dfc19c3fdce4c9c8d5f1565c472b53f/2020-09-29-02-fr.pdf" TargetMode="External"/><Relationship Id="rId14" Type="http://schemas.openxmlformats.org/officeDocument/2006/relationships/hyperlink" Target="https://bilan-electrique-2019.rte-france.com/" TargetMode="External"/><Relationship Id="rId22" Type="http://schemas.openxmlformats.org/officeDocument/2006/relationships/hyperlink" Target="https://aviationbenefits.org/environmental-efficiency/climate-action/waypoint-2050/"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aminteresse.fr/environnement/foret-francaise-quelques-chiffres-cles-1166116/" TargetMode="External"/><Relationship Id="rId7" Type="http://schemas.openxmlformats.org/officeDocument/2006/relationships/drawing" Target="../drawings/drawing11.xml"/><Relationship Id="rId2" Type="http://schemas.openxmlformats.org/officeDocument/2006/relationships/hyperlink" Target="https://data.oecd.org/fr/waste/dechets-municipaux.htm" TargetMode="External"/><Relationship Id="rId1" Type="http://schemas.openxmlformats.org/officeDocument/2006/relationships/hyperlink" Target="https://www.latribune.fr/entreprises-finance/services/transport-logistique/la-france-envisage-d-obliger-les-compagnies-aeriennes-a-utiliser-des-biocarburants-821160.html" TargetMode="External"/><Relationship Id="rId6" Type="http://schemas.openxmlformats.org/officeDocument/2006/relationships/hyperlink" Target="https://www.ademe.fr/sites/default/files/assets/documents/dechets_chiffrescles_essentiel2018_010690.pdf" TargetMode="External"/><Relationship Id="rId5" Type="http://schemas.openxmlformats.org/officeDocument/2006/relationships/hyperlink" Target="https://vert-lavenir.com/mais/" TargetMode="External"/><Relationship Id="rId10" Type="http://schemas.microsoft.com/office/2017/10/relationships/threadedComment" Target="../threadedComments/threadedComment2.xml"/><Relationship Id="rId4" Type="http://schemas.openxmlformats.org/officeDocument/2006/relationships/hyperlink" Target="https://www.groupementsforestiers.com/linvestissement-forestier/"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hyperlink" Target="https://data.sncf.com/explore/dataset/emission-co2-tgv/table/" TargetMode="External"/><Relationship Id="rId1" Type="http://schemas.openxmlformats.org/officeDocument/2006/relationships/hyperlink" Target="https://data.sncf.com/explore/dataset/emission-co2-tgv/table/"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airfranceklm.com/fr/system/files/documentdenregistrementuniversel_2019_0.pdf" TargetMode="External"/><Relationship Id="rId1" Type="http://schemas.openxmlformats.org/officeDocument/2006/relationships/hyperlink" Target="https://www.mckinsey.com/industries/travel-transport-and-logistics/our-insights/miles-ahead-how-to-improve-airline-customer-loyalty-programs"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3" Type="http://schemas.openxmlformats.org/officeDocument/2006/relationships/hyperlink" Target="http://pax.km/" TargetMode="External"/><Relationship Id="rId2" Type="http://schemas.openxmlformats.org/officeDocument/2006/relationships/hyperlink" Target="https://www.ecologique-solidaire.gouv.fr/sites/default/files/bulletin_stat_trafic_aerien_2019.pdf" TargetMode="External"/><Relationship Id="rId1" Type="http://schemas.openxmlformats.org/officeDocument/2006/relationships/hyperlink" Target="http://pax.km/" TargetMode="External"/><Relationship Id="rId4" Type="http://schemas.openxmlformats.org/officeDocument/2006/relationships/hyperlink" Target="https://www.ecologique-solidaire.gouv.fr/sites/default/files/Bulletin_Stat_trafic_aerien_2017.pdf"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www.ebaa.org/app/uploads/2018/01/EBAA-Economic-report-2017_compressed.pdf" TargetMode="External"/><Relationship Id="rId1" Type="http://schemas.openxmlformats.org/officeDocument/2006/relationships/hyperlink" Target="https://www.ecologique-solidaire.gouv.fr/sites/default/files/Emissions_gazeusesV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workbookViewId="0">
      <selection activeCell="B6" sqref="B6"/>
    </sheetView>
  </sheetViews>
  <sheetFormatPr defaultColWidth="12.625" defaultRowHeight="15"/>
  <cols>
    <col min="1" max="1" width="20.625" style="730" customWidth="1"/>
    <col min="2" max="2" width="108.375" style="731" customWidth="1"/>
    <col min="3" max="3" width="16.625" style="730" customWidth="1"/>
    <col min="4" max="4" width="15.375" style="730" customWidth="1"/>
    <col min="5" max="25" width="10.625" style="730" customWidth="1"/>
    <col min="26" max="16384" width="12.625" style="730"/>
  </cols>
  <sheetData>
    <row r="1" spans="1:2" ht="15.95">
      <c r="A1" s="728" t="s">
        <v>0</v>
      </c>
      <c r="B1" s="729" t="s">
        <v>1</v>
      </c>
    </row>
    <row r="2" spans="1:2" ht="15.95">
      <c r="A2" s="732" t="s">
        <v>2</v>
      </c>
      <c r="B2" s="727" t="s">
        <v>3</v>
      </c>
    </row>
    <row r="3" spans="1:2" ht="48">
      <c r="A3" s="733" t="s">
        <v>4</v>
      </c>
      <c r="B3" s="727" t="s">
        <v>5</v>
      </c>
    </row>
    <row r="4" spans="1:2" ht="15.95">
      <c r="A4" s="734" t="s">
        <v>6</v>
      </c>
      <c r="B4" s="727" t="s">
        <v>7</v>
      </c>
    </row>
    <row r="5" spans="1:2" ht="32.1">
      <c r="A5" s="736" t="s">
        <v>8</v>
      </c>
      <c r="B5" s="727" t="s">
        <v>9</v>
      </c>
    </row>
    <row r="6" spans="1:2" ht="32.1">
      <c r="A6" s="736" t="s">
        <v>10</v>
      </c>
      <c r="B6" s="727" t="s">
        <v>11</v>
      </c>
    </row>
    <row r="7" spans="1:2" ht="15.95">
      <c r="A7" s="737" t="s">
        <v>12</v>
      </c>
      <c r="B7" s="727" t="s">
        <v>13</v>
      </c>
    </row>
    <row r="8" spans="1:2" ht="15.95">
      <c r="A8" s="739" t="s">
        <v>14</v>
      </c>
      <c r="B8" s="727" t="s">
        <v>15</v>
      </c>
    </row>
    <row r="9" spans="1:2" ht="15.95">
      <c r="A9" s="739" t="s">
        <v>16</v>
      </c>
      <c r="B9" s="727" t="s">
        <v>17</v>
      </c>
    </row>
    <row r="10" spans="1:2" ht="15.95">
      <c r="A10" s="739" t="s">
        <v>18</v>
      </c>
      <c r="B10" s="727" t="s">
        <v>19</v>
      </c>
    </row>
    <row r="11" spans="1:2" ht="15.95">
      <c r="A11" s="740" t="s">
        <v>20</v>
      </c>
      <c r="B11" s="731" t="s">
        <v>21</v>
      </c>
    </row>
    <row r="12" spans="1:2" ht="15.95">
      <c r="A12" s="740" t="s">
        <v>22</v>
      </c>
      <c r="B12" s="731" t="s">
        <v>23</v>
      </c>
    </row>
    <row r="13" spans="1:2" ht="15.95">
      <c r="A13" s="741" t="s">
        <v>24</v>
      </c>
      <c r="B13" s="731" t="s">
        <v>25</v>
      </c>
    </row>
    <row r="14" spans="1:2" ht="15.95">
      <c r="A14" s="738" t="s">
        <v>26</v>
      </c>
      <c r="B14" s="731" t="s">
        <v>27</v>
      </c>
    </row>
    <row r="15" spans="1:2" ht="15.95">
      <c r="A15" s="738" t="s">
        <v>28</v>
      </c>
      <c r="B15" s="731" t="s">
        <v>29</v>
      </c>
    </row>
    <row r="16" spans="1:2" ht="15.95">
      <c r="A16" s="738" t="s">
        <v>30</v>
      </c>
      <c r="B16" s="731" t="s">
        <v>31</v>
      </c>
    </row>
    <row r="17" spans="1:2" ht="15.95">
      <c r="A17" s="738" t="s">
        <v>32</v>
      </c>
      <c r="B17" s="731" t="s">
        <v>33</v>
      </c>
    </row>
    <row r="18" spans="1:2" ht="15.95">
      <c r="A18" s="738" t="s">
        <v>34</v>
      </c>
      <c r="B18" s="731" t="s">
        <v>35</v>
      </c>
    </row>
    <row r="19" spans="1:2" ht="15.95">
      <c r="A19" s="738" t="s">
        <v>36</v>
      </c>
      <c r="B19" s="731" t="s">
        <v>37</v>
      </c>
    </row>
    <row r="20" spans="1:2" ht="15.95">
      <c r="A20" s="738" t="s">
        <v>38</v>
      </c>
      <c r="B20" s="731" t="s">
        <v>39</v>
      </c>
    </row>
    <row r="21" spans="1:2" ht="32.1">
      <c r="A21" s="735" t="s">
        <v>40</v>
      </c>
      <c r="B21" s="731" t="s">
        <v>41</v>
      </c>
    </row>
    <row r="22" spans="1:2" ht="15.95">
      <c r="A22" s="742" t="s">
        <v>42</v>
      </c>
      <c r="B22" s="731" t="s">
        <v>43</v>
      </c>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B1132"/>
  <sheetViews>
    <sheetView zoomScaleNormal="85" workbookViewId="0">
      <pane xSplit="1" ySplit="1" topLeftCell="B151" activePane="bottomRight" state="frozen"/>
      <selection pane="bottomRight" activeCell="B107" sqref="B107"/>
      <selection pane="bottomLeft" activeCell="A2" sqref="A2"/>
      <selection pane="topRight" activeCell="B1" sqref="B1"/>
    </sheetView>
  </sheetViews>
  <sheetFormatPr defaultColWidth="12.625" defaultRowHeight="15" customHeight="1"/>
  <cols>
    <col min="1" max="1" width="42" style="958" customWidth="1"/>
    <col min="2" max="2" width="19" customWidth="1"/>
    <col min="3" max="3" width="17.125" customWidth="1"/>
    <col min="4" max="4" width="19.625" customWidth="1"/>
    <col min="5" max="5" width="21" customWidth="1"/>
    <col min="6" max="6" width="19" customWidth="1"/>
    <col min="7" max="7" width="17.125" customWidth="1"/>
    <col min="8" max="10" width="17.625" customWidth="1"/>
    <col min="11" max="11" width="15.875" customWidth="1"/>
    <col min="12" max="16" width="11" customWidth="1"/>
    <col min="17" max="25" width="10.625" customWidth="1"/>
  </cols>
  <sheetData>
    <row r="1" spans="1:25" ht="18.95">
      <c r="A1" s="956" t="s">
        <v>44</v>
      </c>
      <c r="B1" s="107" t="s">
        <v>45</v>
      </c>
      <c r="C1" s="107" t="s">
        <v>46</v>
      </c>
      <c r="D1" s="107" t="s">
        <v>47</v>
      </c>
      <c r="E1" s="107" t="s">
        <v>48</v>
      </c>
      <c r="F1" s="1171" t="s">
        <v>49</v>
      </c>
      <c r="G1" s="1171"/>
      <c r="H1" s="1143" t="s">
        <v>50</v>
      </c>
      <c r="I1" s="2"/>
      <c r="J1" s="2"/>
      <c r="K1" s="2"/>
      <c r="L1" s="2"/>
      <c r="M1" s="2"/>
      <c r="N1" s="2"/>
      <c r="O1" s="2"/>
      <c r="P1" s="2"/>
      <c r="Q1" s="2"/>
      <c r="R1" s="2"/>
      <c r="S1" s="2"/>
      <c r="T1" s="2"/>
      <c r="U1" s="2"/>
      <c r="V1" s="2"/>
      <c r="W1" s="2"/>
      <c r="X1" s="2"/>
      <c r="Y1" s="2"/>
    </row>
    <row r="2" spans="1:25" ht="15.95">
      <c r="A2" s="957" t="s">
        <v>51</v>
      </c>
      <c r="B2" s="2"/>
      <c r="C2" s="2"/>
      <c r="D2" s="2"/>
      <c r="E2" s="2"/>
      <c r="F2" s="3"/>
      <c r="G2" s="309"/>
      <c r="H2" s="2"/>
      <c r="I2" s="2"/>
      <c r="J2" s="2"/>
      <c r="K2" s="2"/>
      <c r="L2" s="2"/>
      <c r="M2" s="2"/>
      <c r="N2" s="2"/>
      <c r="O2" s="2"/>
      <c r="P2" s="2"/>
      <c r="Q2" s="2"/>
      <c r="R2" s="2"/>
      <c r="S2" s="2"/>
      <c r="T2" s="2"/>
      <c r="U2" s="2"/>
      <c r="V2" s="2"/>
      <c r="W2" s="2"/>
      <c r="X2" s="2"/>
      <c r="Y2" s="2"/>
    </row>
    <row r="3" spans="1:25" ht="15.95">
      <c r="A3" s="900" t="s">
        <v>52</v>
      </c>
      <c r="B3" s="2">
        <v>44.06</v>
      </c>
      <c r="C3" s="2" t="s">
        <v>53</v>
      </c>
      <c r="D3" s="97" t="s">
        <v>54</v>
      </c>
      <c r="E3" s="2"/>
      <c r="F3" s="3"/>
      <c r="G3" s="2"/>
      <c r="H3" s="2"/>
      <c r="I3" s="2"/>
      <c r="J3" s="2"/>
      <c r="K3" s="2"/>
      <c r="L3" s="2"/>
      <c r="M3" s="2"/>
      <c r="N3" s="2"/>
      <c r="O3" s="2"/>
      <c r="P3" s="2"/>
      <c r="Q3" s="2"/>
      <c r="R3" s="2"/>
      <c r="S3" s="2"/>
      <c r="T3" s="2"/>
      <c r="U3" s="2"/>
      <c r="V3" s="2"/>
      <c r="W3" s="2"/>
      <c r="X3" s="2"/>
      <c r="Y3" s="2"/>
    </row>
    <row r="4" spans="1:25" ht="15.95">
      <c r="A4" s="900" t="s">
        <v>55</v>
      </c>
      <c r="B4" s="4">
        <f>B25/B23</f>
        <v>0.80634920634920637</v>
      </c>
      <c r="C4" s="2" t="s">
        <v>56</v>
      </c>
      <c r="D4" s="97" t="s">
        <v>57</v>
      </c>
      <c r="E4" s="2"/>
      <c r="F4" s="2"/>
      <c r="G4" s="2"/>
      <c r="H4" s="2"/>
      <c r="I4" s="2"/>
      <c r="J4" s="2"/>
      <c r="K4" s="2"/>
      <c r="L4" s="2"/>
      <c r="M4" s="2"/>
      <c r="N4" s="2"/>
      <c r="O4" s="2"/>
      <c r="P4" s="2"/>
      <c r="Q4" s="2"/>
      <c r="R4" s="2"/>
      <c r="S4" s="2"/>
      <c r="T4" s="2"/>
      <c r="U4" s="2"/>
      <c r="V4" s="2"/>
      <c r="W4" s="2"/>
      <c r="X4" s="2"/>
      <c r="Y4" s="2"/>
    </row>
    <row r="5" spans="1:25" s="309" customFormat="1" ht="15.95">
      <c r="A5" s="900" t="s">
        <v>58</v>
      </c>
      <c r="B5" s="4">
        <v>1.39</v>
      </c>
      <c r="C5" s="2" t="s">
        <v>59</v>
      </c>
      <c r="D5" s="314"/>
      <c r="E5" s="2"/>
      <c r="F5" s="2"/>
      <c r="G5" s="2"/>
      <c r="H5" s="2"/>
      <c r="I5" s="2"/>
      <c r="J5" s="2"/>
      <c r="K5" s="2"/>
      <c r="L5" s="2"/>
      <c r="M5" s="2"/>
      <c r="N5" s="2"/>
      <c r="O5" s="2"/>
      <c r="P5" s="2"/>
      <c r="Q5" s="2"/>
      <c r="R5" s="2"/>
      <c r="S5" s="2"/>
      <c r="T5" s="2"/>
      <c r="U5" s="2"/>
      <c r="V5" s="2"/>
      <c r="W5" s="2"/>
      <c r="X5" s="2"/>
      <c r="Y5" s="2"/>
    </row>
    <row r="6" spans="1:25" s="309" customFormat="1" ht="15.95">
      <c r="A6" s="900" t="s">
        <v>60</v>
      </c>
      <c r="B6" s="639">
        <v>3.2000000000000001E-2</v>
      </c>
      <c r="C6" s="2" t="s">
        <v>59</v>
      </c>
      <c r="D6" s="314"/>
      <c r="E6" s="2"/>
      <c r="F6" s="2"/>
      <c r="G6" s="2"/>
      <c r="H6" s="2"/>
      <c r="I6" s="2"/>
      <c r="J6" s="2"/>
      <c r="K6" s="2"/>
      <c r="L6" s="2"/>
      <c r="M6" s="2"/>
      <c r="N6" s="2"/>
      <c r="O6" s="2"/>
      <c r="P6" s="2"/>
      <c r="Q6" s="2"/>
      <c r="R6" s="2"/>
      <c r="S6" s="2"/>
      <c r="T6" s="2"/>
      <c r="U6" s="2"/>
      <c r="V6" s="2"/>
      <c r="W6" s="2"/>
      <c r="X6" s="2"/>
      <c r="Y6" s="2"/>
    </row>
    <row r="7" spans="1:25" s="309" customFormat="1">
      <c r="A7" s="900"/>
      <c r="B7" s="4"/>
      <c r="C7" s="2"/>
      <c r="D7" s="97"/>
      <c r="E7" s="2"/>
      <c r="F7" s="2"/>
      <c r="G7" s="2"/>
      <c r="H7" s="2"/>
      <c r="I7" s="2"/>
      <c r="J7" s="2"/>
      <c r="K7" s="2"/>
      <c r="L7" s="2"/>
      <c r="M7" s="2"/>
      <c r="N7" s="2"/>
      <c r="O7" s="2"/>
      <c r="P7" s="2"/>
      <c r="Q7" s="2"/>
      <c r="R7" s="2"/>
      <c r="S7" s="2"/>
      <c r="T7" s="2"/>
      <c r="U7" s="2"/>
      <c r="V7" s="2"/>
      <c r="W7" s="2"/>
      <c r="X7" s="2"/>
      <c r="Y7" s="2"/>
    </row>
    <row r="8" spans="1:25" s="309" customFormat="1" ht="15.95">
      <c r="A8" s="957" t="s">
        <v>61</v>
      </c>
      <c r="B8" s="4"/>
      <c r="C8" s="2"/>
      <c r="D8" s="97"/>
      <c r="E8" s="2"/>
      <c r="F8" s="2"/>
      <c r="G8" s="2"/>
      <c r="H8" s="2"/>
      <c r="I8" s="2"/>
      <c r="J8" s="2"/>
      <c r="K8" s="2"/>
      <c r="L8" s="2"/>
      <c r="M8" s="2"/>
      <c r="N8" s="2"/>
      <c r="O8" s="2"/>
      <c r="P8" s="2"/>
      <c r="Q8" s="2"/>
      <c r="R8" s="2"/>
      <c r="S8" s="2"/>
      <c r="T8" s="2"/>
      <c r="U8" s="2"/>
      <c r="V8" s="2"/>
      <c r="W8" s="2"/>
      <c r="X8" s="2"/>
      <c r="Y8" s="2"/>
    </row>
    <row r="9" spans="1:25" s="309" customFormat="1" ht="15.95">
      <c r="A9" s="900" t="s">
        <v>62</v>
      </c>
      <c r="B9" s="4">
        <v>119.93</v>
      </c>
      <c r="C9" s="2" t="s">
        <v>63</v>
      </c>
      <c r="D9" s="97" t="s">
        <v>64</v>
      </c>
      <c r="E9" s="2"/>
      <c r="F9" s="2"/>
      <c r="G9" s="2"/>
      <c r="H9" s="2"/>
      <c r="I9" s="2"/>
      <c r="J9" s="2"/>
      <c r="K9" s="2"/>
      <c r="L9" s="2"/>
      <c r="M9" s="2"/>
      <c r="N9" s="2"/>
      <c r="O9" s="2"/>
      <c r="P9" s="2"/>
      <c r="Q9" s="2"/>
      <c r="R9" s="2"/>
      <c r="S9" s="2"/>
      <c r="T9" s="2"/>
      <c r="U9" s="2"/>
      <c r="V9" s="2"/>
      <c r="W9" s="2"/>
      <c r="X9" s="2"/>
      <c r="Y9" s="2"/>
    </row>
    <row r="10" spans="1:25" s="309" customFormat="1" ht="15.95">
      <c r="A10" s="900" t="s">
        <v>65</v>
      </c>
      <c r="B10" s="100">
        <v>9</v>
      </c>
      <c r="C10" s="2" t="s">
        <v>59</v>
      </c>
      <c r="D10" s="314"/>
      <c r="E10" s="2"/>
      <c r="F10" s="2"/>
      <c r="G10" s="2"/>
      <c r="H10" s="2"/>
      <c r="I10" s="2"/>
      <c r="J10" s="2"/>
      <c r="K10" s="2"/>
      <c r="L10" s="2"/>
      <c r="M10" s="2"/>
      <c r="N10" s="2"/>
      <c r="O10" s="2"/>
      <c r="P10" s="2"/>
      <c r="Q10" s="2"/>
      <c r="R10" s="2"/>
      <c r="S10" s="2"/>
      <c r="T10" s="2"/>
      <c r="U10" s="2"/>
      <c r="V10" s="2"/>
      <c r="W10" s="2"/>
      <c r="X10" s="2"/>
      <c r="Y10" s="2"/>
    </row>
    <row r="11" spans="1:25" s="309" customFormat="1" ht="15.95">
      <c r="A11" s="900" t="s">
        <v>66</v>
      </c>
      <c r="B11" s="639">
        <v>2.5999999999999999E-2</v>
      </c>
      <c r="C11" s="2" t="s">
        <v>59</v>
      </c>
      <c r="D11" s="314"/>
      <c r="E11" s="2"/>
      <c r="F11" s="2"/>
      <c r="G11" s="2"/>
      <c r="H11" s="2"/>
      <c r="I11" s="2"/>
      <c r="J11" s="2"/>
      <c r="K11" s="2"/>
      <c r="L11" s="2"/>
      <c r="M11" s="2"/>
      <c r="N11" s="2"/>
      <c r="O11" s="2"/>
      <c r="P11" s="2"/>
      <c r="Q11" s="2"/>
      <c r="R11" s="2"/>
      <c r="S11" s="2"/>
      <c r="T11" s="2"/>
      <c r="U11" s="2"/>
      <c r="V11" s="2"/>
      <c r="W11" s="2"/>
      <c r="X11" s="2"/>
      <c r="Y11" s="2"/>
    </row>
    <row r="12" spans="1:25" s="309" customFormat="1" ht="15.95">
      <c r="A12" s="900" t="s">
        <v>67</v>
      </c>
      <c r="B12" s="100">
        <v>1.7</v>
      </c>
      <c r="C12" s="2" t="s">
        <v>68</v>
      </c>
      <c r="D12" s="242" t="s">
        <v>69</v>
      </c>
      <c r="E12" s="2"/>
      <c r="F12" s="2"/>
      <c r="G12" s="2"/>
      <c r="H12" s="2"/>
      <c r="I12" s="2"/>
      <c r="J12" s="2"/>
      <c r="K12" s="2"/>
      <c r="L12" s="2"/>
      <c r="M12" s="2"/>
      <c r="N12" s="2"/>
      <c r="O12" s="2"/>
      <c r="P12" s="2"/>
      <c r="Q12" s="2"/>
      <c r="R12" s="2"/>
      <c r="S12" s="2"/>
      <c r="T12" s="2"/>
      <c r="U12" s="2"/>
      <c r="V12" s="2"/>
      <c r="W12" s="2"/>
      <c r="X12" s="2"/>
      <c r="Y12" s="2"/>
    </row>
    <row r="13" spans="1:25" s="309" customFormat="1" ht="15.95">
      <c r="A13" s="900" t="s">
        <v>70</v>
      </c>
      <c r="B13" s="313">
        <f>($B$9/3.6)*B12</f>
        <v>56.633611111111108</v>
      </c>
      <c r="C13" s="2" t="s">
        <v>71</v>
      </c>
      <c r="D13" s="314" t="s">
        <v>72</v>
      </c>
      <c r="E13" s="2"/>
      <c r="F13" s="2"/>
      <c r="G13" s="2"/>
      <c r="H13" s="2"/>
      <c r="I13" s="2"/>
      <c r="J13" s="2"/>
      <c r="K13" s="2"/>
      <c r="L13" s="2"/>
      <c r="M13" s="2"/>
      <c r="N13" s="2"/>
      <c r="O13" s="2"/>
      <c r="P13" s="2"/>
      <c r="Q13" s="2"/>
      <c r="R13" s="2"/>
      <c r="S13" s="2"/>
      <c r="T13" s="2"/>
      <c r="U13" s="2"/>
      <c r="V13" s="2"/>
      <c r="W13" s="2"/>
      <c r="X13" s="2"/>
      <c r="Y13" s="2"/>
    </row>
    <row r="14" spans="1:25" s="309" customFormat="1">
      <c r="A14" s="900"/>
      <c r="B14" s="100"/>
      <c r="C14" s="2"/>
      <c r="D14" s="314"/>
      <c r="E14" s="2"/>
      <c r="F14" s="2"/>
      <c r="G14" s="2"/>
      <c r="H14" s="2"/>
      <c r="I14" s="2"/>
      <c r="J14" s="2"/>
      <c r="K14" s="2"/>
      <c r="L14" s="2"/>
      <c r="M14" s="2"/>
      <c r="N14" s="2"/>
      <c r="O14" s="2"/>
      <c r="P14" s="2"/>
      <c r="Q14" s="2"/>
      <c r="R14" s="2"/>
      <c r="S14" s="2"/>
      <c r="T14" s="2"/>
      <c r="U14" s="2"/>
      <c r="V14" s="2"/>
      <c r="W14" s="2"/>
      <c r="X14" s="2"/>
      <c r="Y14" s="2"/>
    </row>
    <row r="15" spans="1:25" s="309" customFormat="1" ht="15.95">
      <c r="A15" s="957" t="s">
        <v>73</v>
      </c>
      <c r="B15" s="100"/>
      <c r="C15" s="2"/>
      <c r="D15" s="314"/>
      <c r="E15" s="2"/>
      <c r="F15" s="2"/>
      <c r="G15" s="2"/>
      <c r="H15" s="2"/>
      <c r="I15" s="2"/>
      <c r="J15" s="2"/>
      <c r="K15" s="2"/>
      <c r="L15" s="2"/>
      <c r="M15" s="2"/>
      <c r="N15" s="2"/>
      <c r="O15" s="2"/>
      <c r="P15" s="2"/>
      <c r="Q15" s="2"/>
      <c r="R15" s="2"/>
      <c r="S15" s="2"/>
      <c r="T15" s="2"/>
      <c r="U15" s="2"/>
      <c r="V15" s="2"/>
      <c r="W15" s="2"/>
      <c r="X15" s="2"/>
      <c r="Y15" s="2"/>
    </row>
    <row r="16" spans="1:25" s="309" customFormat="1" ht="32.1">
      <c r="A16" s="900" t="s">
        <v>74</v>
      </c>
      <c r="B16" s="100">
        <v>4.5999999999999996</v>
      </c>
      <c r="C16" s="2" t="s">
        <v>68</v>
      </c>
      <c r="D16" s="242" t="s">
        <v>69</v>
      </c>
      <c r="E16" s="2"/>
      <c r="F16" s="2"/>
      <c r="G16" s="2"/>
      <c r="H16" s="2"/>
      <c r="I16" s="2"/>
      <c r="J16" s="2"/>
      <c r="K16" s="2"/>
      <c r="L16" s="2"/>
      <c r="M16" s="2"/>
      <c r="N16" s="2"/>
      <c r="O16" s="2"/>
      <c r="P16" s="2"/>
      <c r="Q16" s="2"/>
      <c r="R16" s="2"/>
      <c r="S16" s="2"/>
      <c r="T16" s="2"/>
      <c r="U16" s="2"/>
      <c r="V16" s="2"/>
      <c r="W16" s="2"/>
      <c r="X16" s="2"/>
      <c r="Y16" s="2"/>
    </row>
    <row r="17" spans="1:25" s="309" customFormat="1" ht="35.25" customHeight="1">
      <c r="A17" s="900" t="s">
        <v>75</v>
      </c>
      <c r="B17" s="100">
        <v>2.8</v>
      </c>
      <c r="C17" s="2" t="s">
        <v>68</v>
      </c>
      <c r="D17" s="242" t="s">
        <v>69</v>
      </c>
      <c r="F17" s="1065" t="s">
        <v>76</v>
      </c>
      <c r="G17" s="1065" t="s">
        <v>77</v>
      </c>
      <c r="H17" s="2"/>
      <c r="I17" s="2"/>
      <c r="J17" s="2"/>
      <c r="K17" s="2"/>
      <c r="L17" s="2"/>
      <c r="M17" s="2"/>
      <c r="N17" s="2"/>
      <c r="O17" s="2"/>
      <c r="P17" s="2"/>
      <c r="Q17" s="2"/>
      <c r="R17" s="2"/>
      <c r="S17" s="2"/>
      <c r="T17" s="2"/>
      <c r="U17" s="2"/>
      <c r="V17" s="2"/>
      <c r="W17" s="2"/>
      <c r="X17" s="2"/>
      <c r="Y17" s="2"/>
    </row>
    <row r="18" spans="1:25" s="309" customFormat="1" ht="32.1">
      <c r="A18" s="900" t="s">
        <v>78</v>
      </c>
      <c r="B18" s="100">
        <f>($B$3/3.6)*B16</f>
        <v>56.298888888888882</v>
      </c>
      <c r="C18" s="2" t="s">
        <v>79</v>
      </c>
      <c r="D18" s="314" t="s">
        <v>72</v>
      </c>
      <c r="F18" s="1063">
        <f>B18*$D$111/1000</f>
        <v>0.83603849999999991</v>
      </c>
      <c r="G18" s="1064">
        <f>F18/$D$23</f>
        <v>0.22294359999999996</v>
      </c>
      <c r="H18" s="2"/>
      <c r="I18" s="2"/>
      <c r="J18" s="2"/>
      <c r="K18" s="2"/>
      <c r="L18" s="2"/>
      <c r="M18" s="2"/>
      <c r="N18" s="2"/>
      <c r="O18" s="2"/>
      <c r="P18" s="2"/>
      <c r="Q18" s="2"/>
      <c r="R18" s="2"/>
      <c r="S18" s="2"/>
      <c r="T18" s="2"/>
      <c r="U18" s="2"/>
      <c r="V18" s="2"/>
      <c r="W18" s="2"/>
      <c r="X18" s="2"/>
      <c r="Y18" s="2"/>
    </row>
    <row r="19" spans="1:25" s="309" customFormat="1" ht="32.1">
      <c r="A19" s="900" t="s">
        <v>80</v>
      </c>
      <c r="B19" s="100">
        <f>($B$3/3.6)*B17</f>
        <v>34.268888888888888</v>
      </c>
      <c r="C19" s="2" t="s">
        <v>79</v>
      </c>
      <c r="D19" s="314" t="s">
        <v>72</v>
      </c>
      <c r="F19" s="1063">
        <f>B19*$D$111/1000</f>
        <v>0.50889299999999993</v>
      </c>
      <c r="G19" s="1064">
        <f>F19/$D$23</f>
        <v>0.13570479999999999</v>
      </c>
      <c r="H19" s="2"/>
      <c r="I19" s="2"/>
      <c r="J19" s="2"/>
      <c r="K19" s="2"/>
      <c r="L19" s="2"/>
      <c r="M19" s="2"/>
      <c r="N19" s="2"/>
      <c r="O19" s="2"/>
      <c r="P19" s="2"/>
      <c r="Q19" s="2"/>
      <c r="R19" s="2"/>
      <c r="S19" s="2"/>
      <c r="T19" s="2"/>
      <c r="U19" s="2"/>
      <c r="V19" s="2"/>
      <c r="W19" s="2"/>
      <c r="X19" s="2"/>
      <c r="Y19" s="2"/>
    </row>
    <row r="20" spans="1:25" s="309" customFormat="1">
      <c r="A20" s="900"/>
      <c r="B20" s="100"/>
      <c r="C20" s="2"/>
      <c r="D20" s="314"/>
      <c r="E20" s="4"/>
      <c r="F20" s="98"/>
      <c r="G20" s="2"/>
      <c r="H20" s="2"/>
      <c r="I20" s="2"/>
      <c r="J20" s="2"/>
      <c r="K20" s="2"/>
      <c r="L20" s="2"/>
      <c r="M20" s="2"/>
      <c r="N20" s="2"/>
      <c r="O20" s="2"/>
      <c r="P20" s="2"/>
      <c r="Q20" s="2"/>
      <c r="R20" s="2"/>
      <c r="S20" s="2"/>
      <c r="T20" s="2"/>
      <c r="U20" s="2"/>
      <c r="V20" s="2"/>
      <c r="W20" s="2"/>
      <c r="X20" s="2"/>
      <c r="Y20" s="2"/>
    </row>
    <row r="21" spans="1:25">
      <c r="B21" s="4"/>
      <c r="C21" s="2"/>
      <c r="D21" s="97"/>
      <c r="E21" s="2"/>
      <c r="F21" s="2"/>
      <c r="G21" s="2"/>
      <c r="H21" s="2"/>
      <c r="I21" s="2"/>
      <c r="J21" s="2"/>
      <c r="K21" s="2"/>
      <c r="L21" s="2"/>
      <c r="M21" s="2"/>
      <c r="N21" s="2"/>
      <c r="O21" s="2"/>
      <c r="P21" s="2"/>
      <c r="Q21" s="2"/>
      <c r="R21" s="2"/>
      <c r="S21" s="2"/>
      <c r="T21" s="2"/>
      <c r="U21" s="2"/>
      <c r="V21" s="2"/>
      <c r="W21" s="2"/>
      <c r="X21" s="2"/>
      <c r="Y21" s="2"/>
    </row>
    <row r="22" spans="1:25">
      <c r="A22" s="103" t="s">
        <v>81</v>
      </c>
      <c r="B22" s="104" t="s">
        <v>82</v>
      </c>
      <c r="C22" s="104" t="s">
        <v>83</v>
      </c>
      <c r="D22" s="104" t="s">
        <v>84</v>
      </c>
      <c r="E22" s="104" t="s">
        <v>85</v>
      </c>
      <c r="F22" s="309"/>
      <c r="G22" s="2"/>
      <c r="H22" s="2"/>
      <c r="I22" s="2"/>
      <c r="J22" s="2"/>
      <c r="K22" s="2"/>
      <c r="L22" s="2"/>
      <c r="M22" s="2"/>
      <c r="N22" s="2"/>
      <c r="O22" s="2"/>
      <c r="P22" s="2"/>
      <c r="Q22" s="2"/>
      <c r="R22" s="2"/>
      <c r="S22" s="2"/>
      <c r="T22" s="2"/>
      <c r="U22" s="2"/>
      <c r="V22" s="2"/>
      <c r="W22" s="2"/>
      <c r="X22" s="2"/>
      <c r="Y22" s="2"/>
    </row>
    <row r="23" spans="1:25">
      <c r="A23" s="92" t="s">
        <v>86</v>
      </c>
      <c r="B23" s="93">
        <v>3.15</v>
      </c>
      <c r="C23" s="93">
        <v>0.6</v>
      </c>
      <c r="D23" s="94">
        <f>SUM(B23:C23)</f>
        <v>3.75</v>
      </c>
      <c r="E23" s="95">
        <f>C23/B23</f>
        <v>0.19047619047619047</v>
      </c>
      <c r="F23" s="2" t="s">
        <v>87</v>
      </c>
      <c r="G23" s="2"/>
      <c r="H23" s="2"/>
      <c r="I23" s="2"/>
      <c r="J23" s="2"/>
      <c r="K23" s="2"/>
      <c r="L23" s="2"/>
      <c r="M23" s="2"/>
      <c r="N23" s="2"/>
      <c r="O23" s="2"/>
      <c r="P23" s="2"/>
      <c r="Q23" s="2"/>
      <c r="R23" s="2"/>
      <c r="S23" s="2"/>
      <c r="T23" s="2"/>
      <c r="U23" s="2"/>
      <c r="V23" s="2"/>
      <c r="W23" s="2"/>
      <c r="X23" s="2"/>
      <c r="Y23" s="2"/>
    </row>
    <row r="24" spans="1:25">
      <c r="A24" s="92" t="s">
        <v>88</v>
      </c>
      <c r="B24" s="93">
        <f>B23+0.00396+0.007</f>
        <v>3.1609600000000002</v>
      </c>
      <c r="C24" s="93">
        <f>C23+0.0642</f>
        <v>0.66420000000000001</v>
      </c>
      <c r="D24" s="94">
        <f>SUM(B24:C24)</f>
        <v>3.8251600000000003</v>
      </c>
      <c r="E24" s="96">
        <f>C24/B24</f>
        <v>0.21012603765944521</v>
      </c>
      <c r="F24" s="2" t="s">
        <v>89</v>
      </c>
      <c r="G24" s="2"/>
      <c r="H24" s="2"/>
      <c r="I24" s="2"/>
      <c r="J24" s="2"/>
      <c r="K24" s="2"/>
      <c r="L24" s="2"/>
      <c r="M24" s="2"/>
      <c r="N24" s="2"/>
      <c r="O24" s="2"/>
      <c r="P24" s="2"/>
      <c r="Q24" s="2"/>
      <c r="R24" s="2"/>
      <c r="S24" s="2"/>
      <c r="T24" s="2"/>
      <c r="U24" s="2"/>
      <c r="V24" s="2"/>
      <c r="W24" s="2"/>
      <c r="X24" s="2"/>
      <c r="Y24" s="2"/>
    </row>
    <row r="25" spans="1:25">
      <c r="A25" s="92" t="s">
        <v>90</v>
      </c>
      <c r="B25" s="93">
        <v>2.54</v>
      </c>
      <c r="C25" s="93">
        <v>0.47899999999999998</v>
      </c>
      <c r="D25" s="93">
        <f>B25+C25</f>
        <v>3.0190000000000001</v>
      </c>
      <c r="E25" s="95">
        <f>C25/B25</f>
        <v>0.18858267716535432</v>
      </c>
      <c r="F25" s="2"/>
      <c r="G25" s="2"/>
      <c r="H25" s="2"/>
      <c r="I25" s="2"/>
      <c r="J25" s="2"/>
      <c r="K25" s="2"/>
      <c r="L25" s="2"/>
      <c r="M25" s="2"/>
      <c r="N25" s="2"/>
      <c r="O25" s="2"/>
      <c r="P25" s="2"/>
      <c r="Q25" s="2"/>
      <c r="R25" s="2"/>
      <c r="S25" s="2"/>
      <c r="T25" s="2"/>
      <c r="U25" s="2"/>
      <c r="V25" s="2"/>
      <c r="W25" s="2"/>
      <c r="X25" s="2"/>
      <c r="Y25" s="2"/>
    </row>
    <row r="26" spans="1:25">
      <c r="A26" s="92" t="s">
        <v>91</v>
      </c>
      <c r="B26" s="93">
        <f>B25+0.00317+0.0056</f>
        <v>2.5487699999999998</v>
      </c>
      <c r="C26" s="93">
        <f>C25+0.0513</f>
        <v>0.53029999999999999</v>
      </c>
      <c r="D26" s="93">
        <f>B26+C26</f>
        <v>3.0790699999999998</v>
      </c>
      <c r="E26" s="95">
        <f>C26/B26</f>
        <v>0.20806114321810129</v>
      </c>
      <c r="F26" s="309"/>
      <c r="G26" s="2"/>
      <c r="H26" s="2"/>
      <c r="I26" s="2"/>
      <c r="J26" s="2"/>
      <c r="K26" s="2"/>
      <c r="L26" s="2"/>
      <c r="M26" s="2"/>
      <c r="N26" s="2"/>
      <c r="O26" s="2"/>
      <c r="P26" s="2"/>
      <c r="Q26" s="2"/>
      <c r="R26" s="2"/>
      <c r="S26" s="2"/>
      <c r="T26" s="2"/>
      <c r="U26" s="2"/>
      <c r="V26" s="2"/>
      <c r="W26" s="2"/>
      <c r="X26" s="2"/>
      <c r="Y26" s="2"/>
    </row>
    <row r="27" spans="1:25">
      <c r="A27" s="2" t="s">
        <v>92</v>
      </c>
      <c r="B27" s="1"/>
      <c r="C27" s="1"/>
      <c r="D27" s="1"/>
      <c r="E27" s="1"/>
      <c r="F27" s="2"/>
      <c r="G27" s="2"/>
      <c r="H27" s="2"/>
      <c r="I27" s="2"/>
      <c r="J27" s="2"/>
      <c r="K27" s="2"/>
      <c r="L27" s="2"/>
      <c r="M27" s="2"/>
      <c r="N27" s="2"/>
      <c r="O27" s="2"/>
      <c r="P27" s="2"/>
      <c r="Q27" s="2"/>
      <c r="R27" s="2"/>
      <c r="S27" s="2"/>
      <c r="T27" s="2"/>
      <c r="U27" s="2"/>
      <c r="V27" s="2"/>
      <c r="W27" s="2"/>
      <c r="X27" s="2"/>
      <c r="Y27" s="2"/>
    </row>
    <row r="28" spans="1:25" s="302" customFormat="1" ht="15.95">
      <c r="A28" s="900" t="s">
        <v>93</v>
      </c>
      <c r="B28" s="639">
        <f>B24/B23</f>
        <v>1.0034793650793652</v>
      </c>
      <c r="C28" s="1"/>
      <c r="D28" s="6" t="s">
        <v>94</v>
      </c>
      <c r="E28" s="1"/>
      <c r="F28" s="2"/>
      <c r="G28" s="2"/>
      <c r="H28" s="2"/>
      <c r="I28" s="2"/>
      <c r="J28" s="2"/>
      <c r="K28" s="2"/>
      <c r="L28" s="2"/>
      <c r="M28" s="2"/>
      <c r="N28" s="2"/>
      <c r="O28" s="2"/>
      <c r="P28" s="2"/>
      <c r="Q28" s="2"/>
      <c r="R28" s="2"/>
      <c r="S28" s="2"/>
      <c r="T28" s="2"/>
      <c r="U28" s="2"/>
      <c r="V28" s="2"/>
      <c r="W28" s="2"/>
      <c r="X28" s="2"/>
      <c r="Y28" s="2"/>
    </row>
    <row r="29" spans="1:25" s="300" customFormat="1" ht="15.95">
      <c r="A29" s="900" t="s">
        <v>95</v>
      </c>
      <c r="B29" s="2">
        <v>1.01</v>
      </c>
      <c r="C29" s="1"/>
      <c r="D29" s="242" t="s">
        <v>96</v>
      </c>
      <c r="E29" s="1"/>
      <c r="F29" s="2"/>
      <c r="G29" s="2"/>
      <c r="H29" s="2"/>
      <c r="I29" s="2"/>
      <c r="J29" s="2"/>
      <c r="K29" s="2"/>
      <c r="L29" s="2"/>
      <c r="M29" s="2"/>
      <c r="N29" s="2"/>
      <c r="O29" s="2"/>
      <c r="P29" s="2"/>
      <c r="Q29" s="2"/>
      <c r="R29" s="2"/>
      <c r="S29" s="2"/>
      <c r="T29" s="2"/>
      <c r="U29" s="2"/>
      <c r="V29" s="2"/>
      <c r="W29" s="2"/>
      <c r="X29" s="2"/>
      <c r="Y29" s="2"/>
    </row>
    <row r="30" spans="1:25">
      <c r="A30" s="959"/>
      <c r="B30" s="1"/>
      <c r="C30" s="1"/>
      <c r="D30" s="1"/>
      <c r="E30" s="1"/>
      <c r="F30" s="2"/>
      <c r="G30" s="2"/>
      <c r="H30" s="2"/>
      <c r="I30" s="2"/>
      <c r="J30" s="2"/>
      <c r="K30" s="2"/>
      <c r="L30" s="2"/>
      <c r="M30" s="2"/>
      <c r="N30" s="2"/>
      <c r="O30" s="2"/>
      <c r="P30" s="2"/>
      <c r="Q30" s="2"/>
      <c r="R30" s="2"/>
      <c r="S30" s="2"/>
      <c r="T30" s="2"/>
      <c r="U30" s="2"/>
      <c r="V30" s="2"/>
      <c r="W30" s="2"/>
      <c r="X30" s="2"/>
      <c r="Y30" s="2"/>
    </row>
    <row r="31" spans="1:25" ht="15.95">
      <c r="A31" s="957" t="s">
        <v>97</v>
      </c>
      <c r="B31" s="2"/>
      <c r="C31" s="2"/>
      <c r="D31" s="2"/>
      <c r="E31" s="2"/>
      <c r="F31" s="2"/>
      <c r="G31" s="2"/>
      <c r="H31" s="2"/>
      <c r="I31" s="2"/>
      <c r="J31" s="2"/>
      <c r="K31" s="2"/>
      <c r="L31" s="2"/>
      <c r="M31" s="2"/>
      <c r="N31" s="2"/>
      <c r="O31" s="2"/>
      <c r="P31" s="2"/>
      <c r="Q31" s="2"/>
      <c r="R31" s="2"/>
      <c r="S31" s="2"/>
      <c r="T31" s="2"/>
      <c r="U31" s="2"/>
      <c r="V31" s="2"/>
      <c r="W31" s="2"/>
      <c r="X31" s="2"/>
      <c r="Y31" s="2"/>
    </row>
    <row r="32" spans="1:25" ht="15.95">
      <c r="A32" s="900" t="s">
        <v>98</v>
      </c>
      <c r="B32" s="5">
        <v>397900</v>
      </c>
      <c r="C32" s="2" t="s">
        <v>99</v>
      </c>
      <c r="D32" s="242" t="s">
        <v>100</v>
      </c>
      <c r="E32" s="6" t="s">
        <v>101</v>
      </c>
      <c r="F32" s="309"/>
      <c r="G32" s="98">
        <f>B32/SUM(B32:B33)</f>
        <v>0.25353638333120937</v>
      </c>
      <c r="H32" s="309"/>
      <c r="I32" s="2"/>
      <c r="J32" s="2"/>
      <c r="K32" s="2"/>
      <c r="L32" s="2"/>
      <c r="M32" s="2"/>
      <c r="N32" s="2"/>
      <c r="O32" s="2"/>
      <c r="P32" s="2"/>
      <c r="Q32" s="2"/>
      <c r="R32" s="2"/>
      <c r="S32" s="2"/>
      <c r="T32" s="2"/>
      <c r="U32" s="2"/>
      <c r="V32" s="2"/>
      <c r="W32" s="2"/>
      <c r="X32" s="2"/>
      <c r="Y32" s="2"/>
    </row>
    <row r="33" spans="1:27" ht="15.95">
      <c r="A33" s="900" t="s">
        <v>102</v>
      </c>
      <c r="B33" s="5">
        <v>1171500</v>
      </c>
      <c r="C33" s="2" t="s">
        <v>99</v>
      </c>
      <c r="D33" s="242" t="s">
        <v>100</v>
      </c>
      <c r="E33" s="6" t="s">
        <v>101</v>
      </c>
      <c r="F33" s="309"/>
      <c r="G33" s="98">
        <f>B33/SUM(B32:B33)</f>
        <v>0.74646361666879057</v>
      </c>
      <c r="H33" s="309"/>
      <c r="I33" s="2"/>
      <c r="J33" s="2"/>
      <c r="K33" s="2"/>
      <c r="L33" s="2"/>
      <c r="M33" s="2"/>
      <c r="N33" s="2"/>
      <c r="O33" s="2"/>
      <c r="P33" s="2"/>
      <c r="Q33" s="2"/>
      <c r="R33" s="2"/>
      <c r="S33" s="2"/>
      <c r="T33" s="2"/>
      <c r="U33" s="2"/>
      <c r="V33" s="2"/>
      <c r="W33" s="2"/>
      <c r="X33" s="2"/>
      <c r="Y33" s="2"/>
      <c r="Z33" s="309"/>
      <c r="AA33" s="309"/>
    </row>
    <row r="34" spans="1:27" ht="15.95">
      <c r="A34" s="8" t="s">
        <v>103</v>
      </c>
      <c r="B34" s="102">
        <f>(B32+B33/2)/365</f>
        <v>2694.9315068493152</v>
      </c>
      <c r="C34" s="6" t="s">
        <v>104</v>
      </c>
      <c r="D34" s="242" t="s">
        <v>100</v>
      </c>
      <c r="E34" s="7"/>
      <c r="F34" s="2"/>
      <c r="G34" s="2"/>
      <c r="H34" s="2"/>
      <c r="I34" s="2"/>
      <c r="J34" s="2"/>
      <c r="K34" s="2"/>
      <c r="L34" s="2"/>
      <c r="M34" s="2"/>
      <c r="N34" s="2"/>
      <c r="O34" s="2"/>
      <c r="P34" s="2"/>
      <c r="Q34" s="2"/>
      <c r="R34" s="2"/>
      <c r="S34" s="2"/>
      <c r="T34" s="2"/>
      <c r="U34" s="2"/>
      <c r="V34" s="2"/>
      <c r="W34" s="2"/>
      <c r="X34" s="2"/>
      <c r="Y34" s="2"/>
      <c r="Z34" s="309"/>
      <c r="AA34" s="309"/>
    </row>
    <row r="35" spans="1:27" s="309" customFormat="1" ht="15.95">
      <c r="A35" s="900" t="s">
        <v>105</v>
      </c>
      <c r="B35" s="5">
        <v>109000</v>
      </c>
      <c r="C35" s="2" t="s">
        <v>104</v>
      </c>
      <c r="D35" s="97" t="s">
        <v>106</v>
      </c>
      <c r="E35" s="2" t="s">
        <v>107</v>
      </c>
      <c r="F35" s="2"/>
      <c r="G35" s="2"/>
      <c r="H35" s="2"/>
      <c r="I35" s="2"/>
      <c r="J35" s="2"/>
      <c r="K35" s="2"/>
      <c r="L35" s="2"/>
      <c r="M35" s="2"/>
      <c r="N35" s="2"/>
      <c r="O35" s="2"/>
      <c r="P35" s="2"/>
      <c r="Q35" s="2"/>
      <c r="R35" s="2"/>
      <c r="S35" s="2"/>
      <c r="T35" s="2"/>
      <c r="U35" s="2"/>
      <c r="V35" s="2"/>
      <c r="W35" s="2"/>
      <c r="X35" s="2"/>
      <c r="Y35" s="2"/>
    </row>
    <row r="36" spans="1:27" s="309" customFormat="1" ht="15.95">
      <c r="A36" s="900" t="s">
        <v>108</v>
      </c>
      <c r="B36" s="5">
        <v>177000</v>
      </c>
      <c r="C36" s="2" t="s">
        <v>104</v>
      </c>
      <c r="D36" s="97" t="s">
        <v>106</v>
      </c>
      <c r="E36" s="2" t="s">
        <v>109</v>
      </c>
      <c r="F36" s="2"/>
      <c r="G36" s="2"/>
      <c r="H36" s="2"/>
      <c r="I36" s="2"/>
      <c r="J36" s="2"/>
      <c r="K36" s="2"/>
      <c r="L36" s="2"/>
      <c r="M36" s="2"/>
      <c r="N36" s="2"/>
      <c r="O36" s="2"/>
      <c r="P36" s="2"/>
      <c r="Q36" s="2"/>
      <c r="R36" s="2"/>
      <c r="S36" s="2"/>
      <c r="T36" s="2"/>
      <c r="U36" s="2"/>
      <c r="V36" s="2"/>
      <c r="W36" s="2"/>
      <c r="X36" s="2"/>
      <c r="Y36" s="2"/>
    </row>
    <row r="37" spans="1:27" s="309" customFormat="1">
      <c r="A37" s="8"/>
      <c r="B37" s="102"/>
      <c r="C37" s="6"/>
      <c r="D37" s="242"/>
      <c r="E37" s="7"/>
      <c r="F37" s="2"/>
      <c r="G37" s="2"/>
      <c r="H37" s="2"/>
      <c r="I37" s="2"/>
      <c r="J37" s="2"/>
      <c r="K37" s="2"/>
      <c r="L37" s="2"/>
      <c r="M37" s="2"/>
      <c r="N37" s="2"/>
      <c r="O37" s="2"/>
      <c r="P37" s="2"/>
      <c r="Q37" s="2"/>
      <c r="R37" s="2"/>
      <c r="S37" s="2"/>
      <c r="T37" s="2"/>
      <c r="U37" s="2"/>
      <c r="V37" s="2"/>
      <c r="W37" s="2"/>
      <c r="X37" s="2"/>
      <c r="Y37" s="2"/>
    </row>
    <row r="38" spans="1:27" s="309" customFormat="1" ht="15" customHeight="1">
      <c r="A38" s="957" t="s">
        <v>110</v>
      </c>
      <c r="B38" s="2"/>
      <c r="C38" s="2"/>
      <c r="D38" s="2"/>
    </row>
    <row r="39" spans="1:27" s="309" customFormat="1" ht="15" customHeight="1">
      <c r="A39" s="900" t="s">
        <v>111</v>
      </c>
      <c r="B39" s="9">
        <v>0.02</v>
      </c>
      <c r="D39" s="97" t="s">
        <v>112</v>
      </c>
    </row>
    <row r="40" spans="1:27" s="309" customFormat="1" ht="15" customHeight="1">
      <c r="A40" s="900" t="s">
        <v>113</v>
      </c>
      <c r="B40" s="9">
        <v>3.8999999999999998E-3</v>
      </c>
      <c r="D40" s="97"/>
    </row>
    <row r="41" spans="1:27" s="309" customFormat="1" ht="15" customHeight="1">
      <c r="A41" s="900" t="s">
        <v>114</v>
      </c>
      <c r="B41" s="241">
        <v>0.1</v>
      </c>
      <c r="D41" s="97"/>
    </row>
    <row r="42" spans="1:27" s="309" customFormat="1" ht="15" customHeight="1">
      <c r="A42" s="900" t="s">
        <v>115</v>
      </c>
      <c r="B42" s="9">
        <v>4.8300000000000003E-2</v>
      </c>
      <c r="C42" s="2"/>
      <c r="D42" s="242" t="s">
        <v>100</v>
      </c>
    </row>
    <row r="43" spans="1:27" s="309" customFormat="1" ht="15" customHeight="1">
      <c r="A43" s="900" t="s">
        <v>116</v>
      </c>
      <c r="B43" s="9">
        <v>0.04</v>
      </c>
      <c r="C43" s="2"/>
      <c r="D43" s="242"/>
      <c r="F43" s="242"/>
    </row>
    <row r="44" spans="1:27" s="309" customFormat="1" ht="15" customHeight="1">
      <c r="A44" s="900" t="s">
        <v>117</v>
      </c>
      <c r="B44" s="9">
        <f>POWER(10,LOG10(903/707)/(2018-2013))-1</f>
        <v>5.0155635534729015E-2</v>
      </c>
      <c r="C44" s="2"/>
      <c r="D44" s="242" t="s">
        <v>118</v>
      </c>
      <c r="E44" s="2" t="s">
        <v>119</v>
      </c>
      <c r="F44" s="242"/>
    </row>
    <row r="45" spans="1:27" s="309" customFormat="1">
      <c r="A45" s="8"/>
      <c r="B45" s="102"/>
      <c r="C45" s="907"/>
      <c r="D45" s="242"/>
      <c r="E45" s="7"/>
      <c r="F45" s="2"/>
      <c r="G45" s="2"/>
      <c r="H45" s="2"/>
      <c r="I45" s="2"/>
      <c r="J45" s="2"/>
      <c r="K45" s="2"/>
      <c r="L45" s="2"/>
      <c r="M45" s="2"/>
      <c r="N45" s="2"/>
      <c r="O45" s="2"/>
      <c r="P45" s="2"/>
      <c r="Q45" s="2"/>
      <c r="R45" s="2"/>
      <c r="S45" s="2"/>
      <c r="T45" s="2"/>
      <c r="U45" s="2"/>
      <c r="V45" s="2"/>
      <c r="W45" s="2"/>
      <c r="X45" s="2"/>
      <c r="Y45" s="2"/>
    </row>
    <row r="46" spans="1:27" s="309" customFormat="1">
      <c r="A46" s="907" t="s">
        <v>92</v>
      </c>
      <c r="B46" s="1173" t="s">
        <v>120</v>
      </c>
      <c r="C46" s="1174"/>
      <c r="D46" s="1175"/>
      <c r="E46" s="1176" t="s">
        <v>50</v>
      </c>
      <c r="F46" s="1177"/>
      <c r="G46" s="1178"/>
      <c r="H46" s="1144"/>
      <c r="I46" s="1165" t="s">
        <v>121</v>
      </c>
      <c r="J46" s="1166"/>
      <c r="K46" s="1167"/>
      <c r="L46" s="2"/>
      <c r="M46" s="174"/>
      <c r="N46" s="2"/>
      <c r="O46" s="2"/>
      <c r="P46" s="2"/>
      <c r="Q46" s="2"/>
      <c r="R46" s="2"/>
      <c r="S46" s="2"/>
      <c r="T46" s="2"/>
      <c r="U46" s="2"/>
      <c r="V46" s="2"/>
      <c r="W46" s="2"/>
      <c r="X46" s="2"/>
      <c r="Y46" s="2"/>
      <c r="Z46" s="2"/>
    </row>
    <row r="47" spans="1:27" s="309" customFormat="1" ht="33.75" customHeight="1">
      <c r="A47" s="960" t="s">
        <v>122</v>
      </c>
      <c r="B47" s="908" t="s">
        <v>123</v>
      </c>
      <c r="C47" s="908" t="s">
        <v>124</v>
      </c>
      <c r="D47" s="908" t="s">
        <v>125</v>
      </c>
      <c r="E47" s="909" t="s">
        <v>126</v>
      </c>
      <c r="F47" s="909" t="s">
        <v>127</v>
      </c>
      <c r="G47" s="909" t="s">
        <v>125</v>
      </c>
      <c r="H47" s="909" t="s">
        <v>128</v>
      </c>
      <c r="I47" s="1027" t="s">
        <v>126</v>
      </c>
      <c r="J47" s="1027" t="s">
        <v>124</v>
      </c>
      <c r="K47" s="1027" t="s">
        <v>125</v>
      </c>
      <c r="L47" s="2"/>
      <c r="M47" s="174"/>
      <c r="N47" s="174"/>
      <c r="O47" s="2"/>
      <c r="P47" s="2"/>
      <c r="Q47" s="2"/>
      <c r="R47" s="2"/>
      <c r="S47" s="2"/>
      <c r="T47" s="2"/>
      <c r="U47" s="2"/>
      <c r="V47" s="2"/>
      <c r="W47" s="2"/>
      <c r="X47" s="2"/>
      <c r="Y47" s="2"/>
      <c r="Z47" s="2"/>
    </row>
    <row r="48" spans="1:27" s="309" customFormat="1">
      <c r="A48" s="640">
        <v>2000</v>
      </c>
      <c r="B48" s="323">
        <v>18.7</v>
      </c>
      <c r="C48" s="641">
        <f>B48/$B$29</f>
        <v>18.514851485148515</v>
      </c>
      <c r="D48" s="641">
        <f t="shared" ref="D48:D50" si="0">C48*(1+$E$23)</f>
        <v>22.041489863272041</v>
      </c>
      <c r="E48" s="1021"/>
      <c r="F48" s="1022"/>
      <c r="G48" s="1026"/>
      <c r="H48" s="1026"/>
      <c r="I48" s="1024"/>
      <c r="J48" s="1024"/>
      <c r="K48" s="1024"/>
      <c r="L48" s="2"/>
      <c r="M48" s="174"/>
      <c r="N48" s="2"/>
      <c r="O48" s="2"/>
      <c r="P48" s="2"/>
      <c r="Q48" s="2"/>
      <c r="R48" s="2"/>
      <c r="S48" s="2"/>
      <c r="T48" s="2"/>
      <c r="U48" s="2"/>
      <c r="V48" s="2"/>
      <c r="W48" s="2"/>
      <c r="X48" s="2"/>
      <c r="Y48" s="2"/>
      <c r="Z48" s="2"/>
    </row>
    <row r="49" spans="1:28" s="309" customFormat="1" ht="32.1">
      <c r="A49" s="640" t="s">
        <v>129</v>
      </c>
      <c r="B49" s="323">
        <f>(B48+B50)/2</f>
        <v>19.299999999999997</v>
      </c>
      <c r="C49" s="641">
        <f t="shared" ref="C49:C54" si="1">B49/$B$29</f>
        <v>19.108910891089106</v>
      </c>
      <c r="D49" s="641">
        <f t="shared" si="0"/>
        <v>22.748703441772747</v>
      </c>
      <c r="E49" s="1040">
        <v>650</v>
      </c>
      <c r="F49" s="641">
        <f t="shared" ref="F49" si="2">E49/$B$29</f>
        <v>643.5643564356435</v>
      </c>
      <c r="G49" s="910">
        <f t="shared" ref="G49:G54" si="3">F49*(1+$E$23)</f>
        <v>766.14804337576606</v>
      </c>
      <c r="H49" s="910">
        <f>G49*$B$29</f>
        <v>773.80952380952374</v>
      </c>
      <c r="I49" s="1025">
        <f>IF($H$1="France",B49,E49)</f>
        <v>650</v>
      </c>
      <c r="J49" s="1025">
        <f>IF($H$1="France",C49,F49)</f>
        <v>643.5643564356435</v>
      </c>
      <c r="K49" s="1025">
        <f>IF($H$1="France",D49,G49)</f>
        <v>766.14804337576606</v>
      </c>
      <c r="L49" s="174"/>
      <c r="M49" s="174"/>
      <c r="N49" s="2"/>
      <c r="O49" s="2"/>
      <c r="P49" s="2"/>
      <c r="Q49" s="2"/>
      <c r="R49" s="2"/>
      <c r="S49" s="2"/>
      <c r="T49" s="2"/>
      <c r="U49" s="2"/>
      <c r="V49" s="2"/>
      <c r="W49" s="2"/>
      <c r="X49" s="2"/>
      <c r="Y49" s="2"/>
      <c r="Z49" s="2"/>
    </row>
    <row r="50" spans="1:28" s="309" customFormat="1">
      <c r="A50" s="640">
        <v>2010</v>
      </c>
      <c r="B50" s="323">
        <v>19.899999999999999</v>
      </c>
      <c r="C50" s="641">
        <f t="shared" si="1"/>
        <v>19.702970297029701</v>
      </c>
      <c r="D50" s="641">
        <f t="shared" si="0"/>
        <v>23.455917020273453</v>
      </c>
      <c r="E50" s="1021"/>
      <c r="F50" s="1022"/>
      <c r="G50" s="1026"/>
      <c r="H50" s="1026"/>
      <c r="I50" s="1024"/>
      <c r="J50" s="1024"/>
      <c r="K50" s="1024"/>
      <c r="L50" s="174"/>
      <c r="M50" s="174"/>
      <c r="N50" s="2"/>
      <c r="O50" s="2"/>
      <c r="P50" s="2"/>
      <c r="Q50" s="2"/>
      <c r="R50" s="2"/>
      <c r="S50" s="2"/>
      <c r="T50" s="2"/>
      <c r="U50" s="2"/>
      <c r="V50" s="2"/>
      <c r="W50" s="2"/>
      <c r="X50" s="2"/>
      <c r="Y50" s="2"/>
      <c r="Z50" s="2"/>
    </row>
    <row r="51" spans="1:28" s="309" customFormat="1">
      <c r="A51" s="640">
        <v>2013</v>
      </c>
      <c r="B51" s="1023"/>
      <c r="C51" s="1022"/>
      <c r="D51" s="1022"/>
      <c r="E51" s="911">
        <f t="shared" ref="E51:E54" si="4">F51*$B$29</f>
        <v>715.65155038759656</v>
      </c>
      <c r="F51" s="641">
        <f t="shared" ref="F51:F54" si="5">F52/(1+$B$44)</f>
        <v>708.56589147286786</v>
      </c>
      <c r="G51" s="910">
        <f t="shared" si="3"/>
        <v>843.53082318198551</v>
      </c>
      <c r="H51" s="910">
        <f t="shared" ref="H51:H56" si="6">G51*$B$29</f>
        <v>851.96613141380533</v>
      </c>
      <c r="I51" s="1024"/>
      <c r="J51" s="1024"/>
      <c r="K51" s="1024"/>
      <c r="L51" s="174"/>
      <c r="M51" s="174"/>
      <c r="N51" s="2"/>
      <c r="O51" s="2"/>
      <c r="P51" s="2"/>
      <c r="Q51" s="2"/>
      <c r="R51" s="2"/>
      <c r="S51" s="2"/>
      <c r="T51" s="2"/>
      <c r="U51" s="2"/>
      <c r="V51" s="2"/>
      <c r="W51" s="2"/>
      <c r="X51" s="2"/>
      <c r="Y51" s="2"/>
      <c r="Z51" s="2"/>
    </row>
    <row r="52" spans="1:28" s="309" customFormat="1">
      <c r="A52" s="640">
        <v>2014</v>
      </c>
      <c r="B52" s="1041">
        <f>20.9</f>
        <v>20.9</v>
      </c>
      <c r="C52" s="641">
        <f t="shared" si="1"/>
        <v>20.693069306930692</v>
      </c>
      <c r="D52" s="641">
        <f>C52*(1+$E$23)</f>
        <v>24.634606317774633</v>
      </c>
      <c r="E52" s="911">
        <f t="shared" si="4"/>
        <v>751.5455087187006</v>
      </c>
      <c r="F52" s="641">
        <f t="shared" si="5"/>
        <v>744.10446407792142</v>
      </c>
      <c r="G52" s="910">
        <f t="shared" si="3"/>
        <v>885.83864771181118</v>
      </c>
      <c r="H52" s="910">
        <f t="shared" si="6"/>
        <v>894.69703418892925</v>
      </c>
      <c r="I52" s="1025">
        <f t="shared" ref="I52:K56" si="7">IF($H$1="France",B52,E52)</f>
        <v>751.5455087187006</v>
      </c>
      <c r="J52" s="1025">
        <f t="shared" si="7"/>
        <v>744.10446407792142</v>
      </c>
      <c r="K52" s="1025">
        <f t="shared" si="7"/>
        <v>885.83864771181118</v>
      </c>
      <c r="L52" s="902"/>
      <c r="M52" s="174"/>
      <c r="O52" s="2"/>
      <c r="P52" s="2"/>
      <c r="Q52" s="2"/>
      <c r="R52" s="2"/>
      <c r="S52" s="2"/>
      <c r="T52" s="2"/>
      <c r="U52" s="2"/>
      <c r="V52" s="2"/>
      <c r="W52" s="2"/>
      <c r="X52" s="2"/>
      <c r="Y52" s="2"/>
      <c r="Z52" s="2"/>
    </row>
    <row r="53" spans="1:28" s="309" customFormat="1">
      <c r="A53" s="640">
        <v>2015</v>
      </c>
      <c r="B53" s="1041">
        <f>21.3</f>
        <v>21.3</v>
      </c>
      <c r="C53" s="641">
        <f t="shared" si="1"/>
        <v>21.089108910891088</v>
      </c>
      <c r="D53" s="641">
        <f t="shared" ref="D53:D54" si="8">C53*(1+$E$23)</f>
        <v>25.106082036775106</v>
      </c>
      <c r="E53" s="911">
        <f t="shared" si="4"/>
        <v>789.23975134175839</v>
      </c>
      <c r="F53" s="641">
        <f t="shared" si="5"/>
        <v>781.42549637797856</v>
      </c>
      <c r="G53" s="910">
        <f t="shared" si="3"/>
        <v>930.26844806902204</v>
      </c>
      <c r="H53" s="910">
        <f t="shared" si="6"/>
        <v>939.57113254971227</v>
      </c>
      <c r="I53" s="1025">
        <f t="shared" si="7"/>
        <v>789.23975134175839</v>
      </c>
      <c r="J53" s="1025">
        <f t="shared" si="7"/>
        <v>781.42549637797856</v>
      </c>
      <c r="K53" s="1025">
        <f t="shared" si="7"/>
        <v>930.26844806902204</v>
      </c>
      <c r="L53" s="902"/>
      <c r="M53" s="174"/>
      <c r="O53" s="2"/>
      <c r="P53" s="2"/>
      <c r="Q53" s="2"/>
      <c r="R53" s="2"/>
      <c r="S53" s="2"/>
      <c r="T53" s="2"/>
      <c r="U53" s="2"/>
      <c r="V53" s="2"/>
      <c r="W53" s="2"/>
      <c r="X53" s="2"/>
      <c r="Y53" s="2"/>
      <c r="Z53" s="2"/>
    </row>
    <row r="54" spans="1:28" s="309" customFormat="1">
      <c r="A54" s="640">
        <v>2016</v>
      </c>
      <c r="B54" s="1041">
        <f>21.4</f>
        <v>21.4</v>
      </c>
      <c r="C54" s="641">
        <f t="shared" si="1"/>
        <v>21.188118811881186</v>
      </c>
      <c r="D54" s="641">
        <f t="shared" si="8"/>
        <v>25.223950966525219</v>
      </c>
      <c r="E54" s="911">
        <f t="shared" si="4"/>
        <v>828.82457265957578</v>
      </c>
      <c r="F54" s="641">
        <f t="shared" si="5"/>
        <v>820.61838877185721</v>
      </c>
      <c r="G54" s="910">
        <f t="shared" si="3"/>
        <v>976.92665329983004</v>
      </c>
      <c r="H54" s="910">
        <f t="shared" si="6"/>
        <v>986.69591983282839</v>
      </c>
      <c r="I54" s="1025">
        <f t="shared" si="7"/>
        <v>828.82457265957578</v>
      </c>
      <c r="J54" s="1025">
        <f t="shared" si="7"/>
        <v>820.61838877185721</v>
      </c>
      <c r="K54" s="1025">
        <f t="shared" si="7"/>
        <v>976.92665329983004</v>
      </c>
      <c r="L54" s="902"/>
      <c r="M54" s="174"/>
      <c r="O54" s="2"/>
      <c r="P54" s="2"/>
      <c r="Q54" s="2"/>
      <c r="R54" s="2"/>
      <c r="S54" s="2"/>
      <c r="T54" s="2"/>
      <c r="U54" s="2"/>
      <c r="V54" s="2"/>
      <c r="W54" s="2"/>
      <c r="X54" s="2"/>
      <c r="Y54" s="2"/>
      <c r="Z54" s="2"/>
    </row>
    <row r="55" spans="1:28" s="309" customFormat="1">
      <c r="A55" s="640">
        <v>2017</v>
      </c>
      <c r="B55" s="1041">
        <v>21.9</v>
      </c>
      <c r="C55" s="641">
        <f>B55/$B$29</f>
        <v>21.683168316831683</v>
      </c>
      <c r="D55" s="641">
        <f>C55*(1+$E$23)</f>
        <v>25.813295615275813</v>
      </c>
      <c r="E55" s="911">
        <f>F55*$B$29</f>
        <v>870.39479584811704</v>
      </c>
      <c r="F55" s="641">
        <f>F56/(1+$B$44)</f>
        <v>861.77702559219506</v>
      </c>
      <c r="G55" s="910">
        <f>F55*(1+$E$23)</f>
        <v>1025.9250304668988</v>
      </c>
      <c r="H55" s="910">
        <f t="shared" si="6"/>
        <v>1036.1842807715677</v>
      </c>
      <c r="I55" s="1025">
        <f t="shared" si="7"/>
        <v>870.39479584811704</v>
      </c>
      <c r="J55" s="1025">
        <f t="shared" si="7"/>
        <v>861.77702559219506</v>
      </c>
      <c r="K55" s="1025">
        <f t="shared" si="7"/>
        <v>1025.9250304668988</v>
      </c>
      <c r="L55" s="902"/>
      <c r="M55" s="174"/>
      <c r="N55" s="2"/>
      <c r="O55" s="2"/>
      <c r="P55" s="2"/>
      <c r="Q55" s="2"/>
      <c r="R55" s="2"/>
      <c r="S55" s="2"/>
      <c r="T55" s="2"/>
      <c r="U55" s="2"/>
      <c r="V55" s="2"/>
      <c r="W55" s="2"/>
      <c r="X55" s="2"/>
      <c r="Y55" s="2"/>
      <c r="Z55" s="2"/>
    </row>
    <row r="56" spans="1:28" s="309" customFormat="1">
      <c r="A56" s="640">
        <v>2018</v>
      </c>
      <c r="B56" s="1029">
        <v>22.8</v>
      </c>
      <c r="C56" s="641">
        <f>B56/$B$29</f>
        <v>22.574257425742573</v>
      </c>
      <c r="D56" s="641">
        <f>C56*(1+$E$23)</f>
        <v>26.874115983026872</v>
      </c>
      <c r="E56" s="1030">
        <f>F56*$B$29</f>
        <v>914.05</v>
      </c>
      <c r="F56" s="1029">
        <v>905</v>
      </c>
      <c r="G56" s="910">
        <f>F56*(1+$E$23)</f>
        <v>1077.3809523809523</v>
      </c>
      <c r="H56" s="910">
        <f t="shared" si="6"/>
        <v>1088.1547619047619</v>
      </c>
      <c r="I56" s="1025">
        <f t="shared" si="7"/>
        <v>914.05</v>
      </c>
      <c r="J56" s="1025">
        <f t="shared" si="7"/>
        <v>905</v>
      </c>
      <c r="K56" s="1025">
        <f t="shared" si="7"/>
        <v>1077.3809523809523</v>
      </c>
      <c r="L56" s="902"/>
      <c r="M56" s="174"/>
      <c r="N56" s="2"/>
      <c r="O56" s="2"/>
      <c r="P56" s="2"/>
      <c r="Q56" s="2"/>
      <c r="R56" s="2"/>
      <c r="S56" s="2"/>
      <c r="T56" s="2"/>
      <c r="U56" s="2"/>
      <c r="V56" s="2"/>
      <c r="W56" s="2"/>
      <c r="X56" s="2"/>
      <c r="Y56" s="2"/>
      <c r="Z56" s="2"/>
    </row>
    <row r="57" spans="1:28" s="309" customFormat="1" ht="15.95">
      <c r="A57" s="1042" t="s">
        <v>130</v>
      </c>
      <c r="B57" s="1043">
        <v>4.8</v>
      </c>
      <c r="C57" s="1044" t="s">
        <v>126</v>
      </c>
      <c r="L57" s="902"/>
      <c r="M57" s="902"/>
      <c r="P57" s="2"/>
      <c r="Q57" s="2"/>
      <c r="R57" s="2"/>
      <c r="S57" s="2"/>
      <c r="T57" s="2"/>
      <c r="U57" s="2"/>
      <c r="V57" s="2"/>
      <c r="W57" s="2"/>
      <c r="X57" s="2"/>
      <c r="Y57" s="2"/>
      <c r="Z57" s="2"/>
    </row>
    <row r="58" spans="1:28" s="309" customFormat="1" ht="15.95">
      <c r="A58" s="1042" t="s">
        <v>131</v>
      </c>
      <c r="B58" s="1043">
        <v>18</v>
      </c>
      <c r="C58" s="1044" t="s">
        <v>126</v>
      </c>
      <c r="L58" s="902"/>
      <c r="M58" s="2"/>
      <c r="P58" s="2"/>
      <c r="Q58" s="2"/>
      <c r="R58" s="2"/>
      <c r="S58" s="2"/>
      <c r="T58" s="2"/>
      <c r="U58" s="2"/>
      <c r="V58" s="2"/>
      <c r="W58" s="2"/>
      <c r="X58" s="2"/>
      <c r="Y58" s="2"/>
      <c r="Z58" s="2"/>
    </row>
    <row r="59" spans="1:28" s="309" customFormat="1">
      <c r="A59" s="770">
        <v>2019</v>
      </c>
      <c r="B59" s="1029">
        <v>23.4</v>
      </c>
      <c r="C59" s="641">
        <f>B59/$B$29</f>
        <v>23.168316831683168</v>
      </c>
      <c r="D59" s="1030">
        <f>C59*(1+$E$23)</f>
        <v>27.581329561527582</v>
      </c>
      <c r="E59" s="1030">
        <f>F59*$B$29</f>
        <v>923.14</v>
      </c>
      <c r="F59" s="1037">
        <v>914</v>
      </c>
      <c r="G59" s="1030">
        <f>F59*(1+$E$23)</f>
        <v>1088.0952380952381</v>
      </c>
      <c r="H59" s="1030">
        <f>G59*$B$29</f>
        <v>1098.9761904761904</v>
      </c>
      <c r="I59" s="1025">
        <f>IF($H$1="France",B59,E59)</f>
        <v>923.14</v>
      </c>
      <c r="J59" s="1025">
        <f>IF($H$1="France",C59,F59)</f>
        <v>914</v>
      </c>
      <c r="K59" s="1025">
        <f>IF($H$1="France",D59,G59)</f>
        <v>1088.0952380952381</v>
      </c>
      <c r="N59" s="902"/>
      <c r="O59" s="2"/>
      <c r="P59" s="2"/>
      <c r="Q59" s="2"/>
      <c r="R59" s="2"/>
      <c r="S59" s="2"/>
      <c r="T59" s="2"/>
      <c r="U59" s="2"/>
      <c r="V59" s="2"/>
      <c r="W59" s="2"/>
      <c r="X59" s="2"/>
      <c r="Y59" s="2"/>
      <c r="Z59" s="2"/>
      <c r="AA59" s="2"/>
      <c r="AB59" s="2"/>
    </row>
    <row r="60" spans="1:28" s="309" customFormat="1">
      <c r="A60" s="1035"/>
      <c r="B60" s="1038" t="s">
        <v>132</v>
      </c>
      <c r="C60" s="1036"/>
      <c r="E60" s="1071" t="s">
        <v>133</v>
      </c>
      <c r="F60" s="1019" t="s">
        <v>134</v>
      </c>
      <c r="G60" s="1014"/>
      <c r="H60" s="1014"/>
      <c r="I60" s="1014"/>
      <c r="J60" s="1015"/>
      <c r="K60" s="1016"/>
      <c r="N60" s="902"/>
      <c r="O60" s="2"/>
      <c r="P60" s="2"/>
      <c r="Q60" s="2"/>
      <c r="R60" s="2"/>
      <c r="S60" s="2"/>
      <c r="T60" s="2"/>
      <c r="U60" s="2"/>
      <c r="V60" s="2"/>
      <c r="W60" s="2"/>
      <c r="X60" s="2"/>
      <c r="Y60" s="2"/>
      <c r="Z60" s="2"/>
      <c r="AA60" s="2"/>
      <c r="AB60" s="2"/>
    </row>
    <row r="61" spans="1:28" s="309" customFormat="1">
      <c r="A61" s="1035"/>
      <c r="B61" s="1039" t="s">
        <v>135</v>
      </c>
      <c r="C61" s="1036"/>
      <c r="E61" s="902"/>
      <c r="F61" s="1020" t="s">
        <v>136</v>
      </c>
      <c r="G61" s="1017"/>
      <c r="H61" s="1017"/>
      <c r="I61" s="1017"/>
      <c r="J61" s="1028"/>
      <c r="K61" s="1018"/>
      <c r="N61" s="902"/>
      <c r="O61" s="2"/>
      <c r="P61" s="2"/>
      <c r="Q61" s="2"/>
      <c r="R61" s="2"/>
      <c r="S61" s="2"/>
      <c r="T61" s="2"/>
      <c r="U61" s="2"/>
      <c r="V61" s="2"/>
      <c r="W61" s="2"/>
      <c r="X61" s="2"/>
      <c r="Y61" s="2"/>
      <c r="Z61" s="2"/>
      <c r="AA61" s="2"/>
      <c r="AB61" s="2"/>
    </row>
    <row r="62" spans="1:28" s="309" customFormat="1">
      <c r="A62" s="900"/>
      <c r="B62" s="100"/>
      <c r="C62" s="98">
        <f>B57/B56</f>
        <v>0.21052631578947367</v>
      </c>
      <c r="D62" s="100"/>
      <c r="G62" s="2"/>
      <c r="H62" s="2"/>
      <c r="I62" s="2"/>
      <c r="J62" s="2"/>
      <c r="K62" s="2"/>
      <c r="M62" s="2"/>
      <c r="N62" s="2"/>
      <c r="O62" s="2"/>
      <c r="P62" s="2"/>
      <c r="Q62" s="2"/>
      <c r="R62" s="2"/>
      <c r="S62" s="2"/>
      <c r="T62" s="2"/>
      <c r="U62" s="2"/>
      <c r="V62" s="2"/>
      <c r="W62" s="2"/>
      <c r="X62" s="2"/>
      <c r="Y62" s="2"/>
    </row>
    <row r="63" spans="1:28" s="309" customFormat="1" ht="15.95">
      <c r="A63" s="325" t="s">
        <v>137</v>
      </c>
      <c r="B63" s="100"/>
      <c r="C63" s="100"/>
      <c r="D63" s="100"/>
      <c r="E63" s="2"/>
      <c r="F63" s="2"/>
      <c r="M63" s="2"/>
      <c r="N63" s="2"/>
      <c r="O63" s="2"/>
      <c r="P63" s="2"/>
      <c r="Q63" s="2"/>
      <c r="R63" s="2"/>
      <c r="S63" s="2"/>
      <c r="T63" s="2"/>
      <c r="U63" s="2"/>
      <c r="V63" s="2"/>
      <c r="W63" s="2"/>
      <c r="X63" s="2"/>
      <c r="Y63" s="2"/>
    </row>
    <row r="64" spans="1:28" s="309" customFormat="1" ht="15.95">
      <c r="A64" s="771" t="s">
        <v>138</v>
      </c>
      <c r="B64" s="241">
        <v>0.66</v>
      </c>
      <c r="C64" s="2"/>
      <c r="D64" s="97" t="s">
        <v>139</v>
      </c>
      <c r="E64" s="2"/>
      <c r="F64" s="2"/>
      <c r="M64" s="2"/>
      <c r="N64" s="2"/>
      <c r="O64" s="2"/>
      <c r="P64" s="2"/>
      <c r="Q64" s="2"/>
      <c r="R64" s="2"/>
      <c r="S64" s="2"/>
      <c r="T64" s="2"/>
      <c r="U64" s="2"/>
      <c r="V64" s="2"/>
      <c r="W64" s="2"/>
      <c r="X64" s="2"/>
      <c r="Y64" s="2"/>
    </row>
    <row r="65" spans="1:27" s="309" customFormat="1" ht="15.95">
      <c r="A65" s="771" t="s">
        <v>140</v>
      </c>
      <c r="B65" s="241">
        <v>0.24</v>
      </c>
      <c r="C65" s="2"/>
      <c r="D65" s="97" t="s">
        <v>141</v>
      </c>
      <c r="E65" s="2"/>
      <c r="F65" s="2"/>
      <c r="H65" s="1034"/>
      <c r="M65" s="2"/>
      <c r="N65" s="2"/>
      <c r="O65" s="2"/>
      <c r="P65" s="2"/>
      <c r="Q65" s="2"/>
      <c r="R65" s="2"/>
      <c r="S65" s="2"/>
      <c r="T65" s="2"/>
      <c r="U65" s="2"/>
      <c r="V65" s="2"/>
      <c r="W65" s="2"/>
      <c r="X65" s="2"/>
      <c r="Y65" s="2"/>
    </row>
    <row r="66" spans="1:27" s="309" customFormat="1" ht="32.1">
      <c r="A66" s="771" t="s">
        <v>142</v>
      </c>
      <c r="B66" s="241">
        <f>POWER(1+$B$65/(1-$B$65),1/3)-1</f>
        <v>9.5793708422175161E-2</v>
      </c>
      <c r="C66" s="2"/>
      <c r="D66" s="97" t="s">
        <v>143</v>
      </c>
      <c r="E66" s="2"/>
      <c r="G66" s="2"/>
      <c r="H66" s="2"/>
      <c r="I66" s="2"/>
      <c r="J66" s="2"/>
      <c r="K66" s="2"/>
      <c r="L66" s="2"/>
      <c r="M66" s="2"/>
      <c r="N66" s="2"/>
      <c r="O66" s="2"/>
      <c r="P66" s="2"/>
      <c r="Q66" s="2"/>
      <c r="R66" s="2"/>
      <c r="S66" s="2"/>
      <c r="T66" s="2"/>
      <c r="U66" s="2"/>
      <c r="V66" s="2"/>
      <c r="W66" s="2"/>
      <c r="X66" s="2"/>
      <c r="Y66" s="2"/>
    </row>
    <row r="67" spans="1:27" s="309" customFormat="1">
      <c r="A67" s="8"/>
      <c r="B67" s="752"/>
      <c r="C67" s="6"/>
      <c r="D67" s="242"/>
      <c r="E67" s="7"/>
      <c r="F67" s="2"/>
      <c r="G67" s="2"/>
      <c r="H67" s="2"/>
      <c r="I67" s="2"/>
      <c r="J67" s="2"/>
      <c r="K67" s="2"/>
      <c r="L67" s="2"/>
      <c r="M67" s="2"/>
      <c r="N67" s="2"/>
      <c r="O67" s="2"/>
      <c r="P67" s="2"/>
      <c r="Q67" s="2"/>
      <c r="R67" s="2"/>
      <c r="S67" s="2"/>
      <c r="T67" s="2"/>
      <c r="U67" s="2"/>
      <c r="V67" s="2"/>
      <c r="W67" s="2"/>
      <c r="X67" s="2"/>
      <c r="Y67" s="2"/>
    </row>
    <row r="68" spans="1:27" ht="15.95">
      <c r="A68" s="957" t="s">
        <v>144</v>
      </c>
      <c r="B68" s="2"/>
      <c r="C68" s="2"/>
      <c r="D68" s="6"/>
      <c r="E68" s="309"/>
      <c r="F68" s="2"/>
      <c r="G68" s="2"/>
      <c r="H68" s="2"/>
      <c r="I68" s="2"/>
      <c r="J68" s="2"/>
      <c r="K68" s="2"/>
      <c r="L68" s="2"/>
      <c r="M68" s="2"/>
      <c r="N68" s="2"/>
      <c r="O68" s="3"/>
      <c r="P68" s="2"/>
      <c r="Q68" s="2"/>
      <c r="R68" s="2"/>
      <c r="S68" s="2"/>
      <c r="T68" s="2"/>
      <c r="U68" s="2"/>
      <c r="V68" s="2"/>
      <c r="W68" s="2"/>
      <c r="X68" s="2"/>
      <c r="Y68" s="2"/>
      <c r="Z68" s="309"/>
      <c r="AA68" s="309"/>
    </row>
    <row r="69" spans="1:27" s="309" customFormat="1" ht="15.95">
      <c r="A69" s="900" t="s">
        <v>145</v>
      </c>
      <c r="B69" s="2">
        <v>36600</v>
      </c>
      <c r="C69" s="2" t="s">
        <v>146</v>
      </c>
      <c r="D69" s="242" t="s">
        <v>147</v>
      </c>
      <c r="E69" s="6" t="s">
        <v>148</v>
      </c>
      <c r="F69" s="6"/>
      <c r="G69" s="6"/>
      <c r="H69" s="6"/>
      <c r="I69" s="6"/>
      <c r="J69" s="6"/>
      <c r="K69" s="2"/>
      <c r="L69" s="2"/>
      <c r="M69" s="2"/>
      <c r="N69" s="2"/>
      <c r="O69" s="2"/>
      <c r="P69" s="2"/>
      <c r="Q69" s="2"/>
      <c r="R69" s="2"/>
      <c r="S69" s="2"/>
      <c r="T69" s="2"/>
      <c r="U69" s="2"/>
      <c r="V69" s="2"/>
      <c r="W69" s="2"/>
      <c r="X69" s="2"/>
      <c r="Y69" s="2"/>
    </row>
    <row r="70" spans="1:27" s="309" customFormat="1" ht="15.95">
      <c r="A70" s="900" t="s">
        <v>149</v>
      </c>
      <c r="B70" s="2">
        <v>42100</v>
      </c>
      <c r="C70" s="2" t="s">
        <v>146</v>
      </c>
      <c r="D70" s="242" t="s">
        <v>147</v>
      </c>
      <c r="E70" s="6" t="s">
        <v>148</v>
      </c>
      <c r="F70" s="6"/>
      <c r="G70" s="6"/>
      <c r="H70" s="6"/>
      <c r="I70" s="6"/>
      <c r="J70" s="6"/>
      <c r="K70" s="2"/>
      <c r="L70" s="2"/>
      <c r="M70" s="2"/>
      <c r="N70" s="2"/>
      <c r="O70" s="2"/>
      <c r="P70" s="2"/>
      <c r="Q70" s="2"/>
      <c r="R70" s="2"/>
      <c r="S70" s="2"/>
      <c r="T70" s="2"/>
      <c r="U70" s="2"/>
      <c r="V70" s="2"/>
      <c r="W70" s="2"/>
      <c r="X70" s="2"/>
      <c r="Y70" s="2"/>
    </row>
    <row r="71" spans="1:27" s="309" customFormat="1">
      <c r="A71" s="958"/>
      <c r="E71" s="6"/>
      <c r="F71" s="6"/>
      <c r="G71" s="6"/>
      <c r="H71" s="6"/>
      <c r="I71" s="6"/>
      <c r="J71" s="6"/>
      <c r="K71" s="2"/>
      <c r="L71" s="2"/>
      <c r="M71" s="2"/>
      <c r="N71" s="2"/>
      <c r="O71" s="2"/>
      <c r="P71" s="2"/>
      <c r="Q71" s="2"/>
      <c r="R71" s="2"/>
      <c r="S71" s="2"/>
      <c r="T71" s="2"/>
      <c r="U71" s="2"/>
      <c r="V71" s="2"/>
      <c r="W71" s="2"/>
      <c r="X71" s="2"/>
      <c r="Y71" s="2"/>
    </row>
    <row r="72" spans="1:27" s="309" customFormat="1" ht="15.95">
      <c r="A72" s="960" t="s">
        <v>150</v>
      </c>
      <c r="B72" s="105" t="s">
        <v>151</v>
      </c>
      <c r="C72" s="105" t="s">
        <v>152</v>
      </c>
      <c r="D72" s="6"/>
      <c r="E72" s="6"/>
      <c r="F72" s="6"/>
      <c r="G72" s="6"/>
      <c r="H72" s="6"/>
      <c r="I72" s="6"/>
      <c r="J72" s="6"/>
      <c r="K72" s="2"/>
      <c r="L72" s="2"/>
      <c r="M72" s="2"/>
      <c r="N72" s="2"/>
      <c r="O72" s="2"/>
      <c r="P72" s="2"/>
      <c r="Q72" s="2"/>
      <c r="R72" s="2"/>
      <c r="S72" s="2"/>
      <c r="T72" s="2"/>
      <c r="U72" s="2"/>
      <c r="V72" s="2"/>
      <c r="W72" s="2"/>
      <c r="X72" s="2"/>
      <c r="Y72" s="2"/>
    </row>
    <row r="73" spans="1:27" s="309" customFormat="1" ht="15.95">
      <c r="A73" s="961" t="s">
        <v>153</v>
      </c>
      <c r="B73" s="324">
        <f>F56/B69</f>
        <v>2.4726775956284152E-2</v>
      </c>
      <c r="C73" s="324">
        <f>F56/B70</f>
        <v>2.149643705463183E-2</v>
      </c>
      <c r="D73" s="6" t="s">
        <v>94</v>
      </c>
      <c r="E73" s="6"/>
      <c r="F73" s="6"/>
      <c r="G73" s="6"/>
      <c r="H73" s="6"/>
      <c r="I73" s="6"/>
      <c r="J73" s="6"/>
      <c r="K73" s="2"/>
      <c r="L73" s="2"/>
      <c r="M73" s="2"/>
      <c r="N73" s="2"/>
      <c r="O73" s="2"/>
      <c r="P73" s="2"/>
      <c r="Q73" s="2"/>
      <c r="R73" s="2"/>
      <c r="S73" s="2"/>
      <c r="T73" s="2"/>
      <c r="U73" s="2"/>
      <c r="V73" s="2"/>
      <c r="W73" s="2"/>
      <c r="X73" s="2"/>
      <c r="Y73" s="2"/>
    </row>
    <row r="74" spans="1:27" s="309" customFormat="1" ht="15.95">
      <c r="A74" s="961" t="s">
        <v>154</v>
      </c>
      <c r="B74" s="324">
        <f>G56/B69</f>
        <v>2.9436638043195417E-2</v>
      </c>
      <c r="C74" s="772">
        <f>G56/B70</f>
        <v>2.5590996493609318E-2</v>
      </c>
      <c r="D74" s="6" t="s">
        <v>94</v>
      </c>
      <c r="E74" s="6"/>
      <c r="F74" s="6"/>
      <c r="H74" s="6"/>
      <c r="I74" s="6"/>
      <c r="J74" s="6"/>
      <c r="K74" s="2"/>
      <c r="L74" s="2"/>
      <c r="M74" s="2"/>
      <c r="N74" s="2"/>
      <c r="O74" s="2"/>
      <c r="P74" s="2"/>
      <c r="Q74" s="2"/>
      <c r="R74" s="2"/>
      <c r="S74" s="2"/>
      <c r="T74" s="2"/>
      <c r="U74" s="2"/>
      <c r="V74" s="2"/>
      <c r="W74" s="2"/>
      <c r="X74" s="2"/>
      <c r="Y74" s="2"/>
    </row>
    <row r="75" spans="1:27" ht="15" customHeight="1" thickBot="1">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row>
    <row r="76" spans="1:27" s="309" customFormat="1" ht="63.95">
      <c r="A76" s="1133" t="s">
        <v>155</v>
      </c>
      <c r="B76" s="1134" t="s">
        <v>156</v>
      </c>
      <c r="C76" s="1135" t="s">
        <v>157</v>
      </c>
      <c r="D76" s="1136" t="s">
        <v>158</v>
      </c>
      <c r="E76" s="1136" t="s">
        <v>159</v>
      </c>
      <c r="F76" s="1136" t="s">
        <v>160</v>
      </c>
      <c r="G76" s="912" t="s">
        <v>161</v>
      </c>
    </row>
    <row r="77" spans="1:27" s="309" customFormat="1" ht="15" customHeight="1">
      <c r="A77" s="1137" t="s">
        <v>162</v>
      </c>
      <c r="B77" s="327">
        <v>1040</v>
      </c>
      <c r="C77" s="101">
        <f>B77/SUM($B$77:$B$81)</f>
        <v>0.04</v>
      </c>
      <c r="D77" s="101">
        <v>0.01</v>
      </c>
      <c r="E77" s="643">
        <f>(1-SUM($E$80:$E$81))/(1-SUM($D$80:$D$81))*D77</f>
        <v>3.3577533577533536E-3</v>
      </c>
      <c r="F77" s="646" t="s">
        <v>94</v>
      </c>
      <c r="G77" s="913">
        <f>IF($H$1="France",E77,D77)</f>
        <v>0.01</v>
      </c>
    </row>
    <row r="78" spans="1:27" s="309" customFormat="1" ht="15" customHeight="1">
      <c r="A78" s="1137" t="s">
        <v>163</v>
      </c>
      <c r="B78" s="327">
        <v>3380</v>
      </c>
      <c r="C78" s="101">
        <f t="shared" ref="C78:C81" si="9">B78/SUM($B$77:$B$81)</f>
        <v>0.13</v>
      </c>
      <c r="D78" s="101">
        <v>0.03</v>
      </c>
      <c r="E78" s="643">
        <f t="shared" ref="E78:E79" si="10">(1-SUM($E$80:$E$81))/(1-SUM($D$80:$D$81))*D78</f>
        <v>1.007326007326006E-2</v>
      </c>
      <c r="F78" s="647" t="s">
        <v>164</v>
      </c>
      <c r="G78" s="913">
        <f>IF($H$1="France",E78,D78)</f>
        <v>0.03</v>
      </c>
    </row>
    <row r="79" spans="1:27" s="309" customFormat="1" ht="15" customHeight="1">
      <c r="A79" s="1137" t="s">
        <v>165</v>
      </c>
      <c r="B79" s="327">
        <v>13780</v>
      </c>
      <c r="C79" s="101">
        <f t="shared" si="9"/>
        <v>0.53</v>
      </c>
      <c r="D79" s="101">
        <v>0.24</v>
      </c>
      <c r="E79" s="643">
        <f t="shared" si="10"/>
        <v>8.058608058608048E-2</v>
      </c>
      <c r="F79" s="646" t="s">
        <v>94</v>
      </c>
      <c r="G79" s="913">
        <f>IF($H$1="France",E79,D79)</f>
        <v>0.24</v>
      </c>
    </row>
    <row r="80" spans="1:27" s="309" customFormat="1" ht="15" customHeight="1">
      <c r="A80" s="1137" t="s">
        <v>166</v>
      </c>
      <c r="B80" s="327">
        <v>4680</v>
      </c>
      <c r="C80" s="101">
        <f t="shared" si="9"/>
        <v>0.18</v>
      </c>
      <c r="D80" s="101">
        <v>0.42</v>
      </c>
      <c r="E80" s="644">
        <f>(6.7+2.7/2)/23.4</f>
        <v>0.34401709401709407</v>
      </c>
      <c r="F80" s="642" t="s">
        <v>167</v>
      </c>
      <c r="G80" s="913">
        <f>IF($H$1="France",E80,D80)</f>
        <v>0.42</v>
      </c>
    </row>
    <row r="81" spans="1:27" s="309" customFormat="1" ht="15" customHeight="1" thickBot="1">
      <c r="A81" s="1138" t="s">
        <v>168</v>
      </c>
      <c r="B81" s="1139">
        <v>3120</v>
      </c>
      <c r="C81" s="1140">
        <f t="shared" si="9"/>
        <v>0.12</v>
      </c>
      <c r="D81" s="1140">
        <v>0.3</v>
      </c>
      <c r="E81" s="1141">
        <f>(11.8+2.7/2)/23.4</f>
        <v>0.56196581196581197</v>
      </c>
      <c r="F81" s="1142" t="s">
        <v>167</v>
      </c>
      <c r="G81" s="914">
        <f>IF($H$1="France",E81,D81)</f>
        <v>0.3</v>
      </c>
    </row>
    <row r="82" spans="1:27" s="309" customFormat="1" ht="15" customHeight="1">
      <c r="A82" s="958"/>
      <c r="D82" s="97" t="s">
        <v>169</v>
      </c>
    </row>
    <row r="83" spans="1:27" s="309" customFormat="1" ht="15" customHeight="1" thickBot="1">
      <c r="A83" s="958"/>
      <c r="D83" s="97"/>
    </row>
    <row r="84" spans="1:27" s="300" customFormat="1">
      <c r="A84" s="1163" t="s">
        <v>170</v>
      </c>
      <c r="B84" s="1168" t="s">
        <v>171</v>
      </c>
      <c r="C84" s="1169"/>
      <c r="D84" s="1169"/>
      <c r="E84" s="1170"/>
      <c r="F84" s="1161" t="s">
        <v>172</v>
      </c>
      <c r="G84" s="1168" t="s">
        <v>173</v>
      </c>
      <c r="H84" s="1169"/>
      <c r="I84" s="1169"/>
      <c r="J84" s="1170"/>
      <c r="K84" s="2"/>
      <c r="L84" s="2"/>
      <c r="M84" s="2"/>
      <c r="N84" s="2"/>
      <c r="O84" s="2"/>
      <c r="P84" s="2"/>
      <c r="Q84" s="2"/>
      <c r="R84" s="2"/>
      <c r="S84" s="2"/>
      <c r="T84" s="2"/>
      <c r="U84" s="2"/>
      <c r="V84" s="2"/>
      <c r="W84" s="2"/>
      <c r="X84" s="2"/>
      <c r="Y84" s="2"/>
      <c r="Z84" s="309"/>
      <c r="AA84" s="309"/>
    </row>
    <row r="85" spans="1:27" s="300" customFormat="1" ht="48.95" thickBot="1">
      <c r="A85" s="1164"/>
      <c r="B85" s="305" t="s">
        <v>174</v>
      </c>
      <c r="C85" s="306" t="s">
        <v>175</v>
      </c>
      <c r="D85" s="307" t="s">
        <v>176</v>
      </c>
      <c r="E85" s="930" t="s">
        <v>177</v>
      </c>
      <c r="F85" s="1162"/>
      <c r="G85" s="305" t="s">
        <v>174</v>
      </c>
      <c r="H85" s="306" t="s">
        <v>178</v>
      </c>
      <c r="I85" s="307" t="s">
        <v>176</v>
      </c>
      <c r="J85" s="930" t="s">
        <v>177</v>
      </c>
      <c r="K85" s="2"/>
      <c r="L85" s="309"/>
      <c r="M85" s="2"/>
      <c r="N85" s="2"/>
      <c r="O85" s="2"/>
      <c r="P85" s="2"/>
      <c r="Q85" s="2"/>
      <c r="R85" s="2"/>
      <c r="S85" s="2"/>
      <c r="T85" s="2"/>
      <c r="U85" s="2"/>
      <c r="V85" s="2"/>
      <c r="W85" s="2"/>
      <c r="X85" s="2"/>
      <c r="Y85" s="2"/>
      <c r="Z85" s="309"/>
      <c r="AA85" s="309"/>
    </row>
    <row r="86" spans="1:27" s="300" customFormat="1" ht="15.95">
      <c r="A86" s="303" t="s">
        <v>179</v>
      </c>
      <c r="B86" s="315">
        <v>905000</v>
      </c>
      <c r="C86" s="316">
        <f>$C$74*B86</f>
        <v>23159.851826716433</v>
      </c>
      <c r="D86" s="316">
        <f>$D$56/$G$56*C86</f>
        <v>577.69774262801229</v>
      </c>
      <c r="E86" s="931">
        <f>IF($H$1="France",D86,C86)</f>
        <v>23159.851826716433</v>
      </c>
      <c r="F86" s="317">
        <v>4.5499999999999999E-2</v>
      </c>
      <c r="G86" s="318">
        <f>$B$70*(1-(1-$F86)^33)/$F86</f>
        <v>726264.00146283454</v>
      </c>
      <c r="H86" s="318">
        <f>$G$56*(1-(1-$F86)^33)/$F86</f>
        <v>18585.819514870072</v>
      </c>
      <c r="I86" s="318">
        <f>$D$56*(1-(1-$F86)^33)/$F86</f>
        <v>463.60339690283638</v>
      </c>
      <c r="J86" s="931">
        <f>IF($H$1="France",I86,H86)</f>
        <v>18585.819514870072</v>
      </c>
      <c r="K86" s="2"/>
      <c r="L86" s="5"/>
      <c r="M86" s="2"/>
      <c r="N86" s="2"/>
      <c r="O86" s="2"/>
      <c r="P86" s="2"/>
      <c r="Q86" s="2"/>
      <c r="R86" s="2"/>
      <c r="S86" s="2"/>
      <c r="T86" s="2"/>
      <c r="U86" s="2"/>
      <c r="V86" s="2"/>
      <c r="W86" s="2"/>
      <c r="X86" s="2"/>
      <c r="Y86" s="2"/>
      <c r="Z86" s="309"/>
      <c r="AA86" s="309"/>
    </row>
    <row r="87" spans="1:27" s="300" customFormat="1" ht="15.95">
      <c r="A87" s="303" t="s">
        <v>180</v>
      </c>
      <c r="B87" s="315">
        <v>1170000</v>
      </c>
      <c r="C87" s="316">
        <f>$C$74*B87</f>
        <v>29941.465897522903</v>
      </c>
      <c r="D87" s="316">
        <f>$D$56/$G$56*C87</f>
        <v>746.85785511024801</v>
      </c>
      <c r="E87" s="931">
        <f t="shared" ref="E87:E89" si="11">IF($H$1="France",D87,C87)</f>
        <v>29941.465897522903</v>
      </c>
      <c r="F87" s="317">
        <v>3.39E-2</v>
      </c>
      <c r="G87" s="318">
        <f>$B$70*(1-(1-$F87)^33)/$F87</f>
        <v>843953.85078520188</v>
      </c>
      <c r="H87" s="318">
        <f>$G$56*(1-(1-$F87)^33)/$F87</f>
        <v>21597.620036212185</v>
      </c>
      <c r="I87" s="318">
        <f>$D$56*(1-(1-$F87)^33)/$F87</f>
        <v>538.72954086279503</v>
      </c>
      <c r="J87" s="931">
        <f t="shared" ref="J87:J89" si="12">IF($H$1="France",I87,H87)</f>
        <v>21597.620036212185</v>
      </c>
      <c r="K87" s="2"/>
      <c r="L87" s="5"/>
      <c r="M87" s="2"/>
      <c r="N87" s="2"/>
      <c r="O87" s="2"/>
      <c r="P87" s="2"/>
      <c r="Q87" s="2"/>
      <c r="R87" s="2"/>
      <c r="S87" s="2"/>
      <c r="T87" s="2"/>
      <c r="U87" s="2"/>
      <c r="V87" s="2"/>
      <c r="W87" s="2"/>
      <c r="X87" s="2"/>
      <c r="Y87" s="2"/>
      <c r="Z87" s="309"/>
      <c r="AA87" s="309"/>
    </row>
    <row r="88" spans="1:27" s="300" customFormat="1" ht="15.95">
      <c r="A88" s="303" t="s">
        <v>181</v>
      </c>
      <c r="B88" s="315">
        <v>1488000</v>
      </c>
      <c r="C88" s="316">
        <f>$C$74*B88</f>
        <v>38079.402782490666</v>
      </c>
      <c r="D88" s="316">
        <f>$D$56/$G$56*C88</f>
        <v>949.84999008893078</v>
      </c>
      <c r="E88" s="931">
        <f t="shared" si="11"/>
        <v>38079.402782490666</v>
      </c>
      <c r="F88" s="317">
        <v>2.5700000000000001E-2</v>
      </c>
      <c r="G88" s="318">
        <f>$B$70*(1-(1-$F88)^33)/$F88</f>
        <v>944374.05216506647</v>
      </c>
      <c r="H88" s="318">
        <f>$G$56*(1-(1-$F88)^33)/$F88</f>
        <v>24167.473057611838</v>
      </c>
      <c r="I88" s="318">
        <f>$D$56*(1-(1-$F88)^33)/$F88</f>
        <v>602.83177694168808</v>
      </c>
      <c r="J88" s="931">
        <f t="shared" si="12"/>
        <v>24167.473057611838</v>
      </c>
      <c r="K88" s="2"/>
      <c r="L88" s="5"/>
      <c r="M88" s="2"/>
      <c r="N88" s="2"/>
      <c r="O88" s="2"/>
      <c r="P88" s="2"/>
      <c r="Q88" s="2"/>
      <c r="R88" s="2"/>
      <c r="S88" s="2"/>
      <c r="T88" s="2"/>
      <c r="U88" s="2"/>
      <c r="V88" s="2"/>
      <c r="W88" s="2"/>
      <c r="X88" s="2"/>
      <c r="Y88" s="2"/>
      <c r="Z88" s="309"/>
      <c r="AA88" s="309"/>
    </row>
    <row r="89" spans="1:27" s="300" customFormat="1" ht="17.100000000000001" thickBot="1">
      <c r="A89" s="304" t="s">
        <v>182</v>
      </c>
      <c r="B89" s="319">
        <v>2002000</v>
      </c>
      <c r="C89" s="320">
        <f>$C$74*B89</f>
        <v>51233.174980205855</v>
      </c>
      <c r="D89" s="320">
        <f>$D$56/$G$56*C89</f>
        <v>1277.9567742997576</v>
      </c>
      <c r="E89" s="932">
        <f t="shared" si="11"/>
        <v>51233.174980205855</v>
      </c>
      <c r="F89" s="321">
        <v>1.5100000000000001E-2</v>
      </c>
      <c r="G89" s="322">
        <f>$B$70*(1-(1-$F89)^33)/$F89</f>
        <v>1100572.0764196955</v>
      </c>
      <c r="H89" s="322">
        <f>$G$56*(1-(1-$F89)^33)/$F89</f>
        <v>28164.736148620756</v>
      </c>
      <c r="I89" s="322">
        <f>$D$56*(1-(1-$F89)^33)/$F89</f>
        <v>702.53923110174856</v>
      </c>
      <c r="J89" s="932">
        <f t="shared" si="12"/>
        <v>28164.736148620756</v>
      </c>
      <c r="K89" s="2"/>
      <c r="L89" s="5"/>
      <c r="M89" s="2"/>
      <c r="N89" s="2"/>
      <c r="O89" s="2"/>
      <c r="P89" s="2"/>
      <c r="Q89" s="2"/>
      <c r="R89" s="2"/>
      <c r="S89" s="2"/>
      <c r="T89" s="2"/>
      <c r="U89" s="2"/>
      <c r="V89" s="2"/>
      <c r="W89" s="2"/>
      <c r="X89" s="2"/>
      <c r="Y89" s="2"/>
      <c r="Z89" s="309"/>
      <c r="AA89" s="309"/>
    </row>
    <row r="90" spans="1:27">
      <c r="A90" s="8"/>
      <c r="B90" s="309"/>
      <c r="C90" s="2"/>
      <c r="D90" s="6"/>
      <c r="E90" s="2"/>
      <c r="F90" s="2"/>
      <c r="G90" s="2"/>
      <c r="H90" s="2"/>
      <c r="I90" s="2"/>
      <c r="J90" s="2"/>
      <c r="K90" s="2"/>
      <c r="L90" s="2"/>
      <c r="M90" s="2"/>
      <c r="N90" s="2"/>
      <c r="O90" s="2"/>
      <c r="P90" s="2"/>
      <c r="Q90" s="2"/>
      <c r="R90" s="2"/>
      <c r="S90" s="2"/>
      <c r="T90" s="2"/>
      <c r="U90" s="2"/>
      <c r="V90" s="2"/>
      <c r="W90" s="2"/>
      <c r="X90" s="2"/>
      <c r="Y90" s="2"/>
      <c r="Z90" s="309"/>
      <c r="AA90" s="309"/>
    </row>
    <row r="91" spans="1:27" ht="32.1">
      <c r="A91" s="957" t="s">
        <v>183</v>
      </c>
      <c r="B91" s="106"/>
      <c r="C91" s="2"/>
      <c r="D91" s="242" t="s">
        <v>184</v>
      </c>
      <c r="E91" s="2"/>
      <c r="F91" s="2"/>
      <c r="G91" s="2"/>
      <c r="H91" s="2"/>
      <c r="I91" s="2"/>
      <c r="J91" s="2"/>
      <c r="K91" s="2"/>
      <c r="L91" s="2"/>
      <c r="M91" s="2"/>
      <c r="N91" s="2"/>
      <c r="O91" s="2"/>
      <c r="P91" s="2"/>
      <c r="Q91" s="2"/>
      <c r="R91" s="2"/>
      <c r="S91" s="2"/>
      <c r="T91" s="2"/>
      <c r="U91" s="2"/>
      <c r="V91" s="2"/>
      <c r="W91" s="2"/>
      <c r="X91" s="2"/>
      <c r="Y91" s="2"/>
      <c r="Z91" s="309"/>
      <c r="AA91" s="309"/>
    </row>
    <row r="92" spans="1:27" ht="25.35" customHeight="1">
      <c r="A92" s="138"/>
      <c r="B92" s="138" t="s">
        <v>185</v>
      </c>
      <c r="C92" s="138" t="s">
        <v>186</v>
      </c>
      <c r="D92" s="138" t="s">
        <v>187</v>
      </c>
      <c r="E92" s="138" t="s">
        <v>188</v>
      </c>
      <c r="F92" s="2"/>
      <c r="G92" s="2"/>
      <c r="H92" s="903"/>
      <c r="I92" s="903"/>
      <c r="J92" s="2"/>
      <c r="K92" s="2"/>
      <c r="L92" s="2"/>
      <c r="M92" s="2"/>
      <c r="N92" s="2"/>
      <c r="O92" s="2"/>
      <c r="P92" s="2"/>
      <c r="Q92" s="2"/>
      <c r="R92" s="2"/>
      <c r="S92" s="2"/>
      <c r="T92" s="2"/>
      <c r="U92" s="2"/>
      <c r="V92" s="2"/>
      <c r="W92" s="2"/>
      <c r="X92" s="2"/>
      <c r="Y92" s="2"/>
      <c r="Z92" s="309"/>
      <c r="AA92" s="309"/>
    </row>
    <row r="93" spans="1:27" ht="15.95">
      <c r="A93" s="138" t="s">
        <v>189</v>
      </c>
      <c r="B93" s="138">
        <v>25.5</v>
      </c>
      <c r="C93" s="138">
        <v>13203</v>
      </c>
      <c r="D93" s="138">
        <v>379</v>
      </c>
      <c r="E93" s="138">
        <v>101</v>
      </c>
      <c r="F93" s="2"/>
      <c r="G93" s="2"/>
      <c r="H93" s="2"/>
      <c r="I93" s="2"/>
      <c r="J93" s="2"/>
      <c r="K93" s="2"/>
      <c r="L93" s="2"/>
      <c r="M93" s="2"/>
      <c r="N93" s="2"/>
      <c r="O93" s="2"/>
      <c r="P93" s="2"/>
      <c r="Q93" s="2"/>
      <c r="R93" s="2"/>
      <c r="S93" s="2"/>
      <c r="T93" s="2"/>
      <c r="U93" s="2"/>
      <c r="V93" s="2"/>
      <c r="W93" s="2"/>
      <c r="X93" s="2"/>
      <c r="Y93" s="2"/>
      <c r="Z93" s="309"/>
      <c r="AA93" s="309"/>
    </row>
    <row r="94" spans="1:27" ht="15.95">
      <c r="A94" s="138" t="s">
        <v>190</v>
      </c>
      <c r="B94" s="138">
        <v>17</v>
      </c>
      <c r="C94" s="138">
        <v>2796</v>
      </c>
      <c r="D94" s="138">
        <v>89</v>
      </c>
      <c r="E94" s="138">
        <v>33</v>
      </c>
      <c r="F94" s="2"/>
      <c r="G94" s="2"/>
      <c r="H94" s="2"/>
      <c r="I94" s="9"/>
      <c r="J94" s="2"/>
      <c r="K94" s="2"/>
      <c r="L94" s="2"/>
      <c r="M94" s="2"/>
      <c r="N94" s="2"/>
      <c r="O94" s="2"/>
      <c r="P94" s="2"/>
      <c r="Q94" s="2"/>
      <c r="R94" s="2"/>
      <c r="S94" s="2"/>
      <c r="T94" s="2"/>
      <c r="U94" s="2"/>
      <c r="V94" s="2"/>
      <c r="W94" s="2"/>
      <c r="X94" s="2"/>
      <c r="Y94" s="2"/>
      <c r="Z94" s="309"/>
      <c r="AA94" s="309"/>
    </row>
    <row r="95" spans="1:27" ht="15.95">
      <c r="A95" s="138" t="s">
        <v>191</v>
      </c>
      <c r="B95" s="138">
        <v>12.7</v>
      </c>
      <c r="C95" s="138">
        <v>808</v>
      </c>
      <c r="D95" s="138">
        <v>35</v>
      </c>
      <c r="E95" s="138">
        <v>17</v>
      </c>
      <c r="F95" s="2"/>
      <c r="G95" s="2"/>
      <c r="H95" s="2"/>
      <c r="I95" s="2"/>
      <c r="J95" s="2"/>
      <c r="K95" s="2"/>
      <c r="L95" s="2"/>
      <c r="M95" s="2"/>
      <c r="N95" s="2"/>
      <c r="O95" s="2"/>
      <c r="P95" s="2"/>
      <c r="Q95" s="2"/>
      <c r="R95" s="2"/>
      <c r="S95" s="2"/>
      <c r="T95" s="2"/>
      <c r="U95" s="2"/>
      <c r="V95" s="2"/>
      <c r="W95" s="2"/>
      <c r="X95" s="2"/>
      <c r="Y95" s="2"/>
      <c r="Z95" s="309"/>
      <c r="AA95" s="309"/>
    </row>
    <row r="96" spans="1:27" ht="15.95">
      <c r="A96" s="138" t="s">
        <v>192</v>
      </c>
      <c r="B96" s="138">
        <v>14.8</v>
      </c>
      <c r="C96" s="138">
        <v>637</v>
      </c>
      <c r="D96" s="138">
        <v>29</v>
      </c>
      <c r="E96" s="138">
        <v>14</v>
      </c>
      <c r="F96" s="2"/>
      <c r="G96" s="2"/>
      <c r="H96" s="2"/>
      <c r="I96" s="2"/>
      <c r="J96" s="2"/>
      <c r="K96" s="2"/>
      <c r="L96" s="2"/>
      <c r="M96" s="2"/>
      <c r="N96" s="2"/>
      <c r="O96" s="2"/>
      <c r="P96" s="2"/>
      <c r="Q96" s="2"/>
      <c r="R96" s="2"/>
      <c r="S96" s="2"/>
      <c r="T96" s="2"/>
      <c r="U96" s="2"/>
      <c r="V96" s="2"/>
      <c r="W96" s="2"/>
      <c r="X96" s="2"/>
      <c r="Y96" s="2"/>
      <c r="Z96" s="309"/>
      <c r="AA96" s="309"/>
    </row>
    <row r="97" spans="1:27" ht="15.95">
      <c r="A97" s="138" t="s">
        <v>193</v>
      </c>
      <c r="B97" s="138">
        <v>16.100000000000001</v>
      </c>
      <c r="C97" s="138">
        <v>537</v>
      </c>
      <c r="D97" s="138">
        <v>27</v>
      </c>
      <c r="E97" s="138">
        <v>11</v>
      </c>
      <c r="F97" s="2"/>
      <c r="G97" s="2"/>
      <c r="H97" s="2"/>
      <c r="I97" s="2"/>
      <c r="J97" s="2"/>
      <c r="K97" s="2"/>
      <c r="L97" s="2"/>
      <c r="M97" s="2"/>
      <c r="N97" s="2"/>
      <c r="O97" s="2"/>
      <c r="P97" s="2"/>
      <c r="Q97" s="2"/>
      <c r="R97" s="2"/>
      <c r="S97" s="2"/>
      <c r="T97" s="2"/>
      <c r="U97" s="2"/>
      <c r="V97" s="2"/>
      <c r="W97" s="2"/>
      <c r="X97" s="2"/>
      <c r="Y97" s="2"/>
      <c r="Z97" s="309"/>
      <c r="AA97" s="309"/>
    </row>
    <row r="98" spans="1:27" ht="15.95">
      <c r="A98" s="138" t="s">
        <v>194</v>
      </c>
      <c r="B98" s="138">
        <v>13.9</v>
      </c>
      <c r="C98" s="138">
        <v>493</v>
      </c>
      <c r="D98" s="138">
        <v>23</v>
      </c>
      <c r="E98" s="138">
        <v>12</v>
      </c>
      <c r="F98" s="2"/>
      <c r="G98" s="2"/>
      <c r="H98" s="2"/>
      <c r="I98" s="2"/>
      <c r="J98" s="2"/>
      <c r="K98" s="2"/>
      <c r="L98" s="2"/>
      <c r="M98" s="2"/>
      <c r="N98" s="2"/>
      <c r="O98" s="2"/>
      <c r="P98" s="2"/>
      <c r="Q98" s="2"/>
      <c r="R98" s="2"/>
      <c r="S98" s="2"/>
      <c r="T98" s="2"/>
      <c r="U98" s="2"/>
      <c r="V98" s="2"/>
      <c r="W98" s="2"/>
      <c r="X98" s="2"/>
      <c r="Y98" s="2"/>
      <c r="Z98" s="309"/>
      <c r="AA98" s="309"/>
    </row>
    <row r="99" spans="1:27" ht="15.95">
      <c r="A99" s="138" t="s">
        <v>195</v>
      </c>
      <c r="B99" s="138">
        <v>14.4</v>
      </c>
      <c r="C99" s="138">
        <v>456</v>
      </c>
      <c r="D99" s="138">
        <v>20</v>
      </c>
      <c r="E99" s="138">
        <v>9</v>
      </c>
      <c r="F99" s="2"/>
      <c r="G99" s="2"/>
      <c r="H99" s="2"/>
      <c r="I99" s="2"/>
      <c r="J99" s="2"/>
      <c r="K99" s="2"/>
      <c r="L99" s="2"/>
      <c r="M99" s="2"/>
      <c r="N99" s="2"/>
      <c r="O99" s="2"/>
      <c r="P99" s="2"/>
      <c r="Q99" s="2"/>
      <c r="R99" s="2"/>
      <c r="S99" s="2"/>
      <c r="T99" s="2"/>
      <c r="U99" s="2"/>
      <c r="V99" s="2"/>
      <c r="W99" s="2"/>
      <c r="X99" s="2"/>
      <c r="Y99" s="2"/>
      <c r="Z99" s="309"/>
      <c r="AA99" s="309"/>
    </row>
    <row r="100" spans="1:27" ht="15.95">
      <c r="A100" s="138" t="s">
        <v>196</v>
      </c>
      <c r="B100" s="138">
        <v>12</v>
      </c>
      <c r="C100" s="138">
        <v>301</v>
      </c>
      <c r="D100" s="138">
        <v>13</v>
      </c>
      <c r="E100" s="138">
        <v>7</v>
      </c>
      <c r="F100" s="2"/>
      <c r="G100" s="2"/>
      <c r="H100" s="2"/>
      <c r="I100" s="2"/>
      <c r="J100" s="2"/>
      <c r="K100" s="2"/>
      <c r="L100" s="2"/>
      <c r="M100" s="2"/>
      <c r="N100" s="2"/>
      <c r="O100" s="2"/>
      <c r="P100" s="2"/>
      <c r="Q100" s="2"/>
      <c r="R100" s="2"/>
      <c r="S100" s="2"/>
      <c r="T100" s="2"/>
      <c r="U100" s="2"/>
      <c r="V100" s="2"/>
      <c r="W100" s="2"/>
      <c r="X100" s="2"/>
      <c r="Y100" s="2"/>
      <c r="Z100" s="309"/>
      <c r="AA100" s="309"/>
    </row>
    <row r="101" spans="1:27" ht="15.95">
      <c r="A101" s="138" t="s">
        <v>197</v>
      </c>
      <c r="B101" s="138">
        <v>13.3</v>
      </c>
      <c r="C101" s="138">
        <v>303</v>
      </c>
      <c r="D101" s="138">
        <v>13</v>
      </c>
      <c r="E101" s="138">
        <v>7</v>
      </c>
      <c r="F101" s="2"/>
      <c r="G101" s="2"/>
      <c r="H101" s="2"/>
      <c r="I101" s="2"/>
      <c r="J101" s="2"/>
      <c r="K101" s="2"/>
      <c r="L101" s="2"/>
      <c r="M101" s="2"/>
      <c r="N101" s="2"/>
      <c r="O101" s="2"/>
      <c r="P101" s="2"/>
      <c r="Q101" s="2"/>
      <c r="R101" s="2"/>
      <c r="S101" s="2"/>
      <c r="T101" s="2"/>
      <c r="U101" s="2"/>
      <c r="V101" s="2"/>
      <c r="W101" s="2"/>
      <c r="X101" s="2"/>
      <c r="Y101" s="2"/>
      <c r="Z101" s="309"/>
      <c r="AA101" s="309"/>
    </row>
    <row r="102" spans="1:27" ht="15.95">
      <c r="A102" s="138" t="s">
        <v>198</v>
      </c>
      <c r="B102" s="138">
        <v>16.2</v>
      </c>
      <c r="C102" s="138">
        <v>192</v>
      </c>
      <c r="D102" s="138">
        <v>8</v>
      </c>
      <c r="E102" s="138">
        <v>3</v>
      </c>
      <c r="F102" s="2"/>
      <c r="G102" s="2"/>
      <c r="H102" s="2"/>
      <c r="I102" s="2"/>
      <c r="J102" s="2"/>
      <c r="K102" s="2"/>
      <c r="L102" s="2"/>
      <c r="M102" s="2"/>
      <c r="N102" s="2"/>
      <c r="O102" s="2"/>
      <c r="P102" s="2"/>
      <c r="Q102" s="2"/>
      <c r="R102" s="2"/>
      <c r="S102" s="2"/>
      <c r="T102" s="2"/>
      <c r="U102" s="2"/>
      <c r="V102" s="2"/>
      <c r="W102" s="2"/>
      <c r="X102" s="2"/>
      <c r="Y102" s="2"/>
      <c r="Z102" s="309"/>
      <c r="AA102" s="309"/>
    </row>
    <row r="103" spans="1:27" ht="15.95">
      <c r="A103" s="138" t="s">
        <v>199</v>
      </c>
      <c r="B103" s="138">
        <v>12.1</v>
      </c>
      <c r="C103" s="138">
        <v>113</v>
      </c>
      <c r="D103" s="138">
        <v>4</v>
      </c>
      <c r="E103" s="138">
        <v>3</v>
      </c>
      <c r="F103" s="2"/>
      <c r="G103" s="2"/>
      <c r="H103" s="2"/>
      <c r="I103" s="2"/>
      <c r="J103" s="2"/>
      <c r="K103" s="2"/>
      <c r="L103" s="2"/>
      <c r="M103" s="2"/>
      <c r="N103" s="2"/>
      <c r="O103" s="2"/>
      <c r="P103" s="2"/>
      <c r="Q103" s="2"/>
      <c r="R103" s="2"/>
      <c r="S103" s="2"/>
      <c r="T103" s="2"/>
      <c r="U103" s="2"/>
      <c r="V103" s="2"/>
      <c r="W103" s="2"/>
      <c r="X103" s="2"/>
      <c r="Y103" s="2"/>
      <c r="Z103" s="309"/>
      <c r="AA103" s="309"/>
    </row>
    <row r="104" spans="1:27" ht="15.95">
      <c r="A104" s="138" t="s">
        <v>200</v>
      </c>
      <c r="B104" s="138">
        <v>12.1</v>
      </c>
      <c r="C104" s="138">
        <v>84</v>
      </c>
      <c r="D104" s="138">
        <v>4</v>
      </c>
      <c r="E104" s="138">
        <v>2</v>
      </c>
      <c r="F104" s="2"/>
      <c r="G104" s="2"/>
      <c r="H104" s="2"/>
      <c r="I104" s="2"/>
      <c r="J104" s="2"/>
      <c r="K104" s="2"/>
      <c r="L104" s="2"/>
      <c r="M104" s="2"/>
      <c r="N104" s="2"/>
      <c r="O104" s="2"/>
      <c r="P104" s="2"/>
      <c r="Q104" s="2"/>
      <c r="R104" s="2"/>
      <c r="S104" s="2"/>
      <c r="T104" s="2"/>
      <c r="U104" s="2"/>
      <c r="V104" s="2"/>
      <c r="W104" s="2"/>
      <c r="X104" s="2"/>
      <c r="Y104" s="2"/>
      <c r="Z104" s="309"/>
      <c r="AA104" s="309"/>
    </row>
    <row r="105" spans="1:27" ht="15.95">
      <c r="A105" s="8" t="s">
        <v>201</v>
      </c>
      <c r="B105" s="8"/>
      <c r="C105" s="139">
        <f>SUM(C93:C104)/1000</f>
        <v>19.922999999999998</v>
      </c>
      <c r="D105" s="139">
        <f t="shared" ref="D105:E105" si="13">SUM(D93:D104)/1000</f>
        <v>0.64400000000000002</v>
      </c>
      <c r="E105" s="139">
        <f t="shared" si="13"/>
        <v>0.219</v>
      </c>
      <c r="F105" s="2"/>
      <c r="G105" s="2"/>
      <c r="H105" s="2"/>
      <c r="I105" s="2"/>
      <c r="J105" s="2"/>
      <c r="K105" s="2"/>
      <c r="L105" s="2"/>
      <c r="M105" s="2"/>
      <c r="N105" s="2"/>
      <c r="O105" s="2"/>
      <c r="P105" s="2"/>
      <c r="Q105" s="2"/>
      <c r="R105" s="2"/>
      <c r="S105" s="2"/>
      <c r="T105" s="2"/>
      <c r="U105" s="2"/>
      <c r="V105" s="2"/>
      <c r="W105" s="2"/>
      <c r="X105" s="2"/>
      <c r="Y105" s="2"/>
      <c r="Z105" s="309"/>
      <c r="AA105" s="309"/>
    </row>
    <row r="106" spans="1:27" ht="15.95">
      <c r="A106" s="8" t="s">
        <v>202</v>
      </c>
      <c r="B106" s="8"/>
      <c r="C106" s="139">
        <f>C56</f>
        <v>22.574257425742573</v>
      </c>
      <c r="D106" s="139">
        <f>D105*C106/C105</f>
        <v>0.72970043578668964</v>
      </c>
      <c r="E106" s="8">
        <v>0.3</v>
      </c>
      <c r="F106" s="2"/>
      <c r="G106" s="2"/>
      <c r="H106" s="2"/>
      <c r="I106" s="2"/>
      <c r="J106" s="2"/>
      <c r="K106" s="2"/>
      <c r="L106" s="2"/>
      <c r="M106" s="2"/>
      <c r="N106" s="2"/>
      <c r="O106" s="2"/>
      <c r="P106" s="2"/>
      <c r="Q106" s="2"/>
      <c r="R106" s="2"/>
      <c r="S106" s="2"/>
      <c r="T106" s="2"/>
      <c r="U106" s="2"/>
      <c r="V106" s="2"/>
      <c r="W106" s="2"/>
      <c r="X106" s="2"/>
      <c r="Y106" s="2"/>
      <c r="Z106" s="309"/>
      <c r="AA106" s="309"/>
    </row>
    <row r="107" spans="1:27" ht="15.95">
      <c r="A107" s="8" t="s">
        <v>203</v>
      </c>
      <c r="B107" s="139">
        <f>(B93*D93+B94*D94+B95*D95+B96*D96+B97*D97+B98*D98+B99*D99+B100*D100+B101*D101+B102*D102+B103*D103+B104*D104)/SUM(D93:D104)</f>
        <v>21.193944099378886</v>
      </c>
      <c r="C107" s="2" t="s">
        <v>204</v>
      </c>
      <c r="D107" s="1149" t="s">
        <v>94</v>
      </c>
      <c r="E107" s="1149"/>
      <c r="F107" s="2"/>
      <c r="G107" s="2"/>
      <c r="H107" s="2"/>
      <c r="I107" s="2"/>
      <c r="J107" s="2"/>
      <c r="K107" s="2"/>
      <c r="L107" s="2"/>
      <c r="M107" s="2"/>
      <c r="N107" s="2"/>
      <c r="O107" s="2"/>
      <c r="P107" s="2"/>
      <c r="Q107" s="2"/>
      <c r="R107" s="2"/>
      <c r="S107" s="2"/>
      <c r="T107" s="2"/>
      <c r="U107" s="2"/>
      <c r="V107" s="2"/>
      <c r="W107" s="2"/>
      <c r="X107" s="2"/>
      <c r="Y107" s="2"/>
      <c r="Z107" s="309"/>
      <c r="AA107" s="309"/>
    </row>
    <row r="108" spans="1:27" ht="15.95" thickBot="1">
      <c r="A108" s="900"/>
      <c r="B108" s="2"/>
      <c r="C108" s="2"/>
      <c r="D108" s="2"/>
      <c r="E108" s="2"/>
      <c r="F108" s="2"/>
      <c r="G108" s="2"/>
      <c r="H108" s="2"/>
      <c r="I108" s="2"/>
      <c r="J108" s="2"/>
      <c r="K108" s="2"/>
      <c r="L108" s="2"/>
      <c r="M108" s="2"/>
      <c r="N108" s="2"/>
      <c r="O108" s="2"/>
      <c r="P108" s="2"/>
      <c r="Q108" s="2"/>
      <c r="R108" s="2"/>
      <c r="S108" s="2"/>
      <c r="T108" s="2"/>
      <c r="U108" s="2"/>
      <c r="V108" s="2"/>
      <c r="W108" s="2"/>
      <c r="X108" s="2"/>
      <c r="Y108" s="2"/>
      <c r="Z108" s="309"/>
      <c r="AA108" s="309"/>
    </row>
    <row r="109" spans="1:27" s="309" customFormat="1" ht="31.7" customHeight="1" thickBot="1">
      <c r="A109" s="958"/>
      <c r="B109" s="989" t="s">
        <v>205</v>
      </c>
      <c r="C109" s="990" t="s">
        <v>206</v>
      </c>
      <c r="D109" s="990" t="s">
        <v>207</v>
      </c>
      <c r="E109" s="990" t="s">
        <v>208</v>
      </c>
      <c r="F109" s="990" t="s">
        <v>209</v>
      </c>
      <c r="G109" s="2"/>
      <c r="H109" s="2"/>
      <c r="I109" s="2"/>
      <c r="J109" s="2"/>
      <c r="K109" s="2"/>
      <c r="L109" s="2"/>
      <c r="M109" s="2"/>
      <c r="N109" s="2"/>
      <c r="O109" s="2"/>
      <c r="P109" s="2"/>
      <c r="Q109" s="2"/>
      <c r="R109" s="2"/>
      <c r="S109" s="2"/>
      <c r="T109" s="2"/>
      <c r="U109" s="2"/>
      <c r="V109" s="2"/>
      <c r="W109" s="2"/>
      <c r="X109" s="2"/>
      <c r="Y109" s="2"/>
      <c r="Z109" s="2"/>
    </row>
    <row r="110" spans="1:27" s="309" customFormat="1" ht="15.6" customHeight="1">
      <c r="A110" s="1172" t="s">
        <v>120</v>
      </c>
      <c r="B110" s="976" t="s">
        <v>47</v>
      </c>
      <c r="C110" s="977" t="s">
        <v>94</v>
      </c>
      <c r="D110" s="977" t="s">
        <v>210</v>
      </c>
      <c r="E110" s="977" t="s">
        <v>211</v>
      </c>
      <c r="F110" s="978" t="s">
        <v>211</v>
      </c>
      <c r="G110" s="2"/>
      <c r="H110" s="2"/>
      <c r="I110" s="2"/>
      <c r="J110" s="2"/>
      <c r="K110" s="2"/>
      <c r="L110" s="2"/>
      <c r="M110" s="2"/>
      <c r="N110" s="2"/>
      <c r="O110" s="2"/>
      <c r="P110" s="2"/>
      <c r="Q110" s="2"/>
      <c r="R110" s="2"/>
      <c r="S110" s="2"/>
      <c r="T110" s="2"/>
      <c r="U110" s="2"/>
      <c r="V110" s="2"/>
      <c r="W110" s="2"/>
      <c r="X110" s="2"/>
      <c r="Y110" s="2"/>
      <c r="Z110" s="2"/>
    </row>
    <row r="111" spans="1:27" s="309" customFormat="1">
      <c r="A111" s="1154"/>
      <c r="B111" s="966" t="s">
        <v>212</v>
      </c>
      <c r="C111" s="964">
        <f>(F111*1000)/(E111*$B$124)</f>
        <v>0.23428966391611761</v>
      </c>
      <c r="D111" s="965">
        <f>(14.1+15.6)/2</f>
        <v>14.85</v>
      </c>
      <c r="E111" s="965">
        <v>16.494</v>
      </c>
      <c r="F111" s="967">
        <f>F114*0.063</f>
        <v>33.875100000000003</v>
      </c>
      <c r="G111" s="2"/>
      <c r="H111" s="2"/>
      <c r="I111" s="2"/>
      <c r="J111" s="2"/>
      <c r="K111" s="2"/>
      <c r="L111" s="2"/>
      <c r="M111" s="2"/>
      <c r="N111" s="2"/>
      <c r="O111" s="2"/>
      <c r="P111" s="2"/>
      <c r="Q111" s="2"/>
      <c r="R111" s="2"/>
      <c r="S111" s="2"/>
      <c r="T111" s="2"/>
      <c r="U111" s="2"/>
      <c r="V111" s="2"/>
      <c r="W111" s="2"/>
      <c r="X111" s="2"/>
      <c r="Y111" s="2"/>
      <c r="Z111" s="2"/>
    </row>
    <row r="112" spans="1:27" s="309" customFormat="1">
      <c r="A112" s="1154"/>
      <c r="B112" s="966" t="s">
        <v>213</v>
      </c>
      <c r="C112" s="964">
        <f>(F112*1000)/(E112*$B$124)</f>
        <v>0.20108132030493386</v>
      </c>
      <c r="D112" s="965">
        <f>D111*(F111/F112)+56*((F112-F111)/F112)</f>
        <v>25.500588235294121</v>
      </c>
      <c r="E112" s="965">
        <f>9.435+E111</f>
        <v>25.929000000000002</v>
      </c>
      <c r="F112" s="967">
        <f>F114*0.085</f>
        <v>45.70450000000001</v>
      </c>
      <c r="G112" s="2"/>
      <c r="H112" s="2"/>
      <c r="I112" s="2"/>
      <c r="J112" s="2"/>
      <c r="K112" s="2"/>
      <c r="L112" s="2"/>
      <c r="M112" s="2"/>
      <c r="N112" s="2"/>
      <c r="O112" s="2"/>
      <c r="P112" s="2"/>
      <c r="Q112" s="2"/>
      <c r="R112" s="2"/>
      <c r="S112" s="2"/>
      <c r="T112" s="2"/>
      <c r="U112" s="2"/>
      <c r="V112" s="2"/>
      <c r="W112" s="2"/>
      <c r="X112" s="2"/>
      <c r="Y112" s="2"/>
      <c r="Z112" s="2"/>
    </row>
    <row r="113" spans="1:27" s="309" customFormat="1">
      <c r="A113" s="1154"/>
      <c r="B113" s="966" t="s">
        <v>214</v>
      </c>
      <c r="C113" s="964">
        <f>(F113*1000)/(E113*$B$124)</f>
        <v>0.68597372615904817</v>
      </c>
      <c r="D113" s="965">
        <v>6</v>
      </c>
      <c r="E113" s="965">
        <v>63.13</v>
      </c>
      <c r="F113" s="967">
        <f>F114*0.706</f>
        <v>379.61619999999999</v>
      </c>
      <c r="G113" s="2"/>
      <c r="H113" s="2"/>
      <c r="I113" s="2"/>
      <c r="J113" s="2"/>
      <c r="K113" s="2"/>
      <c r="L113" s="2"/>
      <c r="M113" s="2"/>
      <c r="N113" s="2"/>
      <c r="O113" s="2"/>
      <c r="P113" s="2"/>
      <c r="Q113" s="2"/>
      <c r="R113" s="2"/>
      <c r="S113" s="2"/>
      <c r="T113" s="2"/>
      <c r="U113" s="2"/>
      <c r="V113" s="2"/>
      <c r="W113" s="2"/>
      <c r="X113" s="2"/>
      <c r="Y113" s="2"/>
      <c r="Z113" s="2"/>
    </row>
    <row r="114" spans="1:27" s="309" customFormat="1" ht="15.95" thickBot="1">
      <c r="A114" s="1155"/>
      <c r="B114" s="972" t="s">
        <v>215</v>
      </c>
      <c r="C114" s="973">
        <f>(F114*1000)/(E114*$B$124)</f>
        <v>0.45326366563735598</v>
      </c>
      <c r="D114" s="974">
        <v>57</v>
      </c>
      <c r="E114" s="974">
        <v>135.328</v>
      </c>
      <c r="F114" s="975">
        <v>537.70000000000005</v>
      </c>
      <c r="G114" s="2"/>
      <c r="H114" s="2"/>
      <c r="I114" s="2"/>
      <c r="J114" s="2"/>
      <c r="K114" s="2"/>
      <c r="L114" s="2"/>
      <c r="M114" s="2"/>
      <c r="N114" s="2"/>
      <c r="O114" s="2"/>
      <c r="P114" s="2"/>
      <c r="Q114" s="2"/>
      <c r="R114" s="2"/>
      <c r="S114" s="2"/>
      <c r="T114" s="2"/>
      <c r="U114" s="2"/>
      <c r="V114" s="2"/>
      <c r="W114" s="2"/>
      <c r="X114" s="2"/>
      <c r="Y114" s="2"/>
      <c r="Z114" s="2"/>
    </row>
    <row r="115" spans="1:27" s="902" customFormat="1">
      <c r="A115" s="1154" t="s">
        <v>50</v>
      </c>
      <c r="B115" s="976" t="s">
        <v>47</v>
      </c>
      <c r="C115" s="977"/>
      <c r="D115" s="977" t="s">
        <v>216</v>
      </c>
      <c r="E115" s="977" t="s">
        <v>217</v>
      </c>
      <c r="F115" s="978" t="s">
        <v>218</v>
      </c>
      <c r="G115" s="174"/>
      <c r="H115" s="174"/>
      <c r="I115" s="174"/>
      <c r="J115" s="174"/>
      <c r="K115" s="174"/>
      <c r="L115" s="174"/>
      <c r="M115" s="174"/>
      <c r="N115" s="174"/>
      <c r="O115" s="174"/>
      <c r="P115" s="174"/>
      <c r="Q115" s="174"/>
      <c r="R115" s="174"/>
      <c r="S115" s="174"/>
      <c r="T115" s="174"/>
      <c r="U115" s="174"/>
      <c r="V115" s="174"/>
      <c r="W115" s="174"/>
      <c r="X115" s="174"/>
      <c r="Y115" s="174"/>
      <c r="Z115" s="174"/>
    </row>
    <row r="116" spans="1:27" s="902" customFormat="1">
      <c r="A116" s="1154"/>
      <c r="B116" s="966" t="s">
        <v>212</v>
      </c>
      <c r="C116" s="964">
        <f>(F116*1000)/(E116*$B$124)</f>
        <v>0.24620329979010511</v>
      </c>
      <c r="D116" s="965">
        <v>11</v>
      </c>
      <c r="E116" s="965">
        <v>651</v>
      </c>
      <c r="F116" s="967">
        <v>1405</v>
      </c>
      <c r="G116" s="174"/>
      <c r="H116" s="174"/>
      <c r="I116" s="174"/>
      <c r="J116" s="174"/>
      <c r="K116" s="174"/>
      <c r="L116" s="174"/>
      <c r="M116" s="174"/>
      <c r="N116" s="174"/>
      <c r="O116" s="174"/>
      <c r="P116" s="174"/>
      <c r="Q116" s="174"/>
      <c r="R116" s="174"/>
      <c r="S116" s="174"/>
      <c r="T116" s="174"/>
      <c r="U116" s="174"/>
      <c r="V116" s="174"/>
      <c r="W116" s="174"/>
      <c r="X116" s="174"/>
      <c r="Y116" s="174"/>
      <c r="Z116" s="174"/>
    </row>
    <row r="117" spans="1:27" s="902" customFormat="1">
      <c r="A117" s="1154"/>
      <c r="B117" s="966" t="s">
        <v>213</v>
      </c>
      <c r="C117" s="964" t="e">
        <f>NA()</f>
        <v>#N/A</v>
      </c>
      <c r="D117" s="965" t="e">
        <f>NA()</f>
        <v>#N/A</v>
      </c>
      <c r="E117" s="965" t="e">
        <f>NA()</f>
        <v>#N/A</v>
      </c>
      <c r="F117" s="967" t="e">
        <f>NA()</f>
        <v>#N/A</v>
      </c>
      <c r="G117" s="174"/>
      <c r="H117" s="995"/>
      <c r="I117" s="995"/>
      <c r="J117" s="995"/>
      <c r="K117" s="995"/>
      <c r="L117" s="174"/>
      <c r="M117" s="174"/>
      <c r="N117" s="174"/>
      <c r="O117" s="174"/>
      <c r="P117" s="174"/>
      <c r="Q117" s="174"/>
      <c r="R117" s="174"/>
      <c r="S117" s="174"/>
      <c r="T117" s="174"/>
      <c r="U117" s="174"/>
      <c r="V117" s="174"/>
      <c r="W117" s="174"/>
      <c r="X117" s="174"/>
      <c r="Y117" s="174"/>
      <c r="Z117" s="174"/>
    </row>
    <row r="118" spans="1:27" s="902" customFormat="1">
      <c r="A118" s="1154"/>
      <c r="B118" s="966" t="s">
        <v>214</v>
      </c>
      <c r="C118" s="964" t="e">
        <f>NA()</f>
        <v>#N/A</v>
      </c>
      <c r="D118" s="965" t="e">
        <f>NA()</f>
        <v>#N/A</v>
      </c>
      <c r="E118" s="965" t="e">
        <f>NA()</f>
        <v>#N/A</v>
      </c>
      <c r="F118" s="967" t="e">
        <f>NA()</f>
        <v>#N/A</v>
      </c>
      <c r="G118" s="174"/>
      <c r="H118" s="995"/>
      <c r="I118" s="995"/>
      <c r="J118" s="995"/>
      <c r="K118" s="995"/>
      <c r="L118" s="174"/>
      <c r="M118" s="174"/>
      <c r="N118" s="174"/>
      <c r="O118" s="174"/>
      <c r="P118" s="174"/>
      <c r="Q118" s="174"/>
      <c r="R118" s="174"/>
      <c r="S118" s="174"/>
      <c r="T118" s="174"/>
      <c r="U118" s="174"/>
      <c r="V118" s="174"/>
      <c r="W118" s="174"/>
      <c r="X118" s="174"/>
      <c r="Y118" s="174"/>
      <c r="Z118" s="174"/>
    </row>
    <row r="119" spans="1:27" s="309" customFormat="1" ht="15.95" thickBot="1">
      <c r="A119" s="1155"/>
      <c r="B119" s="968" t="s">
        <v>215</v>
      </c>
      <c r="C119" s="969" t="e">
        <f>NA()</f>
        <v>#N/A</v>
      </c>
      <c r="D119" s="970">
        <v>504</v>
      </c>
      <c r="E119" s="970" t="e">
        <f>NA()</f>
        <v>#N/A</v>
      </c>
      <c r="F119" s="971" t="e">
        <f>NA()</f>
        <v>#N/A</v>
      </c>
      <c r="H119" s="996"/>
      <c r="I119" s="996"/>
      <c r="J119" s="996"/>
      <c r="K119" s="996"/>
      <c r="L119" s="2"/>
      <c r="M119" s="2"/>
      <c r="N119" s="2"/>
      <c r="O119" s="2"/>
      <c r="P119" s="2"/>
      <c r="Q119" s="2"/>
      <c r="R119" s="2"/>
      <c r="S119" s="2"/>
      <c r="T119" s="2"/>
      <c r="U119" s="2"/>
      <c r="V119" s="2"/>
      <c r="W119" s="2"/>
      <c r="X119" s="2"/>
      <c r="Y119" s="2"/>
      <c r="Z119" s="2"/>
    </row>
    <row r="120" spans="1:27" s="902" customFormat="1">
      <c r="A120" s="1156" t="s">
        <v>219</v>
      </c>
      <c r="B120" s="991" t="s">
        <v>212</v>
      </c>
      <c r="C120" s="992">
        <f>IF($H$1="France",C111,C116)</f>
        <v>0.24620329979010511</v>
      </c>
      <c r="D120" s="993">
        <f t="shared" ref="D120:F120" si="14">IF($H$1="France",D111,D116)</f>
        <v>11</v>
      </c>
      <c r="E120" s="993">
        <f t="shared" si="14"/>
        <v>651</v>
      </c>
      <c r="F120" s="994">
        <f t="shared" si="14"/>
        <v>1405</v>
      </c>
      <c r="G120" s="174"/>
      <c r="H120" s="995"/>
      <c r="I120" s="995"/>
      <c r="J120" s="995"/>
      <c r="K120" s="995"/>
      <c r="L120" s="174"/>
      <c r="M120" s="174"/>
      <c r="N120" s="174"/>
      <c r="O120" s="174"/>
      <c r="P120" s="174"/>
      <c r="Q120" s="174"/>
      <c r="R120" s="174"/>
      <c r="S120" s="174"/>
      <c r="T120" s="174"/>
      <c r="U120" s="174"/>
      <c r="V120" s="174"/>
      <c r="W120" s="174"/>
      <c r="X120" s="174"/>
      <c r="Y120" s="174"/>
      <c r="Z120" s="174"/>
    </row>
    <row r="121" spans="1:27" s="902" customFormat="1">
      <c r="A121" s="1157"/>
      <c r="B121" s="981" t="s">
        <v>213</v>
      </c>
      <c r="C121" s="982" t="e">
        <f t="shared" ref="C121:F123" si="15">IF(H2="France",C112,C117)</f>
        <v>#N/A</v>
      </c>
      <c r="D121" s="983" t="e">
        <f t="shared" si="15"/>
        <v>#N/A</v>
      </c>
      <c r="E121" s="983" t="e">
        <f t="shared" si="15"/>
        <v>#N/A</v>
      </c>
      <c r="F121" s="984" t="e">
        <f t="shared" si="15"/>
        <v>#N/A</v>
      </c>
      <c r="G121" s="174"/>
      <c r="H121" s="995"/>
      <c r="I121" s="995"/>
      <c r="J121" s="995"/>
      <c r="K121" s="995"/>
      <c r="L121" s="174"/>
      <c r="M121" s="174"/>
      <c r="N121" s="174"/>
      <c r="O121" s="174"/>
      <c r="P121" s="174"/>
      <c r="Q121" s="174"/>
      <c r="R121" s="174"/>
      <c r="S121" s="174"/>
      <c r="T121" s="174"/>
      <c r="U121" s="174"/>
      <c r="V121" s="174"/>
      <c r="W121" s="174"/>
      <c r="X121" s="174"/>
      <c r="Y121" s="174"/>
      <c r="Z121" s="174"/>
    </row>
    <row r="122" spans="1:27" s="902" customFormat="1">
      <c r="A122" s="1157"/>
      <c r="B122" s="981" t="s">
        <v>214</v>
      </c>
      <c r="C122" s="982" t="e">
        <f t="shared" si="15"/>
        <v>#N/A</v>
      </c>
      <c r="D122" s="983" t="e">
        <f t="shared" si="15"/>
        <v>#N/A</v>
      </c>
      <c r="E122" s="983" t="e">
        <f t="shared" si="15"/>
        <v>#N/A</v>
      </c>
      <c r="F122" s="984" t="e">
        <f t="shared" si="15"/>
        <v>#N/A</v>
      </c>
      <c r="G122" s="174"/>
      <c r="H122" s="995"/>
      <c r="I122" s="995"/>
      <c r="J122" s="995"/>
      <c r="K122" s="995"/>
      <c r="L122" s="174"/>
      <c r="M122" s="174"/>
      <c r="N122" s="174"/>
      <c r="O122" s="174"/>
      <c r="P122" s="174"/>
      <c r="Q122" s="174"/>
      <c r="R122" s="174"/>
      <c r="S122" s="174"/>
      <c r="T122" s="174"/>
      <c r="U122" s="174"/>
      <c r="V122" s="174"/>
      <c r="W122" s="174"/>
      <c r="X122" s="174"/>
      <c r="Y122" s="174"/>
      <c r="Z122" s="174"/>
    </row>
    <row r="123" spans="1:27" s="309" customFormat="1" ht="15.95" thickBot="1">
      <c r="A123" s="1158"/>
      <c r="B123" s="985" t="s">
        <v>215</v>
      </c>
      <c r="C123" s="986" t="e">
        <f t="shared" si="15"/>
        <v>#N/A</v>
      </c>
      <c r="D123" s="987">
        <f t="shared" si="15"/>
        <v>504</v>
      </c>
      <c r="E123" s="987" t="e">
        <f t="shared" si="15"/>
        <v>#N/A</v>
      </c>
      <c r="F123" s="988" t="e">
        <f t="shared" si="15"/>
        <v>#N/A</v>
      </c>
      <c r="H123" s="996"/>
      <c r="I123" s="996"/>
      <c r="J123" s="996"/>
      <c r="K123" s="996"/>
      <c r="L123" s="2"/>
      <c r="M123" s="2"/>
      <c r="N123" s="2"/>
      <c r="O123" s="2"/>
      <c r="P123" s="2"/>
      <c r="Q123" s="2"/>
      <c r="R123" s="2"/>
      <c r="S123" s="2"/>
      <c r="T123" s="2"/>
      <c r="U123" s="2"/>
      <c r="V123" s="2"/>
      <c r="W123" s="2"/>
      <c r="X123" s="2"/>
      <c r="Y123" s="2"/>
      <c r="Z123" s="2"/>
    </row>
    <row r="124" spans="1:27" s="309" customFormat="1">
      <c r="A124" s="163" t="s">
        <v>220</v>
      </c>
      <c r="B124" s="163">
        <v>8766</v>
      </c>
      <c r="C124" s="979"/>
      <c r="D124" s="980"/>
      <c r="E124" s="980"/>
      <c r="F124" s="980"/>
      <c r="H124" s="996"/>
      <c r="I124" s="996"/>
      <c r="J124" s="996"/>
      <c r="K124" s="996"/>
      <c r="L124" s="2"/>
      <c r="M124" s="2"/>
      <c r="N124" s="2"/>
      <c r="O124" s="2"/>
      <c r="P124" s="2"/>
      <c r="Q124" s="2"/>
      <c r="R124" s="2"/>
      <c r="S124" s="2"/>
      <c r="T124" s="2"/>
      <c r="U124" s="2"/>
      <c r="V124" s="2"/>
      <c r="W124" s="2"/>
      <c r="X124" s="2"/>
      <c r="Y124" s="2"/>
      <c r="Z124" s="2"/>
    </row>
    <row r="125" spans="1:27" s="309" customFormat="1">
      <c r="A125" s="163"/>
      <c r="B125" s="163"/>
      <c r="C125" s="979"/>
      <c r="D125" s="980"/>
      <c r="E125" s="980"/>
      <c r="F125" s="980"/>
      <c r="H125" s="996"/>
      <c r="I125" s="996"/>
      <c r="J125" s="996"/>
      <c r="K125" s="996"/>
      <c r="L125" s="2"/>
      <c r="M125" s="2"/>
      <c r="N125" s="2"/>
      <c r="O125" s="2"/>
      <c r="P125" s="2"/>
      <c r="Q125" s="2"/>
      <c r="R125" s="2"/>
      <c r="S125" s="2"/>
      <c r="T125" s="2"/>
      <c r="U125" s="2"/>
      <c r="V125" s="2"/>
      <c r="W125" s="2"/>
      <c r="X125" s="2"/>
      <c r="Y125" s="2"/>
      <c r="Z125" s="2"/>
    </row>
    <row r="126" spans="1:27" s="309" customFormat="1" ht="48">
      <c r="A126" s="163"/>
      <c r="B126" s="1145" t="s">
        <v>221</v>
      </c>
      <c r="C126" s="1159" t="s">
        <v>222</v>
      </c>
      <c r="D126" s="1160"/>
      <c r="E126" s="1160"/>
      <c r="F126" s="1006"/>
      <c r="G126" s="980"/>
      <c r="H126" s="997"/>
      <c r="I126" s="996"/>
      <c r="J126" s="996"/>
      <c r="K126" s="996"/>
      <c r="L126" s="996"/>
      <c r="M126" s="2"/>
      <c r="N126" s="2"/>
      <c r="O126" s="2"/>
      <c r="P126" s="2"/>
      <c r="Q126" s="2"/>
      <c r="R126" s="2"/>
      <c r="S126" s="2"/>
      <c r="T126" s="2"/>
      <c r="U126" s="2"/>
      <c r="V126" s="2"/>
      <c r="W126" s="2"/>
      <c r="X126" s="2"/>
      <c r="Y126" s="2"/>
      <c r="Z126" s="2"/>
      <c r="AA126" s="2"/>
    </row>
    <row r="127" spans="1:27" s="309" customFormat="1" ht="45">
      <c r="A127" s="163"/>
      <c r="B127" s="1145"/>
      <c r="C127" s="1145" t="s">
        <v>223</v>
      </c>
      <c r="D127" s="1005" t="s">
        <v>224</v>
      </c>
      <c r="E127" s="1006" t="s">
        <v>225</v>
      </c>
      <c r="F127" s="1006"/>
      <c r="G127" s="980"/>
      <c r="H127" s="997"/>
      <c r="I127" s="996"/>
      <c r="J127" s="996"/>
      <c r="K127" s="996"/>
      <c r="L127" s="996"/>
      <c r="M127" s="2"/>
      <c r="N127" s="2"/>
      <c r="O127" s="2"/>
      <c r="P127" s="2"/>
      <c r="Q127" s="2"/>
      <c r="R127" s="2"/>
      <c r="S127" s="2"/>
      <c r="T127" s="2"/>
      <c r="U127" s="2"/>
      <c r="V127" s="2"/>
      <c r="W127" s="2"/>
      <c r="X127" s="2"/>
      <c r="Y127" s="2"/>
      <c r="Z127" s="2"/>
      <c r="AA127" s="2"/>
    </row>
    <row r="128" spans="1:27" s="309" customFormat="1">
      <c r="A128" s="163"/>
      <c r="B128" s="1002">
        <v>0</v>
      </c>
      <c r="C128" s="1009">
        <f>(1000/$B$3)*$D$23</f>
        <v>85.111211983658634</v>
      </c>
      <c r="D128" s="1003">
        <f>($B$13/$B$9)*$B128</f>
        <v>0</v>
      </c>
      <c r="E128" s="1003">
        <f>((0.5*$B$18+0.5*$B$19)/$B$3)*$B128</f>
        <v>0</v>
      </c>
      <c r="F128" s="999"/>
      <c r="G128" s="999"/>
      <c r="H128" s="1000"/>
      <c r="I128" s="1001"/>
      <c r="J128" s="1001"/>
      <c r="K128" s="1001"/>
      <c r="L128" s="1001"/>
      <c r="M128" s="5"/>
      <c r="N128" s="5"/>
      <c r="O128" s="5"/>
      <c r="P128" s="5"/>
      <c r="Q128" s="2"/>
      <c r="R128" s="2"/>
      <c r="S128" s="2"/>
      <c r="T128" s="2"/>
      <c r="U128" s="2"/>
      <c r="V128" s="2"/>
      <c r="W128" s="2"/>
      <c r="X128" s="2"/>
      <c r="Y128" s="2"/>
      <c r="Z128" s="2"/>
      <c r="AA128" s="2"/>
    </row>
    <row r="129" spans="1:27" s="309" customFormat="1">
      <c r="A129" s="163"/>
      <c r="B129" s="1002">
        <f>B128+15</f>
        <v>15</v>
      </c>
      <c r="C129" s="1009">
        <f>(1000/$B$3)*$D$23</f>
        <v>85.111211983658634</v>
      </c>
      <c r="D129" s="1003">
        <f>($B$13/$B$9)*$B129</f>
        <v>7.0833333333333321</v>
      </c>
      <c r="E129" s="1003">
        <f t="shared" ref="E129:E162" si="16">((0.5*$B$18+0.5*$B$19)/$B$3)*$B129</f>
        <v>15.416666666666663</v>
      </c>
      <c r="F129" s="980"/>
      <c r="G129" s="980"/>
      <c r="I129" s="996"/>
      <c r="J129" s="996"/>
      <c r="K129" s="996"/>
      <c r="L129" s="996"/>
      <c r="M129" s="2"/>
      <c r="N129" s="2"/>
      <c r="O129" s="2"/>
      <c r="P129" s="2"/>
      <c r="Q129" s="2"/>
      <c r="R129" s="2"/>
      <c r="S129" s="2"/>
      <c r="T129" s="2"/>
      <c r="U129" s="2"/>
      <c r="V129" s="2"/>
      <c r="W129" s="2"/>
      <c r="X129" s="2"/>
      <c r="Y129" s="2"/>
      <c r="Z129" s="2"/>
      <c r="AA129" s="2"/>
    </row>
    <row r="130" spans="1:27" s="309" customFormat="1">
      <c r="A130" s="163"/>
      <c r="B130" s="1002">
        <f t="shared" ref="B130:B162" si="17">B129+15</f>
        <v>30</v>
      </c>
      <c r="C130" s="1009">
        <f t="shared" ref="C130:C162" si="18">(1/$B$3*1000)*$D$23</f>
        <v>85.111211983658634</v>
      </c>
      <c r="D130" s="1003">
        <f t="shared" ref="D130:D162" si="19">($B$13/$B$9)*$B130</f>
        <v>14.166666666666664</v>
      </c>
      <c r="E130" s="1003">
        <f t="shared" si="16"/>
        <v>30.833333333333325</v>
      </c>
      <c r="F130" s="980"/>
      <c r="G130" s="980"/>
      <c r="I130" s="996"/>
      <c r="J130" s="996"/>
      <c r="K130" s="996"/>
      <c r="L130" s="996"/>
      <c r="M130" s="2"/>
      <c r="N130" s="2"/>
      <c r="O130" s="2"/>
      <c r="P130" s="2"/>
      <c r="Q130" s="2"/>
      <c r="R130" s="2"/>
      <c r="S130" s="2"/>
      <c r="T130" s="2"/>
      <c r="U130" s="2"/>
      <c r="V130" s="2"/>
      <c r="W130" s="2"/>
      <c r="X130" s="2"/>
      <c r="Y130" s="2"/>
      <c r="Z130" s="2"/>
      <c r="AA130" s="2"/>
    </row>
    <row r="131" spans="1:27" s="309" customFormat="1">
      <c r="A131" s="163"/>
      <c r="B131" s="1002">
        <f t="shared" si="17"/>
        <v>45</v>
      </c>
      <c r="C131" s="1009">
        <f t="shared" si="18"/>
        <v>85.111211983658634</v>
      </c>
      <c r="D131" s="1003">
        <f t="shared" si="19"/>
        <v>21.249999999999996</v>
      </c>
      <c r="E131" s="1003">
        <f t="shared" si="16"/>
        <v>46.249999999999986</v>
      </c>
      <c r="F131" s="980"/>
      <c r="G131" s="980"/>
      <c r="I131" s="996"/>
      <c r="J131" s="996"/>
      <c r="K131" s="996"/>
      <c r="L131" s="996"/>
      <c r="M131" s="2"/>
      <c r="N131" s="2"/>
      <c r="O131" s="2"/>
      <c r="P131" s="2"/>
      <c r="Q131" s="2"/>
      <c r="R131" s="2"/>
      <c r="S131" s="2"/>
      <c r="T131" s="2"/>
      <c r="U131" s="2"/>
      <c r="V131" s="2"/>
      <c r="W131" s="2"/>
      <c r="X131" s="2"/>
      <c r="Y131" s="2"/>
      <c r="Z131" s="2"/>
      <c r="AA131" s="2"/>
    </row>
    <row r="132" spans="1:27" s="309" customFormat="1">
      <c r="A132" s="163"/>
      <c r="B132" s="1002">
        <f t="shared" si="17"/>
        <v>60</v>
      </c>
      <c r="C132" s="1009">
        <f t="shared" si="18"/>
        <v>85.111211983658634</v>
      </c>
      <c r="D132" s="1003">
        <f t="shared" si="19"/>
        <v>28.333333333333329</v>
      </c>
      <c r="E132" s="1003">
        <f t="shared" si="16"/>
        <v>61.66666666666665</v>
      </c>
      <c r="F132" s="980"/>
      <c r="G132" s="980"/>
      <c r="I132" s="996"/>
      <c r="J132" s="996"/>
      <c r="K132" s="996"/>
      <c r="L132" s="996"/>
      <c r="M132" s="2"/>
      <c r="N132" s="2"/>
      <c r="O132" s="2"/>
      <c r="P132" s="2"/>
      <c r="Q132" s="2"/>
      <c r="R132" s="2"/>
      <c r="S132" s="2"/>
      <c r="T132" s="2"/>
      <c r="U132" s="2"/>
      <c r="V132" s="2"/>
      <c r="W132" s="2"/>
      <c r="X132" s="2"/>
      <c r="Y132" s="2"/>
      <c r="Z132" s="2"/>
      <c r="AA132" s="2"/>
    </row>
    <row r="133" spans="1:27" s="309" customFormat="1">
      <c r="A133" s="163"/>
      <c r="B133" s="1002">
        <f t="shared" si="17"/>
        <v>75</v>
      </c>
      <c r="C133" s="1009">
        <f t="shared" si="18"/>
        <v>85.111211983658634</v>
      </c>
      <c r="D133" s="1003">
        <f t="shared" si="19"/>
        <v>35.416666666666664</v>
      </c>
      <c r="E133" s="1003">
        <f t="shared" si="16"/>
        <v>77.083333333333314</v>
      </c>
      <c r="F133" s="980"/>
      <c r="G133" s="980"/>
      <c r="I133" s="996"/>
      <c r="J133" s="996"/>
      <c r="K133" s="996"/>
      <c r="L133" s="996"/>
      <c r="M133" s="2"/>
      <c r="N133" s="2"/>
      <c r="O133" s="2"/>
      <c r="P133" s="2"/>
      <c r="Q133" s="2"/>
      <c r="R133" s="2"/>
      <c r="S133" s="2"/>
      <c r="T133" s="2"/>
      <c r="U133" s="2"/>
      <c r="V133" s="2"/>
      <c r="W133" s="2"/>
      <c r="X133" s="2"/>
      <c r="Y133" s="2"/>
      <c r="Z133" s="2"/>
      <c r="AA133" s="2"/>
    </row>
    <row r="134" spans="1:27" s="309" customFormat="1">
      <c r="A134" s="163"/>
      <c r="B134" s="1002">
        <f t="shared" si="17"/>
        <v>90</v>
      </c>
      <c r="C134" s="1009">
        <f t="shared" si="18"/>
        <v>85.111211983658634</v>
      </c>
      <c r="D134" s="1003">
        <f t="shared" si="19"/>
        <v>42.499999999999993</v>
      </c>
      <c r="E134" s="1003">
        <f t="shared" si="16"/>
        <v>92.499999999999972</v>
      </c>
      <c r="F134" s="999"/>
      <c r="G134" s="999"/>
      <c r="H134" s="1000"/>
      <c r="I134" s="1001"/>
      <c r="J134" s="1001"/>
      <c r="K134" s="1001"/>
      <c r="L134" s="1001"/>
      <c r="M134" s="5"/>
      <c r="N134" s="5"/>
      <c r="O134" s="5"/>
      <c r="P134" s="5"/>
      <c r="Q134" s="2"/>
      <c r="R134" s="2"/>
      <c r="S134" s="2"/>
      <c r="T134" s="2"/>
      <c r="U134" s="2"/>
      <c r="V134" s="2"/>
      <c r="W134" s="2"/>
      <c r="X134" s="2"/>
      <c r="Y134" s="2"/>
      <c r="Z134" s="2"/>
      <c r="AA134" s="2"/>
    </row>
    <row r="135" spans="1:27" s="309" customFormat="1">
      <c r="A135" s="163"/>
      <c r="B135" s="1002">
        <f t="shared" si="17"/>
        <v>105</v>
      </c>
      <c r="C135" s="1009">
        <f t="shared" si="18"/>
        <v>85.111211983658634</v>
      </c>
      <c r="D135" s="1003">
        <f t="shared" si="19"/>
        <v>49.583333333333329</v>
      </c>
      <c r="E135" s="1003">
        <f t="shared" si="16"/>
        <v>107.91666666666663</v>
      </c>
      <c r="F135" s="980"/>
      <c r="G135" s="980"/>
      <c r="I135" s="996"/>
      <c r="J135" s="996"/>
      <c r="K135" s="996"/>
      <c r="L135" s="996"/>
      <c r="M135" s="2"/>
      <c r="N135" s="2"/>
      <c r="O135" s="2"/>
      <c r="P135" s="2"/>
      <c r="Q135" s="2"/>
      <c r="R135" s="2"/>
      <c r="S135" s="2"/>
      <c r="T135" s="2"/>
      <c r="U135" s="2"/>
      <c r="V135" s="2"/>
      <c r="W135" s="2"/>
      <c r="X135" s="2"/>
      <c r="Y135" s="2"/>
      <c r="Z135" s="2"/>
      <c r="AA135" s="2"/>
    </row>
    <row r="136" spans="1:27" s="309" customFormat="1">
      <c r="A136" s="163"/>
      <c r="B136" s="1002">
        <f t="shared" si="17"/>
        <v>120</v>
      </c>
      <c r="C136" s="1009">
        <f t="shared" si="18"/>
        <v>85.111211983658634</v>
      </c>
      <c r="D136" s="1003">
        <f t="shared" si="19"/>
        <v>56.666666666666657</v>
      </c>
      <c r="E136" s="1003">
        <f t="shared" si="16"/>
        <v>123.3333333333333</v>
      </c>
      <c r="F136" s="980"/>
      <c r="G136" s="980"/>
      <c r="I136" s="996"/>
      <c r="J136" s="996"/>
      <c r="K136" s="996"/>
      <c r="L136" s="996"/>
      <c r="M136" s="2"/>
      <c r="N136" s="2"/>
      <c r="O136" s="2"/>
      <c r="P136" s="2"/>
      <c r="Q136" s="2"/>
      <c r="R136" s="2"/>
      <c r="S136" s="2"/>
      <c r="T136" s="2"/>
      <c r="U136" s="2"/>
      <c r="V136" s="2"/>
      <c r="W136" s="2"/>
      <c r="X136" s="2"/>
      <c r="Y136" s="2"/>
      <c r="Z136" s="2"/>
      <c r="AA136" s="2"/>
    </row>
    <row r="137" spans="1:27" s="309" customFormat="1">
      <c r="A137" s="163"/>
      <c r="B137" s="1002">
        <f t="shared" si="17"/>
        <v>135</v>
      </c>
      <c r="C137" s="1009">
        <f t="shared" si="18"/>
        <v>85.111211983658634</v>
      </c>
      <c r="D137" s="1003">
        <f t="shared" si="19"/>
        <v>63.749999999999993</v>
      </c>
      <c r="E137" s="1003">
        <f t="shared" si="16"/>
        <v>138.74999999999994</v>
      </c>
      <c r="F137" s="980"/>
      <c r="G137" s="980"/>
      <c r="I137" s="996"/>
      <c r="J137" s="996"/>
      <c r="K137" s="996"/>
      <c r="L137" s="996"/>
      <c r="M137" s="2"/>
      <c r="N137" s="2"/>
      <c r="O137" s="2"/>
      <c r="P137" s="2"/>
      <c r="Q137" s="2"/>
      <c r="R137" s="2"/>
      <c r="S137" s="2"/>
      <c r="T137" s="2"/>
      <c r="U137" s="2"/>
      <c r="V137" s="2"/>
      <c r="W137" s="2"/>
      <c r="X137" s="2"/>
      <c r="Y137" s="2"/>
      <c r="Z137" s="2"/>
      <c r="AA137" s="2"/>
    </row>
    <row r="138" spans="1:27" s="309" customFormat="1">
      <c r="A138" s="163"/>
      <c r="B138" s="1002">
        <f t="shared" si="17"/>
        <v>150</v>
      </c>
      <c r="C138" s="1009">
        <f t="shared" si="18"/>
        <v>85.111211983658634</v>
      </c>
      <c r="D138" s="1003">
        <f t="shared" si="19"/>
        <v>70.833333333333329</v>
      </c>
      <c r="E138" s="1003">
        <f t="shared" si="16"/>
        <v>154.16666666666663</v>
      </c>
      <c r="F138" s="980"/>
      <c r="G138" s="980"/>
      <c r="I138" s="996"/>
      <c r="J138" s="996"/>
      <c r="K138" s="996"/>
      <c r="L138" s="996"/>
      <c r="M138" s="2"/>
      <c r="N138" s="2"/>
      <c r="O138" s="2"/>
      <c r="P138" s="2"/>
      <c r="Q138" s="2"/>
      <c r="R138" s="2"/>
      <c r="S138" s="2"/>
      <c r="T138" s="2"/>
      <c r="U138" s="2"/>
      <c r="V138" s="2"/>
      <c r="W138" s="2"/>
      <c r="X138" s="2"/>
      <c r="Y138" s="2"/>
      <c r="Z138" s="2"/>
      <c r="AA138" s="2"/>
    </row>
    <row r="139" spans="1:27" s="309" customFormat="1">
      <c r="A139" s="163"/>
      <c r="B139" s="1002">
        <f t="shared" si="17"/>
        <v>165</v>
      </c>
      <c r="C139" s="1009">
        <f t="shared" si="18"/>
        <v>85.111211983658634</v>
      </c>
      <c r="D139" s="1003">
        <f t="shared" si="19"/>
        <v>77.916666666666657</v>
      </c>
      <c r="E139" s="1003">
        <f t="shared" si="16"/>
        <v>169.58333333333329</v>
      </c>
      <c r="F139" s="980"/>
      <c r="G139" s="980"/>
      <c r="I139" s="996"/>
      <c r="J139" s="996"/>
      <c r="K139" s="996"/>
      <c r="L139" s="996"/>
      <c r="M139" s="2"/>
      <c r="N139" s="2"/>
      <c r="O139" s="2"/>
      <c r="P139" s="2"/>
      <c r="Q139" s="2"/>
      <c r="R139" s="2"/>
      <c r="S139" s="2"/>
      <c r="T139" s="2"/>
      <c r="U139" s="2"/>
      <c r="V139" s="2"/>
      <c r="W139" s="2"/>
      <c r="X139" s="2"/>
      <c r="Y139" s="2"/>
      <c r="Z139" s="2"/>
      <c r="AA139" s="2"/>
    </row>
    <row r="140" spans="1:27" s="309" customFormat="1">
      <c r="A140" s="163"/>
      <c r="B140" s="1002">
        <f t="shared" si="17"/>
        <v>180</v>
      </c>
      <c r="C140" s="1009">
        <f t="shared" si="18"/>
        <v>85.111211983658634</v>
      </c>
      <c r="D140" s="1003">
        <f t="shared" si="19"/>
        <v>84.999999999999986</v>
      </c>
      <c r="E140" s="1003">
        <f t="shared" si="16"/>
        <v>184.99999999999994</v>
      </c>
      <c r="F140" s="980"/>
      <c r="G140" s="980"/>
      <c r="I140" s="996"/>
      <c r="J140" s="996"/>
      <c r="K140" s="996"/>
      <c r="L140" s="996"/>
      <c r="M140" s="2"/>
      <c r="N140" s="2"/>
      <c r="O140" s="2"/>
      <c r="P140" s="2"/>
      <c r="Q140" s="2"/>
      <c r="R140" s="2"/>
      <c r="S140" s="2"/>
      <c r="T140" s="2"/>
      <c r="U140" s="2"/>
      <c r="V140" s="2"/>
      <c r="W140" s="2"/>
      <c r="X140" s="2"/>
      <c r="Y140" s="2"/>
      <c r="Z140" s="2"/>
      <c r="AA140" s="2"/>
    </row>
    <row r="141" spans="1:27" s="309" customFormat="1">
      <c r="A141" s="163"/>
      <c r="B141" s="1002">
        <f t="shared" si="17"/>
        <v>195</v>
      </c>
      <c r="C141" s="1009">
        <f t="shared" si="18"/>
        <v>85.111211983658634</v>
      </c>
      <c r="D141" s="1003">
        <f t="shared" si="19"/>
        <v>92.083333333333314</v>
      </c>
      <c r="E141" s="1003">
        <f t="shared" si="16"/>
        <v>200.4166666666666</v>
      </c>
      <c r="F141" s="980"/>
      <c r="G141" s="980"/>
      <c r="I141" s="996"/>
      <c r="J141" s="996"/>
      <c r="K141" s="996"/>
      <c r="L141" s="996"/>
      <c r="M141" s="2"/>
      <c r="N141" s="2"/>
      <c r="O141" s="2"/>
      <c r="P141" s="2"/>
      <c r="Q141" s="2"/>
      <c r="R141" s="2"/>
      <c r="S141" s="2"/>
      <c r="T141" s="2"/>
      <c r="U141" s="2"/>
      <c r="V141" s="2"/>
      <c r="W141" s="2"/>
      <c r="X141" s="2"/>
      <c r="Y141" s="2"/>
      <c r="Z141" s="2"/>
      <c r="AA141" s="2"/>
    </row>
    <row r="142" spans="1:27" s="309" customFormat="1">
      <c r="A142" s="163"/>
      <c r="B142" s="1002">
        <f t="shared" si="17"/>
        <v>210</v>
      </c>
      <c r="C142" s="1009">
        <f t="shared" si="18"/>
        <v>85.111211983658634</v>
      </c>
      <c r="D142" s="1003">
        <f t="shared" si="19"/>
        <v>99.166666666666657</v>
      </c>
      <c r="E142" s="1003">
        <f t="shared" si="16"/>
        <v>215.83333333333326</v>
      </c>
      <c r="F142" s="980"/>
      <c r="H142" s="996"/>
      <c r="I142" s="996"/>
      <c r="J142" s="996"/>
      <c r="K142" s="996"/>
      <c r="L142" s="2"/>
      <c r="M142" s="2"/>
      <c r="N142" s="2"/>
      <c r="O142" s="2"/>
      <c r="P142" s="2"/>
      <c r="Q142" s="2"/>
      <c r="R142" s="2"/>
      <c r="S142" s="2"/>
      <c r="T142" s="2"/>
      <c r="U142" s="2"/>
      <c r="V142" s="2"/>
      <c r="W142" s="2"/>
      <c r="X142" s="2"/>
      <c r="Y142" s="2"/>
      <c r="Z142" s="2"/>
    </row>
    <row r="143" spans="1:27" s="309" customFormat="1">
      <c r="A143" s="163"/>
      <c r="B143" s="1002">
        <f t="shared" si="17"/>
        <v>225</v>
      </c>
      <c r="C143" s="1009">
        <f t="shared" si="18"/>
        <v>85.111211983658634</v>
      </c>
      <c r="D143" s="1003">
        <f t="shared" si="19"/>
        <v>106.24999999999999</v>
      </c>
      <c r="E143" s="1003">
        <f t="shared" si="16"/>
        <v>231.24999999999991</v>
      </c>
      <c r="F143" s="980"/>
      <c r="H143" s="996"/>
      <c r="I143" s="996"/>
      <c r="J143" s="996"/>
      <c r="K143" s="996"/>
      <c r="L143" s="2"/>
      <c r="M143" s="2"/>
      <c r="N143" s="2"/>
      <c r="O143" s="2"/>
      <c r="P143" s="2"/>
      <c r="Q143" s="2"/>
      <c r="R143" s="2"/>
      <c r="S143" s="2"/>
      <c r="T143" s="2"/>
      <c r="U143" s="2"/>
      <c r="V143" s="2"/>
      <c r="W143" s="2"/>
      <c r="X143" s="2"/>
      <c r="Y143" s="2"/>
      <c r="Z143" s="2"/>
    </row>
    <row r="144" spans="1:27" s="309" customFormat="1">
      <c r="A144" s="163"/>
      <c r="B144" s="1002">
        <f t="shared" si="17"/>
        <v>240</v>
      </c>
      <c r="C144" s="1009">
        <f t="shared" si="18"/>
        <v>85.111211983658634</v>
      </c>
      <c r="D144" s="1003">
        <f t="shared" si="19"/>
        <v>113.33333333333331</v>
      </c>
      <c r="E144" s="1003">
        <f t="shared" si="16"/>
        <v>246.6666666666666</v>
      </c>
      <c r="F144" s="980"/>
      <c r="H144" s="996"/>
      <c r="I144" s="996"/>
      <c r="J144" s="996"/>
      <c r="K144" s="996"/>
      <c r="L144" s="2"/>
      <c r="M144" s="2"/>
      <c r="N144" s="2"/>
      <c r="O144" s="2"/>
      <c r="P144" s="2"/>
      <c r="Q144" s="2"/>
      <c r="R144" s="2"/>
      <c r="S144" s="2"/>
      <c r="T144" s="2"/>
      <c r="U144" s="2"/>
      <c r="V144" s="2"/>
      <c r="W144" s="2"/>
      <c r="X144" s="2"/>
      <c r="Y144" s="2"/>
      <c r="Z144" s="2"/>
    </row>
    <row r="145" spans="1:26" s="309" customFormat="1">
      <c r="A145" s="163"/>
      <c r="B145" s="1002">
        <f t="shared" si="17"/>
        <v>255</v>
      </c>
      <c r="C145" s="1009">
        <f t="shared" si="18"/>
        <v>85.111211983658634</v>
      </c>
      <c r="D145" s="1003">
        <f t="shared" si="19"/>
        <v>120.41666666666664</v>
      </c>
      <c r="E145" s="1003">
        <f t="shared" si="16"/>
        <v>262.08333333333326</v>
      </c>
      <c r="F145" s="980"/>
      <c r="H145" s="996"/>
      <c r="I145" s="996"/>
      <c r="J145" s="996"/>
      <c r="K145" s="996"/>
      <c r="L145" s="2"/>
      <c r="M145" s="2"/>
      <c r="N145" s="2"/>
      <c r="O145" s="2"/>
      <c r="P145" s="2"/>
      <c r="Q145" s="2"/>
      <c r="R145" s="2"/>
      <c r="S145" s="2"/>
      <c r="T145" s="2"/>
      <c r="U145" s="2"/>
      <c r="V145" s="2"/>
      <c r="W145" s="2"/>
      <c r="X145" s="2"/>
      <c r="Y145" s="2"/>
      <c r="Z145" s="2"/>
    </row>
    <row r="146" spans="1:26" s="309" customFormat="1">
      <c r="A146" s="163"/>
      <c r="B146" s="1002">
        <f t="shared" si="17"/>
        <v>270</v>
      </c>
      <c r="C146" s="1009">
        <f t="shared" si="18"/>
        <v>85.111211983658634</v>
      </c>
      <c r="D146" s="1003">
        <f t="shared" si="19"/>
        <v>127.49999999999999</v>
      </c>
      <c r="E146" s="1003">
        <f t="shared" si="16"/>
        <v>277.49999999999989</v>
      </c>
      <c r="F146" s="980"/>
      <c r="H146" s="996"/>
      <c r="I146" s="996"/>
      <c r="J146" s="996"/>
      <c r="K146" s="996"/>
      <c r="L146" s="2"/>
      <c r="M146" s="2"/>
      <c r="N146" s="2"/>
      <c r="O146" s="2"/>
      <c r="P146" s="2"/>
      <c r="Q146" s="2"/>
      <c r="R146" s="2"/>
      <c r="S146" s="2"/>
      <c r="T146" s="2"/>
      <c r="U146" s="2"/>
      <c r="V146" s="2"/>
      <c r="W146" s="2"/>
      <c r="X146" s="2"/>
      <c r="Y146" s="2"/>
      <c r="Z146" s="2"/>
    </row>
    <row r="147" spans="1:26" s="309" customFormat="1">
      <c r="A147" s="163"/>
      <c r="B147" s="1002">
        <f t="shared" si="17"/>
        <v>285</v>
      </c>
      <c r="C147" s="1009">
        <f t="shared" si="18"/>
        <v>85.111211983658634</v>
      </c>
      <c r="D147" s="1003">
        <f t="shared" si="19"/>
        <v>134.58333333333331</v>
      </c>
      <c r="E147" s="1003">
        <f t="shared" si="16"/>
        <v>292.91666666666657</v>
      </c>
      <c r="F147" s="980"/>
      <c r="H147" s="996"/>
      <c r="I147" s="996"/>
      <c r="J147" s="996"/>
      <c r="K147" s="996"/>
      <c r="L147" s="2"/>
      <c r="M147" s="2"/>
      <c r="N147" s="2"/>
      <c r="O147" s="2"/>
      <c r="P147" s="2"/>
      <c r="Q147" s="2"/>
      <c r="R147" s="2"/>
      <c r="S147" s="2"/>
      <c r="T147" s="2"/>
      <c r="U147" s="2"/>
      <c r="V147" s="2"/>
      <c r="W147" s="2"/>
      <c r="X147" s="2"/>
      <c r="Y147" s="2"/>
      <c r="Z147" s="2"/>
    </row>
    <row r="148" spans="1:26" s="309" customFormat="1">
      <c r="A148" s="163"/>
      <c r="B148" s="1002">
        <f t="shared" si="17"/>
        <v>300</v>
      </c>
      <c r="C148" s="1009">
        <f t="shared" si="18"/>
        <v>85.111211983658634</v>
      </c>
      <c r="D148" s="1003">
        <f t="shared" si="19"/>
        <v>141.66666666666666</v>
      </c>
      <c r="E148" s="1003">
        <f t="shared" si="16"/>
        <v>308.33333333333326</v>
      </c>
      <c r="F148" s="980"/>
      <c r="H148" s="996"/>
      <c r="I148" s="996"/>
      <c r="J148" s="996"/>
      <c r="K148" s="996"/>
      <c r="L148" s="2"/>
      <c r="M148" s="2"/>
      <c r="N148" s="2"/>
      <c r="O148" s="2"/>
      <c r="P148" s="2"/>
      <c r="Q148" s="2"/>
      <c r="R148" s="2"/>
      <c r="S148" s="2"/>
      <c r="T148" s="2"/>
      <c r="U148" s="2"/>
      <c r="V148" s="2"/>
      <c r="W148" s="2"/>
      <c r="X148" s="2"/>
      <c r="Y148" s="2"/>
      <c r="Z148" s="2"/>
    </row>
    <row r="149" spans="1:26" s="309" customFormat="1">
      <c r="A149" s="163"/>
      <c r="B149" s="1002">
        <f t="shared" si="17"/>
        <v>315</v>
      </c>
      <c r="C149" s="1009">
        <f t="shared" si="18"/>
        <v>85.111211983658634</v>
      </c>
      <c r="D149" s="1003">
        <f t="shared" si="19"/>
        <v>148.74999999999997</v>
      </c>
      <c r="E149" s="1003">
        <f t="shared" si="16"/>
        <v>323.74999999999989</v>
      </c>
      <c r="F149" s="980"/>
      <c r="H149" s="996"/>
      <c r="I149" s="996"/>
      <c r="J149" s="996"/>
      <c r="K149" s="996"/>
      <c r="L149" s="2"/>
      <c r="M149" s="2"/>
      <c r="N149" s="2"/>
      <c r="O149" s="2"/>
      <c r="P149" s="2"/>
      <c r="Q149" s="2"/>
      <c r="R149" s="2"/>
      <c r="S149" s="2"/>
      <c r="T149" s="2"/>
      <c r="U149" s="2"/>
      <c r="V149" s="2"/>
      <c r="W149" s="2"/>
      <c r="X149" s="2"/>
      <c r="Y149" s="2"/>
      <c r="Z149" s="2"/>
    </row>
    <row r="150" spans="1:26" s="309" customFormat="1">
      <c r="A150" s="163"/>
      <c r="B150" s="1002">
        <f t="shared" si="17"/>
        <v>330</v>
      </c>
      <c r="C150" s="1009">
        <f t="shared" si="18"/>
        <v>85.111211983658634</v>
      </c>
      <c r="D150" s="1003">
        <f t="shared" si="19"/>
        <v>155.83333333333331</v>
      </c>
      <c r="E150" s="1003">
        <f t="shared" si="16"/>
        <v>339.16666666666657</v>
      </c>
      <c r="F150" s="980"/>
      <c r="H150" s="996"/>
      <c r="I150" s="996"/>
      <c r="J150" s="996"/>
      <c r="K150" s="996"/>
      <c r="L150" s="2"/>
      <c r="M150" s="2"/>
      <c r="N150" s="2"/>
      <c r="O150" s="2"/>
      <c r="P150" s="2"/>
      <c r="Q150" s="2"/>
      <c r="R150" s="2"/>
      <c r="S150" s="2"/>
      <c r="T150" s="2"/>
      <c r="U150" s="2"/>
      <c r="V150" s="2"/>
      <c r="W150" s="2"/>
      <c r="X150" s="2"/>
      <c r="Y150" s="2"/>
      <c r="Z150" s="2"/>
    </row>
    <row r="151" spans="1:26" s="309" customFormat="1">
      <c r="A151" s="163"/>
      <c r="B151" s="1002">
        <f t="shared" si="17"/>
        <v>345</v>
      </c>
      <c r="C151" s="1009">
        <f t="shared" si="18"/>
        <v>85.111211983658634</v>
      </c>
      <c r="D151" s="1003">
        <f t="shared" si="19"/>
        <v>162.91666666666666</v>
      </c>
      <c r="E151" s="1003">
        <f t="shared" si="16"/>
        <v>354.5833333333332</v>
      </c>
      <c r="F151" s="980"/>
      <c r="H151" s="996"/>
      <c r="I151" s="996"/>
      <c r="J151" s="996"/>
      <c r="K151" s="996"/>
      <c r="L151" s="2"/>
      <c r="M151" s="2"/>
      <c r="N151" s="2"/>
      <c r="O151" s="2"/>
      <c r="P151" s="2"/>
      <c r="Q151" s="2"/>
      <c r="R151" s="2"/>
      <c r="S151" s="2"/>
      <c r="T151" s="2"/>
      <c r="U151" s="2"/>
      <c r="V151" s="2"/>
      <c r="W151" s="2"/>
      <c r="X151" s="2"/>
      <c r="Y151" s="2"/>
      <c r="Z151" s="2"/>
    </row>
    <row r="152" spans="1:26" s="309" customFormat="1">
      <c r="A152" s="163"/>
      <c r="B152" s="1002">
        <f t="shared" si="17"/>
        <v>360</v>
      </c>
      <c r="C152" s="1009">
        <f t="shared" si="18"/>
        <v>85.111211983658634</v>
      </c>
      <c r="D152" s="1003">
        <f t="shared" si="19"/>
        <v>169.99999999999997</v>
      </c>
      <c r="E152" s="1003">
        <f t="shared" si="16"/>
        <v>369.99999999999989</v>
      </c>
      <c r="F152" s="980"/>
      <c r="H152" s="996"/>
      <c r="I152" s="996"/>
      <c r="J152" s="996"/>
      <c r="K152" s="996"/>
      <c r="L152" s="2"/>
      <c r="M152" s="2"/>
      <c r="N152" s="2"/>
      <c r="O152" s="2"/>
      <c r="P152" s="2"/>
      <c r="Q152" s="2"/>
      <c r="R152" s="2"/>
      <c r="S152" s="2"/>
      <c r="T152" s="2"/>
      <c r="U152" s="2"/>
      <c r="V152" s="2"/>
      <c r="W152" s="2"/>
      <c r="X152" s="2"/>
      <c r="Y152" s="2"/>
      <c r="Z152" s="2"/>
    </row>
    <row r="153" spans="1:26" s="309" customFormat="1">
      <c r="A153" s="163"/>
      <c r="B153" s="1002">
        <f t="shared" si="17"/>
        <v>375</v>
      </c>
      <c r="C153" s="1009">
        <f t="shared" si="18"/>
        <v>85.111211983658634</v>
      </c>
      <c r="D153" s="1003">
        <f t="shared" si="19"/>
        <v>177.08333333333331</v>
      </c>
      <c r="E153" s="1003">
        <f t="shared" si="16"/>
        <v>385.41666666666657</v>
      </c>
      <c r="F153" s="980"/>
      <c r="H153" s="996"/>
      <c r="J153" s="996"/>
      <c r="K153" s="996"/>
      <c r="L153" s="2"/>
      <c r="M153" s="2"/>
      <c r="N153" s="2"/>
      <c r="O153" s="2"/>
      <c r="P153" s="2"/>
      <c r="Q153" s="2"/>
      <c r="R153" s="2"/>
      <c r="S153" s="2"/>
      <c r="T153" s="2"/>
      <c r="U153" s="2"/>
      <c r="V153" s="2"/>
      <c r="W153" s="2"/>
      <c r="X153" s="2"/>
      <c r="Y153" s="2"/>
      <c r="Z153" s="2"/>
    </row>
    <row r="154" spans="1:26" s="309" customFormat="1">
      <c r="A154" s="163"/>
      <c r="B154" s="1002">
        <f t="shared" si="17"/>
        <v>390</v>
      </c>
      <c r="C154" s="1009">
        <f t="shared" si="18"/>
        <v>85.111211983658634</v>
      </c>
      <c r="D154" s="1003">
        <f t="shared" si="19"/>
        <v>184.16666666666663</v>
      </c>
      <c r="E154" s="1003">
        <f t="shared" si="16"/>
        <v>400.8333333333332</v>
      </c>
      <c r="F154" s="980"/>
      <c r="H154" s="996"/>
      <c r="I154" s="996"/>
      <c r="J154" s="996"/>
      <c r="K154" s="996"/>
      <c r="L154" s="2"/>
      <c r="M154" s="2"/>
      <c r="N154" s="2"/>
      <c r="O154" s="2"/>
      <c r="P154" s="2"/>
      <c r="Q154" s="2"/>
      <c r="R154" s="2"/>
      <c r="S154" s="2"/>
      <c r="T154" s="2"/>
      <c r="U154" s="2"/>
      <c r="V154" s="2"/>
      <c r="W154" s="2"/>
      <c r="X154" s="2"/>
      <c r="Y154" s="2"/>
      <c r="Z154" s="2"/>
    </row>
    <row r="155" spans="1:26" s="309" customFormat="1">
      <c r="A155" s="163"/>
      <c r="B155" s="1002">
        <f t="shared" si="17"/>
        <v>405</v>
      </c>
      <c r="C155" s="1009">
        <f t="shared" si="18"/>
        <v>85.111211983658634</v>
      </c>
      <c r="D155" s="1003">
        <f t="shared" si="19"/>
        <v>191.24999999999997</v>
      </c>
      <c r="E155" s="1003">
        <f t="shared" si="16"/>
        <v>416.24999999999989</v>
      </c>
      <c r="F155" s="980"/>
      <c r="H155" s="996"/>
      <c r="I155" s="996"/>
      <c r="J155" s="996"/>
      <c r="K155" s="996"/>
      <c r="L155" s="2"/>
      <c r="M155" s="2"/>
      <c r="N155" s="2"/>
      <c r="O155" s="2"/>
      <c r="P155" s="2"/>
      <c r="Q155" s="2"/>
      <c r="R155" s="2"/>
      <c r="S155" s="2"/>
      <c r="T155" s="2"/>
      <c r="U155" s="2"/>
      <c r="V155" s="2"/>
      <c r="W155" s="2"/>
      <c r="X155" s="2"/>
      <c r="Y155" s="2"/>
      <c r="Z155" s="2"/>
    </row>
    <row r="156" spans="1:26" s="309" customFormat="1">
      <c r="A156" s="163"/>
      <c r="B156" s="1002">
        <f t="shared" si="17"/>
        <v>420</v>
      </c>
      <c r="C156" s="1009">
        <f t="shared" si="18"/>
        <v>85.111211983658634</v>
      </c>
      <c r="D156" s="1003">
        <f t="shared" si="19"/>
        <v>198.33333333333331</v>
      </c>
      <c r="E156" s="1003">
        <f t="shared" si="16"/>
        <v>431.66666666666652</v>
      </c>
      <c r="F156" s="980"/>
      <c r="H156" s="996"/>
      <c r="I156" s="996"/>
      <c r="J156" s="996"/>
      <c r="K156" s="996"/>
      <c r="L156" s="2"/>
      <c r="M156" s="2"/>
      <c r="N156" s="2"/>
      <c r="O156" s="2"/>
      <c r="P156" s="2"/>
      <c r="Q156" s="2"/>
      <c r="R156" s="2"/>
      <c r="S156" s="2"/>
      <c r="T156" s="2"/>
      <c r="U156" s="2"/>
      <c r="V156" s="2"/>
      <c r="W156" s="2"/>
      <c r="X156" s="2"/>
      <c r="Y156" s="2"/>
      <c r="Z156" s="2"/>
    </row>
    <row r="157" spans="1:26" s="309" customFormat="1">
      <c r="A157" s="163"/>
      <c r="B157" s="1002">
        <f t="shared" si="17"/>
        <v>435</v>
      </c>
      <c r="C157" s="1009">
        <f t="shared" si="18"/>
        <v>85.111211983658634</v>
      </c>
      <c r="D157" s="1003">
        <f t="shared" si="19"/>
        <v>205.41666666666663</v>
      </c>
      <c r="E157" s="1003">
        <f t="shared" si="16"/>
        <v>447.0833333333332</v>
      </c>
      <c r="F157" s="980"/>
      <c r="G157" s="1010" t="s">
        <v>226</v>
      </c>
      <c r="H157" s="1010" t="s">
        <v>227</v>
      </c>
      <c r="I157" s="996"/>
      <c r="J157" s="996"/>
      <c r="K157" s="996"/>
      <c r="L157" s="2"/>
      <c r="M157" s="2"/>
      <c r="N157" s="2"/>
      <c r="O157" s="2"/>
      <c r="P157" s="2"/>
      <c r="Q157" s="2"/>
      <c r="R157" s="2"/>
      <c r="S157" s="2"/>
      <c r="T157" s="2"/>
      <c r="U157" s="2"/>
      <c r="V157" s="2"/>
      <c r="W157" s="2"/>
      <c r="X157" s="2"/>
      <c r="Y157" s="2"/>
      <c r="Z157" s="2"/>
    </row>
    <row r="158" spans="1:26" s="309" customFormat="1">
      <c r="A158" s="163"/>
      <c r="B158" s="1002">
        <f t="shared" si="17"/>
        <v>450</v>
      </c>
      <c r="C158" s="1009">
        <f t="shared" si="18"/>
        <v>85.111211983658634</v>
      </c>
      <c r="D158" s="1003">
        <f t="shared" si="19"/>
        <v>212.49999999999997</v>
      </c>
      <c r="E158" s="1003">
        <f t="shared" si="16"/>
        <v>462.49999999999983</v>
      </c>
      <c r="F158" s="980"/>
      <c r="G158" s="1011">
        <f>((1000/$B$3)*$D$23)/((0.5*$B$18+0.5*$B$19)/$B$3)</f>
        <v>82.810908957073295</v>
      </c>
      <c r="H158" s="1011">
        <f>((1000/$B$3)*$D$23)/($B$13/$B$9)</f>
        <v>180.23550773010066</v>
      </c>
      <c r="I158" s="996"/>
      <c r="J158" s="996"/>
      <c r="K158" s="996"/>
      <c r="L158" s="2"/>
      <c r="M158" s="2"/>
      <c r="N158" s="2"/>
      <c r="O158" s="2"/>
      <c r="P158" s="2"/>
      <c r="Q158" s="2"/>
      <c r="R158" s="2"/>
      <c r="S158" s="2"/>
      <c r="T158" s="2"/>
      <c r="U158" s="2"/>
      <c r="V158" s="2"/>
      <c r="W158" s="2"/>
      <c r="X158" s="2"/>
      <c r="Y158" s="2"/>
      <c r="Z158" s="2"/>
    </row>
    <row r="159" spans="1:26" s="309" customFormat="1">
      <c r="A159" s="163"/>
      <c r="B159" s="1002">
        <f t="shared" si="17"/>
        <v>465</v>
      </c>
      <c r="C159" s="1009">
        <f t="shared" si="18"/>
        <v>85.111211983658634</v>
      </c>
      <c r="D159" s="1003">
        <f t="shared" si="19"/>
        <v>219.58333333333331</v>
      </c>
      <c r="E159" s="1003">
        <f t="shared" si="16"/>
        <v>477.91666666666652</v>
      </c>
      <c r="F159" s="980"/>
      <c r="H159" s="996"/>
      <c r="I159" s="996"/>
      <c r="J159" s="996"/>
      <c r="K159" s="996"/>
      <c r="L159" s="2"/>
      <c r="M159" s="2"/>
      <c r="N159" s="2"/>
      <c r="O159" s="2"/>
      <c r="P159" s="2"/>
      <c r="Q159" s="2"/>
      <c r="R159" s="2"/>
      <c r="S159" s="2"/>
      <c r="T159" s="2"/>
      <c r="U159" s="2"/>
      <c r="V159" s="2"/>
      <c r="W159" s="2"/>
      <c r="X159" s="2"/>
      <c r="Y159" s="2"/>
      <c r="Z159" s="2"/>
    </row>
    <row r="160" spans="1:26" s="309" customFormat="1">
      <c r="A160" s="163"/>
      <c r="B160" s="1002">
        <f t="shared" si="17"/>
        <v>480</v>
      </c>
      <c r="C160" s="1009">
        <f t="shared" si="18"/>
        <v>85.111211983658634</v>
      </c>
      <c r="D160" s="1003">
        <f t="shared" si="19"/>
        <v>226.66666666666663</v>
      </c>
      <c r="E160" s="1003">
        <f t="shared" si="16"/>
        <v>493.3333333333332</v>
      </c>
      <c r="F160" s="980"/>
      <c r="H160" s="996"/>
      <c r="I160" s="996"/>
      <c r="J160" s="996"/>
      <c r="K160" s="996"/>
      <c r="L160" s="2"/>
      <c r="M160" s="2"/>
      <c r="N160" s="2"/>
      <c r="O160" s="2"/>
      <c r="P160" s="2"/>
      <c r="Q160" s="2"/>
      <c r="R160" s="2"/>
      <c r="S160" s="2"/>
      <c r="T160" s="2"/>
      <c r="U160" s="2"/>
      <c r="V160" s="2"/>
      <c r="W160" s="2"/>
      <c r="X160" s="2"/>
      <c r="Y160" s="2"/>
      <c r="Z160" s="2"/>
    </row>
    <row r="161" spans="1:27" s="309" customFormat="1">
      <c r="A161" s="163"/>
      <c r="B161" s="1002">
        <f t="shared" si="17"/>
        <v>495</v>
      </c>
      <c r="C161" s="1009">
        <f t="shared" si="18"/>
        <v>85.111211983658634</v>
      </c>
      <c r="D161" s="1003">
        <f t="shared" si="19"/>
        <v>233.74999999999997</v>
      </c>
      <c r="E161" s="1003">
        <f t="shared" si="16"/>
        <v>508.74999999999983</v>
      </c>
      <c r="F161" s="980"/>
      <c r="H161" s="996"/>
      <c r="I161" s="996"/>
      <c r="J161" s="996"/>
      <c r="K161" s="996"/>
      <c r="L161" s="2"/>
      <c r="M161" s="2"/>
      <c r="N161" s="2"/>
      <c r="O161" s="2"/>
      <c r="P161" s="2"/>
      <c r="Q161" s="2"/>
      <c r="R161" s="2"/>
      <c r="S161" s="2"/>
      <c r="T161" s="2"/>
      <c r="U161" s="2"/>
      <c r="V161" s="2"/>
      <c r="W161" s="2"/>
      <c r="X161" s="2"/>
      <c r="Y161" s="2"/>
      <c r="Z161" s="2"/>
    </row>
    <row r="162" spans="1:27" s="309" customFormat="1">
      <c r="A162" s="163"/>
      <c r="B162" s="1002">
        <f t="shared" si="17"/>
        <v>510</v>
      </c>
      <c r="C162" s="1009">
        <f t="shared" si="18"/>
        <v>85.111211983658634</v>
      </c>
      <c r="D162" s="1003">
        <f t="shared" si="19"/>
        <v>240.83333333333329</v>
      </c>
      <c r="E162" s="1003">
        <f t="shared" si="16"/>
        <v>524.16666666666652</v>
      </c>
      <c r="F162" s="980"/>
      <c r="H162" s="996"/>
      <c r="I162" s="996"/>
      <c r="J162" s="996"/>
      <c r="K162" s="996"/>
      <c r="L162" s="2"/>
      <c r="M162" s="2"/>
      <c r="N162" s="2"/>
      <c r="O162" s="2"/>
      <c r="P162" s="2"/>
      <c r="Q162" s="2"/>
      <c r="R162" s="2"/>
      <c r="S162" s="2"/>
      <c r="T162" s="2"/>
      <c r="U162" s="2"/>
      <c r="V162" s="2"/>
      <c r="W162" s="2"/>
      <c r="X162" s="2"/>
      <c r="Y162" s="2"/>
      <c r="Z162" s="2"/>
    </row>
    <row r="163" spans="1:27" s="309" customFormat="1">
      <c r="A163" s="163"/>
      <c r="B163" s="1004"/>
      <c r="C163" s="998"/>
      <c r="D163" s="1007"/>
      <c r="E163" s="1007"/>
      <c r="F163" s="980"/>
      <c r="H163" s="996"/>
      <c r="I163" s="996"/>
      <c r="J163" s="996"/>
      <c r="K163" s="996"/>
      <c r="L163" s="2"/>
      <c r="M163" s="2"/>
      <c r="N163" s="2"/>
      <c r="O163" s="2"/>
      <c r="P163" s="2"/>
      <c r="Q163" s="2"/>
      <c r="R163" s="2"/>
      <c r="S163" s="2"/>
      <c r="T163" s="2"/>
      <c r="U163" s="2"/>
      <c r="V163" s="2"/>
      <c r="W163" s="2"/>
      <c r="X163" s="2"/>
      <c r="Y163" s="2"/>
      <c r="Z163" s="2"/>
    </row>
    <row r="164" spans="1:27" ht="15.75" customHeight="1">
      <c r="A164" s="163"/>
      <c r="B164" s="163"/>
      <c r="C164" s="979"/>
      <c r="D164" s="980"/>
      <c r="E164" s="980"/>
      <c r="F164" s="980"/>
      <c r="G164" s="2"/>
      <c r="H164" s="996"/>
      <c r="I164" s="996"/>
      <c r="J164" s="996"/>
      <c r="K164" s="996"/>
      <c r="L164" s="2"/>
      <c r="M164" s="2"/>
      <c r="N164" s="2"/>
      <c r="O164" s="2"/>
      <c r="P164" s="2"/>
      <c r="Q164" s="2"/>
      <c r="R164" s="2"/>
      <c r="S164" s="2"/>
      <c r="T164" s="2"/>
      <c r="U164" s="2"/>
      <c r="V164" s="2"/>
      <c r="W164" s="2"/>
      <c r="X164" s="2"/>
      <c r="Y164" s="2"/>
      <c r="Z164" s="309"/>
      <c r="AA164" s="309"/>
    </row>
    <row r="165" spans="1:27" ht="15.75" customHeight="1">
      <c r="A165" s="962" t="s">
        <v>228</v>
      </c>
      <c r="B165" s="326"/>
      <c r="C165" s="326"/>
      <c r="D165" s="326"/>
      <c r="E165" s="326"/>
      <c r="F165" s="326"/>
      <c r="G165" s="2"/>
      <c r="H165" s="996"/>
      <c r="I165" s="996"/>
      <c r="J165" s="996"/>
      <c r="K165" s="996"/>
      <c r="L165" s="2"/>
      <c r="M165" s="2"/>
      <c r="N165" s="2"/>
      <c r="O165" s="2"/>
      <c r="P165" s="2"/>
      <c r="Q165" s="2"/>
      <c r="R165" s="2"/>
      <c r="S165" s="2"/>
      <c r="T165" s="2"/>
      <c r="U165" s="2"/>
      <c r="V165" s="2"/>
      <c r="W165" s="2"/>
      <c r="X165" s="2"/>
      <c r="Y165" s="2"/>
      <c r="Z165" s="309"/>
      <c r="AA165" s="309"/>
    </row>
    <row r="166" spans="1:27" ht="15.75" customHeight="1">
      <c r="A166" s="963" t="s">
        <v>229</v>
      </c>
      <c r="B166" s="99" t="s">
        <v>230</v>
      </c>
      <c r="C166" s="2"/>
      <c r="D166" s="2"/>
      <c r="E166" s="2"/>
      <c r="F166" s="2"/>
      <c r="G166" s="2"/>
      <c r="H166" s="2"/>
      <c r="I166" s="2"/>
      <c r="J166" s="2"/>
      <c r="K166" s="2"/>
      <c r="L166" s="2"/>
      <c r="M166" s="2"/>
      <c r="N166" s="2"/>
      <c r="O166" s="2"/>
      <c r="P166" s="2"/>
      <c r="Q166" s="2"/>
      <c r="R166" s="2"/>
      <c r="S166" s="2"/>
      <c r="T166" s="2"/>
      <c r="U166" s="2"/>
      <c r="V166" s="2"/>
      <c r="W166" s="2"/>
      <c r="X166" s="2"/>
      <c r="Y166" s="2"/>
      <c r="Z166" s="309"/>
      <c r="AA166" s="309"/>
    </row>
    <row r="167" spans="1:27" ht="15.75" customHeight="1">
      <c r="A167" s="963" t="s">
        <v>231</v>
      </c>
      <c r="B167" s="99" t="s">
        <v>232</v>
      </c>
      <c r="C167" s="2"/>
      <c r="D167" s="2"/>
      <c r="E167" s="2"/>
      <c r="F167" s="2"/>
      <c r="G167" s="2"/>
      <c r="H167" s="2"/>
      <c r="I167" s="2"/>
      <c r="J167" s="2"/>
      <c r="K167" s="2"/>
      <c r="L167" s="2"/>
      <c r="M167" s="2"/>
      <c r="N167" s="2"/>
      <c r="O167" s="2"/>
      <c r="P167" s="2"/>
      <c r="Q167" s="2"/>
      <c r="R167" s="2"/>
      <c r="S167" s="2"/>
      <c r="T167" s="2"/>
      <c r="U167" s="2"/>
      <c r="V167" s="2"/>
      <c r="W167" s="2"/>
      <c r="X167" s="2"/>
      <c r="Y167" s="2"/>
      <c r="Z167" s="309"/>
      <c r="AA167" s="309"/>
    </row>
    <row r="168" spans="1:27" ht="15.75" customHeight="1">
      <c r="A168" s="963" t="s">
        <v>233</v>
      </c>
      <c r="B168" s="99" t="s">
        <v>234</v>
      </c>
      <c r="C168" s="2"/>
      <c r="D168" s="2"/>
      <c r="E168" s="2"/>
      <c r="F168" s="2"/>
      <c r="G168" s="2"/>
      <c r="H168" s="2"/>
      <c r="I168" s="2"/>
      <c r="J168" s="2"/>
      <c r="K168" s="2"/>
      <c r="L168" s="2"/>
      <c r="M168" s="2"/>
      <c r="N168" s="2"/>
      <c r="O168" s="2"/>
      <c r="P168" s="2"/>
      <c r="Q168" s="2"/>
      <c r="R168" s="2"/>
      <c r="S168" s="2"/>
      <c r="T168" s="2"/>
      <c r="U168" s="2"/>
      <c r="V168" s="2"/>
      <c r="W168" s="2"/>
      <c r="X168" s="2"/>
      <c r="Y168" s="2"/>
      <c r="Z168" s="309"/>
      <c r="AA168" s="309"/>
    </row>
    <row r="169" spans="1:27" ht="15.75" customHeight="1">
      <c r="A169" s="963" t="s">
        <v>235</v>
      </c>
      <c r="B169" s="99" t="s">
        <v>236</v>
      </c>
      <c r="C169" s="2"/>
      <c r="D169" s="2"/>
      <c r="E169" s="2"/>
      <c r="F169" s="2"/>
      <c r="G169" s="2"/>
      <c r="H169" s="2"/>
      <c r="I169" s="2"/>
      <c r="J169" s="2"/>
      <c r="K169" s="2"/>
      <c r="L169" s="2"/>
      <c r="M169" s="2"/>
      <c r="N169" s="2"/>
      <c r="O169" s="2"/>
      <c r="P169" s="2"/>
      <c r="Q169" s="2"/>
      <c r="R169" s="2"/>
      <c r="S169" s="2"/>
      <c r="T169" s="2"/>
      <c r="U169" s="2"/>
      <c r="V169" s="2"/>
      <c r="W169" s="2"/>
      <c r="X169" s="2"/>
      <c r="Y169" s="2"/>
      <c r="Z169" s="309"/>
      <c r="AA169" s="309"/>
    </row>
    <row r="170" spans="1:27" ht="15.75" customHeight="1">
      <c r="A170" s="963" t="s">
        <v>237</v>
      </c>
      <c r="B170" s="99" t="s">
        <v>238</v>
      </c>
      <c r="C170" s="2"/>
      <c r="D170" s="2"/>
      <c r="E170" s="2"/>
      <c r="F170" s="2"/>
      <c r="G170" s="2"/>
      <c r="H170" s="2"/>
      <c r="I170" s="2"/>
      <c r="J170" s="2"/>
      <c r="K170" s="2"/>
      <c r="L170" s="2"/>
      <c r="M170" s="2"/>
      <c r="N170" s="2"/>
      <c r="O170" s="2"/>
      <c r="P170" s="2"/>
      <c r="Q170" s="2"/>
      <c r="R170" s="2"/>
      <c r="S170" s="2"/>
      <c r="T170" s="2"/>
      <c r="U170" s="2"/>
      <c r="V170" s="2"/>
      <c r="W170" s="2"/>
      <c r="X170" s="2"/>
      <c r="Y170" s="2"/>
      <c r="Z170" s="309"/>
      <c r="AA170" s="309"/>
    </row>
    <row r="171" spans="1:27" ht="15.75" customHeight="1">
      <c r="A171" s="963" t="s">
        <v>239</v>
      </c>
      <c r="B171" s="99" t="s">
        <v>240</v>
      </c>
      <c r="C171" s="2"/>
      <c r="D171" s="2"/>
      <c r="E171" s="2"/>
      <c r="F171" s="2"/>
      <c r="G171" s="2"/>
      <c r="H171" s="2"/>
      <c r="I171" s="2"/>
      <c r="J171" s="2"/>
      <c r="K171" s="2"/>
      <c r="L171" s="2"/>
      <c r="M171" s="2"/>
      <c r="N171" s="2"/>
      <c r="O171" s="2"/>
      <c r="P171" s="2"/>
      <c r="Q171" s="2"/>
      <c r="R171" s="2"/>
      <c r="S171" s="2"/>
      <c r="T171" s="2"/>
      <c r="U171" s="2"/>
      <c r="V171" s="2"/>
      <c r="W171" s="2"/>
      <c r="X171" s="2"/>
      <c r="Y171" s="2"/>
      <c r="Z171" s="309"/>
      <c r="AA171" s="309"/>
    </row>
    <row r="172" spans="1:27" ht="15.75" customHeight="1">
      <c r="A172" s="963" t="s">
        <v>241</v>
      </c>
      <c r="B172" s="99" t="s">
        <v>242</v>
      </c>
      <c r="C172" s="2"/>
      <c r="D172" s="2"/>
      <c r="E172" s="2"/>
      <c r="F172" s="2"/>
      <c r="G172" s="2"/>
      <c r="H172" s="2"/>
      <c r="I172" s="2"/>
      <c r="J172" s="2"/>
      <c r="K172" s="2"/>
      <c r="L172" s="2"/>
      <c r="M172" s="2"/>
      <c r="N172" s="2"/>
      <c r="O172" s="2"/>
      <c r="P172" s="2"/>
      <c r="Q172" s="2"/>
      <c r="R172" s="2"/>
      <c r="S172" s="2"/>
      <c r="T172" s="2"/>
      <c r="U172" s="2"/>
      <c r="V172" s="2"/>
      <c r="W172" s="2"/>
      <c r="X172" s="2"/>
      <c r="Y172" s="2"/>
      <c r="Z172" s="309"/>
      <c r="AA172" s="309"/>
    </row>
    <row r="173" spans="1:27" ht="15.75" customHeight="1">
      <c r="A173" s="963" t="s">
        <v>243</v>
      </c>
      <c r="B173" s="99" t="s">
        <v>244</v>
      </c>
      <c r="C173" s="2"/>
      <c r="D173" s="2"/>
      <c r="E173" s="2"/>
      <c r="F173" s="2"/>
      <c r="G173" s="2"/>
      <c r="H173" s="2"/>
      <c r="I173" s="2"/>
      <c r="J173" s="2"/>
      <c r="K173" s="2"/>
      <c r="L173" s="2"/>
      <c r="M173" s="2"/>
      <c r="N173" s="2"/>
      <c r="O173" s="2"/>
      <c r="P173" s="2"/>
      <c r="Q173" s="2"/>
      <c r="R173" s="2"/>
      <c r="S173" s="2"/>
      <c r="T173" s="2"/>
      <c r="U173" s="2"/>
      <c r="V173" s="2"/>
      <c r="W173" s="2"/>
      <c r="X173" s="2"/>
      <c r="Y173" s="2"/>
      <c r="Z173" s="309"/>
      <c r="AA173" s="309"/>
    </row>
    <row r="174" spans="1:27" ht="15.75" customHeight="1">
      <c r="A174" s="963" t="s">
        <v>245</v>
      </c>
      <c r="B174" s="99" t="s">
        <v>246</v>
      </c>
      <c r="C174" s="2"/>
      <c r="D174" s="2"/>
      <c r="E174" s="2"/>
      <c r="F174" s="2"/>
      <c r="G174" s="2"/>
      <c r="H174" s="2"/>
      <c r="I174" s="2"/>
      <c r="J174" s="2"/>
      <c r="K174" s="2"/>
      <c r="L174" s="2"/>
      <c r="M174" s="2"/>
      <c r="N174" s="2"/>
      <c r="O174" s="2"/>
      <c r="P174" s="2"/>
      <c r="Q174" s="2"/>
      <c r="R174" s="2"/>
      <c r="S174" s="2"/>
      <c r="T174" s="2"/>
      <c r="U174" s="2"/>
      <c r="V174" s="2"/>
      <c r="W174" s="2"/>
      <c r="X174" s="2"/>
      <c r="Y174" s="2"/>
      <c r="Z174" s="309"/>
      <c r="AA174" s="309"/>
    </row>
    <row r="175" spans="1:27" ht="15.75" customHeight="1">
      <c r="A175" s="963" t="s">
        <v>247</v>
      </c>
      <c r="B175" s="99" t="s">
        <v>248</v>
      </c>
      <c r="C175" s="2"/>
      <c r="D175" s="2"/>
      <c r="E175" s="2"/>
      <c r="F175" s="2"/>
      <c r="G175" s="2"/>
      <c r="H175" s="2"/>
      <c r="I175" s="2"/>
      <c r="J175" s="2"/>
      <c r="K175" s="2"/>
      <c r="L175" s="2"/>
      <c r="M175" s="2"/>
      <c r="N175" s="2"/>
      <c r="O175" s="2"/>
      <c r="P175" s="2"/>
      <c r="Q175" s="2"/>
      <c r="R175" s="2"/>
      <c r="S175" s="2"/>
      <c r="T175" s="2"/>
      <c r="U175" s="2"/>
      <c r="V175" s="2"/>
      <c r="W175" s="2"/>
      <c r="X175" s="2"/>
      <c r="Y175" s="2"/>
      <c r="Z175" s="309"/>
      <c r="AA175" s="309"/>
    </row>
    <row r="176" spans="1:27" ht="15.75" customHeight="1">
      <c r="A176" s="963" t="s">
        <v>249</v>
      </c>
      <c r="B176" s="99" t="s">
        <v>250</v>
      </c>
      <c r="C176" s="2"/>
      <c r="D176" s="2"/>
      <c r="E176" s="2"/>
      <c r="F176" s="2"/>
      <c r="G176" s="2"/>
      <c r="H176" s="2"/>
      <c r="I176" s="2"/>
      <c r="J176" s="2"/>
      <c r="K176" s="2"/>
      <c r="L176" s="2"/>
      <c r="M176" s="2"/>
      <c r="N176" s="2"/>
      <c r="O176" s="2"/>
      <c r="P176" s="2"/>
      <c r="Q176" s="2"/>
      <c r="R176" s="2"/>
      <c r="S176" s="2"/>
      <c r="T176" s="2"/>
      <c r="U176" s="2"/>
      <c r="V176" s="2"/>
      <c r="W176" s="2"/>
      <c r="X176" s="2"/>
      <c r="Y176" s="2"/>
      <c r="Z176" s="309"/>
      <c r="AA176" s="309"/>
    </row>
    <row r="177" spans="1:27" ht="15.75" customHeight="1">
      <c r="A177" s="963" t="s">
        <v>251</v>
      </c>
      <c r="B177" s="99" t="s">
        <v>252</v>
      </c>
      <c r="C177" s="2"/>
      <c r="D177" s="2"/>
      <c r="E177" s="2"/>
      <c r="F177" s="2"/>
      <c r="G177" s="2"/>
      <c r="H177" s="2"/>
      <c r="I177" s="2"/>
      <c r="J177" s="2"/>
      <c r="K177" s="2"/>
      <c r="L177" s="2"/>
      <c r="M177" s="2"/>
      <c r="N177" s="2"/>
      <c r="O177" s="2"/>
      <c r="P177" s="2"/>
      <c r="Q177" s="2"/>
      <c r="R177" s="2"/>
      <c r="S177" s="2"/>
      <c r="T177" s="2"/>
      <c r="U177" s="2"/>
      <c r="V177" s="2"/>
      <c r="W177" s="2"/>
      <c r="X177" s="2"/>
      <c r="Y177" s="2"/>
      <c r="Z177" s="309"/>
      <c r="AA177" s="309"/>
    </row>
    <row r="178" spans="1:27" ht="15.75" customHeight="1">
      <c r="A178" s="963" t="s">
        <v>253</v>
      </c>
      <c r="B178" s="99" t="s">
        <v>254</v>
      </c>
      <c r="C178" s="2"/>
      <c r="D178" s="2"/>
      <c r="E178" s="2"/>
      <c r="F178" s="2"/>
      <c r="G178" s="2"/>
      <c r="H178" s="2"/>
      <c r="I178" s="2"/>
      <c r="J178" s="2"/>
      <c r="K178" s="2"/>
      <c r="L178" s="2"/>
      <c r="M178" s="2"/>
      <c r="N178" s="2"/>
      <c r="O178" s="2"/>
      <c r="P178" s="2"/>
      <c r="Q178" s="2"/>
      <c r="R178" s="2"/>
      <c r="S178" s="2"/>
      <c r="T178" s="2"/>
      <c r="U178" s="2"/>
      <c r="V178" s="2"/>
      <c r="W178" s="2"/>
      <c r="X178" s="2"/>
      <c r="Y178" s="2"/>
      <c r="Z178" s="309"/>
      <c r="AA178" s="309"/>
    </row>
    <row r="179" spans="1:27" ht="15.75" customHeight="1">
      <c r="A179" s="963" t="s">
        <v>255</v>
      </c>
      <c r="B179" s="99" t="s">
        <v>256</v>
      </c>
      <c r="C179" s="2"/>
      <c r="D179" s="2"/>
      <c r="E179" s="2"/>
      <c r="F179" s="2"/>
      <c r="G179" s="2"/>
      <c r="H179" s="2"/>
      <c r="I179" s="2"/>
      <c r="J179" s="2"/>
      <c r="K179" s="2"/>
      <c r="L179" s="2"/>
      <c r="M179" s="2"/>
      <c r="N179" s="2"/>
      <c r="O179" s="2"/>
      <c r="P179" s="2"/>
      <c r="Q179" s="2"/>
      <c r="R179" s="2"/>
      <c r="S179" s="2"/>
      <c r="T179" s="2"/>
      <c r="U179" s="2"/>
      <c r="V179" s="2"/>
      <c r="W179" s="2"/>
      <c r="X179" s="2"/>
      <c r="Y179" s="2"/>
      <c r="Z179" s="309"/>
      <c r="AA179" s="309"/>
    </row>
    <row r="180" spans="1:27" ht="15.75" customHeight="1">
      <c r="A180" s="963" t="s">
        <v>257</v>
      </c>
      <c r="B180" s="2" t="s">
        <v>258</v>
      </c>
      <c r="C180" s="2"/>
      <c r="D180" s="2"/>
      <c r="E180" s="2"/>
      <c r="F180" s="2"/>
      <c r="G180" s="2"/>
      <c r="H180" s="2"/>
      <c r="I180" s="2"/>
      <c r="J180" s="2"/>
      <c r="K180" s="2"/>
      <c r="L180" s="2"/>
      <c r="M180" s="2"/>
      <c r="N180" s="2"/>
      <c r="O180" s="2"/>
      <c r="P180" s="2"/>
      <c r="Q180" s="2"/>
      <c r="R180" s="2"/>
      <c r="S180" s="2"/>
      <c r="T180" s="2"/>
      <c r="U180" s="2"/>
      <c r="V180" s="2"/>
      <c r="W180" s="2"/>
      <c r="X180" s="2"/>
      <c r="Y180" s="2"/>
      <c r="Z180" s="309"/>
      <c r="AA180" s="309"/>
    </row>
    <row r="181" spans="1:27" ht="15.75" customHeight="1">
      <c r="A181" s="963" t="s">
        <v>259</v>
      </c>
      <c r="B181" s="955" t="s">
        <v>260</v>
      </c>
      <c r="C181" s="2"/>
      <c r="D181" s="2"/>
      <c r="E181" s="2"/>
      <c r="F181" s="2"/>
      <c r="G181" s="2"/>
      <c r="H181" s="2"/>
      <c r="I181" s="2"/>
      <c r="J181" s="2"/>
      <c r="K181" s="2"/>
      <c r="L181" s="2"/>
      <c r="M181" s="2"/>
      <c r="N181" s="2"/>
      <c r="O181" s="2"/>
      <c r="P181" s="2"/>
      <c r="Q181" s="2"/>
      <c r="R181" s="2"/>
      <c r="S181" s="2"/>
      <c r="T181" s="2"/>
      <c r="U181" s="2"/>
      <c r="V181" s="2"/>
      <c r="W181" s="2"/>
      <c r="X181" s="2"/>
      <c r="Y181" s="2"/>
      <c r="Z181" s="309"/>
      <c r="AA181" s="309"/>
    </row>
    <row r="182" spans="1:27" ht="15.75" customHeight="1">
      <c r="A182" s="963" t="s">
        <v>261</v>
      </c>
      <c r="B182" s="99" t="s">
        <v>262</v>
      </c>
      <c r="C182" s="2"/>
      <c r="D182" s="2" t="s">
        <v>263</v>
      </c>
      <c r="E182" s="2"/>
      <c r="F182" s="2"/>
      <c r="G182" s="2"/>
      <c r="H182" s="2"/>
      <c r="I182" s="2"/>
      <c r="J182" s="2"/>
      <c r="K182" s="2"/>
      <c r="L182" s="2"/>
      <c r="M182" s="2"/>
      <c r="N182" s="2"/>
      <c r="O182" s="2"/>
      <c r="P182" s="2"/>
      <c r="Q182" s="2"/>
      <c r="R182" s="2"/>
      <c r="S182" s="2"/>
      <c r="T182" s="2"/>
      <c r="U182" s="2"/>
      <c r="V182" s="2"/>
      <c r="W182" s="2"/>
      <c r="X182" s="2"/>
      <c r="Y182" s="2"/>
      <c r="Z182" s="309"/>
      <c r="AA182" s="309"/>
    </row>
    <row r="183" spans="1:27" ht="15.75" customHeight="1">
      <c r="A183" s="963" t="s">
        <v>264</v>
      </c>
      <c r="B183" s="1013" t="s">
        <v>265</v>
      </c>
      <c r="C183" s="2"/>
      <c r="D183" s="2"/>
      <c r="E183" s="2"/>
      <c r="F183" s="2"/>
      <c r="G183" s="2"/>
      <c r="H183" s="2"/>
      <c r="I183" s="2"/>
      <c r="J183" s="2"/>
      <c r="K183" s="2"/>
      <c r="L183" s="2"/>
      <c r="M183" s="2"/>
      <c r="N183" s="2"/>
      <c r="O183" s="2"/>
      <c r="P183" s="2"/>
      <c r="Q183" s="2"/>
      <c r="R183" s="2"/>
      <c r="S183" s="2"/>
      <c r="T183" s="2"/>
      <c r="U183" s="2"/>
      <c r="V183" s="2"/>
      <c r="W183" s="2"/>
      <c r="X183" s="2"/>
      <c r="Y183" s="2"/>
      <c r="Z183" s="309"/>
      <c r="AA183" s="309"/>
    </row>
    <row r="184" spans="1:27" ht="15.75" customHeight="1">
      <c r="A184" s="963" t="s">
        <v>266</v>
      </c>
      <c r="B184" s="1013" t="s">
        <v>267</v>
      </c>
      <c r="C184" s="2"/>
      <c r="D184" s="2"/>
      <c r="E184" s="2"/>
      <c r="F184" s="2"/>
      <c r="G184" s="2"/>
      <c r="H184" s="2"/>
      <c r="I184" s="2"/>
      <c r="J184" s="2"/>
      <c r="K184" s="2"/>
      <c r="L184" s="2"/>
      <c r="M184" s="2"/>
      <c r="N184" s="2"/>
      <c r="O184" s="2"/>
      <c r="P184" s="2"/>
      <c r="Q184" s="2"/>
      <c r="R184" s="2"/>
      <c r="S184" s="2"/>
      <c r="T184" s="2"/>
      <c r="U184" s="2"/>
      <c r="V184" s="2"/>
      <c r="W184" s="2"/>
      <c r="X184" s="2"/>
      <c r="Y184" s="2"/>
      <c r="Z184" s="309"/>
      <c r="AA184" s="309"/>
    </row>
    <row r="185" spans="1:27" ht="15.75" customHeight="1">
      <c r="A185" s="963" t="s">
        <v>268</v>
      </c>
      <c r="B185" s="1013" t="s">
        <v>269</v>
      </c>
      <c r="C185" s="2"/>
      <c r="D185" s="2"/>
      <c r="E185" s="2"/>
      <c r="F185" s="2"/>
      <c r="G185" s="2"/>
      <c r="H185" s="2"/>
      <c r="I185" s="2"/>
      <c r="J185" s="2"/>
      <c r="K185" s="2"/>
      <c r="L185" s="2"/>
      <c r="M185" s="2"/>
      <c r="N185" s="2"/>
      <c r="O185" s="2"/>
      <c r="P185" s="2"/>
      <c r="Q185" s="2"/>
      <c r="R185" s="2"/>
      <c r="S185" s="2"/>
      <c r="T185" s="2"/>
      <c r="U185" s="2"/>
      <c r="V185" s="2"/>
      <c r="W185" s="2"/>
      <c r="X185" s="2"/>
      <c r="Y185" s="2"/>
      <c r="Z185" s="309"/>
      <c r="AA185" s="309"/>
    </row>
    <row r="186" spans="1:27" ht="15.75" customHeight="1">
      <c r="A186" s="963" t="s">
        <v>270</v>
      </c>
      <c r="B186" s="1013" t="s">
        <v>271</v>
      </c>
      <c r="C186" s="2"/>
      <c r="D186" s="2"/>
      <c r="E186" s="2"/>
      <c r="F186" s="2"/>
      <c r="G186" s="2"/>
      <c r="H186" s="2"/>
      <c r="I186" s="2"/>
      <c r="J186" s="2"/>
      <c r="K186" s="2"/>
      <c r="L186" s="2"/>
      <c r="M186" s="2"/>
      <c r="N186" s="2"/>
      <c r="O186" s="2"/>
      <c r="P186" s="2"/>
      <c r="Q186" s="2"/>
      <c r="R186" s="2"/>
      <c r="S186" s="2"/>
      <c r="T186" s="2"/>
      <c r="U186" s="2"/>
      <c r="V186" s="2"/>
      <c r="W186" s="2"/>
      <c r="X186" s="2"/>
      <c r="Y186" s="2"/>
      <c r="Z186" s="309"/>
      <c r="AA186" s="309"/>
    </row>
    <row r="187" spans="1:27" ht="15.75" customHeight="1">
      <c r="A187" s="963" t="s">
        <v>272</v>
      </c>
      <c r="B187" s="1013" t="s">
        <v>273</v>
      </c>
      <c r="C187" s="2"/>
      <c r="D187" s="2"/>
      <c r="E187" s="2"/>
      <c r="F187" s="2"/>
      <c r="G187" s="2"/>
      <c r="H187" s="2"/>
      <c r="I187" s="2"/>
      <c r="J187" s="2"/>
      <c r="K187" s="2"/>
      <c r="L187" s="2"/>
      <c r="M187" s="2"/>
      <c r="N187" s="2"/>
      <c r="O187" s="2"/>
      <c r="P187" s="2"/>
      <c r="Q187" s="2"/>
      <c r="R187" s="2"/>
      <c r="S187" s="2"/>
      <c r="T187" s="2"/>
      <c r="U187" s="2"/>
      <c r="V187" s="2"/>
      <c r="W187" s="2"/>
      <c r="X187" s="2"/>
      <c r="Y187" s="2"/>
      <c r="Z187" s="309"/>
      <c r="AA187" s="309"/>
    </row>
    <row r="188" spans="1:27" ht="15.75" customHeight="1">
      <c r="A188" s="963" t="s">
        <v>274</v>
      </c>
      <c r="B188" s="1013" t="s">
        <v>275</v>
      </c>
      <c r="C188" s="2"/>
      <c r="D188" s="2"/>
      <c r="E188" s="2"/>
      <c r="F188" s="2"/>
      <c r="G188" s="2"/>
      <c r="H188" s="2"/>
      <c r="I188" s="2"/>
      <c r="J188" s="2"/>
      <c r="K188" s="2"/>
      <c r="L188" s="2"/>
      <c r="M188" s="2"/>
      <c r="N188" s="2"/>
      <c r="O188" s="2"/>
      <c r="P188" s="2"/>
      <c r="Q188" s="2"/>
      <c r="R188" s="2"/>
      <c r="S188" s="2"/>
      <c r="T188" s="2"/>
      <c r="U188" s="2"/>
      <c r="V188" s="2"/>
      <c r="W188" s="2"/>
      <c r="X188" s="2"/>
      <c r="Y188" s="2"/>
      <c r="Z188" s="309"/>
      <c r="AA188" s="309"/>
    </row>
    <row r="189" spans="1:27" ht="15.75" customHeight="1">
      <c r="A189" s="963" t="s">
        <v>276</v>
      </c>
      <c r="B189" s="99" t="s">
        <v>277</v>
      </c>
      <c r="C189" s="2"/>
      <c r="D189" s="2"/>
      <c r="E189" s="2"/>
      <c r="F189" s="2"/>
      <c r="G189" s="2"/>
      <c r="H189" s="2"/>
      <c r="I189" s="2"/>
      <c r="J189" s="2"/>
      <c r="K189" s="2"/>
      <c r="L189" s="2"/>
      <c r="M189" s="2"/>
      <c r="N189" s="2"/>
      <c r="O189" s="2"/>
      <c r="P189" s="2"/>
      <c r="Q189" s="2"/>
      <c r="R189" s="2"/>
      <c r="S189" s="2"/>
      <c r="T189" s="2"/>
      <c r="U189" s="2"/>
      <c r="V189" s="2"/>
      <c r="W189" s="2"/>
      <c r="X189" s="2"/>
      <c r="Y189" s="2"/>
      <c r="Z189" s="309"/>
      <c r="AA189" s="309"/>
    </row>
    <row r="190" spans="1:27" ht="15.75" customHeight="1">
      <c r="A190" s="963" t="s">
        <v>278</v>
      </c>
      <c r="B190" s="99" t="s">
        <v>279</v>
      </c>
      <c r="C190" s="2"/>
      <c r="D190" s="2"/>
      <c r="E190" s="2"/>
      <c r="F190" s="2"/>
      <c r="G190" s="2"/>
      <c r="H190" s="2"/>
      <c r="I190" s="2"/>
      <c r="J190" s="2"/>
      <c r="K190" s="2"/>
      <c r="L190" s="2"/>
      <c r="M190" s="2"/>
      <c r="N190" s="2"/>
      <c r="O190" s="2"/>
      <c r="P190" s="2"/>
      <c r="Q190" s="2"/>
      <c r="R190" s="2"/>
      <c r="S190" s="2"/>
      <c r="T190" s="2"/>
      <c r="U190" s="2"/>
      <c r="V190" s="2"/>
      <c r="W190" s="2"/>
      <c r="X190" s="2"/>
      <c r="Y190" s="2"/>
      <c r="Z190" s="309"/>
      <c r="AA190" s="309"/>
    </row>
    <row r="191" spans="1:27" ht="15.75" customHeight="1">
      <c r="A191" s="900"/>
      <c r="B191" s="2"/>
      <c r="C191" s="2"/>
      <c r="D191" s="2"/>
      <c r="E191" s="2"/>
      <c r="F191" s="2"/>
      <c r="G191" s="2"/>
      <c r="H191" s="2"/>
      <c r="I191" s="2"/>
      <c r="J191" s="2"/>
      <c r="K191" s="2"/>
      <c r="L191" s="2"/>
      <c r="M191" s="2"/>
      <c r="N191" s="2"/>
      <c r="O191" s="2"/>
      <c r="P191" s="2"/>
      <c r="Q191" s="2"/>
      <c r="R191" s="2"/>
      <c r="S191" s="2"/>
      <c r="T191" s="2"/>
      <c r="U191" s="2"/>
      <c r="V191" s="2"/>
      <c r="W191" s="2"/>
      <c r="X191" s="2"/>
      <c r="Y191" s="2"/>
      <c r="Z191" s="309"/>
      <c r="AA191" s="309"/>
    </row>
    <row r="192" spans="1:27" ht="15.75" customHeight="1">
      <c r="A192" s="900"/>
      <c r="B192" s="2"/>
      <c r="C192" s="2"/>
      <c r="D192" s="2"/>
      <c r="E192" s="2"/>
      <c r="F192" s="2"/>
      <c r="G192" s="2"/>
      <c r="H192" s="2"/>
      <c r="I192" s="2"/>
      <c r="J192" s="2"/>
      <c r="K192" s="2"/>
      <c r="L192" s="2"/>
      <c r="M192" s="2"/>
      <c r="N192" s="2"/>
      <c r="O192" s="2"/>
      <c r="P192" s="2"/>
      <c r="Q192" s="2"/>
      <c r="R192" s="2"/>
      <c r="S192" s="2"/>
      <c r="T192" s="2"/>
      <c r="U192" s="2"/>
      <c r="V192" s="2"/>
      <c r="W192" s="2"/>
      <c r="X192" s="2"/>
      <c r="Y192" s="2"/>
      <c r="Z192" s="309"/>
      <c r="AA192" s="309"/>
    </row>
    <row r="193" spans="1:27" ht="15.75" customHeight="1">
      <c r="A193" s="900"/>
      <c r="B193" s="2"/>
      <c r="C193" s="2"/>
      <c r="D193" s="2"/>
      <c r="E193" s="2"/>
      <c r="F193" s="2"/>
      <c r="G193" s="2"/>
      <c r="H193" s="2"/>
      <c r="I193" s="2"/>
      <c r="J193" s="2"/>
      <c r="K193" s="2"/>
      <c r="L193" s="2"/>
      <c r="M193" s="2"/>
      <c r="N193" s="2"/>
      <c r="O193" s="2"/>
      <c r="P193" s="2"/>
      <c r="Q193" s="2"/>
      <c r="R193" s="2"/>
      <c r="S193" s="2"/>
      <c r="T193" s="2"/>
      <c r="U193" s="2"/>
      <c r="V193" s="2"/>
      <c r="W193" s="2"/>
      <c r="X193" s="2"/>
      <c r="Y193" s="2"/>
      <c r="Z193" s="309"/>
      <c r="AA193" s="309"/>
    </row>
    <row r="194" spans="1:27" ht="15.75" customHeight="1">
      <c r="A194" s="900"/>
      <c r="B194" s="2"/>
      <c r="C194" s="2"/>
      <c r="D194" s="2"/>
      <c r="E194" s="2"/>
      <c r="F194" s="2"/>
      <c r="G194" s="2"/>
      <c r="H194" s="2"/>
      <c r="I194" s="2"/>
      <c r="J194" s="2"/>
      <c r="K194" s="2"/>
      <c r="L194" s="2"/>
      <c r="M194" s="2"/>
      <c r="N194" s="2"/>
      <c r="O194" s="2"/>
      <c r="P194" s="2"/>
      <c r="Q194" s="2"/>
      <c r="R194" s="2"/>
      <c r="S194" s="2"/>
      <c r="T194" s="2"/>
      <c r="U194" s="2"/>
      <c r="V194" s="2"/>
      <c r="W194" s="2"/>
      <c r="X194" s="2"/>
      <c r="Y194" s="2"/>
      <c r="Z194" s="309"/>
      <c r="AA194" s="309"/>
    </row>
    <row r="195" spans="1:27" ht="15.75" customHeight="1">
      <c r="A195" s="900"/>
      <c r="B195" s="2"/>
      <c r="C195" s="2"/>
      <c r="D195" s="2"/>
      <c r="E195" s="2"/>
      <c r="F195" s="2"/>
      <c r="G195" s="2"/>
      <c r="H195" s="2"/>
      <c r="I195" s="2"/>
      <c r="J195" s="2"/>
      <c r="K195" s="2"/>
      <c r="L195" s="2"/>
      <c r="M195" s="2"/>
      <c r="N195" s="2"/>
      <c r="O195" s="2"/>
      <c r="P195" s="2"/>
      <c r="Q195" s="2"/>
      <c r="R195" s="2"/>
      <c r="S195" s="2"/>
      <c r="T195" s="2"/>
      <c r="U195" s="2"/>
      <c r="V195" s="2"/>
      <c r="W195" s="2"/>
      <c r="X195" s="2"/>
      <c r="Y195" s="2"/>
      <c r="Z195" s="309"/>
      <c r="AA195" s="309"/>
    </row>
    <row r="196" spans="1:27" ht="15.75" customHeight="1">
      <c r="A196" s="900"/>
      <c r="B196" s="2"/>
      <c r="C196" s="2"/>
      <c r="D196" s="2"/>
      <c r="E196" s="2"/>
      <c r="F196" s="2"/>
      <c r="G196" s="2"/>
      <c r="H196" s="2"/>
      <c r="I196" s="2"/>
      <c r="J196" s="2"/>
      <c r="K196" s="2"/>
      <c r="L196" s="2"/>
      <c r="M196" s="2"/>
      <c r="N196" s="2"/>
      <c r="O196" s="2"/>
      <c r="P196" s="2"/>
      <c r="Q196" s="2"/>
      <c r="R196" s="2"/>
      <c r="S196" s="2"/>
      <c r="T196" s="2"/>
      <c r="U196" s="2"/>
      <c r="V196" s="2"/>
      <c r="W196" s="2"/>
      <c r="X196" s="2"/>
      <c r="Y196" s="2"/>
      <c r="Z196" s="309"/>
      <c r="AA196" s="309"/>
    </row>
    <row r="197" spans="1:27" ht="15.75" customHeight="1">
      <c r="A197" s="900"/>
      <c r="B197" s="2"/>
      <c r="C197" s="2"/>
      <c r="D197" s="2"/>
      <c r="E197" s="2"/>
      <c r="F197" s="2"/>
      <c r="G197" s="2"/>
      <c r="H197" s="2"/>
      <c r="I197" s="2"/>
      <c r="J197" s="2"/>
      <c r="K197" s="2"/>
      <c r="L197" s="2"/>
      <c r="M197" s="2"/>
      <c r="N197" s="2"/>
      <c r="O197" s="2"/>
      <c r="P197" s="2"/>
      <c r="Q197" s="2"/>
      <c r="R197" s="2"/>
      <c r="S197" s="2"/>
      <c r="T197" s="2"/>
      <c r="U197" s="2"/>
      <c r="V197" s="2"/>
      <c r="W197" s="2"/>
      <c r="X197" s="2"/>
      <c r="Y197" s="2"/>
      <c r="Z197" s="309"/>
      <c r="AA197" s="309"/>
    </row>
    <row r="198" spans="1:27" ht="15.75" customHeight="1">
      <c r="A198" s="900"/>
      <c r="B198" s="2"/>
      <c r="C198" s="2"/>
      <c r="D198" s="2"/>
      <c r="E198" s="2"/>
      <c r="F198" s="2"/>
      <c r="G198" s="2"/>
      <c r="H198" s="2"/>
      <c r="I198" s="2"/>
      <c r="J198" s="2"/>
      <c r="K198" s="2"/>
      <c r="L198" s="2"/>
      <c r="M198" s="2"/>
      <c r="N198" s="2"/>
      <c r="O198" s="2"/>
      <c r="P198" s="2"/>
      <c r="Q198" s="2"/>
      <c r="R198" s="2"/>
      <c r="S198" s="2"/>
      <c r="T198" s="2"/>
      <c r="U198" s="2"/>
      <c r="V198" s="2"/>
      <c r="W198" s="2"/>
      <c r="X198" s="2"/>
      <c r="Y198" s="2"/>
      <c r="Z198" s="309"/>
      <c r="AA198" s="309"/>
    </row>
    <row r="199" spans="1:27" ht="15.75" customHeight="1">
      <c r="A199" s="900"/>
      <c r="B199" s="2"/>
      <c r="C199" s="2"/>
      <c r="D199" s="2"/>
      <c r="E199" s="2"/>
      <c r="F199" s="2"/>
      <c r="G199" s="2"/>
      <c r="H199" s="2"/>
      <c r="I199" s="2"/>
      <c r="J199" s="2"/>
      <c r="K199" s="2"/>
      <c r="L199" s="2"/>
      <c r="M199" s="2"/>
      <c r="N199" s="2"/>
      <c r="O199" s="2"/>
      <c r="P199" s="2"/>
      <c r="Q199" s="2"/>
      <c r="R199" s="2"/>
      <c r="S199" s="2"/>
      <c r="T199" s="2"/>
      <c r="U199" s="2"/>
      <c r="V199" s="2"/>
      <c r="W199" s="2"/>
      <c r="X199" s="2"/>
      <c r="Y199" s="2"/>
      <c r="Z199" s="309"/>
      <c r="AA199" s="309"/>
    </row>
    <row r="200" spans="1:27" ht="15.75" customHeight="1">
      <c r="A200" s="900"/>
      <c r="B200" s="2"/>
      <c r="C200" s="2"/>
      <c r="D200" s="2"/>
      <c r="E200" s="2"/>
      <c r="F200" s="2"/>
      <c r="G200" s="2"/>
      <c r="H200" s="2"/>
      <c r="I200" s="2"/>
      <c r="J200" s="2"/>
      <c r="K200" s="2"/>
      <c r="L200" s="2"/>
      <c r="M200" s="2"/>
      <c r="N200" s="2"/>
      <c r="O200" s="2"/>
      <c r="P200" s="2"/>
      <c r="Q200" s="2"/>
      <c r="R200" s="2"/>
      <c r="S200" s="2"/>
      <c r="T200" s="2"/>
      <c r="U200" s="2"/>
      <c r="V200" s="2"/>
      <c r="W200" s="2"/>
      <c r="X200" s="2"/>
      <c r="Y200" s="2"/>
      <c r="Z200" s="309"/>
      <c r="AA200" s="309"/>
    </row>
    <row r="201" spans="1:27" ht="15.75" customHeight="1">
      <c r="A201" s="900"/>
      <c r="B201" s="2"/>
      <c r="C201" s="2"/>
      <c r="D201" s="2"/>
      <c r="E201" s="2"/>
      <c r="F201" s="2"/>
      <c r="G201" s="2"/>
      <c r="H201" s="2"/>
      <c r="I201" s="2"/>
      <c r="J201" s="2"/>
      <c r="K201" s="2"/>
      <c r="L201" s="2"/>
      <c r="M201" s="2"/>
      <c r="N201" s="2"/>
      <c r="O201" s="2"/>
      <c r="P201" s="2"/>
      <c r="Q201" s="2"/>
      <c r="R201" s="2"/>
      <c r="S201" s="2"/>
      <c r="T201" s="2"/>
      <c r="U201" s="2"/>
      <c r="V201" s="2"/>
      <c r="W201" s="2"/>
      <c r="X201" s="2"/>
      <c r="Y201" s="2"/>
      <c r="Z201" s="309"/>
      <c r="AA201" s="309"/>
    </row>
    <row r="202" spans="1:27" ht="15.75" customHeight="1">
      <c r="A202" s="900"/>
      <c r="B202" s="2"/>
      <c r="C202" s="2"/>
      <c r="D202" s="2"/>
      <c r="E202" s="2"/>
      <c r="F202" s="2"/>
      <c r="G202" s="2"/>
      <c r="H202" s="2"/>
      <c r="I202" s="2"/>
      <c r="J202" s="2"/>
      <c r="K202" s="2"/>
      <c r="L202" s="2"/>
      <c r="M202" s="2"/>
      <c r="N202" s="2"/>
      <c r="O202" s="2"/>
      <c r="P202" s="2"/>
      <c r="Q202" s="2"/>
      <c r="R202" s="2"/>
      <c r="S202" s="2"/>
      <c r="T202" s="2"/>
      <c r="U202" s="2"/>
      <c r="V202" s="2"/>
      <c r="W202" s="2"/>
      <c r="X202" s="2"/>
      <c r="Y202" s="2"/>
      <c r="Z202" s="309"/>
      <c r="AA202" s="309"/>
    </row>
    <row r="203" spans="1:27" ht="15.75" customHeight="1">
      <c r="A203" s="900"/>
      <c r="B203" s="2"/>
      <c r="C203" s="2"/>
      <c r="D203" s="2"/>
      <c r="E203" s="2"/>
      <c r="F203" s="2"/>
      <c r="G203" s="2"/>
      <c r="H203" s="2"/>
      <c r="I203" s="2"/>
      <c r="J203" s="2"/>
      <c r="K203" s="2"/>
      <c r="L203" s="2"/>
      <c r="M203" s="2"/>
      <c r="N203" s="2"/>
      <c r="O203" s="2"/>
      <c r="P203" s="2"/>
      <c r="Q203" s="2"/>
      <c r="R203" s="2"/>
      <c r="S203" s="2"/>
      <c r="T203" s="2"/>
      <c r="U203" s="2"/>
      <c r="V203" s="2"/>
      <c r="W203" s="2"/>
      <c r="X203" s="2"/>
      <c r="Y203" s="2"/>
      <c r="Z203" s="309"/>
      <c r="AA203" s="309"/>
    </row>
    <row r="204" spans="1:27" ht="15.75" customHeight="1">
      <c r="A204" s="900"/>
      <c r="B204" s="2"/>
      <c r="C204" s="2"/>
      <c r="D204" s="2"/>
      <c r="E204" s="2"/>
      <c r="F204" s="2"/>
      <c r="G204" s="2"/>
      <c r="H204" s="2"/>
      <c r="I204" s="2"/>
      <c r="J204" s="2"/>
      <c r="K204" s="2"/>
      <c r="L204" s="2"/>
      <c r="M204" s="2"/>
      <c r="N204" s="2"/>
      <c r="O204" s="2"/>
      <c r="P204" s="2"/>
      <c r="Q204" s="2"/>
      <c r="R204" s="2"/>
      <c r="S204" s="2"/>
      <c r="T204" s="2"/>
      <c r="U204" s="2"/>
      <c r="V204" s="2"/>
      <c r="W204" s="2"/>
      <c r="X204" s="2"/>
      <c r="Y204" s="2"/>
      <c r="Z204" s="309"/>
      <c r="AA204" s="309"/>
    </row>
    <row r="205" spans="1:27" ht="15.75" customHeight="1">
      <c r="A205" s="900"/>
      <c r="B205" s="2"/>
      <c r="C205" s="2"/>
      <c r="D205" s="2"/>
      <c r="E205" s="2"/>
      <c r="F205" s="2"/>
      <c r="G205" s="2"/>
      <c r="H205" s="2"/>
      <c r="I205" s="2"/>
      <c r="J205" s="2"/>
      <c r="K205" s="2"/>
      <c r="L205" s="2"/>
      <c r="M205" s="2"/>
      <c r="N205" s="2"/>
      <c r="O205" s="2"/>
      <c r="P205" s="2"/>
      <c r="Q205" s="2"/>
      <c r="R205" s="2"/>
      <c r="S205" s="2"/>
      <c r="T205" s="2"/>
      <c r="U205" s="2"/>
      <c r="V205" s="2"/>
      <c r="W205" s="2"/>
      <c r="X205" s="2"/>
      <c r="Y205" s="2"/>
      <c r="Z205" s="309"/>
      <c r="AA205" s="309"/>
    </row>
    <row r="206" spans="1:27" ht="15.75" customHeight="1">
      <c r="A206" s="900"/>
      <c r="B206" s="2"/>
      <c r="C206" s="2"/>
      <c r="D206" s="2"/>
      <c r="E206" s="2"/>
      <c r="F206" s="2"/>
      <c r="G206" s="2"/>
      <c r="H206" s="2"/>
      <c r="I206" s="2"/>
      <c r="J206" s="2"/>
      <c r="K206" s="2"/>
      <c r="L206" s="2"/>
      <c r="M206" s="2"/>
      <c r="N206" s="2"/>
      <c r="O206" s="2"/>
      <c r="P206" s="2"/>
      <c r="Q206" s="2"/>
      <c r="R206" s="2"/>
      <c r="S206" s="2"/>
      <c r="T206" s="2"/>
      <c r="U206" s="2"/>
      <c r="V206" s="2"/>
      <c r="W206" s="2"/>
      <c r="X206" s="2"/>
      <c r="Y206" s="2"/>
      <c r="Z206" s="309"/>
      <c r="AA206" s="309"/>
    </row>
    <row r="207" spans="1:27" ht="15.75" customHeight="1">
      <c r="A207" s="900"/>
      <c r="B207" s="2"/>
      <c r="C207" s="2"/>
      <c r="D207" s="2"/>
      <c r="E207" s="2"/>
      <c r="F207" s="2"/>
      <c r="G207" s="2"/>
      <c r="H207" s="2"/>
      <c r="I207" s="2"/>
      <c r="J207" s="2"/>
      <c r="K207" s="2"/>
      <c r="L207" s="2"/>
      <c r="M207" s="2"/>
      <c r="N207" s="2"/>
      <c r="O207" s="2"/>
      <c r="P207" s="2"/>
      <c r="Q207" s="2"/>
      <c r="R207" s="2"/>
      <c r="S207" s="2"/>
      <c r="T207" s="2"/>
      <c r="U207" s="2"/>
      <c r="V207" s="2"/>
      <c r="W207" s="2"/>
      <c r="X207" s="2"/>
      <c r="Y207" s="2"/>
      <c r="Z207" s="309"/>
      <c r="AA207" s="309"/>
    </row>
    <row r="208" spans="1:27" ht="15.75" customHeight="1">
      <c r="A208" s="900"/>
      <c r="B208" s="2"/>
      <c r="C208" s="2"/>
      <c r="D208" s="2"/>
      <c r="E208" s="2"/>
      <c r="F208" s="2"/>
      <c r="G208" s="2"/>
      <c r="H208" s="2"/>
      <c r="I208" s="2"/>
      <c r="J208" s="2"/>
      <c r="K208" s="2"/>
      <c r="L208" s="2"/>
      <c r="M208" s="2"/>
      <c r="N208" s="2"/>
      <c r="O208" s="2"/>
      <c r="P208" s="2"/>
      <c r="Q208" s="2"/>
      <c r="R208" s="2"/>
      <c r="S208" s="2"/>
      <c r="T208" s="2"/>
      <c r="U208" s="2"/>
      <c r="V208" s="2"/>
      <c r="W208" s="2"/>
      <c r="X208" s="2"/>
      <c r="Y208" s="2"/>
      <c r="Z208" s="309"/>
      <c r="AA208" s="309"/>
    </row>
    <row r="209" spans="1:27" ht="15.75" customHeight="1">
      <c r="A209" s="900"/>
      <c r="B209" s="2"/>
      <c r="C209" s="2"/>
      <c r="D209" s="2"/>
      <c r="E209" s="2"/>
      <c r="F209" s="2"/>
      <c r="G209" s="2"/>
      <c r="H209" s="2"/>
      <c r="I209" s="2"/>
      <c r="J209" s="2"/>
      <c r="K209" s="2"/>
      <c r="L209" s="2"/>
      <c r="M209" s="2"/>
      <c r="N209" s="2"/>
      <c r="O209" s="2"/>
      <c r="P209" s="2"/>
      <c r="Q209" s="2"/>
      <c r="R209" s="2"/>
      <c r="S209" s="2"/>
      <c r="T209" s="2"/>
      <c r="U209" s="2"/>
      <c r="V209" s="2"/>
      <c r="W209" s="2"/>
      <c r="X209" s="2"/>
      <c r="Y209" s="2"/>
      <c r="Z209" s="309"/>
      <c r="AA209" s="309"/>
    </row>
    <row r="210" spans="1:27" ht="15.75" customHeight="1">
      <c r="A210" s="900"/>
      <c r="B210" s="2"/>
      <c r="C210" s="2"/>
      <c r="D210" s="2"/>
      <c r="E210" s="2"/>
      <c r="F210" s="2"/>
      <c r="G210" s="2"/>
      <c r="H210" s="2"/>
      <c r="I210" s="2"/>
      <c r="J210" s="2"/>
      <c r="K210" s="2"/>
      <c r="L210" s="2"/>
      <c r="M210" s="2"/>
      <c r="N210" s="2"/>
      <c r="O210" s="2"/>
      <c r="P210" s="2"/>
      <c r="Q210" s="2"/>
      <c r="R210" s="2"/>
      <c r="S210" s="2"/>
      <c r="T210" s="2"/>
      <c r="U210" s="2"/>
      <c r="V210" s="2"/>
      <c r="W210" s="2"/>
      <c r="X210" s="2"/>
      <c r="Y210" s="2"/>
      <c r="Z210" s="309"/>
      <c r="AA210" s="309"/>
    </row>
    <row r="211" spans="1:27" ht="15.75" customHeight="1">
      <c r="A211" s="900"/>
      <c r="B211" s="2"/>
      <c r="C211" s="2"/>
      <c r="D211" s="2"/>
      <c r="E211" s="2"/>
      <c r="F211" s="2"/>
      <c r="G211" s="2"/>
      <c r="H211" s="2"/>
      <c r="I211" s="2"/>
      <c r="J211" s="2"/>
      <c r="K211" s="2"/>
      <c r="L211" s="2"/>
      <c r="M211" s="2"/>
      <c r="N211" s="2"/>
      <c r="O211" s="2"/>
      <c r="P211" s="2"/>
      <c r="Q211" s="2"/>
      <c r="R211" s="2"/>
      <c r="S211" s="2"/>
      <c r="T211" s="2"/>
      <c r="U211" s="2"/>
      <c r="V211" s="2"/>
      <c r="W211" s="2"/>
      <c r="X211" s="2"/>
      <c r="Y211" s="2"/>
      <c r="Z211" s="309"/>
      <c r="AA211" s="309"/>
    </row>
    <row r="212" spans="1:27" ht="15.75" customHeight="1">
      <c r="A212" s="900"/>
      <c r="B212" s="2"/>
      <c r="C212" s="2"/>
      <c r="D212" s="2"/>
      <c r="E212" s="2"/>
      <c r="F212" s="2"/>
      <c r="G212" s="2"/>
      <c r="H212" s="2"/>
      <c r="I212" s="2"/>
      <c r="J212" s="2"/>
      <c r="K212" s="2"/>
      <c r="L212" s="2"/>
      <c r="M212" s="2"/>
      <c r="N212" s="2"/>
      <c r="O212" s="2"/>
      <c r="P212" s="2"/>
      <c r="Q212" s="2"/>
      <c r="R212" s="2"/>
      <c r="S212" s="2"/>
      <c r="T212" s="2"/>
      <c r="U212" s="2"/>
      <c r="V212" s="2"/>
      <c r="W212" s="2"/>
      <c r="X212" s="2"/>
      <c r="Y212" s="2"/>
      <c r="Z212" s="309"/>
      <c r="AA212" s="309"/>
    </row>
    <row r="213" spans="1:27" ht="15.75" customHeight="1">
      <c r="A213" s="900"/>
      <c r="B213" s="2"/>
      <c r="C213" s="2"/>
      <c r="D213" s="2"/>
      <c r="E213" s="2"/>
      <c r="F213" s="2"/>
      <c r="G213" s="2"/>
      <c r="H213" s="2"/>
      <c r="I213" s="2"/>
      <c r="J213" s="2"/>
      <c r="K213" s="2"/>
      <c r="L213" s="2"/>
      <c r="M213" s="2"/>
      <c r="N213" s="2"/>
      <c r="O213" s="2"/>
      <c r="P213" s="2"/>
      <c r="Q213" s="2"/>
      <c r="R213" s="2"/>
      <c r="S213" s="2"/>
      <c r="T213" s="2"/>
      <c r="U213" s="2"/>
      <c r="V213" s="2"/>
      <c r="W213" s="2"/>
      <c r="X213" s="2"/>
      <c r="Y213" s="2"/>
      <c r="Z213" s="309"/>
      <c r="AA213" s="309"/>
    </row>
    <row r="214" spans="1:27" ht="15.75" customHeight="1">
      <c r="A214" s="900"/>
      <c r="B214" s="2"/>
      <c r="C214" s="2"/>
      <c r="D214" s="2"/>
      <c r="E214" s="2"/>
      <c r="F214" s="2"/>
      <c r="G214" s="2"/>
      <c r="H214" s="2"/>
      <c r="I214" s="2"/>
      <c r="J214" s="2"/>
      <c r="K214" s="2"/>
      <c r="L214" s="2"/>
      <c r="M214" s="2"/>
      <c r="N214" s="2"/>
      <c r="O214" s="2"/>
      <c r="P214" s="2"/>
      <c r="Q214" s="2"/>
      <c r="R214" s="2"/>
      <c r="S214" s="2"/>
      <c r="T214" s="2"/>
      <c r="U214" s="2"/>
      <c r="V214" s="2"/>
      <c r="W214" s="2"/>
      <c r="X214" s="2"/>
      <c r="Y214" s="2"/>
      <c r="Z214" s="309"/>
      <c r="AA214" s="309"/>
    </row>
    <row r="215" spans="1:27" ht="15.75" customHeight="1">
      <c r="A215" s="900"/>
      <c r="B215" s="2"/>
      <c r="C215" s="2"/>
      <c r="D215" s="2"/>
      <c r="E215" s="2"/>
      <c r="F215" s="2"/>
      <c r="G215" s="2"/>
      <c r="H215" s="2"/>
      <c r="I215" s="2"/>
      <c r="J215" s="2"/>
      <c r="K215" s="2"/>
      <c r="L215" s="2"/>
      <c r="M215" s="2"/>
      <c r="N215" s="2"/>
      <c r="O215" s="2"/>
      <c r="P215" s="2"/>
      <c r="Q215" s="2"/>
      <c r="R215" s="2"/>
      <c r="S215" s="2"/>
      <c r="T215" s="2"/>
      <c r="U215" s="2"/>
      <c r="V215" s="2"/>
      <c r="W215" s="2"/>
      <c r="X215" s="2"/>
      <c r="Y215" s="2"/>
      <c r="Z215" s="309"/>
      <c r="AA215" s="309"/>
    </row>
    <row r="216" spans="1:27" ht="15.75" customHeight="1">
      <c r="A216" s="900"/>
      <c r="B216" s="2"/>
      <c r="C216" s="2"/>
      <c r="D216" s="2"/>
      <c r="E216" s="2"/>
      <c r="F216" s="2"/>
      <c r="G216" s="2"/>
      <c r="H216" s="2"/>
      <c r="I216" s="2"/>
      <c r="J216" s="2"/>
      <c r="K216" s="2"/>
      <c r="L216" s="2"/>
      <c r="M216" s="2"/>
      <c r="N216" s="2"/>
      <c r="O216" s="2"/>
      <c r="P216" s="2"/>
      <c r="Q216" s="2"/>
      <c r="R216" s="2"/>
      <c r="S216" s="2"/>
      <c r="T216" s="2"/>
      <c r="U216" s="2"/>
      <c r="V216" s="2"/>
      <c r="W216" s="2"/>
      <c r="X216" s="2"/>
      <c r="Y216" s="2"/>
      <c r="Z216" s="309"/>
      <c r="AA216" s="309"/>
    </row>
    <row r="217" spans="1:27" ht="15.75" customHeight="1">
      <c r="A217" s="900"/>
      <c r="B217" s="2"/>
      <c r="C217" s="2"/>
      <c r="D217" s="2"/>
      <c r="E217" s="2"/>
      <c r="F217" s="2"/>
      <c r="G217" s="2"/>
      <c r="H217" s="2"/>
      <c r="I217" s="2"/>
      <c r="J217" s="2"/>
      <c r="K217" s="2"/>
      <c r="L217" s="2"/>
      <c r="M217" s="2"/>
      <c r="N217" s="2"/>
      <c r="O217" s="2"/>
      <c r="P217" s="2"/>
      <c r="Q217" s="2"/>
      <c r="R217" s="2"/>
      <c r="S217" s="2"/>
      <c r="T217" s="2"/>
      <c r="U217" s="2"/>
      <c r="V217" s="2"/>
      <c r="W217" s="2"/>
      <c r="X217" s="2"/>
      <c r="Y217" s="2"/>
      <c r="Z217" s="309"/>
      <c r="AA217" s="309"/>
    </row>
    <row r="218" spans="1:27" ht="15.75" customHeight="1">
      <c r="A218" s="900"/>
      <c r="B218" s="2"/>
      <c r="C218" s="2"/>
      <c r="D218" s="2"/>
      <c r="E218" s="2"/>
      <c r="F218" s="2"/>
      <c r="G218" s="2"/>
      <c r="H218" s="2"/>
      <c r="I218" s="2"/>
      <c r="J218" s="2"/>
      <c r="K218" s="2"/>
      <c r="L218" s="2"/>
      <c r="M218" s="2"/>
      <c r="N218" s="2"/>
      <c r="O218" s="2"/>
      <c r="P218" s="2"/>
      <c r="Q218" s="2"/>
      <c r="R218" s="2"/>
      <c r="S218" s="2"/>
      <c r="T218" s="2"/>
      <c r="U218" s="2"/>
      <c r="V218" s="2"/>
      <c r="W218" s="2"/>
      <c r="X218" s="2"/>
      <c r="Y218" s="2"/>
      <c r="Z218" s="309"/>
      <c r="AA218" s="309"/>
    </row>
    <row r="219" spans="1:27" ht="15.75" customHeight="1">
      <c r="A219" s="900"/>
      <c r="B219" s="2"/>
      <c r="C219" s="2"/>
      <c r="D219" s="2"/>
      <c r="E219" s="2"/>
      <c r="F219" s="2"/>
      <c r="G219" s="2"/>
      <c r="H219" s="2"/>
      <c r="I219" s="2"/>
      <c r="J219" s="2"/>
      <c r="K219" s="2"/>
      <c r="L219" s="2"/>
      <c r="M219" s="2"/>
      <c r="N219" s="2"/>
      <c r="O219" s="2"/>
      <c r="P219" s="2"/>
      <c r="Q219" s="2"/>
      <c r="R219" s="2"/>
      <c r="S219" s="2"/>
      <c r="T219" s="2"/>
      <c r="U219" s="2"/>
      <c r="V219" s="2"/>
      <c r="W219" s="2"/>
      <c r="X219" s="2"/>
      <c r="Y219" s="2"/>
      <c r="Z219" s="309"/>
      <c r="AA219" s="309"/>
    </row>
    <row r="220" spans="1:27" ht="15.75" customHeight="1">
      <c r="A220" s="900"/>
      <c r="B220" s="2"/>
      <c r="C220" s="2"/>
      <c r="D220" s="2"/>
      <c r="E220" s="2"/>
      <c r="F220" s="2"/>
      <c r="G220" s="2"/>
      <c r="H220" s="2"/>
      <c r="I220" s="2"/>
      <c r="J220" s="2"/>
      <c r="K220" s="2"/>
      <c r="L220" s="2"/>
      <c r="M220" s="2"/>
      <c r="N220" s="2"/>
      <c r="O220" s="2"/>
      <c r="P220" s="2"/>
      <c r="Q220" s="2"/>
      <c r="R220" s="2"/>
      <c r="S220" s="2"/>
      <c r="T220" s="2"/>
      <c r="U220" s="2"/>
      <c r="V220" s="2"/>
      <c r="W220" s="2"/>
      <c r="X220" s="2"/>
      <c r="Y220" s="2"/>
      <c r="Z220" s="309"/>
      <c r="AA220" s="309"/>
    </row>
    <row r="221" spans="1:27" ht="15.75" customHeight="1">
      <c r="A221" s="900"/>
      <c r="B221" s="2"/>
      <c r="C221" s="2"/>
      <c r="D221" s="2"/>
      <c r="E221" s="2"/>
      <c r="F221" s="2"/>
      <c r="G221" s="2"/>
      <c r="H221" s="2"/>
      <c r="I221" s="2"/>
      <c r="J221" s="2"/>
      <c r="K221" s="2"/>
      <c r="L221" s="2"/>
      <c r="M221" s="2"/>
      <c r="N221" s="2"/>
      <c r="O221" s="2"/>
      <c r="P221" s="2"/>
      <c r="Q221" s="2"/>
      <c r="R221" s="2"/>
      <c r="S221" s="2"/>
      <c r="T221" s="2"/>
      <c r="U221" s="2"/>
      <c r="V221" s="2"/>
      <c r="W221" s="2"/>
      <c r="X221" s="2"/>
      <c r="Y221" s="2"/>
      <c r="Z221" s="309"/>
      <c r="AA221" s="309"/>
    </row>
    <row r="222" spans="1:27" ht="15.75" customHeight="1">
      <c r="A222" s="900"/>
      <c r="B222" s="2"/>
      <c r="C222" s="2"/>
      <c r="D222" s="2"/>
      <c r="E222" s="2"/>
      <c r="F222" s="2"/>
      <c r="G222" s="2"/>
      <c r="H222" s="2"/>
      <c r="I222" s="2"/>
      <c r="J222" s="2"/>
      <c r="K222" s="2"/>
      <c r="L222" s="2"/>
      <c r="M222" s="2"/>
      <c r="N222" s="2"/>
      <c r="O222" s="2"/>
      <c r="P222" s="2"/>
      <c r="Q222" s="2"/>
      <c r="R222" s="2"/>
      <c r="S222" s="2"/>
      <c r="T222" s="2"/>
      <c r="U222" s="2"/>
      <c r="V222" s="2"/>
      <c r="W222" s="2"/>
      <c r="X222" s="2"/>
      <c r="Y222" s="2"/>
      <c r="Z222" s="309"/>
      <c r="AA222" s="309"/>
    </row>
    <row r="223" spans="1:27" ht="15.75" customHeight="1">
      <c r="A223" s="900"/>
      <c r="B223" s="2"/>
      <c r="C223" s="2"/>
      <c r="D223" s="2"/>
      <c r="E223" s="2"/>
      <c r="F223" s="2"/>
      <c r="G223" s="2"/>
      <c r="H223" s="2"/>
      <c r="I223" s="2"/>
      <c r="J223" s="2"/>
      <c r="K223" s="2"/>
      <c r="L223" s="2"/>
      <c r="M223" s="2"/>
      <c r="N223" s="2"/>
      <c r="O223" s="2"/>
      <c r="P223" s="2"/>
      <c r="Q223" s="2"/>
      <c r="R223" s="2"/>
      <c r="S223" s="2"/>
      <c r="T223" s="2"/>
      <c r="U223" s="2"/>
      <c r="V223" s="2"/>
      <c r="W223" s="2"/>
      <c r="X223" s="2"/>
      <c r="Y223" s="2"/>
      <c r="Z223" s="309"/>
      <c r="AA223" s="309"/>
    </row>
    <row r="224" spans="1:27" ht="15.75" customHeight="1">
      <c r="A224" s="900"/>
      <c r="B224" s="2"/>
      <c r="C224" s="2"/>
      <c r="D224" s="2"/>
      <c r="E224" s="2"/>
      <c r="F224" s="2"/>
      <c r="G224" s="2"/>
      <c r="H224" s="2"/>
      <c r="I224" s="2"/>
      <c r="J224" s="2"/>
      <c r="K224" s="2"/>
      <c r="L224" s="2"/>
      <c r="M224" s="2"/>
      <c r="N224" s="2"/>
      <c r="O224" s="2"/>
      <c r="P224" s="2"/>
      <c r="Q224" s="2"/>
      <c r="R224" s="2"/>
      <c r="S224" s="2"/>
      <c r="T224" s="2"/>
      <c r="U224" s="2"/>
      <c r="V224" s="2"/>
      <c r="W224" s="2"/>
      <c r="X224" s="2"/>
      <c r="Y224" s="2"/>
      <c r="Z224" s="309"/>
      <c r="AA224" s="309"/>
    </row>
    <row r="225" spans="1:27" ht="15.75" customHeight="1">
      <c r="A225" s="900"/>
      <c r="B225" s="2"/>
      <c r="C225" s="2"/>
      <c r="D225" s="2"/>
      <c r="E225" s="2"/>
      <c r="F225" s="2"/>
      <c r="G225" s="2"/>
      <c r="H225" s="2"/>
      <c r="I225" s="2"/>
      <c r="J225" s="2"/>
      <c r="K225" s="2"/>
      <c r="L225" s="2"/>
      <c r="M225" s="2"/>
      <c r="N225" s="2"/>
      <c r="O225" s="2"/>
      <c r="P225" s="2"/>
      <c r="Q225" s="2"/>
      <c r="R225" s="2"/>
      <c r="S225" s="2"/>
      <c r="T225" s="2"/>
      <c r="U225" s="2"/>
      <c r="V225" s="2"/>
      <c r="W225" s="2"/>
      <c r="X225" s="2"/>
      <c r="Y225" s="2"/>
      <c r="Z225" s="309"/>
      <c r="AA225" s="309"/>
    </row>
    <row r="226" spans="1:27" ht="15.75" customHeight="1">
      <c r="A226" s="900"/>
      <c r="B226" s="2"/>
      <c r="C226" s="2"/>
      <c r="D226" s="2"/>
      <c r="E226" s="2"/>
      <c r="F226" s="2"/>
      <c r="G226" s="2"/>
      <c r="H226" s="2"/>
      <c r="I226" s="2"/>
      <c r="J226" s="2"/>
      <c r="K226" s="2"/>
      <c r="L226" s="2"/>
      <c r="M226" s="2"/>
      <c r="N226" s="2"/>
      <c r="O226" s="2"/>
      <c r="P226" s="2"/>
      <c r="Q226" s="2"/>
      <c r="R226" s="2"/>
      <c r="S226" s="2"/>
      <c r="T226" s="2"/>
      <c r="U226" s="2"/>
      <c r="V226" s="2"/>
      <c r="W226" s="2"/>
      <c r="X226" s="2"/>
      <c r="Y226" s="2"/>
      <c r="Z226" s="309"/>
      <c r="AA226" s="309"/>
    </row>
    <row r="227" spans="1:27" ht="15.75" customHeight="1">
      <c r="A227" s="900"/>
      <c r="B227" s="2"/>
      <c r="C227" s="2"/>
      <c r="D227" s="2"/>
      <c r="E227" s="2"/>
      <c r="F227" s="2"/>
      <c r="G227" s="2"/>
      <c r="H227" s="2"/>
      <c r="I227" s="2"/>
      <c r="J227" s="2"/>
      <c r="K227" s="2"/>
      <c r="L227" s="2"/>
      <c r="M227" s="2"/>
      <c r="N227" s="2"/>
      <c r="O227" s="2"/>
      <c r="P227" s="2"/>
      <c r="Q227" s="2"/>
      <c r="R227" s="2"/>
      <c r="S227" s="2"/>
      <c r="T227" s="2"/>
      <c r="U227" s="2"/>
      <c r="V227" s="2"/>
      <c r="W227" s="2"/>
      <c r="X227" s="2"/>
      <c r="Y227" s="2"/>
      <c r="Z227" s="309"/>
      <c r="AA227" s="309"/>
    </row>
    <row r="228" spans="1:27" ht="15.75" customHeight="1">
      <c r="A228" s="900"/>
      <c r="B228" s="2"/>
      <c r="C228" s="2"/>
      <c r="D228" s="2"/>
      <c r="E228" s="2"/>
      <c r="F228" s="2"/>
      <c r="G228" s="2"/>
      <c r="H228" s="2"/>
      <c r="I228" s="2"/>
      <c r="J228" s="2"/>
      <c r="K228" s="2"/>
      <c r="L228" s="2"/>
      <c r="M228" s="2"/>
      <c r="N228" s="2"/>
      <c r="O228" s="2"/>
      <c r="P228" s="2"/>
      <c r="Q228" s="2"/>
      <c r="R228" s="2"/>
      <c r="S228" s="2"/>
      <c r="T228" s="2"/>
      <c r="U228" s="2"/>
      <c r="V228" s="2"/>
      <c r="W228" s="2"/>
      <c r="X228" s="2"/>
      <c r="Y228" s="2"/>
      <c r="Z228" s="309"/>
      <c r="AA228" s="309"/>
    </row>
    <row r="229" spans="1:27" ht="15.75" customHeight="1">
      <c r="A229" s="900"/>
      <c r="B229" s="2"/>
      <c r="C229" s="2"/>
      <c r="D229" s="2"/>
      <c r="E229" s="2"/>
      <c r="F229" s="2"/>
      <c r="G229" s="2"/>
      <c r="H229" s="2"/>
      <c r="I229" s="2"/>
      <c r="J229" s="2"/>
      <c r="K229" s="2"/>
      <c r="L229" s="2"/>
      <c r="M229" s="2"/>
      <c r="N229" s="2"/>
      <c r="O229" s="2"/>
      <c r="P229" s="2"/>
      <c r="Q229" s="2"/>
      <c r="R229" s="2"/>
      <c r="S229" s="2"/>
      <c r="T229" s="2"/>
      <c r="U229" s="2"/>
      <c r="V229" s="2"/>
      <c r="W229" s="2"/>
      <c r="X229" s="2"/>
      <c r="Y229" s="2"/>
      <c r="Z229" s="309"/>
      <c r="AA229" s="309"/>
    </row>
    <row r="230" spans="1:27" ht="15.75" customHeight="1">
      <c r="A230" s="900"/>
      <c r="B230" s="2"/>
      <c r="C230" s="2"/>
      <c r="D230" s="2"/>
      <c r="E230" s="2"/>
      <c r="F230" s="2"/>
      <c r="G230" s="2"/>
      <c r="H230" s="2"/>
      <c r="I230" s="2"/>
      <c r="J230" s="2"/>
      <c r="K230" s="2"/>
      <c r="L230" s="2"/>
      <c r="M230" s="2"/>
      <c r="N230" s="2"/>
      <c r="O230" s="2"/>
      <c r="P230" s="2"/>
      <c r="Q230" s="2"/>
      <c r="R230" s="2"/>
      <c r="S230" s="2"/>
      <c r="T230" s="2"/>
      <c r="U230" s="2"/>
      <c r="V230" s="2"/>
      <c r="W230" s="2"/>
      <c r="X230" s="2"/>
      <c r="Y230" s="2"/>
      <c r="Z230" s="309"/>
      <c r="AA230" s="309"/>
    </row>
    <row r="231" spans="1:27" ht="15.75" customHeight="1">
      <c r="A231" s="900"/>
      <c r="B231" s="2"/>
      <c r="C231" s="2"/>
      <c r="D231" s="2"/>
      <c r="E231" s="2"/>
      <c r="F231" s="2"/>
      <c r="G231" s="2"/>
      <c r="H231" s="2"/>
      <c r="I231" s="2"/>
      <c r="J231" s="2"/>
      <c r="K231" s="2"/>
      <c r="L231" s="2"/>
      <c r="M231" s="2"/>
      <c r="N231" s="2"/>
      <c r="O231" s="2"/>
      <c r="P231" s="2"/>
      <c r="Q231" s="2"/>
      <c r="R231" s="2"/>
      <c r="S231" s="2"/>
      <c r="T231" s="2"/>
      <c r="U231" s="2"/>
      <c r="V231" s="2"/>
      <c r="W231" s="2"/>
      <c r="X231" s="2"/>
      <c r="Y231" s="2"/>
      <c r="Z231" s="309"/>
      <c r="AA231" s="309"/>
    </row>
    <row r="232" spans="1:27" ht="15.75" customHeight="1">
      <c r="A232" s="900"/>
      <c r="B232" s="2"/>
      <c r="C232" s="2"/>
      <c r="D232" s="2"/>
      <c r="E232" s="2"/>
      <c r="F232" s="2"/>
      <c r="G232" s="2"/>
      <c r="H232" s="2"/>
      <c r="I232" s="2"/>
      <c r="J232" s="2"/>
      <c r="K232" s="2"/>
      <c r="L232" s="2"/>
      <c r="M232" s="2"/>
      <c r="N232" s="2"/>
      <c r="O232" s="2"/>
      <c r="P232" s="2"/>
      <c r="Q232" s="2"/>
      <c r="R232" s="2"/>
      <c r="S232" s="2"/>
      <c r="T232" s="2"/>
      <c r="U232" s="2"/>
      <c r="V232" s="2"/>
      <c r="W232" s="2"/>
      <c r="X232" s="2"/>
      <c r="Y232" s="2"/>
      <c r="Z232" s="309"/>
      <c r="AA232" s="309"/>
    </row>
    <row r="233" spans="1:27" ht="15.75" customHeight="1">
      <c r="A233" s="900"/>
      <c r="B233" s="2"/>
      <c r="C233" s="2"/>
      <c r="D233" s="2"/>
      <c r="E233" s="2"/>
      <c r="F233" s="2"/>
      <c r="G233" s="2"/>
      <c r="H233" s="2"/>
      <c r="I233" s="2"/>
      <c r="J233" s="2"/>
      <c r="K233" s="2"/>
      <c r="L233" s="2"/>
      <c r="M233" s="2"/>
      <c r="N233" s="2"/>
      <c r="O233" s="2"/>
      <c r="P233" s="2"/>
      <c r="Q233" s="2"/>
      <c r="R233" s="2"/>
      <c r="S233" s="2"/>
      <c r="T233" s="2"/>
      <c r="U233" s="2"/>
      <c r="V233" s="2"/>
      <c r="W233" s="2"/>
      <c r="X233" s="2"/>
      <c r="Y233" s="2"/>
      <c r="Z233" s="309"/>
      <c r="AA233" s="309"/>
    </row>
    <row r="234" spans="1:27" ht="15.75" customHeight="1">
      <c r="A234" s="900"/>
      <c r="B234" s="2"/>
      <c r="C234" s="2"/>
      <c r="D234" s="2"/>
      <c r="E234" s="2"/>
      <c r="F234" s="2"/>
      <c r="G234" s="2"/>
      <c r="H234" s="2"/>
      <c r="I234" s="2"/>
      <c r="J234" s="2"/>
      <c r="K234" s="2"/>
      <c r="L234" s="2"/>
      <c r="M234" s="2"/>
      <c r="N234" s="2"/>
      <c r="O234" s="2"/>
      <c r="P234" s="2"/>
      <c r="Q234" s="2"/>
      <c r="R234" s="2"/>
      <c r="S234" s="2"/>
      <c r="T234" s="2"/>
      <c r="U234" s="2"/>
      <c r="V234" s="2"/>
      <c r="W234" s="2"/>
      <c r="X234" s="2"/>
      <c r="Y234" s="2"/>
      <c r="Z234" s="309"/>
      <c r="AA234" s="309"/>
    </row>
    <row r="235" spans="1:27" ht="15.75" customHeight="1">
      <c r="A235" s="900"/>
      <c r="B235" s="2"/>
      <c r="C235" s="2"/>
      <c r="D235" s="2"/>
      <c r="E235" s="2"/>
      <c r="F235" s="2"/>
      <c r="G235" s="2"/>
      <c r="H235" s="2"/>
      <c r="I235" s="2"/>
      <c r="J235" s="2"/>
      <c r="K235" s="2"/>
      <c r="L235" s="2"/>
      <c r="M235" s="2"/>
      <c r="N235" s="2"/>
      <c r="O235" s="2"/>
      <c r="P235" s="2"/>
      <c r="Q235" s="2"/>
      <c r="R235" s="2"/>
      <c r="S235" s="2"/>
      <c r="T235" s="2"/>
      <c r="U235" s="2"/>
      <c r="V235" s="2"/>
      <c r="W235" s="2"/>
      <c r="X235" s="2"/>
      <c r="Y235" s="2"/>
      <c r="Z235" s="309"/>
      <c r="AA235" s="309"/>
    </row>
    <row r="236" spans="1:27" ht="15.75" customHeight="1">
      <c r="A236" s="900"/>
      <c r="B236" s="2"/>
      <c r="C236" s="2"/>
      <c r="D236" s="2"/>
      <c r="E236" s="2"/>
      <c r="F236" s="2"/>
      <c r="G236" s="2"/>
      <c r="H236" s="2"/>
      <c r="I236" s="2"/>
      <c r="J236" s="2"/>
      <c r="K236" s="2"/>
      <c r="L236" s="2"/>
      <c r="M236" s="2"/>
      <c r="N236" s="2"/>
      <c r="O236" s="2"/>
      <c r="P236" s="2"/>
      <c r="Q236" s="2"/>
      <c r="R236" s="2"/>
      <c r="S236" s="2"/>
      <c r="T236" s="2"/>
      <c r="U236" s="2"/>
      <c r="V236" s="2"/>
      <c r="W236" s="2"/>
      <c r="X236" s="2"/>
      <c r="Y236" s="2"/>
      <c r="Z236" s="309"/>
      <c r="AA236" s="309"/>
    </row>
    <row r="237" spans="1:27" ht="15.75" customHeight="1">
      <c r="A237" s="900"/>
      <c r="B237" s="2"/>
      <c r="C237" s="2"/>
      <c r="D237" s="2"/>
      <c r="E237" s="2"/>
      <c r="F237" s="2"/>
      <c r="G237" s="2"/>
      <c r="H237" s="2"/>
      <c r="I237" s="2"/>
      <c r="J237" s="2"/>
      <c r="K237" s="2"/>
      <c r="L237" s="2"/>
      <c r="M237" s="2"/>
      <c r="N237" s="2"/>
      <c r="O237" s="2"/>
      <c r="P237" s="2"/>
      <c r="Q237" s="2"/>
      <c r="R237" s="2"/>
      <c r="S237" s="2"/>
      <c r="T237" s="2"/>
      <c r="U237" s="2"/>
      <c r="V237" s="2"/>
      <c r="W237" s="2"/>
      <c r="X237" s="2"/>
      <c r="Y237" s="2"/>
      <c r="Z237" s="309"/>
      <c r="AA237" s="309"/>
    </row>
    <row r="238" spans="1:27" ht="15.75" customHeight="1">
      <c r="A238" s="900"/>
      <c r="B238" s="2"/>
      <c r="C238" s="2"/>
      <c r="D238" s="2"/>
      <c r="E238" s="2"/>
      <c r="F238" s="2"/>
      <c r="G238" s="2"/>
      <c r="H238" s="2"/>
      <c r="I238" s="2"/>
      <c r="J238" s="2"/>
      <c r="K238" s="2"/>
      <c r="L238" s="2"/>
      <c r="M238" s="2"/>
      <c r="N238" s="2"/>
      <c r="O238" s="2"/>
      <c r="P238" s="2"/>
      <c r="Q238" s="2"/>
      <c r="R238" s="2"/>
      <c r="S238" s="2"/>
      <c r="T238" s="2"/>
      <c r="U238" s="2"/>
      <c r="V238" s="2"/>
      <c r="W238" s="2"/>
      <c r="X238" s="2"/>
      <c r="Y238" s="2"/>
      <c r="Z238" s="309"/>
      <c r="AA238" s="309"/>
    </row>
    <row r="239" spans="1:27" ht="15.75" customHeight="1">
      <c r="A239" s="900"/>
      <c r="B239" s="2"/>
      <c r="C239" s="2"/>
      <c r="D239" s="2"/>
      <c r="E239" s="2"/>
      <c r="F239" s="2"/>
      <c r="G239" s="2"/>
      <c r="H239" s="2"/>
      <c r="I239" s="2"/>
      <c r="J239" s="2"/>
      <c r="K239" s="2"/>
      <c r="L239" s="2"/>
      <c r="M239" s="2"/>
      <c r="N239" s="2"/>
      <c r="O239" s="2"/>
      <c r="P239" s="2"/>
      <c r="Q239" s="2"/>
      <c r="R239" s="2"/>
      <c r="S239" s="2"/>
      <c r="T239" s="2"/>
      <c r="U239" s="2"/>
      <c r="V239" s="2"/>
      <c r="W239" s="2"/>
      <c r="X239" s="2"/>
      <c r="Y239" s="2"/>
      <c r="Z239" s="309"/>
      <c r="AA239" s="309"/>
    </row>
    <row r="240" spans="1:27" ht="15.75" customHeight="1">
      <c r="A240" s="900"/>
      <c r="B240" s="2"/>
      <c r="C240" s="2"/>
      <c r="D240" s="2"/>
      <c r="E240" s="2"/>
      <c r="F240" s="2"/>
      <c r="G240" s="2"/>
      <c r="H240" s="2"/>
      <c r="I240" s="2"/>
      <c r="J240" s="2"/>
      <c r="K240" s="2"/>
      <c r="L240" s="2"/>
      <c r="M240" s="2"/>
      <c r="N240" s="2"/>
      <c r="O240" s="2"/>
      <c r="P240" s="2"/>
      <c r="Q240" s="2"/>
      <c r="R240" s="2"/>
      <c r="S240" s="2"/>
      <c r="T240" s="2"/>
      <c r="U240" s="2"/>
      <c r="V240" s="2"/>
      <c r="W240" s="2"/>
      <c r="X240" s="2"/>
      <c r="Y240" s="2"/>
      <c r="Z240" s="309"/>
      <c r="AA240" s="309"/>
    </row>
    <row r="241" spans="1:27" ht="15.75" customHeight="1">
      <c r="A241" s="900"/>
      <c r="B241" s="2"/>
      <c r="C241" s="2"/>
      <c r="D241" s="2"/>
      <c r="E241" s="2"/>
      <c r="F241" s="2"/>
      <c r="G241" s="2"/>
      <c r="H241" s="2"/>
      <c r="I241" s="2"/>
      <c r="J241" s="2"/>
      <c r="K241" s="2"/>
      <c r="L241" s="2"/>
      <c r="M241" s="2"/>
      <c r="N241" s="2"/>
      <c r="O241" s="2"/>
      <c r="P241" s="2"/>
      <c r="Q241" s="2"/>
      <c r="R241" s="2"/>
      <c r="S241" s="2"/>
      <c r="T241" s="2"/>
      <c r="U241" s="2"/>
      <c r="V241" s="2"/>
      <c r="W241" s="2"/>
      <c r="X241" s="2"/>
      <c r="Y241" s="2"/>
      <c r="Z241" s="309"/>
      <c r="AA241" s="309"/>
    </row>
    <row r="242" spans="1:27" ht="15.75" customHeight="1">
      <c r="A242" s="900"/>
      <c r="B242" s="2"/>
      <c r="C242" s="2"/>
      <c r="D242" s="2"/>
      <c r="E242" s="2"/>
      <c r="F242" s="2"/>
      <c r="G242" s="2"/>
      <c r="H242" s="2"/>
      <c r="I242" s="2"/>
      <c r="J242" s="2"/>
      <c r="K242" s="2"/>
      <c r="L242" s="2"/>
      <c r="M242" s="2"/>
      <c r="N242" s="2"/>
      <c r="O242" s="2"/>
      <c r="P242" s="2"/>
      <c r="Q242" s="2"/>
      <c r="R242" s="2"/>
      <c r="S242" s="2"/>
      <c r="T242" s="2"/>
      <c r="U242" s="2"/>
      <c r="V242" s="2"/>
      <c r="W242" s="2"/>
      <c r="X242" s="2"/>
      <c r="Y242" s="2"/>
      <c r="Z242" s="309"/>
      <c r="AA242" s="309"/>
    </row>
    <row r="243" spans="1:27" ht="15.75" customHeight="1">
      <c r="A243" s="900"/>
      <c r="B243" s="2"/>
      <c r="C243" s="2"/>
      <c r="D243" s="2"/>
      <c r="E243" s="2"/>
      <c r="F243" s="2"/>
      <c r="G243" s="2"/>
      <c r="H243" s="2"/>
      <c r="I243" s="2"/>
      <c r="J243" s="2"/>
      <c r="K243" s="2"/>
      <c r="L243" s="2"/>
      <c r="M243" s="2"/>
      <c r="N243" s="2"/>
      <c r="O243" s="2"/>
      <c r="P243" s="2"/>
      <c r="Q243" s="2"/>
      <c r="R243" s="2"/>
      <c r="S243" s="2"/>
      <c r="T243" s="2"/>
      <c r="U243" s="2"/>
      <c r="V243" s="2"/>
      <c r="W243" s="2"/>
      <c r="X243" s="2"/>
      <c r="Y243" s="2"/>
      <c r="Z243" s="309"/>
      <c r="AA243" s="309"/>
    </row>
    <row r="244" spans="1:27" ht="15.75" customHeight="1">
      <c r="A244" s="900"/>
      <c r="B244" s="2"/>
      <c r="C244" s="2"/>
      <c r="D244" s="2"/>
      <c r="E244" s="2"/>
      <c r="F244" s="2"/>
      <c r="G244" s="2"/>
      <c r="H244" s="2"/>
      <c r="I244" s="2"/>
      <c r="J244" s="2"/>
      <c r="K244" s="2"/>
      <c r="L244" s="2"/>
      <c r="M244" s="2"/>
      <c r="N244" s="2"/>
      <c r="O244" s="2"/>
      <c r="P244" s="2"/>
      <c r="Q244" s="2"/>
      <c r="R244" s="2"/>
      <c r="S244" s="2"/>
      <c r="T244" s="2"/>
      <c r="U244" s="2"/>
      <c r="V244" s="2"/>
      <c r="W244" s="2"/>
      <c r="X244" s="2"/>
      <c r="Y244" s="2"/>
      <c r="Z244" s="309"/>
      <c r="AA244" s="309"/>
    </row>
    <row r="245" spans="1:27" ht="15.75" customHeight="1">
      <c r="A245" s="900"/>
      <c r="B245" s="2"/>
      <c r="C245" s="2"/>
      <c r="D245" s="2"/>
      <c r="E245" s="2"/>
      <c r="F245" s="2"/>
      <c r="G245" s="2"/>
      <c r="H245" s="2"/>
      <c r="I245" s="2"/>
      <c r="J245" s="2"/>
      <c r="K245" s="2"/>
      <c r="L245" s="2"/>
      <c r="M245" s="2"/>
      <c r="N245" s="2"/>
      <c r="O245" s="2"/>
      <c r="P245" s="2"/>
      <c r="Q245" s="2"/>
      <c r="R245" s="2"/>
      <c r="S245" s="2"/>
      <c r="T245" s="2"/>
      <c r="U245" s="2"/>
      <c r="V245" s="2"/>
      <c r="W245" s="2"/>
      <c r="X245" s="2"/>
      <c r="Y245" s="2"/>
      <c r="Z245" s="309"/>
      <c r="AA245" s="309"/>
    </row>
    <row r="246" spans="1:27" ht="15.75" customHeight="1">
      <c r="A246" s="900"/>
      <c r="B246" s="2"/>
      <c r="C246" s="2"/>
      <c r="D246" s="2"/>
      <c r="E246" s="2"/>
      <c r="F246" s="2"/>
      <c r="G246" s="2"/>
      <c r="H246" s="2"/>
      <c r="I246" s="2"/>
      <c r="J246" s="2"/>
      <c r="K246" s="2"/>
      <c r="L246" s="2"/>
      <c r="M246" s="2"/>
      <c r="N246" s="2"/>
      <c r="O246" s="2"/>
      <c r="P246" s="2"/>
      <c r="Q246" s="2"/>
      <c r="R246" s="2"/>
      <c r="S246" s="2"/>
      <c r="T246" s="2"/>
      <c r="U246" s="2"/>
      <c r="V246" s="2"/>
      <c r="W246" s="2"/>
      <c r="X246" s="2"/>
      <c r="Y246" s="2"/>
      <c r="Z246" s="309"/>
      <c r="AA246" s="309"/>
    </row>
    <row r="247" spans="1:27" ht="15.75" customHeight="1">
      <c r="A247" s="900"/>
      <c r="B247" s="2"/>
      <c r="C247" s="2"/>
      <c r="D247" s="2"/>
      <c r="E247" s="2"/>
      <c r="F247" s="2"/>
      <c r="G247" s="2"/>
      <c r="H247" s="2"/>
      <c r="I247" s="2"/>
      <c r="J247" s="2"/>
      <c r="K247" s="2"/>
      <c r="L247" s="2"/>
      <c r="M247" s="2"/>
      <c r="N247" s="2"/>
      <c r="O247" s="2"/>
      <c r="P247" s="2"/>
      <c r="Q247" s="2"/>
      <c r="R247" s="2"/>
      <c r="S247" s="2"/>
      <c r="T247" s="2"/>
      <c r="U247" s="2"/>
      <c r="V247" s="2"/>
      <c r="W247" s="2"/>
      <c r="X247" s="2"/>
      <c r="Y247" s="2"/>
      <c r="Z247" s="309"/>
      <c r="AA247" s="309"/>
    </row>
    <row r="248" spans="1:27" ht="15.75" customHeight="1">
      <c r="A248" s="900"/>
      <c r="B248" s="2"/>
      <c r="C248" s="2"/>
      <c r="D248" s="2"/>
      <c r="E248" s="2"/>
      <c r="F248" s="2"/>
      <c r="G248" s="2"/>
      <c r="H248" s="2"/>
      <c r="I248" s="2"/>
      <c r="J248" s="2"/>
      <c r="K248" s="2"/>
      <c r="L248" s="2"/>
      <c r="M248" s="2"/>
      <c r="N248" s="2"/>
      <c r="O248" s="2"/>
      <c r="P248" s="2"/>
      <c r="Q248" s="2"/>
      <c r="R248" s="2"/>
      <c r="S248" s="2"/>
      <c r="T248" s="2"/>
      <c r="U248" s="2"/>
      <c r="V248" s="2"/>
      <c r="W248" s="2"/>
      <c r="X248" s="2"/>
      <c r="Y248" s="2"/>
      <c r="Z248" s="309"/>
      <c r="AA248" s="309"/>
    </row>
    <row r="249" spans="1:27" ht="15.75" customHeight="1">
      <c r="A249" s="900"/>
      <c r="B249" s="2"/>
      <c r="C249" s="2"/>
      <c r="D249" s="2"/>
      <c r="E249" s="2"/>
      <c r="F249" s="2"/>
      <c r="G249" s="2"/>
      <c r="H249" s="2"/>
      <c r="I249" s="2"/>
      <c r="J249" s="2"/>
      <c r="K249" s="2"/>
      <c r="L249" s="2"/>
      <c r="M249" s="2"/>
      <c r="N249" s="2"/>
      <c r="O249" s="2"/>
      <c r="P249" s="2"/>
      <c r="Q249" s="2"/>
      <c r="R249" s="2"/>
      <c r="S249" s="2"/>
      <c r="T249" s="2"/>
      <c r="U249" s="2"/>
      <c r="V249" s="2"/>
      <c r="W249" s="2"/>
      <c r="X249" s="2"/>
      <c r="Y249" s="2"/>
      <c r="Z249" s="309"/>
      <c r="AA249" s="309"/>
    </row>
    <row r="250" spans="1:27" ht="15.75" customHeight="1">
      <c r="A250" s="900"/>
      <c r="B250" s="2"/>
      <c r="C250" s="2"/>
      <c r="D250" s="2"/>
      <c r="E250" s="2"/>
      <c r="F250" s="2"/>
      <c r="G250" s="2"/>
      <c r="H250" s="2"/>
      <c r="I250" s="2"/>
      <c r="J250" s="2"/>
      <c r="K250" s="2"/>
      <c r="L250" s="2"/>
      <c r="M250" s="2"/>
      <c r="N250" s="2"/>
      <c r="O250" s="2"/>
      <c r="P250" s="2"/>
      <c r="Q250" s="2"/>
      <c r="R250" s="2"/>
      <c r="S250" s="2"/>
      <c r="T250" s="2"/>
      <c r="U250" s="2"/>
      <c r="V250" s="2"/>
      <c r="W250" s="2"/>
      <c r="X250" s="2"/>
      <c r="Y250" s="2"/>
      <c r="Z250" s="309"/>
      <c r="AA250" s="309"/>
    </row>
    <row r="251" spans="1:27" ht="15.75" customHeight="1">
      <c r="A251" s="900"/>
      <c r="B251" s="2"/>
      <c r="C251" s="2"/>
      <c r="D251" s="2"/>
      <c r="E251" s="2"/>
      <c r="F251" s="2"/>
      <c r="G251" s="2"/>
      <c r="H251" s="2"/>
      <c r="I251" s="2"/>
      <c r="J251" s="2"/>
      <c r="K251" s="2"/>
      <c r="L251" s="2"/>
      <c r="M251" s="2"/>
      <c r="N251" s="2"/>
      <c r="O251" s="2"/>
      <c r="P251" s="2"/>
      <c r="Q251" s="2"/>
      <c r="R251" s="2"/>
      <c r="S251" s="2"/>
      <c r="T251" s="2"/>
      <c r="U251" s="2"/>
      <c r="V251" s="2"/>
      <c r="W251" s="2"/>
      <c r="X251" s="2"/>
      <c r="Y251" s="2"/>
      <c r="Z251" s="309"/>
      <c r="AA251" s="309"/>
    </row>
    <row r="252" spans="1:27" ht="15.75" customHeight="1">
      <c r="A252" s="900"/>
      <c r="B252" s="2"/>
      <c r="C252" s="2"/>
      <c r="D252" s="2"/>
      <c r="E252" s="2"/>
      <c r="F252" s="2"/>
      <c r="G252" s="2"/>
      <c r="H252" s="2"/>
      <c r="I252" s="2"/>
      <c r="J252" s="2"/>
      <c r="K252" s="2"/>
      <c r="L252" s="2"/>
      <c r="M252" s="2"/>
      <c r="N252" s="2"/>
      <c r="O252" s="2"/>
      <c r="P252" s="2"/>
      <c r="Q252" s="2"/>
      <c r="R252" s="2"/>
      <c r="S252" s="2"/>
      <c r="T252" s="2"/>
      <c r="U252" s="2"/>
      <c r="V252" s="2"/>
      <c r="W252" s="2"/>
      <c r="X252" s="2"/>
      <c r="Y252" s="2"/>
      <c r="Z252" s="309"/>
      <c r="AA252" s="309"/>
    </row>
    <row r="253" spans="1:27" ht="15.75" customHeight="1">
      <c r="A253" s="900"/>
      <c r="B253" s="2"/>
      <c r="C253" s="2"/>
      <c r="D253" s="2"/>
      <c r="E253" s="2"/>
      <c r="F253" s="2"/>
      <c r="G253" s="2"/>
      <c r="H253" s="2"/>
      <c r="I253" s="2"/>
      <c r="J253" s="2"/>
      <c r="K253" s="2"/>
      <c r="L253" s="2"/>
      <c r="M253" s="2"/>
      <c r="N253" s="2"/>
      <c r="O253" s="2"/>
      <c r="P253" s="2"/>
      <c r="Q253" s="2"/>
      <c r="R253" s="2"/>
      <c r="S253" s="2"/>
      <c r="T253" s="2"/>
      <c r="U253" s="2"/>
      <c r="V253" s="2"/>
      <c r="W253" s="2"/>
      <c r="X253" s="2"/>
      <c r="Y253" s="2"/>
      <c r="Z253" s="309"/>
      <c r="AA253" s="309"/>
    </row>
    <row r="254" spans="1:27" ht="15.75" customHeight="1">
      <c r="A254" s="900"/>
      <c r="B254" s="2"/>
      <c r="C254" s="2"/>
      <c r="D254" s="2"/>
      <c r="E254" s="2"/>
      <c r="F254" s="2"/>
      <c r="G254" s="2"/>
      <c r="H254" s="2"/>
      <c r="I254" s="2"/>
      <c r="J254" s="2"/>
      <c r="K254" s="2"/>
      <c r="L254" s="2"/>
      <c r="M254" s="2"/>
      <c r="N254" s="2"/>
      <c r="O254" s="2"/>
      <c r="P254" s="2"/>
      <c r="Q254" s="2"/>
      <c r="R254" s="2"/>
      <c r="S254" s="2"/>
      <c r="T254" s="2"/>
      <c r="U254" s="2"/>
      <c r="V254" s="2"/>
      <c r="W254" s="2"/>
      <c r="X254" s="2"/>
      <c r="Y254" s="2"/>
      <c r="Z254" s="309"/>
      <c r="AA254" s="309"/>
    </row>
    <row r="255" spans="1:27" ht="15.75" customHeight="1">
      <c r="A255" s="900"/>
      <c r="B255" s="2"/>
      <c r="C255" s="2"/>
      <c r="D255" s="2"/>
      <c r="E255" s="2"/>
      <c r="F255" s="2"/>
      <c r="G255" s="2"/>
      <c r="H255" s="2"/>
      <c r="I255" s="2"/>
      <c r="J255" s="2"/>
      <c r="K255" s="2"/>
      <c r="L255" s="2"/>
      <c r="M255" s="2"/>
      <c r="N255" s="2"/>
      <c r="O255" s="2"/>
      <c r="P255" s="2"/>
      <c r="Q255" s="2"/>
      <c r="R255" s="2"/>
      <c r="S255" s="2"/>
      <c r="T255" s="2"/>
      <c r="U255" s="2"/>
      <c r="V255" s="2"/>
      <c r="W255" s="2"/>
      <c r="X255" s="2"/>
      <c r="Y255" s="2"/>
      <c r="Z255" s="309"/>
      <c r="AA255" s="309"/>
    </row>
    <row r="256" spans="1:27" ht="15.75" customHeight="1">
      <c r="A256" s="900"/>
      <c r="B256" s="2"/>
      <c r="C256" s="2"/>
      <c r="D256" s="2"/>
      <c r="E256" s="2"/>
      <c r="F256" s="2"/>
      <c r="G256" s="2"/>
      <c r="H256" s="2"/>
      <c r="I256" s="2"/>
      <c r="J256" s="2"/>
      <c r="K256" s="2"/>
      <c r="L256" s="2"/>
      <c r="M256" s="2"/>
      <c r="N256" s="2"/>
      <c r="O256" s="2"/>
      <c r="P256" s="2"/>
      <c r="Q256" s="2"/>
      <c r="R256" s="2"/>
      <c r="S256" s="2"/>
      <c r="T256" s="2"/>
      <c r="U256" s="2"/>
      <c r="V256" s="2"/>
      <c r="W256" s="2"/>
      <c r="X256" s="2"/>
      <c r="Y256" s="2"/>
      <c r="Z256" s="309"/>
      <c r="AA256" s="309"/>
    </row>
    <row r="257" spans="1:27" ht="15.75" customHeight="1">
      <c r="A257" s="900"/>
      <c r="B257" s="2"/>
      <c r="C257" s="2"/>
      <c r="D257" s="2"/>
      <c r="E257" s="2"/>
      <c r="F257" s="2"/>
      <c r="G257" s="2"/>
      <c r="H257" s="2"/>
      <c r="I257" s="2"/>
      <c r="J257" s="2"/>
      <c r="K257" s="2"/>
      <c r="L257" s="2"/>
      <c r="M257" s="2"/>
      <c r="N257" s="2"/>
      <c r="O257" s="2"/>
      <c r="P257" s="2"/>
      <c r="Q257" s="2"/>
      <c r="R257" s="2"/>
      <c r="S257" s="2"/>
      <c r="T257" s="2"/>
      <c r="U257" s="2"/>
      <c r="V257" s="2"/>
      <c r="W257" s="2"/>
      <c r="X257" s="2"/>
      <c r="Y257" s="2"/>
      <c r="Z257" s="309"/>
      <c r="AA257" s="309"/>
    </row>
    <row r="258" spans="1:27" ht="15.75" customHeight="1">
      <c r="A258" s="900"/>
      <c r="B258" s="2"/>
      <c r="C258" s="2"/>
      <c r="D258" s="2"/>
      <c r="E258" s="2"/>
      <c r="F258" s="2"/>
      <c r="G258" s="2"/>
      <c r="H258" s="2"/>
      <c r="I258" s="2"/>
      <c r="J258" s="2"/>
      <c r="K258" s="2"/>
      <c r="L258" s="2"/>
      <c r="M258" s="2"/>
      <c r="N258" s="2"/>
      <c r="O258" s="2"/>
      <c r="P258" s="2"/>
      <c r="Q258" s="2"/>
      <c r="R258" s="2"/>
      <c r="S258" s="2"/>
      <c r="T258" s="2"/>
      <c r="U258" s="2"/>
      <c r="V258" s="2"/>
      <c r="W258" s="2"/>
      <c r="X258" s="2"/>
      <c r="Y258" s="2"/>
      <c r="Z258" s="309"/>
      <c r="AA258" s="309"/>
    </row>
    <row r="259" spans="1:27" ht="15.75" customHeight="1">
      <c r="A259" s="900"/>
      <c r="B259" s="2"/>
      <c r="C259" s="2"/>
      <c r="D259" s="2"/>
      <c r="E259" s="2"/>
      <c r="F259" s="2"/>
      <c r="G259" s="2"/>
      <c r="H259" s="2"/>
      <c r="I259" s="2"/>
      <c r="J259" s="2"/>
      <c r="K259" s="2"/>
      <c r="L259" s="2"/>
      <c r="M259" s="2"/>
      <c r="N259" s="2"/>
      <c r="O259" s="2"/>
      <c r="P259" s="2"/>
      <c r="Q259" s="2"/>
      <c r="R259" s="2"/>
      <c r="S259" s="2"/>
      <c r="T259" s="2"/>
      <c r="U259" s="2"/>
      <c r="V259" s="2"/>
      <c r="W259" s="2"/>
      <c r="X259" s="2"/>
      <c r="Y259" s="2"/>
      <c r="Z259" s="309"/>
      <c r="AA259" s="309"/>
    </row>
    <row r="260" spans="1:27" ht="15.75" customHeight="1">
      <c r="A260" s="900"/>
      <c r="B260" s="2"/>
      <c r="C260" s="2"/>
      <c r="D260" s="2"/>
      <c r="E260" s="2"/>
      <c r="F260" s="2"/>
      <c r="G260" s="2"/>
      <c r="H260" s="2"/>
      <c r="I260" s="2"/>
      <c r="J260" s="2"/>
      <c r="K260" s="2"/>
      <c r="L260" s="2"/>
      <c r="M260" s="2"/>
      <c r="N260" s="2"/>
      <c r="O260" s="2"/>
      <c r="P260" s="2"/>
      <c r="Q260" s="2"/>
      <c r="R260" s="2"/>
      <c r="S260" s="2"/>
      <c r="T260" s="2"/>
      <c r="U260" s="2"/>
      <c r="V260" s="2"/>
      <c r="W260" s="2"/>
      <c r="X260" s="2"/>
      <c r="Y260" s="2"/>
      <c r="Z260" s="309"/>
      <c r="AA260" s="309"/>
    </row>
    <row r="261" spans="1:27" ht="15.75" customHeight="1">
      <c r="A261" s="900"/>
      <c r="B261" s="2"/>
      <c r="C261" s="2"/>
      <c r="D261" s="2"/>
      <c r="E261" s="2"/>
      <c r="F261" s="2"/>
      <c r="G261" s="2"/>
      <c r="H261" s="2"/>
      <c r="I261" s="2"/>
      <c r="J261" s="2"/>
      <c r="K261" s="2"/>
      <c r="L261" s="2"/>
      <c r="M261" s="2"/>
      <c r="N261" s="2"/>
      <c r="O261" s="2"/>
      <c r="P261" s="2"/>
      <c r="Q261" s="2"/>
      <c r="R261" s="2"/>
      <c r="S261" s="2"/>
      <c r="T261" s="2"/>
      <c r="U261" s="2"/>
      <c r="V261" s="2"/>
      <c r="W261" s="2"/>
      <c r="X261" s="2"/>
      <c r="Y261" s="2"/>
      <c r="Z261" s="309"/>
      <c r="AA261" s="309"/>
    </row>
    <row r="262" spans="1:27" ht="15.75" customHeight="1">
      <c r="A262" s="900"/>
      <c r="B262" s="2"/>
      <c r="C262" s="2"/>
      <c r="D262" s="2"/>
      <c r="E262" s="2"/>
      <c r="F262" s="2"/>
      <c r="G262" s="2"/>
      <c r="H262" s="2"/>
      <c r="I262" s="2"/>
      <c r="J262" s="2"/>
      <c r="K262" s="2"/>
      <c r="L262" s="2"/>
      <c r="M262" s="2"/>
      <c r="N262" s="2"/>
      <c r="O262" s="2"/>
      <c r="P262" s="2"/>
      <c r="Q262" s="2"/>
      <c r="R262" s="2"/>
      <c r="S262" s="2"/>
      <c r="T262" s="2"/>
      <c r="U262" s="2"/>
      <c r="V262" s="2"/>
      <c r="W262" s="2"/>
      <c r="X262" s="2"/>
      <c r="Y262" s="2"/>
      <c r="Z262" s="309"/>
      <c r="AA262" s="309"/>
    </row>
    <row r="263" spans="1:27" ht="15.75" customHeight="1">
      <c r="A263" s="900"/>
      <c r="B263" s="2"/>
      <c r="C263" s="2"/>
      <c r="D263" s="2"/>
      <c r="E263" s="2"/>
      <c r="F263" s="2"/>
      <c r="G263" s="2"/>
      <c r="H263" s="2"/>
      <c r="I263" s="2"/>
      <c r="J263" s="2"/>
      <c r="K263" s="2"/>
      <c r="L263" s="2"/>
      <c r="M263" s="2"/>
      <c r="N263" s="2"/>
      <c r="O263" s="2"/>
      <c r="P263" s="2"/>
      <c r="Q263" s="2"/>
      <c r="R263" s="2"/>
      <c r="S263" s="2"/>
      <c r="T263" s="2"/>
      <c r="U263" s="2"/>
      <c r="V263" s="2"/>
      <c r="W263" s="2"/>
      <c r="X263" s="2"/>
      <c r="Y263" s="2"/>
      <c r="Z263" s="309"/>
      <c r="AA263" s="309"/>
    </row>
    <row r="264" spans="1:27" ht="15.75" customHeight="1">
      <c r="A264" s="900"/>
      <c r="B264" s="2"/>
      <c r="C264" s="2"/>
      <c r="D264" s="2"/>
      <c r="E264" s="2"/>
      <c r="F264" s="2"/>
      <c r="G264" s="2"/>
      <c r="H264" s="2"/>
      <c r="I264" s="2"/>
      <c r="J264" s="2"/>
      <c r="K264" s="2"/>
      <c r="L264" s="2"/>
      <c r="M264" s="2"/>
      <c r="N264" s="2"/>
      <c r="O264" s="2"/>
      <c r="P264" s="2"/>
      <c r="Q264" s="2"/>
      <c r="R264" s="2"/>
      <c r="S264" s="2"/>
      <c r="T264" s="2"/>
      <c r="U264" s="2"/>
      <c r="V264" s="2"/>
      <c r="W264" s="2"/>
      <c r="X264" s="2"/>
      <c r="Y264" s="2"/>
      <c r="Z264" s="309"/>
      <c r="AA264" s="309"/>
    </row>
    <row r="265" spans="1:27" ht="15.75" customHeight="1">
      <c r="A265" s="900"/>
      <c r="B265" s="2"/>
      <c r="C265" s="2"/>
      <c r="D265" s="2"/>
      <c r="E265" s="2"/>
      <c r="F265" s="2"/>
      <c r="G265" s="2"/>
      <c r="H265" s="2"/>
      <c r="I265" s="2"/>
      <c r="J265" s="2"/>
      <c r="K265" s="2"/>
      <c r="L265" s="2"/>
      <c r="M265" s="2"/>
      <c r="N265" s="2"/>
      <c r="O265" s="2"/>
      <c r="P265" s="2"/>
      <c r="Q265" s="2"/>
      <c r="R265" s="2"/>
      <c r="S265" s="2"/>
      <c r="T265" s="2"/>
      <c r="U265" s="2"/>
      <c r="V265" s="2"/>
      <c r="W265" s="2"/>
      <c r="X265" s="2"/>
      <c r="Y265" s="2"/>
      <c r="Z265" s="309"/>
      <c r="AA265" s="309"/>
    </row>
    <row r="266" spans="1:27" ht="15.75" customHeight="1">
      <c r="A266" s="900"/>
      <c r="B266" s="2"/>
      <c r="C266" s="2"/>
      <c r="D266" s="2"/>
      <c r="E266" s="2"/>
      <c r="F266" s="2"/>
      <c r="G266" s="2"/>
      <c r="H266" s="2"/>
      <c r="I266" s="2"/>
      <c r="J266" s="2"/>
      <c r="K266" s="2"/>
      <c r="L266" s="2"/>
      <c r="M266" s="2"/>
      <c r="N266" s="2"/>
      <c r="O266" s="2"/>
      <c r="P266" s="2"/>
      <c r="Q266" s="2"/>
      <c r="R266" s="2"/>
      <c r="S266" s="2"/>
      <c r="T266" s="2"/>
      <c r="U266" s="2"/>
      <c r="V266" s="2"/>
      <c r="W266" s="2"/>
      <c r="X266" s="2"/>
      <c r="Y266" s="2"/>
      <c r="Z266" s="309"/>
      <c r="AA266" s="309"/>
    </row>
    <row r="267" spans="1:27" ht="15.75" customHeight="1">
      <c r="A267" s="900"/>
      <c r="B267" s="2"/>
      <c r="C267" s="2"/>
      <c r="D267" s="2"/>
      <c r="E267" s="2"/>
      <c r="F267" s="2"/>
      <c r="G267" s="2"/>
      <c r="H267" s="2"/>
      <c r="I267" s="2"/>
      <c r="J267" s="2"/>
      <c r="K267" s="2"/>
      <c r="L267" s="2"/>
      <c r="M267" s="2"/>
      <c r="N267" s="2"/>
      <c r="O267" s="2"/>
      <c r="P267" s="2"/>
      <c r="Q267" s="2"/>
      <c r="R267" s="2"/>
      <c r="S267" s="2"/>
      <c r="T267" s="2"/>
      <c r="U267" s="2"/>
      <c r="V267" s="2"/>
      <c r="W267" s="2"/>
      <c r="X267" s="2"/>
      <c r="Y267" s="2"/>
      <c r="Z267" s="309"/>
      <c r="AA267" s="309"/>
    </row>
    <row r="268" spans="1:27" ht="15.75" customHeight="1">
      <c r="A268" s="900"/>
      <c r="B268" s="2"/>
      <c r="C268" s="2"/>
      <c r="D268" s="2"/>
      <c r="E268" s="2"/>
      <c r="F268" s="2"/>
      <c r="G268" s="2"/>
      <c r="H268" s="2"/>
      <c r="I268" s="2"/>
      <c r="J268" s="2"/>
      <c r="K268" s="2"/>
      <c r="L268" s="2"/>
      <c r="M268" s="2"/>
      <c r="N268" s="2"/>
      <c r="O268" s="2"/>
      <c r="P268" s="2"/>
      <c r="Q268" s="2"/>
      <c r="R268" s="2"/>
      <c r="S268" s="2"/>
      <c r="T268" s="2"/>
      <c r="U268" s="2"/>
      <c r="V268" s="2"/>
      <c r="W268" s="2"/>
      <c r="X268" s="2"/>
      <c r="Y268" s="2"/>
      <c r="Z268" s="309"/>
      <c r="AA268" s="309"/>
    </row>
    <row r="269" spans="1:27" ht="15.75" customHeight="1">
      <c r="A269" s="900"/>
      <c r="B269" s="2"/>
      <c r="C269" s="2"/>
      <c r="D269" s="2"/>
      <c r="E269" s="2"/>
      <c r="F269" s="2"/>
      <c r="G269" s="2"/>
      <c r="H269" s="2"/>
      <c r="I269" s="2"/>
      <c r="J269" s="2"/>
      <c r="K269" s="2"/>
      <c r="L269" s="2"/>
      <c r="M269" s="2"/>
      <c r="N269" s="2"/>
      <c r="O269" s="2"/>
      <c r="P269" s="2"/>
      <c r="Q269" s="2"/>
      <c r="R269" s="2"/>
      <c r="S269" s="2"/>
      <c r="T269" s="2"/>
      <c r="U269" s="2"/>
      <c r="V269" s="2"/>
      <c r="W269" s="2"/>
      <c r="X269" s="2"/>
      <c r="Y269" s="2"/>
      <c r="Z269" s="309"/>
      <c r="AA269" s="309"/>
    </row>
    <row r="270" spans="1:27" ht="15.75" customHeight="1">
      <c r="A270" s="900"/>
      <c r="B270" s="2"/>
      <c r="C270" s="2"/>
      <c r="D270" s="2"/>
      <c r="E270" s="2"/>
      <c r="F270" s="2"/>
      <c r="G270" s="2"/>
      <c r="H270" s="2"/>
      <c r="I270" s="2"/>
      <c r="J270" s="2"/>
      <c r="K270" s="2"/>
      <c r="L270" s="2"/>
      <c r="M270" s="2"/>
      <c r="N270" s="2"/>
      <c r="O270" s="2"/>
      <c r="P270" s="2"/>
      <c r="Q270" s="2"/>
      <c r="R270" s="2"/>
      <c r="S270" s="2"/>
      <c r="T270" s="2"/>
      <c r="U270" s="2"/>
      <c r="V270" s="2"/>
      <c r="W270" s="2"/>
      <c r="X270" s="2"/>
      <c r="Y270" s="2"/>
      <c r="Z270" s="309"/>
      <c r="AA270" s="309"/>
    </row>
    <row r="271" spans="1:27" ht="15.75" customHeight="1">
      <c r="A271" s="900"/>
      <c r="B271" s="2"/>
      <c r="C271" s="2"/>
      <c r="D271" s="2"/>
      <c r="E271" s="2"/>
      <c r="F271" s="2"/>
      <c r="G271" s="2"/>
      <c r="H271" s="2"/>
      <c r="I271" s="2"/>
      <c r="J271" s="2"/>
      <c r="K271" s="2"/>
      <c r="L271" s="2"/>
      <c r="M271" s="2"/>
      <c r="N271" s="2"/>
      <c r="O271" s="2"/>
      <c r="P271" s="2"/>
      <c r="Q271" s="2"/>
      <c r="R271" s="2"/>
      <c r="S271" s="2"/>
      <c r="T271" s="2"/>
      <c r="U271" s="2"/>
      <c r="V271" s="2"/>
      <c r="W271" s="2"/>
      <c r="X271" s="2"/>
      <c r="Y271" s="2"/>
      <c r="Z271" s="309"/>
      <c r="AA271" s="309"/>
    </row>
    <row r="272" spans="1:27" ht="15.75" customHeight="1">
      <c r="A272" s="900"/>
      <c r="B272" s="2"/>
      <c r="C272" s="2"/>
      <c r="D272" s="2"/>
      <c r="E272" s="2"/>
      <c r="F272" s="2"/>
      <c r="G272" s="2"/>
      <c r="H272" s="2"/>
      <c r="I272" s="2"/>
      <c r="J272" s="2"/>
      <c r="K272" s="2"/>
      <c r="L272" s="2"/>
      <c r="M272" s="2"/>
      <c r="N272" s="2"/>
      <c r="O272" s="2"/>
      <c r="P272" s="2"/>
      <c r="Q272" s="2"/>
      <c r="R272" s="2"/>
      <c r="S272" s="2"/>
      <c r="T272" s="2"/>
      <c r="U272" s="2"/>
      <c r="V272" s="2"/>
      <c r="W272" s="2"/>
      <c r="X272" s="2"/>
      <c r="Y272" s="2"/>
      <c r="Z272" s="309"/>
      <c r="AA272" s="309"/>
    </row>
    <row r="273" spans="1:27" ht="15.75" customHeight="1">
      <c r="A273" s="900"/>
      <c r="B273" s="2"/>
      <c r="C273" s="2"/>
      <c r="D273" s="2"/>
      <c r="E273" s="2"/>
      <c r="F273" s="2"/>
      <c r="G273" s="2"/>
      <c r="H273" s="2"/>
      <c r="I273" s="2"/>
      <c r="J273" s="2"/>
      <c r="K273" s="2"/>
      <c r="L273" s="2"/>
      <c r="M273" s="2"/>
      <c r="N273" s="2"/>
      <c r="O273" s="2"/>
      <c r="P273" s="2"/>
      <c r="Q273" s="2"/>
      <c r="R273" s="2"/>
      <c r="S273" s="2"/>
      <c r="T273" s="2"/>
      <c r="U273" s="2"/>
      <c r="V273" s="2"/>
      <c r="W273" s="2"/>
      <c r="X273" s="2"/>
      <c r="Y273" s="2"/>
      <c r="Z273" s="309"/>
      <c r="AA273" s="309"/>
    </row>
    <row r="274" spans="1:27" ht="15.75" customHeight="1">
      <c r="A274" s="900"/>
      <c r="B274" s="2"/>
      <c r="C274" s="2"/>
      <c r="D274" s="2"/>
      <c r="E274" s="2"/>
      <c r="F274" s="2"/>
      <c r="G274" s="2"/>
      <c r="H274" s="2"/>
      <c r="I274" s="2"/>
      <c r="J274" s="2"/>
      <c r="K274" s="2"/>
      <c r="L274" s="2"/>
      <c r="M274" s="2"/>
      <c r="N274" s="2"/>
      <c r="O274" s="2"/>
      <c r="P274" s="2"/>
      <c r="Q274" s="2"/>
      <c r="R274" s="2"/>
      <c r="S274" s="2"/>
      <c r="T274" s="2"/>
      <c r="U274" s="2"/>
      <c r="V274" s="2"/>
      <c r="W274" s="2"/>
      <c r="X274" s="2"/>
      <c r="Y274" s="2"/>
      <c r="Z274" s="309"/>
      <c r="AA274" s="309"/>
    </row>
    <row r="275" spans="1:27" ht="15.75" customHeight="1">
      <c r="A275" s="900"/>
      <c r="B275" s="2"/>
      <c r="C275" s="2"/>
      <c r="D275" s="2"/>
      <c r="E275" s="2"/>
      <c r="F275" s="2"/>
      <c r="G275" s="2"/>
      <c r="H275" s="2"/>
      <c r="I275" s="2"/>
      <c r="J275" s="2"/>
      <c r="K275" s="2"/>
      <c r="L275" s="2"/>
      <c r="M275" s="2"/>
      <c r="N275" s="2"/>
      <c r="O275" s="2"/>
      <c r="P275" s="2"/>
      <c r="Q275" s="2"/>
      <c r="R275" s="2"/>
      <c r="S275" s="2"/>
      <c r="T275" s="2"/>
      <c r="U275" s="2"/>
      <c r="V275" s="2"/>
      <c r="W275" s="2"/>
      <c r="X275" s="2"/>
      <c r="Y275" s="2"/>
      <c r="Z275" s="309"/>
      <c r="AA275" s="309"/>
    </row>
    <row r="276" spans="1:27" ht="15.75" customHeight="1">
      <c r="A276" s="900"/>
      <c r="B276" s="2"/>
      <c r="C276" s="2"/>
      <c r="D276" s="2"/>
      <c r="E276" s="2"/>
      <c r="F276" s="2"/>
      <c r="G276" s="2"/>
      <c r="H276" s="2"/>
      <c r="I276" s="2"/>
      <c r="J276" s="2"/>
      <c r="K276" s="2"/>
      <c r="L276" s="2"/>
      <c r="M276" s="2"/>
      <c r="N276" s="2"/>
      <c r="O276" s="2"/>
      <c r="P276" s="2"/>
      <c r="Q276" s="2"/>
      <c r="R276" s="2"/>
      <c r="S276" s="2"/>
      <c r="T276" s="2"/>
      <c r="U276" s="2"/>
      <c r="V276" s="2"/>
      <c r="W276" s="2"/>
      <c r="X276" s="2"/>
      <c r="Y276" s="2"/>
      <c r="Z276" s="309"/>
      <c r="AA276" s="309"/>
    </row>
    <row r="277" spans="1:27" ht="15.75" customHeight="1">
      <c r="A277" s="900"/>
      <c r="B277" s="2"/>
      <c r="C277" s="2"/>
      <c r="D277" s="2"/>
      <c r="E277" s="2"/>
      <c r="F277" s="2"/>
      <c r="G277" s="2"/>
      <c r="H277" s="2"/>
      <c r="I277" s="2"/>
      <c r="J277" s="2"/>
      <c r="K277" s="2"/>
      <c r="L277" s="2"/>
      <c r="M277" s="2"/>
      <c r="N277" s="2"/>
      <c r="O277" s="2"/>
      <c r="P277" s="2"/>
      <c r="Q277" s="2"/>
      <c r="R277" s="2"/>
      <c r="S277" s="2"/>
      <c r="T277" s="2"/>
      <c r="U277" s="2"/>
      <c r="V277" s="2"/>
      <c r="W277" s="2"/>
      <c r="X277" s="2"/>
      <c r="Y277" s="2"/>
      <c r="Z277" s="309"/>
      <c r="AA277" s="309"/>
    </row>
    <row r="278" spans="1:27" ht="15.75" customHeight="1">
      <c r="A278" s="900"/>
      <c r="B278" s="2"/>
      <c r="C278" s="2"/>
      <c r="D278" s="2"/>
      <c r="E278" s="2"/>
      <c r="F278" s="2"/>
      <c r="G278" s="2"/>
      <c r="H278" s="2"/>
      <c r="I278" s="2"/>
      <c r="J278" s="2"/>
      <c r="K278" s="2"/>
      <c r="L278" s="2"/>
      <c r="M278" s="2"/>
      <c r="N278" s="2"/>
      <c r="O278" s="2"/>
      <c r="P278" s="2"/>
      <c r="Q278" s="2"/>
      <c r="R278" s="2"/>
      <c r="S278" s="2"/>
      <c r="T278" s="2"/>
      <c r="U278" s="2"/>
      <c r="V278" s="2"/>
      <c r="W278" s="2"/>
      <c r="X278" s="2"/>
      <c r="Y278" s="2"/>
      <c r="Z278" s="309"/>
      <c r="AA278" s="309"/>
    </row>
    <row r="279" spans="1:27" ht="15.75" customHeight="1">
      <c r="A279" s="900"/>
      <c r="B279" s="2"/>
      <c r="C279" s="2"/>
      <c r="D279" s="2"/>
      <c r="E279" s="2"/>
      <c r="F279" s="2"/>
      <c r="G279" s="2"/>
      <c r="H279" s="2"/>
      <c r="I279" s="2"/>
      <c r="J279" s="2"/>
      <c r="K279" s="2"/>
      <c r="L279" s="2"/>
      <c r="M279" s="2"/>
      <c r="N279" s="2"/>
      <c r="O279" s="2"/>
      <c r="P279" s="2"/>
      <c r="Q279" s="2"/>
      <c r="R279" s="2"/>
      <c r="S279" s="2"/>
      <c r="T279" s="2"/>
      <c r="U279" s="2"/>
      <c r="V279" s="2"/>
      <c r="W279" s="2"/>
      <c r="X279" s="2"/>
      <c r="Y279" s="2"/>
      <c r="Z279" s="309"/>
      <c r="AA279" s="309"/>
    </row>
    <row r="280" spans="1:27" ht="15.75" customHeight="1">
      <c r="A280" s="900"/>
      <c r="B280" s="2"/>
      <c r="C280" s="2"/>
      <c r="D280" s="2"/>
      <c r="E280" s="2"/>
      <c r="F280" s="2"/>
      <c r="G280" s="2"/>
      <c r="H280" s="2"/>
      <c r="I280" s="2"/>
      <c r="J280" s="2"/>
      <c r="K280" s="2"/>
      <c r="L280" s="2"/>
      <c r="M280" s="2"/>
      <c r="N280" s="2"/>
      <c r="O280" s="2"/>
      <c r="P280" s="2"/>
      <c r="Q280" s="2"/>
      <c r="R280" s="2"/>
      <c r="S280" s="2"/>
      <c r="T280" s="2"/>
      <c r="U280" s="2"/>
      <c r="V280" s="2"/>
      <c r="W280" s="2"/>
      <c r="X280" s="2"/>
      <c r="Y280" s="2"/>
      <c r="Z280" s="309"/>
      <c r="AA280" s="309"/>
    </row>
    <row r="281" spans="1:27" ht="15.75" customHeight="1">
      <c r="A281" s="900"/>
      <c r="B281" s="2"/>
      <c r="C281" s="2"/>
      <c r="D281" s="2"/>
      <c r="E281" s="2"/>
      <c r="F281" s="2"/>
      <c r="G281" s="2"/>
      <c r="H281" s="2"/>
      <c r="I281" s="2"/>
      <c r="J281" s="2"/>
      <c r="K281" s="2"/>
      <c r="L281" s="2"/>
      <c r="M281" s="2"/>
      <c r="N281" s="2"/>
      <c r="O281" s="2"/>
      <c r="P281" s="2"/>
      <c r="Q281" s="2"/>
      <c r="R281" s="2"/>
      <c r="S281" s="2"/>
      <c r="T281" s="2"/>
      <c r="U281" s="2"/>
      <c r="V281" s="2"/>
      <c r="W281" s="2"/>
      <c r="X281" s="2"/>
      <c r="Y281" s="2"/>
      <c r="Z281" s="309"/>
      <c r="AA281" s="309"/>
    </row>
    <row r="282" spans="1:27" ht="15.75" customHeight="1">
      <c r="A282" s="900"/>
      <c r="B282" s="2"/>
      <c r="C282" s="2"/>
      <c r="D282" s="2"/>
      <c r="E282" s="2"/>
      <c r="F282" s="2"/>
      <c r="G282" s="2"/>
      <c r="H282" s="2"/>
      <c r="I282" s="2"/>
      <c r="J282" s="2"/>
      <c r="K282" s="2"/>
      <c r="L282" s="2"/>
      <c r="M282" s="2"/>
      <c r="N282" s="2"/>
      <c r="O282" s="2"/>
      <c r="P282" s="2"/>
      <c r="Q282" s="2"/>
      <c r="R282" s="2"/>
      <c r="S282" s="2"/>
      <c r="T282" s="2"/>
      <c r="U282" s="2"/>
      <c r="V282" s="2"/>
      <c r="W282" s="2"/>
      <c r="X282" s="2"/>
      <c r="Y282" s="2"/>
      <c r="Z282" s="309"/>
      <c r="AA282" s="309"/>
    </row>
    <row r="283" spans="1:27" ht="15.75" customHeight="1">
      <c r="A283" s="900"/>
      <c r="B283" s="2"/>
      <c r="C283" s="2"/>
      <c r="D283" s="2"/>
      <c r="E283" s="2"/>
      <c r="F283" s="2"/>
      <c r="G283" s="2"/>
      <c r="H283" s="2"/>
      <c r="I283" s="2"/>
      <c r="J283" s="2"/>
      <c r="K283" s="2"/>
      <c r="L283" s="2"/>
      <c r="M283" s="2"/>
      <c r="N283" s="2"/>
      <c r="O283" s="2"/>
      <c r="P283" s="2"/>
      <c r="Q283" s="2"/>
      <c r="R283" s="2"/>
      <c r="S283" s="2"/>
      <c r="T283" s="2"/>
      <c r="U283" s="2"/>
      <c r="V283" s="2"/>
      <c r="W283" s="2"/>
      <c r="X283" s="2"/>
      <c r="Y283" s="2"/>
      <c r="Z283" s="309"/>
      <c r="AA283" s="309"/>
    </row>
    <row r="284" spans="1:27" ht="15.75" customHeight="1">
      <c r="A284" s="900"/>
      <c r="B284" s="2"/>
      <c r="C284" s="2"/>
      <c r="D284" s="2"/>
      <c r="E284" s="2"/>
      <c r="F284" s="2"/>
      <c r="G284" s="2"/>
      <c r="H284" s="2"/>
      <c r="I284" s="2"/>
      <c r="J284" s="2"/>
      <c r="K284" s="2"/>
      <c r="L284" s="2"/>
      <c r="M284" s="2"/>
      <c r="N284" s="2"/>
      <c r="O284" s="2"/>
      <c r="P284" s="2"/>
      <c r="Q284" s="2"/>
      <c r="R284" s="2"/>
      <c r="S284" s="2"/>
      <c r="T284" s="2"/>
      <c r="U284" s="2"/>
      <c r="V284" s="2"/>
      <c r="W284" s="2"/>
      <c r="X284" s="2"/>
      <c r="Y284" s="2"/>
      <c r="Z284" s="309"/>
      <c r="AA284" s="309"/>
    </row>
    <row r="285" spans="1:27" ht="15.75" customHeight="1">
      <c r="A285" s="900"/>
      <c r="B285" s="2"/>
      <c r="C285" s="2"/>
      <c r="D285" s="2"/>
      <c r="E285" s="2"/>
      <c r="F285" s="2"/>
      <c r="G285" s="2"/>
      <c r="H285" s="2"/>
      <c r="I285" s="2"/>
      <c r="J285" s="2"/>
      <c r="K285" s="2"/>
      <c r="L285" s="2"/>
      <c r="M285" s="2"/>
      <c r="N285" s="2"/>
      <c r="O285" s="2"/>
      <c r="P285" s="2"/>
      <c r="Q285" s="2"/>
      <c r="R285" s="2"/>
      <c r="S285" s="2"/>
      <c r="T285" s="2"/>
      <c r="U285" s="2"/>
      <c r="V285" s="2"/>
      <c r="W285" s="2"/>
      <c r="X285" s="2"/>
      <c r="Y285" s="2"/>
      <c r="Z285" s="309"/>
      <c r="AA285" s="309"/>
    </row>
    <row r="286" spans="1:27" ht="15.75" customHeight="1">
      <c r="A286" s="900"/>
      <c r="B286" s="2"/>
      <c r="C286" s="2"/>
      <c r="D286" s="2"/>
      <c r="E286" s="2"/>
      <c r="F286" s="2"/>
      <c r="G286" s="2"/>
      <c r="H286" s="2"/>
      <c r="I286" s="2"/>
      <c r="J286" s="2"/>
      <c r="K286" s="2"/>
      <c r="L286" s="2"/>
      <c r="M286" s="2"/>
      <c r="N286" s="2"/>
      <c r="O286" s="2"/>
      <c r="P286" s="2"/>
      <c r="Q286" s="2"/>
      <c r="R286" s="2"/>
      <c r="S286" s="2"/>
      <c r="T286" s="2"/>
      <c r="U286" s="2"/>
      <c r="V286" s="2"/>
      <c r="W286" s="2"/>
      <c r="X286" s="2"/>
      <c r="Y286" s="2"/>
      <c r="Z286" s="309"/>
      <c r="AA286" s="309"/>
    </row>
    <row r="287" spans="1:27" ht="15.75" customHeight="1">
      <c r="A287" s="900"/>
      <c r="B287" s="2"/>
      <c r="C287" s="2"/>
      <c r="D287" s="2"/>
      <c r="E287" s="2"/>
      <c r="F287" s="2"/>
      <c r="G287" s="2"/>
      <c r="H287" s="2"/>
      <c r="I287" s="2"/>
      <c r="J287" s="2"/>
      <c r="K287" s="2"/>
      <c r="L287" s="2"/>
      <c r="M287" s="2"/>
      <c r="N287" s="2"/>
      <c r="O287" s="2"/>
      <c r="P287" s="2"/>
      <c r="Q287" s="2"/>
      <c r="R287" s="2"/>
      <c r="S287" s="2"/>
      <c r="T287" s="2"/>
      <c r="U287" s="2"/>
      <c r="V287" s="2"/>
      <c r="W287" s="2"/>
      <c r="X287" s="2"/>
      <c r="Y287" s="2"/>
      <c r="Z287" s="309"/>
      <c r="AA287" s="309"/>
    </row>
    <row r="288" spans="1:27" ht="15.75" customHeight="1">
      <c r="A288" s="900"/>
      <c r="B288" s="2"/>
      <c r="C288" s="2"/>
      <c r="D288" s="2"/>
      <c r="E288" s="2"/>
      <c r="F288" s="2"/>
      <c r="G288" s="2"/>
      <c r="H288" s="2"/>
      <c r="I288" s="2"/>
      <c r="J288" s="2"/>
      <c r="K288" s="2"/>
      <c r="L288" s="2"/>
      <c r="M288" s="2"/>
      <c r="N288" s="2"/>
      <c r="O288" s="2"/>
      <c r="P288" s="2"/>
      <c r="Q288" s="2"/>
      <c r="R288" s="2"/>
      <c r="S288" s="2"/>
      <c r="T288" s="2"/>
      <c r="U288" s="2"/>
      <c r="V288" s="2"/>
      <c r="W288" s="2"/>
      <c r="X288" s="2"/>
      <c r="Y288" s="2"/>
      <c r="Z288" s="309"/>
      <c r="AA288" s="309"/>
    </row>
    <row r="289" spans="1:27" ht="15.75" customHeight="1">
      <c r="A289" s="900"/>
      <c r="B289" s="2"/>
      <c r="C289" s="2"/>
      <c r="D289" s="2"/>
      <c r="E289" s="2"/>
      <c r="F289" s="2"/>
      <c r="G289" s="2"/>
      <c r="H289" s="2"/>
      <c r="I289" s="2"/>
      <c r="J289" s="2"/>
      <c r="K289" s="2"/>
      <c r="L289" s="2"/>
      <c r="M289" s="2"/>
      <c r="N289" s="2"/>
      <c r="O289" s="2"/>
      <c r="P289" s="2"/>
      <c r="Q289" s="2"/>
      <c r="R289" s="2"/>
      <c r="S289" s="2"/>
      <c r="T289" s="2"/>
      <c r="U289" s="2"/>
      <c r="V289" s="2"/>
      <c r="W289" s="2"/>
      <c r="X289" s="2"/>
      <c r="Y289" s="2"/>
      <c r="Z289" s="309"/>
      <c r="AA289" s="309"/>
    </row>
    <row r="290" spans="1:27" ht="15.75" customHeight="1">
      <c r="A290" s="900"/>
      <c r="B290" s="2"/>
      <c r="C290" s="2"/>
      <c r="D290" s="2"/>
      <c r="E290" s="2"/>
      <c r="F290" s="2"/>
      <c r="G290" s="2"/>
      <c r="H290" s="2"/>
      <c r="I290" s="2"/>
      <c r="J290" s="2"/>
      <c r="K290" s="2"/>
      <c r="L290" s="2"/>
      <c r="M290" s="2"/>
      <c r="N290" s="2"/>
      <c r="O290" s="2"/>
      <c r="P290" s="2"/>
      <c r="Q290" s="2"/>
      <c r="R290" s="2"/>
      <c r="S290" s="2"/>
      <c r="T290" s="2"/>
      <c r="U290" s="2"/>
      <c r="V290" s="2"/>
      <c r="W290" s="2"/>
      <c r="X290" s="2"/>
      <c r="Y290" s="2"/>
      <c r="Z290" s="309"/>
      <c r="AA290" s="309"/>
    </row>
    <row r="291" spans="1:27" ht="15.75" customHeight="1">
      <c r="A291" s="900"/>
      <c r="B291" s="2"/>
      <c r="C291" s="2"/>
      <c r="D291" s="2"/>
      <c r="E291" s="2"/>
      <c r="F291" s="2"/>
      <c r="G291" s="2"/>
      <c r="H291" s="2"/>
      <c r="I291" s="2"/>
      <c r="J291" s="2"/>
      <c r="K291" s="2"/>
      <c r="L291" s="2"/>
      <c r="M291" s="2"/>
      <c r="N291" s="2"/>
      <c r="O291" s="2"/>
      <c r="P291" s="2"/>
      <c r="Q291" s="2"/>
      <c r="R291" s="2"/>
      <c r="S291" s="2"/>
      <c r="T291" s="2"/>
      <c r="U291" s="2"/>
      <c r="V291" s="2"/>
      <c r="W291" s="2"/>
      <c r="X291" s="2"/>
      <c r="Y291" s="2"/>
      <c r="Z291" s="309"/>
      <c r="AA291" s="309"/>
    </row>
    <row r="292" spans="1:27" ht="15.75" customHeight="1">
      <c r="A292" s="900"/>
      <c r="B292" s="2"/>
      <c r="C292" s="2"/>
      <c r="D292" s="2"/>
      <c r="E292" s="2"/>
      <c r="F292" s="2"/>
      <c r="G292" s="2"/>
      <c r="H292" s="2"/>
      <c r="I292" s="2"/>
      <c r="J292" s="2"/>
      <c r="K292" s="2"/>
      <c r="L292" s="2"/>
      <c r="M292" s="2"/>
      <c r="N292" s="2"/>
      <c r="O292" s="2"/>
      <c r="P292" s="2"/>
      <c r="Q292" s="2"/>
      <c r="R292" s="2"/>
      <c r="S292" s="2"/>
      <c r="T292" s="2"/>
      <c r="U292" s="2"/>
      <c r="V292" s="2"/>
      <c r="W292" s="2"/>
      <c r="X292" s="2"/>
      <c r="Y292" s="2"/>
      <c r="Z292" s="309"/>
      <c r="AA292" s="309"/>
    </row>
    <row r="293" spans="1:27" ht="15.75" customHeight="1">
      <c r="A293" s="900"/>
      <c r="B293" s="2"/>
      <c r="C293" s="2"/>
      <c r="D293" s="2"/>
      <c r="E293" s="2"/>
      <c r="F293" s="2"/>
      <c r="G293" s="2"/>
      <c r="H293" s="2"/>
      <c r="I293" s="2"/>
      <c r="J293" s="2"/>
      <c r="K293" s="2"/>
      <c r="L293" s="2"/>
      <c r="M293" s="2"/>
      <c r="N293" s="2"/>
      <c r="O293" s="2"/>
      <c r="P293" s="2"/>
      <c r="Q293" s="2"/>
      <c r="R293" s="2"/>
      <c r="S293" s="2"/>
      <c r="T293" s="2"/>
      <c r="U293" s="2"/>
      <c r="V293" s="2"/>
      <c r="W293" s="2"/>
      <c r="X293" s="2"/>
      <c r="Y293" s="2"/>
      <c r="Z293" s="309"/>
      <c r="AA293" s="309"/>
    </row>
    <row r="294" spans="1:27" ht="15.75" customHeight="1">
      <c r="A294" s="900"/>
      <c r="B294" s="2"/>
      <c r="C294" s="2"/>
      <c r="D294" s="2"/>
      <c r="E294" s="2"/>
      <c r="F294" s="2"/>
      <c r="G294" s="2"/>
      <c r="H294" s="2"/>
      <c r="I294" s="2"/>
      <c r="J294" s="2"/>
      <c r="K294" s="2"/>
      <c r="L294" s="2"/>
      <c r="M294" s="2"/>
      <c r="N294" s="2"/>
      <c r="O294" s="2"/>
      <c r="P294" s="2"/>
      <c r="Q294" s="2"/>
      <c r="R294" s="2"/>
      <c r="S294" s="2"/>
      <c r="T294" s="2"/>
      <c r="U294" s="2"/>
      <c r="V294" s="2"/>
      <c r="W294" s="2"/>
      <c r="X294" s="2"/>
      <c r="Y294" s="2"/>
      <c r="Z294" s="309"/>
      <c r="AA294" s="309"/>
    </row>
    <row r="295" spans="1:27" ht="15.75" customHeight="1">
      <c r="A295" s="900"/>
      <c r="B295" s="2"/>
      <c r="C295" s="2"/>
      <c r="D295" s="2"/>
      <c r="E295" s="2"/>
      <c r="F295" s="2"/>
      <c r="G295" s="2"/>
      <c r="H295" s="2"/>
      <c r="I295" s="2"/>
      <c r="J295" s="2"/>
      <c r="K295" s="2"/>
      <c r="L295" s="2"/>
      <c r="M295" s="2"/>
      <c r="N295" s="2"/>
      <c r="O295" s="2"/>
      <c r="P295" s="2"/>
      <c r="Q295" s="2"/>
      <c r="R295" s="2"/>
      <c r="S295" s="2"/>
      <c r="T295" s="2"/>
      <c r="U295" s="2"/>
      <c r="V295" s="2"/>
      <c r="W295" s="2"/>
      <c r="X295" s="2"/>
      <c r="Y295" s="2"/>
      <c r="Z295" s="309"/>
      <c r="AA295" s="309"/>
    </row>
    <row r="296" spans="1:27" ht="15.75" customHeight="1">
      <c r="A296" s="900"/>
      <c r="B296" s="2"/>
      <c r="C296" s="2"/>
      <c r="D296" s="2"/>
      <c r="E296" s="2"/>
      <c r="F296" s="2"/>
      <c r="G296" s="2"/>
      <c r="H296" s="2"/>
      <c r="I296" s="2"/>
      <c r="J296" s="2"/>
      <c r="K296" s="2"/>
      <c r="L296" s="2"/>
      <c r="M296" s="2"/>
      <c r="N296" s="2"/>
      <c r="O296" s="2"/>
      <c r="P296" s="2"/>
      <c r="Q296" s="2"/>
      <c r="R296" s="2"/>
      <c r="S296" s="2"/>
      <c r="T296" s="2"/>
      <c r="U296" s="2"/>
      <c r="V296" s="2"/>
      <c r="W296" s="2"/>
      <c r="X296" s="2"/>
      <c r="Y296" s="2"/>
      <c r="Z296" s="309"/>
      <c r="AA296" s="309"/>
    </row>
    <row r="297" spans="1:27" ht="15.75" customHeight="1">
      <c r="A297" s="900"/>
      <c r="B297" s="2"/>
      <c r="C297" s="2"/>
      <c r="D297" s="2"/>
      <c r="E297" s="2"/>
      <c r="F297" s="2"/>
      <c r="G297" s="2"/>
      <c r="H297" s="2"/>
      <c r="I297" s="2"/>
      <c r="J297" s="2"/>
      <c r="K297" s="2"/>
      <c r="L297" s="2"/>
      <c r="M297" s="2"/>
      <c r="N297" s="2"/>
      <c r="O297" s="2"/>
      <c r="P297" s="2"/>
      <c r="Q297" s="2"/>
      <c r="R297" s="2"/>
      <c r="S297" s="2"/>
      <c r="T297" s="2"/>
      <c r="U297" s="2"/>
      <c r="V297" s="2"/>
      <c r="W297" s="2"/>
      <c r="X297" s="2"/>
      <c r="Y297" s="2"/>
      <c r="Z297" s="309"/>
      <c r="AA297" s="309"/>
    </row>
    <row r="298" spans="1:27" ht="15.75" customHeight="1">
      <c r="A298" s="900"/>
      <c r="B298" s="2"/>
      <c r="C298" s="2"/>
      <c r="D298" s="2"/>
      <c r="E298" s="2"/>
      <c r="F298" s="2"/>
      <c r="G298" s="2"/>
      <c r="H298" s="2"/>
      <c r="I298" s="2"/>
      <c r="J298" s="2"/>
      <c r="K298" s="2"/>
      <c r="L298" s="2"/>
      <c r="M298" s="2"/>
      <c r="N298" s="2"/>
      <c r="O298" s="2"/>
      <c r="P298" s="2"/>
      <c r="Q298" s="2"/>
      <c r="R298" s="2"/>
      <c r="S298" s="2"/>
      <c r="T298" s="2"/>
      <c r="U298" s="2"/>
      <c r="V298" s="2"/>
      <c r="W298" s="2"/>
      <c r="X298" s="2"/>
      <c r="Y298" s="2"/>
      <c r="Z298" s="309"/>
      <c r="AA298" s="309"/>
    </row>
    <row r="299" spans="1:27" ht="15.75" customHeight="1">
      <c r="A299" s="900"/>
      <c r="B299" s="2"/>
      <c r="C299" s="2"/>
      <c r="D299" s="2"/>
      <c r="E299" s="2"/>
      <c r="F299" s="2"/>
      <c r="G299" s="2"/>
      <c r="H299" s="2"/>
      <c r="I299" s="2"/>
      <c r="J299" s="2"/>
      <c r="K299" s="2"/>
      <c r="L299" s="2"/>
      <c r="M299" s="2"/>
      <c r="N299" s="2"/>
      <c r="O299" s="2"/>
      <c r="P299" s="2"/>
      <c r="Q299" s="2"/>
      <c r="R299" s="2"/>
      <c r="S299" s="2"/>
      <c r="T299" s="2"/>
      <c r="U299" s="2"/>
      <c r="V299" s="2"/>
      <c r="W299" s="2"/>
      <c r="X299" s="2"/>
      <c r="Y299" s="2"/>
      <c r="Z299" s="309"/>
      <c r="AA299" s="309"/>
    </row>
    <row r="300" spans="1:27" ht="15.75" customHeight="1">
      <c r="A300" s="900"/>
      <c r="B300" s="2"/>
      <c r="C300" s="2"/>
      <c r="D300" s="2"/>
      <c r="E300" s="2"/>
      <c r="F300" s="2"/>
      <c r="G300" s="2"/>
      <c r="H300" s="2"/>
      <c r="I300" s="2"/>
      <c r="J300" s="2"/>
      <c r="K300" s="2"/>
      <c r="L300" s="2"/>
      <c r="M300" s="2"/>
      <c r="N300" s="2"/>
      <c r="O300" s="2"/>
      <c r="P300" s="2"/>
      <c r="Q300" s="2"/>
      <c r="R300" s="2"/>
      <c r="S300" s="2"/>
      <c r="T300" s="2"/>
      <c r="U300" s="2"/>
      <c r="V300" s="2"/>
      <c r="W300" s="2"/>
      <c r="X300" s="2"/>
      <c r="Y300" s="2"/>
      <c r="Z300" s="309"/>
      <c r="AA300" s="309"/>
    </row>
    <row r="301" spans="1:27" ht="15.75" customHeight="1">
      <c r="A301" s="900"/>
      <c r="B301" s="2"/>
      <c r="C301" s="2"/>
      <c r="D301" s="2"/>
      <c r="E301" s="2"/>
      <c r="F301" s="2"/>
      <c r="G301" s="2"/>
      <c r="H301" s="2"/>
      <c r="I301" s="2"/>
      <c r="J301" s="2"/>
      <c r="K301" s="2"/>
      <c r="L301" s="2"/>
      <c r="M301" s="2"/>
      <c r="N301" s="2"/>
      <c r="O301" s="2"/>
      <c r="P301" s="2"/>
      <c r="Q301" s="2"/>
      <c r="R301" s="2"/>
      <c r="S301" s="2"/>
      <c r="T301" s="2"/>
      <c r="U301" s="2"/>
      <c r="V301" s="2"/>
      <c r="W301" s="2"/>
      <c r="X301" s="2"/>
      <c r="Y301" s="2"/>
      <c r="Z301" s="309"/>
      <c r="AA301" s="309"/>
    </row>
    <row r="302" spans="1:27" ht="15.75" customHeight="1">
      <c r="A302" s="900"/>
      <c r="B302" s="2"/>
      <c r="C302" s="2"/>
      <c r="D302" s="2"/>
      <c r="E302" s="2"/>
      <c r="F302" s="2"/>
      <c r="G302" s="2"/>
      <c r="H302" s="2"/>
      <c r="I302" s="2"/>
      <c r="J302" s="2"/>
      <c r="K302" s="2"/>
      <c r="L302" s="2"/>
      <c r="M302" s="2"/>
      <c r="N302" s="2"/>
      <c r="O302" s="2"/>
      <c r="P302" s="2"/>
      <c r="Q302" s="2"/>
      <c r="R302" s="2"/>
      <c r="S302" s="2"/>
      <c r="T302" s="2"/>
      <c r="U302" s="2"/>
      <c r="V302" s="2"/>
      <c r="W302" s="2"/>
      <c r="X302" s="2"/>
      <c r="Y302" s="2"/>
      <c r="Z302" s="309"/>
      <c r="AA302" s="309"/>
    </row>
    <row r="303" spans="1:27" ht="15.75" customHeight="1">
      <c r="A303" s="900"/>
      <c r="B303" s="2"/>
      <c r="C303" s="2"/>
      <c r="D303" s="2"/>
      <c r="E303" s="2"/>
      <c r="F303" s="2"/>
      <c r="G303" s="2"/>
      <c r="H303" s="2"/>
      <c r="I303" s="2"/>
      <c r="J303" s="2"/>
      <c r="K303" s="2"/>
      <c r="L303" s="2"/>
      <c r="M303" s="2"/>
      <c r="N303" s="2"/>
      <c r="O303" s="2"/>
      <c r="P303" s="2"/>
      <c r="Q303" s="2"/>
      <c r="R303" s="2"/>
      <c r="S303" s="2"/>
      <c r="T303" s="2"/>
      <c r="U303" s="2"/>
      <c r="V303" s="2"/>
      <c r="W303" s="2"/>
      <c r="X303" s="2"/>
      <c r="Y303" s="2"/>
      <c r="Z303" s="309"/>
      <c r="AA303" s="309"/>
    </row>
    <row r="304" spans="1:27" ht="15.75" customHeight="1">
      <c r="A304" s="900"/>
      <c r="B304" s="2"/>
      <c r="C304" s="2"/>
      <c r="D304" s="2"/>
      <c r="E304" s="2"/>
      <c r="F304" s="2"/>
      <c r="G304" s="2"/>
      <c r="H304" s="2"/>
      <c r="I304" s="2"/>
      <c r="J304" s="2"/>
      <c r="K304" s="2"/>
      <c r="L304" s="2"/>
      <c r="M304" s="2"/>
      <c r="N304" s="2"/>
      <c r="O304" s="2"/>
      <c r="P304" s="2"/>
      <c r="Q304" s="2"/>
      <c r="R304" s="2"/>
      <c r="S304" s="2"/>
      <c r="T304" s="2"/>
      <c r="U304" s="2"/>
      <c r="V304" s="2"/>
      <c r="W304" s="2"/>
      <c r="X304" s="2"/>
      <c r="Y304" s="2"/>
      <c r="Z304" s="309"/>
      <c r="AA304" s="309"/>
    </row>
    <row r="305" spans="1:27" ht="15.75" customHeight="1">
      <c r="A305" s="900"/>
      <c r="B305" s="2"/>
      <c r="C305" s="2"/>
      <c r="D305" s="2"/>
      <c r="E305" s="2"/>
      <c r="F305" s="2"/>
      <c r="G305" s="2"/>
      <c r="H305" s="2"/>
      <c r="I305" s="2"/>
      <c r="J305" s="2"/>
      <c r="K305" s="2"/>
      <c r="L305" s="2"/>
      <c r="M305" s="2"/>
      <c r="N305" s="2"/>
      <c r="O305" s="2"/>
      <c r="P305" s="2"/>
      <c r="Q305" s="2"/>
      <c r="R305" s="2"/>
      <c r="S305" s="2"/>
      <c r="T305" s="2"/>
      <c r="U305" s="2"/>
      <c r="V305" s="2"/>
      <c r="W305" s="2"/>
      <c r="X305" s="2"/>
      <c r="Y305" s="2"/>
      <c r="Z305" s="309"/>
      <c r="AA305" s="309"/>
    </row>
    <row r="306" spans="1:27" ht="15.75" customHeight="1">
      <c r="A306" s="900"/>
      <c r="B306" s="2"/>
      <c r="C306" s="2"/>
      <c r="D306" s="2"/>
      <c r="E306" s="2"/>
      <c r="F306" s="2"/>
      <c r="G306" s="2"/>
      <c r="H306" s="2"/>
      <c r="I306" s="2"/>
      <c r="J306" s="2"/>
      <c r="K306" s="2"/>
      <c r="L306" s="2"/>
      <c r="M306" s="2"/>
      <c r="N306" s="2"/>
      <c r="O306" s="2"/>
      <c r="P306" s="2"/>
      <c r="Q306" s="2"/>
      <c r="R306" s="2"/>
      <c r="S306" s="2"/>
      <c r="T306" s="2"/>
      <c r="U306" s="2"/>
      <c r="V306" s="2"/>
      <c r="W306" s="2"/>
      <c r="X306" s="2"/>
      <c r="Y306" s="2"/>
      <c r="Z306" s="309"/>
      <c r="AA306" s="309"/>
    </row>
    <row r="307" spans="1:27" ht="15.75" customHeight="1">
      <c r="A307" s="900"/>
      <c r="B307" s="2"/>
      <c r="C307" s="2"/>
      <c r="D307" s="2"/>
      <c r="E307" s="2"/>
      <c r="F307" s="2"/>
      <c r="G307" s="2"/>
      <c r="H307" s="2"/>
      <c r="I307" s="2"/>
      <c r="J307" s="2"/>
      <c r="K307" s="2"/>
      <c r="L307" s="2"/>
      <c r="M307" s="2"/>
      <c r="N307" s="2"/>
      <c r="O307" s="2"/>
      <c r="P307" s="2"/>
      <c r="Q307" s="2"/>
      <c r="R307" s="2"/>
      <c r="S307" s="2"/>
      <c r="T307" s="2"/>
      <c r="U307" s="2"/>
      <c r="V307" s="2"/>
      <c r="W307" s="2"/>
      <c r="X307" s="2"/>
      <c r="Y307" s="2"/>
      <c r="Z307" s="309"/>
      <c r="AA307" s="309"/>
    </row>
    <row r="308" spans="1:27" ht="15.75" customHeight="1">
      <c r="A308" s="900"/>
      <c r="B308" s="2"/>
      <c r="C308" s="2"/>
      <c r="D308" s="2"/>
      <c r="E308" s="2"/>
      <c r="F308" s="2"/>
      <c r="G308" s="2"/>
      <c r="H308" s="2"/>
      <c r="I308" s="2"/>
      <c r="J308" s="2"/>
      <c r="K308" s="2"/>
      <c r="L308" s="2"/>
      <c r="M308" s="2"/>
      <c r="N308" s="2"/>
      <c r="O308" s="2"/>
      <c r="P308" s="2"/>
      <c r="Q308" s="2"/>
      <c r="R308" s="2"/>
      <c r="S308" s="2"/>
      <c r="T308" s="2"/>
      <c r="U308" s="2"/>
      <c r="V308" s="2"/>
      <c r="W308" s="2"/>
      <c r="X308" s="2"/>
      <c r="Y308" s="2"/>
      <c r="Z308" s="309"/>
      <c r="AA308" s="309"/>
    </row>
    <row r="309" spans="1:27" ht="15.75" customHeight="1">
      <c r="A309" s="900"/>
      <c r="B309" s="2"/>
      <c r="C309" s="2"/>
      <c r="D309" s="2"/>
      <c r="E309" s="2"/>
      <c r="F309" s="2"/>
      <c r="G309" s="2"/>
      <c r="H309" s="2"/>
      <c r="I309" s="2"/>
      <c r="J309" s="2"/>
      <c r="K309" s="2"/>
      <c r="L309" s="2"/>
      <c r="M309" s="2"/>
      <c r="N309" s="2"/>
      <c r="O309" s="2"/>
      <c r="P309" s="2"/>
      <c r="Q309" s="2"/>
      <c r="R309" s="2"/>
      <c r="S309" s="2"/>
      <c r="T309" s="2"/>
      <c r="U309" s="2"/>
      <c r="V309" s="2"/>
      <c r="W309" s="2"/>
      <c r="X309" s="2"/>
      <c r="Y309" s="2"/>
      <c r="Z309" s="309"/>
      <c r="AA309" s="309"/>
    </row>
    <row r="310" spans="1:27" ht="15.75" customHeight="1">
      <c r="A310" s="900"/>
      <c r="B310" s="2"/>
      <c r="C310" s="2"/>
      <c r="D310" s="2"/>
      <c r="E310" s="2"/>
      <c r="F310" s="2"/>
      <c r="G310" s="2"/>
      <c r="H310" s="2"/>
      <c r="I310" s="2"/>
      <c r="J310" s="2"/>
      <c r="K310" s="2"/>
      <c r="L310" s="2"/>
      <c r="M310" s="2"/>
      <c r="N310" s="2"/>
      <c r="O310" s="2"/>
      <c r="P310" s="2"/>
      <c r="Q310" s="2"/>
      <c r="R310" s="2"/>
      <c r="S310" s="2"/>
      <c r="T310" s="2"/>
      <c r="U310" s="2"/>
      <c r="V310" s="2"/>
      <c r="W310" s="2"/>
      <c r="X310" s="2"/>
      <c r="Y310" s="2"/>
      <c r="Z310" s="309"/>
      <c r="AA310" s="309"/>
    </row>
    <row r="311" spans="1:27" ht="15.75" customHeight="1">
      <c r="A311" s="900"/>
      <c r="B311" s="2"/>
      <c r="C311" s="2"/>
      <c r="D311" s="2"/>
      <c r="E311" s="2"/>
      <c r="F311" s="2"/>
      <c r="G311" s="2"/>
      <c r="H311" s="2"/>
      <c r="I311" s="2"/>
      <c r="J311" s="2"/>
      <c r="K311" s="2"/>
      <c r="L311" s="2"/>
      <c r="M311" s="2"/>
      <c r="N311" s="2"/>
      <c r="O311" s="2"/>
      <c r="P311" s="2"/>
      <c r="Q311" s="2"/>
      <c r="R311" s="2"/>
      <c r="S311" s="2"/>
      <c r="T311" s="2"/>
      <c r="U311" s="2"/>
      <c r="V311" s="2"/>
      <c r="W311" s="2"/>
      <c r="X311" s="2"/>
      <c r="Y311" s="2"/>
      <c r="Z311" s="309"/>
      <c r="AA311" s="309"/>
    </row>
    <row r="312" spans="1:27" ht="15.75" customHeight="1">
      <c r="A312" s="900"/>
      <c r="B312" s="2"/>
      <c r="C312" s="2"/>
      <c r="D312" s="2"/>
      <c r="E312" s="2"/>
      <c r="F312" s="2"/>
      <c r="G312" s="2"/>
      <c r="H312" s="2"/>
      <c r="I312" s="2"/>
      <c r="J312" s="2"/>
      <c r="K312" s="2"/>
      <c r="L312" s="2"/>
      <c r="M312" s="2"/>
      <c r="N312" s="2"/>
      <c r="O312" s="2"/>
      <c r="P312" s="2"/>
      <c r="Q312" s="2"/>
      <c r="R312" s="2"/>
      <c r="S312" s="2"/>
      <c r="T312" s="2"/>
      <c r="U312" s="2"/>
      <c r="V312" s="2"/>
      <c r="W312" s="2"/>
      <c r="X312" s="2"/>
      <c r="Y312" s="2"/>
      <c r="Z312" s="309"/>
      <c r="AA312" s="309"/>
    </row>
    <row r="313" spans="1:27" ht="15.75" customHeight="1">
      <c r="A313" s="900"/>
      <c r="B313" s="2"/>
      <c r="C313" s="2"/>
      <c r="D313" s="2"/>
      <c r="E313" s="2"/>
      <c r="F313" s="2"/>
      <c r="G313" s="2"/>
      <c r="H313" s="2"/>
      <c r="I313" s="2"/>
      <c r="J313" s="2"/>
      <c r="K313" s="2"/>
      <c r="L313" s="2"/>
      <c r="M313" s="2"/>
      <c r="N313" s="2"/>
      <c r="O313" s="2"/>
      <c r="P313" s="2"/>
      <c r="Q313" s="2"/>
      <c r="R313" s="2"/>
      <c r="S313" s="2"/>
      <c r="T313" s="2"/>
      <c r="U313" s="2"/>
      <c r="V313" s="2"/>
      <c r="W313" s="2"/>
      <c r="X313" s="2"/>
      <c r="Y313" s="2"/>
      <c r="Z313" s="309"/>
      <c r="AA313" s="309"/>
    </row>
    <row r="314" spans="1:27" ht="15.75" customHeight="1">
      <c r="A314" s="900"/>
      <c r="B314" s="2"/>
      <c r="C314" s="2"/>
      <c r="D314" s="2"/>
      <c r="E314" s="2"/>
      <c r="F314" s="2"/>
      <c r="G314" s="2"/>
      <c r="H314" s="2"/>
      <c r="I314" s="2"/>
      <c r="J314" s="2"/>
      <c r="K314" s="2"/>
      <c r="L314" s="2"/>
      <c r="M314" s="2"/>
      <c r="N314" s="2"/>
      <c r="O314" s="2"/>
      <c r="P314" s="2"/>
      <c r="Q314" s="2"/>
      <c r="R314" s="2"/>
      <c r="S314" s="2"/>
      <c r="T314" s="2"/>
      <c r="U314" s="2"/>
      <c r="V314" s="2"/>
      <c r="W314" s="2"/>
      <c r="X314" s="2"/>
      <c r="Y314" s="2"/>
      <c r="Z314" s="309"/>
      <c r="AA314" s="309"/>
    </row>
    <row r="315" spans="1:27" ht="15.75" customHeight="1">
      <c r="A315" s="900"/>
      <c r="B315" s="2"/>
      <c r="C315" s="2"/>
      <c r="D315" s="2"/>
      <c r="E315" s="2"/>
      <c r="F315" s="2"/>
      <c r="G315" s="2"/>
      <c r="H315" s="2"/>
      <c r="I315" s="2"/>
      <c r="J315" s="2"/>
      <c r="K315" s="2"/>
      <c r="L315" s="2"/>
      <c r="M315" s="2"/>
      <c r="N315" s="2"/>
      <c r="O315" s="2"/>
      <c r="P315" s="2"/>
      <c r="Q315" s="2"/>
      <c r="R315" s="2"/>
      <c r="S315" s="2"/>
      <c r="T315" s="2"/>
      <c r="U315" s="2"/>
      <c r="V315" s="2"/>
      <c r="W315" s="2"/>
      <c r="X315" s="2"/>
      <c r="Y315" s="2"/>
      <c r="Z315" s="309"/>
      <c r="AA315" s="309"/>
    </row>
    <row r="316" spans="1:27" ht="15.75" customHeight="1">
      <c r="A316" s="900"/>
      <c r="B316" s="2"/>
      <c r="C316" s="2"/>
      <c r="D316" s="2"/>
      <c r="E316" s="2"/>
      <c r="F316" s="2"/>
      <c r="G316" s="2"/>
      <c r="H316" s="2"/>
      <c r="I316" s="2"/>
      <c r="J316" s="2"/>
      <c r="K316" s="2"/>
      <c r="L316" s="2"/>
      <c r="M316" s="2"/>
      <c r="N316" s="2"/>
      <c r="O316" s="2"/>
      <c r="P316" s="2"/>
      <c r="Q316" s="2"/>
      <c r="R316" s="2"/>
      <c r="S316" s="2"/>
      <c r="T316" s="2"/>
      <c r="U316" s="2"/>
      <c r="V316" s="2"/>
      <c r="W316" s="2"/>
      <c r="X316" s="2"/>
      <c r="Y316" s="2"/>
      <c r="Z316" s="309"/>
      <c r="AA316" s="309"/>
    </row>
    <row r="317" spans="1:27" ht="15.75" customHeight="1">
      <c r="A317" s="900"/>
      <c r="B317" s="2"/>
      <c r="C317" s="2"/>
      <c r="D317" s="2"/>
      <c r="E317" s="2"/>
      <c r="F317" s="2"/>
      <c r="G317" s="2"/>
      <c r="H317" s="2"/>
      <c r="I317" s="2"/>
      <c r="J317" s="2"/>
      <c r="K317" s="2"/>
      <c r="L317" s="2"/>
      <c r="M317" s="2"/>
      <c r="N317" s="2"/>
      <c r="O317" s="2"/>
      <c r="P317" s="2"/>
      <c r="Q317" s="2"/>
      <c r="R317" s="2"/>
      <c r="S317" s="2"/>
      <c r="T317" s="2"/>
      <c r="U317" s="2"/>
      <c r="V317" s="2"/>
      <c r="W317" s="2"/>
      <c r="X317" s="2"/>
      <c r="Y317" s="2"/>
      <c r="Z317" s="309"/>
      <c r="AA317" s="309"/>
    </row>
    <row r="318" spans="1:27" ht="15.75" customHeight="1">
      <c r="A318" s="900"/>
      <c r="B318" s="2"/>
      <c r="C318" s="2"/>
      <c r="D318" s="2"/>
      <c r="E318" s="2"/>
      <c r="F318" s="2"/>
      <c r="G318" s="2"/>
      <c r="H318" s="2"/>
      <c r="I318" s="2"/>
      <c r="J318" s="2"/>
      <c r="K318" s="2"/>
      <c r="L318" s="2"/>
      <c r="M318" s="2"/>
      <c r="N318" s="2"/>
      <c r="O318" s="2"/>
      <c r="P318" s="2"/>
      <c r="Q318" s="2"/>
      <c r="R318" s="2"/>
      <c r="S318" s="2"/>
      <c r="T318" s="2"/>
      <c r="U318" s="2"/>
      <c r="V318" s="2"/>
      <c r="W318" s="2"/>
      <c r="X318" s="2"/>
      <c r="Y318" s="2"/>
      <c r="Z318" s="309"/>
      <c r="AA318" s="309"/>
    </row>
    <row r="319" spans="1:27" ht="15.75" customHeight="1">
      <c r="A319" s="900"/>
      <c r="B319" s="2"/>
      <c r="C319" s="2"/>
      <c r="D319" s="2"/>
      <c r="E319" s="2"/>
      <c r="F319" s="2"/>
      <c r="G319" s="2"/>
      <c r="H319" s="2"/>
      <c r="I319" s="2"/>
      <c r="J319" s="2"/>
      <c r="K319" s="2"/>
      <c r="L319" s="2"/>
      <c r="M319" s="2"/>
      <c r="N319" s="2"/>
      <c r="O319" s="2"/>
      <c r="P319" s="2"/>
      <c r="Q319" s="2"/>
      <c r="R319" s="2"/>
      <c r="S319" s="2"/>
      <c r="T319" s="2"/>
      <c r="U319" s="2"/>
      <c r="V319" s="2"/>
      <c r="W319" s="2"/>
      <c r="X319" s="2"/>
      <c r="Y319" s="2"/>
      <c r="Z319" s="309"/>
      <c r="AA319" s="309"/>
    </row>
    <row r="320" spans="1:27" ht="15.75" customHeight="1">
      <c r="A320" s="900"/>
      <c r="B320" s="2"/>
      <c r="C320" s="2"/>
      <c r="D320" s="2"/>
      <c r="E320" s="2"/>
      <c r="F320" s="2"/>
      <c r="G320" s="2"/>
      <c r="H320" s="2"/>
      <c r="I320" s="2"/>
      <c r="J320" s="2"/>
      <c r="K320" s="2"/>
      <c r="L320" s="2"/>
      <c r="M320" s="2"/>
      <c r="N320" s="2"/>
      <c r="O320" s="2"/>
      <c r="P320" s="2"/>
      <c r="Q320" s="2"/>
      <c r="R320" s="2"/>
      <c r="S320" s="2"/>
      <c r="T320" s="2"/>
      <c r="U320" s="2"/>
      <c r="V320" s="2"/>
      <c r="W320" s="2"/>
      <c r="X320" s="2"/>
      <c r="Y320" s="2"/>
      <c r="Z320" s="309"/>
      <c r="AA320" s="309"/>
    </row>
    <row r="321" spans="1:27" ht="15.75" customHeight="1">
      <c r="A321" s="900"/>
      <c r="B321" s="2"/>
      <c r="C321" s="2"/>
      <c r="D321" s="2"/>
      <c r="E321" s="2"/>
      <c r="F321" s="2"/>
      <c r="G321" s="2"/>
      <c r="H321" s="2"/>
      <c r="I321" s="2"/>
      <c r="J321" s="2"/>
      <c r="K321" s="2"/>
      <c r="L321" s="2"/>
      <c r="M321" s="2"/>
      <c r="N321" s="2"/>
      <c r="O321" s="2"/>
      <c r="P321" s="2"/>
      <c r="Q321" s="2"/>
      <c r="R321" s="2"/>
      <c r="S321" s="2"/>
      <c r="T321" s="2"/>
      <c r="U321" s="2"/>
      <c r="V321" s="2"/>
      <c r="W321" s="2"/>
      <c r="X321" s="2"/>
      <c r="Y321" s="2"/>
      <c r="Z321" s="309"/>
      <c r="AA321" s="309"/>
    </row>
    <row r="322" spans="1:27" ht="15.75" customHeight="1">
      <c r="A322" s="900"/>
      <c r="B322" s="2"/>
      <c r="C322" s="2"/>
      <c r="D322" s="2"/>
      <c r="E322" s="2"/>
      <c r="F322" s="2"/>
      <c r="G322" s="2"/>
      <c r="H322" s="2"/>
      <c r="I322" s="2"/>
      <c r="J322" s="2"/>
      <c r="K322" s="2"/>
      <c r="L322" s="2"/>
      <c r="M322" s="2"/>
      <c r="N322" s="2"/>
      <c r="O322" s="2"/>
      <c r="P322" s="2"/>
      <c r="Q322" s="2"/>
      <c r="R322" s="2"/>
      <c r="S322" s="2"/>
      <c r="T322" s="2"/>
      <c r="U322" s="2"/>
      <c r="V322" s="2"/>
      <c r="W322" s="2"/>
      <c r="X322" s="2"/>
      <c r="Y322" s="2"/>
      <c r="Z322" s="309"/>
      <c r="AA322" s="309"/>
    </row>
    <row r="323" spans="1:27" ht="15.75" customHeight="1">
      <c r="A323" s="900"/>
      <c r="B323" s="2"/>
      <c r="C323" s="2"/>
      <c r="D323" s="2"/>
      <c r="E323" s="2"/>
      <c r="F323" s="2"/>
      <c r="G323" s="2"/>
      <c r="H323" s="2"/>
      <c r="I323" s="2"/>
      <c r="J323" s="2"/>
      <c r="K323" s="2"/>
      <c r="L323" s="2"/>
      <c r="M323" s="2"/>
      <c r="N323" s="2"/>
      <c r="O323" s="2"/>
      <c r="P323" s="2"/>
      <c r="Q323" s="2"/>
      <c r="R323" s="2"/>
      <c r="S323" s="2"/>
      <c r="T323" s="2"/>
      <c r="U323" s="2"/>
      <c r="V323" s="2"/>
      <c r="W323" s="2"/>
      <c r="X323" s="2"/>
      <c r="Y323" s="2"/>
      <c r="Z323" s="309"/>
      <c r="AA323" s="309"/>
    </row>
    <row r="324" spans="1:27" ht="15.75" customHeight="1">
      <c r="A324" s="900"/>
      <c r="B324" s="2"/>
      <c r="C324" s="2"/>
      <c r="D324" s="2"/>
      <c r="E324" s="2"/>
      <c r="F324" s="2"/>
      <c r="G324" s="2"/>
      <c r="H324" s="2"/>
      <c r="I324" s="2"/>
      <c r="J324" s="2"/>
      <c r="K324" s="2"/>
      <c r="L324" s="2"/>
      <c r="M324" s="2"/>
      <c r="N324" s="2"/>
      <c r="O324" s="2"/>
      <c r="P324" s="2"/>
      <c r="Q324" s="2"/>
      <c r="R324" s="2"/>
      <c r="S324" s="2"/>
      <c r="T324" s="2"/>
      <c r="U324" s="2"/>
      <c r="V324" s="2"/>
      <c r="W324" s="2"/>
      <c r="X324" s="2"/>
      <c r="Y324" s="2"/>
      <c r="Z324" s="309"/>
      <c r="AA324" s="309"/>
    </row>
    <row r="325" spans="1:27" ht="15.75" customHeight="1">
      <c r="A325" s="900"/>
      <c r="B325" s="2"/>
      <c r="C325" s="2"/>
      <c r="D325" s="2"/>
      <c r="E325" s="2"/>
      <c r="F325" s="2"/>
      <c r="G325" s="2"/>
      <c r="H325" s="2"/>
      <c r="I325" s="2"/>
      <c r="J325" s="2"/>
      <c r="K325" s="2"/>
      <c r="L325" s="2"/>
      <c r="M325" s="2"/>
      <c r="N325" s="2"/>
      <c r="O325" s="2"/>
      <c r="P325" s="2"/>
      <c r="Q325" s="2"/>
      <c r="R325" s="2"/>
      <c r="S325" s="2"/>
      <c r="T325" s="2"/>
      <c r="U325" s="2"/>
      <c r="V325" s="2"/>
      <c r="W325" s="2"/>
      <c r="X325" s="2"/>
      <c r="Y325" s="2"/>
      <c r="Z325" s="309"/>
      <c r="AA325" s="309"/>
    </row>
    <row r="326" spans="1:27" ht="15.75" customHeight="1">
      <c r="A326" s="900"/>
      <c r="B326" s="2"/>
      <c r="C326" s="2"/>
      <c r="D326" s="2"/>
      <c r="E326" s="2"/>
      <c r="F326" s="2"/>
      <c r="G326" s="2"/>
      <c r="H326" s="2"/>
      <c r="I326" s="2"/>
      <c r="J326" s="2"/>
      <c r="K326" s="2"/>
      <c r="L326" s="2"/>
      <c r="M326" s="2"/>
      <c r="N326" s="2"/>
      <c r="O326" s="2"/>
      <c r="P326" s="2"/>
      <c r="Q326" s="2"/>
      <c r="R326" s="2"/>
      <c r="S326" s="2"/>
      <c r="T326" s="2"/>
      <c r="U326" s="2"/>
      <c r="V326" s="2"/>
      <c r="W326" s="2"/>
      <c r="X326" s="2"/>
      <c r="Y326" s="2"/>
      <c r="Z326" s="309"/>
      <c r="AA326" s="309"/>
    </row>
    <row r="327" spans="1:27" ht="15.75" customHeight="1">
      <c r="A327" s="900"/>
      <c r="B327" s="2"/>
      <c r="C327" s="2"/>
      <c r="D327" s="2"/>
      <c r="E327" s="2"/>
      <c r="F327" s="2"/>
      <c r="G327" s="2"/>
      <c r="H327" s="2"/>
      <c r="I327" s="2"/>
      <c r="J327" s="2"/>
      <c r="K327" s="2"/>
      <c r="L327" s="2"/>
      <c r="M327" s="2"/>
      <c r="N327" s="2"/>
      <c r="O327" s="2"/>
      <c r="P327" s="2"/>
      <c r="Q327" s="2"/>
      <c r="R327" s="2"/>
      <c r="S327" s="2"/>
      <c r="T327" s="2"/>
      <c r="U327" s="2"/>
      <c r="V327" s="2"/>
      <c r="W327" s="2"/>
      <c r="X327" s="2"/>
      <c r="Y327" s="2"/>
      <c r="Z327" s="309"/>
      <c r="AA327" s="309"/>
    </row>
    <row r="328" spans="1:27" ht="15.75" customHeight="1">
      <c r="A328" s="900"/>
      <c r="B328" s="2"/>
      <c r="C328" s="2"/>
      <c r="D328" s="2"/>
      <c r="E328" s="2"/>
      <c r="F328" s="2"/>
      <c r="G328" s="2"/>
      <c r="H328" s="2"/>
      <c r="I328" s="2"/>
      <c r="J328" s="2"/>
      <c r="K328" s="2"/>
      <c r="L328" s="2"/>
      <c r="M328" s="2"/>
      <c r="N328" s="2"/>
      <c r="O328" s="2"/>
      <c r="P328" s="2"/>
      <c r="Q328" s="2"/>
      <c r="R328" s="2"/>
      <c r="S328" s="2"/>
      <c r="T328" s="2"/>
      <c r="U328" s="2"/>
      <c r="V328" s="2"/>
      <c r="W328" s="2"/>
      <c r="X328" s="2"/>
      <c r="Y328" s="2"/>
      <c r="Z328" s="309"/>
      <c r="AA328" s="309"/>
    </row>
    <row r="329" spans="1:27" ht="15.75" customHeight="1">
      <c r="A329" s="900"/>
      <c r="B329" s="2"/>
      <c r="C329" s="2"/>
      <c r="D329" s="2"/>
      <c r="E329" s="2"/>
      <c r="F329" s="2"/>
      <c r="G329" s="2"/>
      <c r="H329" s="2"/>
      <c r="I329" s="2"/>
      <c r="J329" s="2"/>
      <c r="K329" s="2"/>
      <c r="L329" s="2"/>
      <c r="M329" s="2"/>
      <c r="N329" s="2"/>
      <c r="O329" s="2"/>
      <c r="P329" s="2"/>
      <c r="Q329" s="2"/>
      <c r="R329" s="2"/>
      <c r="S329" s="2"/>
      <c r="T329" s="2"/>
      <c r="U329" s="2"/>
      <c r="V329" s="2"/>
      <c r="W329" s="2"/>
      <c r="X329" s="2"/>
      <c r="Y329" s="2"/>
      <c r="Z329" s="309"/>
      <c r="AA329" s="309"/>
    </row>
    <row r="330" spans="1:27" ht="15.75" customHeight="1">
      <c r="A330" s="900"/>
      <c r="B330" s="2"/>
      <c r="C330" s="2"/>
      <c r="D330" s="2"/>
      <c r="E330" s="2"/>
      <c r="F330" s="2"/>
      <c r="G330" s="2"/>
      <c r="H330" s="2"/>
      <c r="I330" s="2"/>
      <c r="J330" s="2"/>
      <c r="K330" s="2"/>
      <c r="L330" s="2"/>
      <c r="M330" s="2"/>
      <c r="N330" s="2"/>
      <c r="O330" s="2"/>
      <c r="P330" s="2"/>
      <c r="Q330" s="2"/>
      <c r="R330" s="2"/>
      <c r="S330" s="2"/>
      <c r="T330" s="2"/>
      <c r="U330" s="2"/>
      <c r="V330" s="2"/>
      <c r="W330" s="2"/>
      <c r="X330" s="2"/>
      <c r="Y330" s="2"/>
      <c r="Z330" s="309"/>
      <c r="AA330" s="309"/>
    </row>
    <row r="331" spans="1:27" ht="15.75" customHeight="1">
      <c r="A331" s="900"/>
      <c r="B331" s="2"/>
      <c r="C331" s="2"/>
      <c r="D331" s="2"/>
      <c r="E331" s="2"/>
      <c r="F331" s="2"/>
      <c r="G331" s="2"/>
      <c r="H331" s="2"/>
      <c r="I331" s="2"/>
      <c r="J331" s="2"/>
      <c r="K331" s="2"/>
      <c r="L331" s="2"/>
      <c r="M331" s="2"/>
      <c r="N331" s="2"/>
      <c r="O331" s="2"/>
      <c r="P331" s="2"/>
      <c r="Q331" s="2"/>
      <c r="R331" s="2"/>
      <c r="S331" s="2"/>
      <c r="T331" s="2"/>
      <c r="U331" s="2"/>
      <c r="V331" s="2"/>
      <c r="W331" s="2"/>
      <c r="X331" s="2"/>
      <c r="Y331" s="2"/>
      <c r="Z331" s="309"/>
      <c r="AA331" s="309"/>
    </row>
    <row r="332" spans="1:27" ht="15.75" customHeight="1">
      <c r="A332" s="900"/>
      <c r="B332" s="2"/>
      <c r="C332" s="2"/>
      <c r="D332" s="2"/>
      <c r="E332" s="2"/>
      <c r="F332" s="2"/>
      <c r="G332" s="2"/>
      <c r="H332" s="2"/>
      <c r="I332" s="2"/>
      <c r="J332" s="2"/>
      <c r="K332" s="2"/>
      <c r="L332" s="2"/>
      <c r="M332" s="2"/>
      <c r="N332" s="2"/>
      <c r="O332" s="2"/>
      <c r="P332" s="2"/>
      <c r="Q332" s="2"/>
      <c r="R332" s="2"/>
      <c r="S332" s="2"/>
      <c r="T332" s="2"/>
      <c r="U332" s="2"/>
      <c r="V332" s="2"/>
      <c r="W332" s="2"/>
      <c r="X332" s="2"/>
      <c r="Y332" s="2"/>
      <c r="Z332" s="309"/>
      <c r="AA332" s="309"/>
    </row>
    <row r="333" spans="1:27" ht="15.75" customHeight="1">
      <c r="A333" s="900"/>
      <c r="B333" s="2"/>
      <c r="C333" s="2"/>
      <c r="D333" s="2"/>
      <c r="E333" s="2"/>
      <c r="F333" s="2"/>
      <c r="G333" s="2"/>
      <c r="H333" s="2"/>
      <c r="I333" s="2"/>
      <c r="J333" s="2"/>
      <c r="K333" s="2"/>
      <c r="L333" s="2"/>
      <c r="M333" s="2"/>
      <c r="N333" s="2"/>
      <c r="O333" s="2"/>
      <c r="P333" s="2"/>
      <c r="Q333" s="2"/>
      <c r="R333" s="2"/>
      <c r="S333" s="2"/>
      <c r="T333" s="2"/>
      <c r="U333" s="2"/>
      <c r="V333" s="2"/>
      <c r="W333" s="2"/>
      <c r="X333" s="2"/>
      <c r="Y333" s="2"/>
      <c r="Z333" s="309"/>
      <c r="AA333" s="309"/>
    </row>
    <row r="334" spans="1:27" ht="15.75" customHeight="1">
      <c r="A334" s="900"/>
      <c r="B334" s="2"/>
      <c r="C334" s="2"/>
      <c r="D334" s="2"/>
      <c r="E334" s="2"/>
      <c r="F334" s="2"/>
      <c r="G334" s="2"/>
      <c r="H334" s="2"/>
      <c r="I334" s="2"/>
      <c r="J334" s="2"/>
      <c r="K334" s="2"/>
      <c r="L334" s="2"/>
      <c r="M334" s="2"/>
      <c r="N334" s="2"/>
      <c r="O334" s="2"/>
      <c r="P334" s="2"/>
      <c r="Q334" s="2"/>
      <c r="R334" s="2"/>
      <c r="S334" s="2"/>
      <c r="T334" s="2"/>
      <c r="U334" s="2"/>
      <c r="V334" s="2"/>
      <c r="W334" s="2"/>
      <c r="X334" s="2"/>
      <c r="Y334" s="2"/>
      <c r="Z334" s="309"/>
      <c r="AA334" s="309"/>
    </row>
    <row r="335" spans="1:27" ht="15.75" customHeight="1">
      <c r="A335" s="900"/>
      <c r="B335" s="2"/>
      <c r="C335" s="2"/>
      <c r="D335" s="2"/>
      <c r="E335" s="2"/>
      <c r="F335" s="2"/>
      <c r="G335" s="2"/>
      <c r="H335" s="2"/>
      <c r="I335" s="2"/>
      <c r="J335" s="2"/>
      <c r="K335" s="2"/>
      <c r="L335" s="2"/>
      <c r="M335" s="2"/>
      <c r="N335" s="2"/>
      <c r="O335" s="2"/>
      <c r="P335" s="2"/>
      <c r="Q335" s="2"/>
      <c r="R335" s="2"/>
      <c r="S335" s="2"/>
      <c r="T335" s="2"/>
      <c r="U335" s="2"/>
      <c r="V335" s="2"/>
      <c r="W335" s="2"/>
      <c r="X335" s="2"/>
      <c r="Y335" s="2"/>
      <c r="Z335" s="309"/>
      <c r="AA335" s="309"/>
    </row>
    <row r="336" spans="1:27" ht="15.75" customHeight="1">
      <c r="A336" s="900"/>
      <c r="B336" s="2"/>
      <c r="C336" s="2"/>
      <c r="D336" s="2"/>
      <c r="E336" s="2"/>
      <c r="F336" s="2"/>
      <c r="G336" s="2"/>
      <c r="H336" s="2"/>
      <c r="I336" s="2"/>
      <c r="J336" s="2"/>
      <c r="K336" s="2"/>
      <c r="L336" s="2"/>
      <c r="M336" s="2"/>
      <c r="N336" s="2"/>
      <c r="O336" s="2"/>
      <c r="P336" s="2"/>
      <c r="Q336" s="2"/>
      <c r="R336" s="2"/>
      <c r="S336" s="2"/>
      <c r="T336" s="2"/>
      <c r="U336" s="2"/>
      <c r="V336" s="2"/>
      <c r="W336" s="2"/>
      <c r="X336" s="2"/>
      <c r="Y336" s="2"/>
      <c r="Z336" s="309"/>
      <c r="AA336" s="309"/>
    </row>
    <row r="337" spans="1:27" ht="15.75" customHeight="1">
      <c r="A337" s="900"/>
      <c r="B337" s="2"/>
      <c r="C337" s="2"/>
      <c r="D337" s="2"/>
      <c r="E337" s="2"/>
      <c r="F337" s="2"/>
      <c r="G337" s="2"/>
      <c r="H337" s="2"/>
      <c r="I337" s="2"/>
      <c r="J337" s="2"/>
      <c r="K337" s="2"/>
      <c r="L337" s="2"/>
      <c r="M337" s="2"/>
      <c r="N337" s="2"/>
      <c r="O337" s="2"/>
      <c r="P337" s="2"/>
      <c r="Q337" s="2"/>
      <c r="R337" s="2"/>
      <c r="S337" s="2"/>
      <c r="T337" s="2"/>
      <c r="U337" s="2"/>
      <c r="V337" s="2"/>
      <c r="W337" s="2"/>
      <c r="X337" s="2"/>
      <c r="Y337" s="2"/>
      <c r="Z337" s="309"/>
      <c r="AA337" s="309"/>
    </row>
    <row r="338" spans="1:27" ht="15.75" customHeight="1">
      <c r="A338" s="900"/>
      <c r="B338" s="2"/>
      <c r="C338" s="2"/>
      <c r="D338" s="2"/>
      <c r="E338" s="2"/>
      <c r="F338" s="2"/>
      <c r="G338" s="2"/>
      <c r="H338" s="2"/>
      <c r="I338" s="2"/>
      <c r="J338" s="2"/>
      <c r="K338" s="2"/>
      <c r="L338" s="2"/>
      <c r="M338" s="2"/>
      <c r="N338" s="2"/>
      <c r="O338" s="2"/>
      <c r="P338" s="2"/>
      <c r="Q338" s="2"/>
      <c r="R338" s="2"/>
      <c r="S338" s="2"/>
      <c r="T338" s="2"/>
      <c r="U338" s="2"/>
      <c r="V338" s="2"/>
      <c r="W338" s="2"/>
      <c r="X338" s="2"/>
      <c r="Y338" s="2"/>
      <c r="Z338" s="309"/>
      <c r="AA338" s="309"/>
    </row>
    <row r="339" spans="1:27" ht="15.75" customHeight="1">
      <c r="A339" s="900"/>
      <c r="B339" s="2"/>
      <c r="C339" s="2"/>
      <c r="D339" s="2"/>
      <c r="E339" s="2"/>
      <c r="F339" s="2"/>
      <c r="G339" s="2"/>
      <c r="H339" s="2"/>
      <c r="I339" s="2"/>
      <c r="J339" s="2"/>
      <c r="K339" s="2"/>
      <c r="L339" s="2"/>
      <c r="M339" s="2"/>
      <c r="N339" s="2"/>
      <c r="O339" s="2"/>
      <c r="P339" s="2"/>
      <c r="Q339" s="2"/>
      <c r="R339" s="2"/>
      <c r="S339" s="2"/>
      <c r="T339" s="2"/>
      <c r="U339" s="2"/>
      <c r="V339" s="2"/>
      <c r="W339" s="2"/>
      <c r="X339" s="2"/>
      <c r="Y339" s="2"/>
      <c r="Z339" s="309"/>
      <c r="AA339" s="309"/>
    </row>
    <row r="340" spans="1:27" ht="15.75" customHeight="1">
      <c r="A340" s="900"/>
      <c r="B340" s="2"/>
      <c r="C340" s="2"/>
      <c r="D340" s="2"/>
      <c r="E340" s="2"/>
      <c r="F340" s="2"/>
      <c r="G340" s="2"/>
      <c r="H340" s="2"/>
      <c r="I340" s="2"/>
      <c r="J340" s="2"/>
      <c r="K340" s="2"/>
      <c r="L340" s="2"/>
      <c r="M340" s="2"/>
      <c r="N340" s="2"/>
      <c r="O340" s="2"/>
      <c r="P340" s="2"/>
      <c r="Q340" s="2"/>
      <c r="R340" s="2"/>
      <c r="S340" s="2"/>
      <c r="T340" s="2"/>
      <c r="U340" s="2"/>
      <c r="V340" s="2"/>
      <c r="W340" s="2"/>
      <c r="X340" s="2"/>
      <c r="Y340" s="2"/>
      <c r="Z340" s="309"/>
      <c r="AA340" s="309"/>
    </row>
    <row r="341" spans="1:27" ht="15.75" customHeight="1">
      <c r="A341" s="900"/>
      <c r="B341" s="2"/>
      <c r="C341" s="2"/>
      <c r="D341" s="2"/>
      <c r="E341" s="2"/>
      <c r="F341" s="2"/>
      <c r="G341" s="2"/>
      <c r="H341" s="2"/>
      <c r="I341" s="2"/>
      <c r="J341" s="2"/>
      <c r="K341" s="2"/>
      <c r="L341" s="2"/>
      <c r="M341" s="2"/>
      <c r="N341" s="2"/>
      <c r="O341" s="2"/>
      <c r="P341" s="2"/>
      <c r="Q341" s="2"/>
      <c r="R341" s="2"/>
      <c r="S341" s="2"/>
      <c r="T341" s="2"/>
      <c r="U341" s="2"/>
      <c r="V341" s="2"/>
      <c r="W341" s="2"/>
      <c r="X341" s="2"/>
      <c r="Y341" s="2"/>
      <c r="Z341" s="309"/>
      <c r="AA341" s="309"/>
    </row>
    <row r="342" spans="1:27" ht="15.75" customHeight="1">
      <c r="A342" s="900"/>
      <c r="B342" s="2"/>
      <c r="C342" s="2"/>
      <c r="D342" s="2"/>
      <c r="E342" s="2"/>
      <c r="F342" s="2"/>
      <c r="G342" s="2"/>
      <c r="H342" s="2"/>
      <c r="I342" s="2"/>
      <c r="J342" s="2"/>
      <c r="K342" s="2"/>
      <c r="L342" s="2"/>
      <c r="M342" s="2"/>
      <c r="N342" s="2"/>
      <c r="O342" s="2"/>
      <c r="P342" s="2"/>
      <c r="Q342" s="2"/>
      <c r="R342" s="2"/>
      <c r="S342" s="2"/>
      <c r="T342" s="2"/>
      <c r="U342" s="2"/>
      <c r="V342" s="2"/>
      <c r="W342" s="2"/>
      <c r="X342" s="2"/>
      <c r="Y342" s="2"/>
      <c r="Z342" s="309"/>
      <c r="AA342" s="309"/>
    </row>
    <row r="343" spans="1:27" ht="15.75" customHeight="1">
      <c r="A343" s="900"/>
      <c r="B343" s="2"/>
      <c r="C343" s="2"/>
      <c r="D343" s="2"/>
      <c r="E343" s="2"/>
      <c r="F343" s="2"/>
      <c r="G343" s="2"/>
      <c r="H343" s="2"/>
      <c r="I343" s="2"/>
      <c r="J343" s="2"/>
      <c r="K343" s="2"/>
      <c r="L343" s="2"/>
      <c r="M343" s="2"/>
      <c r="N343" s="2"/>
      <c r="O343" s="2"/>
      <c r="P343" s="2"/>
      <c r="Q343" s="2"/>
      <c r="R343" s="2"/>
      <c r="S343" s="2"/>
      <c r="T343" s="2"/>
      <c r="U343" s="2"/>
      <c r="V343" s="2"/>
      <c r="W343" s="2"/>
      <c r="X343" s="2"/>
      <c r="Y343" s="2"/>
      <c r="Z343" s="309"/>
      <c r="AA343" s="309"/>
    </row>
    <row r="344" spans="1:27" ht="15.75" customHeight="1">
      <c r="A344" s="900"/>
      <c r="B344" s="2"/>
      <c r="C344" s="2"/>
      <c r="D344" s="2"/>
      <c r="E344" s="2"/>
      <c r="F344" s="2"/>
      <c r="G344" s="2"/>
      <c r="H344" s="2"/>
      <c r="I344" s="2"/>
      <c r="J344" s="2"/>
      <c r="K344" s="2"/>
      <c r="L344" s="2"/>
      <c r="M344" s="2"/>
      <c r="N344" s="2"/>
      <c r="O344" s="2"/>
      <c r="P344" s="2"/>
      <c r="Q344" s="2"/>
      <c r="R344" s="2"/>
      <c r="S344" s="2"/>
      <c r="T344" s="2"/>
      <c r="U344" s="2"/>
      <c r="V344" s="2"/>
      <c r="W344" s="2"/>
      <c r="X344" s="2"/>
      <c r="Y344" s="2"/>
      <c r="Z344" s="309"/>
      <c r="AA344" s="309"/>
    </row>
    <row r="345" spans="1:27" ht="15.75" customHeight="1">
      <c r="A345" s="900"/>
      <c r="B345" s="2"/>
      <c r="C345" s="2"/>
      <c r="D345" s="2"/>
      <c r="E345" s="2"/>
      <c r="F345" s="2"/>
      <c r="G345" s="2"/>
      <c r="H345" s="2"/>
      <c r="I345" s="2"/>
      <c r="J345" s="2"/>
      <c r="K345" s="2"/>
      <c r="L345" s="2"/>
      <c r="M345" s="2"/>
      <c r="N345" s="2"/>
      <c r="O345" s="2"/>
      <c r="P345" s="2"/>
      <c r="Q345" s="2"/>
      <c r="R345" s="2"/>
      <c r="S345" s="2"/>
      <c r="T345" s="2"/>
      <c r="U345" s="2"/>
      <c r="V345" s="2"/>
      <c r="W345" s="2"/>
      <c r="X345" s="2"/>
      <c r="Y345" s="2"/>
      <c r="Z345" s="309"/>
      <c r="AA345" s="309"/>
    </row>
    <row r="346" spans="1:27" ht="15.75" customHeight="1">
      <c r="A346" s="900"/>
      <c r="B346" s="2"/>
      <c r="C346" s="2"/>
      <c r="D346" s="2"/>
      <c r="E346" s="2"/>
      <c r="F346" s="2"/>
      <c r="G346" s="2"/>
      <c r="H346" s="2"/>
      <c r="I346" s="2"/>
      <c r="J346" s="2"/>
      <c r="K346" s="2"/>
      <c r="L346" s="2"/>
      <c r="M346" s="2"/>
      <c r="N346" s="2"/>
      <c r="O346" s="2"/>
      <c r="P346" s="2"/>
      <c r="Q346" s="2"/>
      <c r="R346" s="2"/>
      <c r="S346" s="2"/>
      <c r="T346" s="2"/>
      <c r="U346" s="2"/>
      <c r="V346" s="2"/>
      <c r="W346" s="2"/>
      <c r="X346" s="2"/>
      <c r="Y346" s="2"/>
      <c r="Z346" s="309"/>
      <c r="AA346" s="309"/>
    </row>
    <row r="347" spans="1:27" ht="15.75" customHeight="1">
      <c r="A347" s="900"/>
      <c r="B347" s="2"/>
      <c r="C347" s="2"/>
      <c r="D347" s="2"/>
      <c r="E347" s="2"/>
      <c r="F347" s="2"/>
      <c r="G347" s="2"/>
      <c r="H347" s="2"/>
      <c r="I347" s="2"/>
      <c r="J347" s="2"/>
      <c r="K347" s="2"/>
      <c r="L347" s="2"/>
      <c r="M347" s="2"/>
      <c r="N347" s="2"/>
      <c r="O347" s="2"/>
      <c r="P347" s="2"/>
      <c r="Q347" s="2"/>
      <c r="R347" s="2"/>
      <c r="S347" s="2"/>
      <c r="T347" s="2"/>
      <c r="U347" s="2"/>
      <c r="V347" s="2"/>
      <c r="W347" s="2"/>
      <c r="X347" s="2"/>
      <c r="Y347" s="2"/>
      <c r="Z347" s="309"/>
      <c r="AA347" s="309"/>
    </row>
    <row r="348" spans="1:27" ht="15.75" customHeight="1">
      <c r="A348" s="900"/>
      <c r="B348" s="2"/>
      <c r="C348" s="2"/>
      <c r="D348" s="2"/>
      <c r="E348" s="2"/>
      <c r="F348" s="2"/>
      <c r="G348" s="2"/>
      <c r="H348" s="2"/>
      <c r="I348" s="2"/>
      <c r="J348" s="2"/>
      <c r="K348" s="2"/>
      <c r="L348" s="2"/>
      <c r="M348" s="2"/>
      <c r="N348" s="2"/>
      <c r="O348" s="2"/>
      <c r="P348" s="2"/>
      <c r="Q348" s="2"/>
      <c r="R348" s="2"/>
      <c r="S348" s="2"/>
      <c r="T348" s="2"/>
      <c r="U348" s="2"/>
      <c r="V348" s="2"/>
      <c r="W348" s="2"/>
      <c r="X348" s="2"/>
      <c r="Y348" s="2"/>
      <c r="Z348" s="309"/>
      <c r="AA348" s="309"/>
    </row>
    <row r="349" spans="1:27" ht="15.75" customHeight="1">
      <c r="A349" s="900"/>
      <c r="B349" s="2"/>
      <c r="C349" s="2"/>
      <c r="D349" s="2"/>
      <c r="E349" s="2"/>
      <c r="F349" s="2"/>
      <c r="G349" s="2"/>
      <c r="H349" s="2"/>
      <c r="I349" s="2"/>
      <c r="J349" s="2"/>
      <c r="K349" s="2"/>
      <c r="L349" s="2"/>
      <c r="M349" s="2"/>
      <c r="N349" s="2"/>
      <c r="O349" s="2"/>
      <c r="P349" s="2"/>
      <c r="Q349" s="2"/>
      <c r="R349" s="2"/>
      <c r="S349" s="2"/>
      <c r="T349" s="2"/>
      <c r="U349" s="2"/>
      <c r="V349" s="2"/>
      <c r="W349" s="2"/>
      <c r="X349" s="2"/>
      <c r="Y349" s="2"/>
      <c r="Z349" s="309"/>
      <c r="AA349" s="309"/>
    </row>
    <row r="350" spans="1:27" ht="15.75" customHeight="1">
      <c r="A350" s="900"/>
      <c r="B350" s="2"/>
      <c r="C350" s="2"/>
      <c r="D350" s="2"/>
      <c r="E350" s="2"/>
      <c r="F350" s="2"/>
      <c r="G350" s="2"/>
      <c r="H350" s="2"/>
      <c r="I350" s="2"/>
      <c r="J350" s="2"/>
      <c r="K350" s="2"/>
      <c r="L350" s="2"/>
      <c r="M350" s="2"/>
      <c r="N350" s="2"/>
      <c r="O350" s="2"/>
      <c r="P350" s="2"/>
      <c r="Q350" s="2"/>
      <c r="R350" s="2"/>
      <c r="S350" s="2"/>
      <c r="T350" s="2"/>
      <c r="U350" s="2"/>
      <c r="V350" s="2"/>
      <c r="W350" s="2"/>
      <c r="X350" s="2"/>
      <c r="Y350" s="2"/>
      <c r="Z350" s="309"/>
      <c r="AA350" s="309"/>
    </row>
    <row r="351" spans="1:27" ht="15.75" customHeight="1">
      <c r="A351" s="900"/>
      <c r="B351" s="2"/>
      <c r="C351" s="2"/>
      <c r="D351" s="2"/>
      <c r="E351" s="2"/>
      <c r="F351" s="2"/>
      <c r="G351" s="2"/>
      <c r="H351" s="2"/>
      <c r="I351" s="2"/>
      <c r="J351" s="2"/>
      <c r="K351" s="2"/>
      <c r="L351" s="2"/>
      <c r="M351" s="2"/>
      <c r="N351" s="2"/>
      <c r="O351" s="2"/>
      <c r="P351" s="2"/>
      <c r="Q351" s="2"/>
      <c r="R351" s="2"/>
      <c r="S351" s="2"/>
      <c r="T351" s="2"/>
      <c r="U351" s="2"/>
      <c r="V351" s="2"/>
      <c r="W351" s="2"/>
      <c r="X351" s="2"/>
      <c r="Y351" s="2"/>
      <c r="Z351" s="309"/>
      <c r="AA351" s="309"/>
    </row>
    <row r="352" spans="1:27" ht="15.75" customHeight="1">
      <c r="A352" s="900"/>
      <c r="B352" s="2"/>
      <c r="C352" s="2"/>
      <c r="D352" s="2"/>
      <c r="E352" s="2"/>
      <c r="F352" s="2"/>
      <c r="G352" s="2"/>
      <c r="H352" s="2"/>
      <c r="I352" s="2"/>
      <c r="J352" s="2"/>
      <c r="K352" s="2"/>
      <c r="L352" s="2"/>
      <c r="M352" s="2"/>
      <c r="N352" s="2"/>
      <c r="O352" s="2"/>
      <c r="P352" s="2"/>
      <c r="Q352" s="2"/>
      <c r="R352" s="2"/>
      <c r="S352" s="2"/>
      <c r="T352" s="2"/>
      <c r="U352" s="2"/>
      <c r="V352" s="2"/>
      <c r="W352" s="2"/>
      <c r="X352" s="2"/>
      <c r="Y352" s="2"/>
      <c r="Z352" s="309"/>
      <c r="AA352" s="309"/>
    </row>
    <row r="353" spans="1:27" ht="15.75" customHeight="1">
      <c r="A353" s="900"/>
      <c r="B353" s="2"/>
      <c r="C353" s="2"/>
      <c r="D353" s="2"/>
      <c r="E353" s="2"/>
      <c r="F353" s="2"/>
      <c r="G353" s="2"/>
      <c r="H353" s="2"/>
      <c r="I353" s="2"/>
      <c r="J353" s="2"/>
      <c r="K353" s="2"/>
      <c r="L353" s="2"/>
      <c r="M353" s="2"/>
      <c r="N353" s="2"/>
      <c r="O353" s="2"/>
      <c r="P353" s="2"/>
      <c r="Q353" s="2"/>
      <c r="R353" s="2"/>
      <c r="S353" s="2"/>
      <c r="T353" s="2"/>
      <c r="U353" s="2"/>
      <c r="V353" s="2"/>
      <c r="W353" s="2"/>
      <c r="X353" s="2"/>
      <c r="Y353" s="2"/>
      <c r="Z353" s="309"/>
      <c r="AA353" s="309"/>
    </row>
    <row r="354" spans="1:27" ht="15.75" customHeight="1">
      <c r="A354" s="900"/>
      <c r="B354" s="2"/>
      <c r="C354" s="2"/>
      <c r="D354" s="2"/>
      <c r="E354" s="2"/>
      <c r="F354" s="2"/>
      <c r="G354" s="2"/>
      <c r="H354" s="2"/>
      <c r="I354" s="2"/>
      <c r="J354" s="2"/>
      <c r="K354" s="2"/>
      <c r="L354" s="2"/>
      <c r="M354" s="2"/>
      <c r="N354" s="2"/>
      <c r="O354" s="2"/>
      <c r="P354" s="2"/>
      <c r="Q354" s="2"/>
      <c r="R354" s="2"/>
      <c r="S354" s="2"/>
      <c r="T354" s="2"/>
      <c r="U354" s="2"/>
      <c r="V354" s="2"/>
      <c r="W354" s="2"/>
      <c r="X354" s="2"/>
      <c r="Y354" s="2"/>
      <c r="Z354" s="309"/>
      <c r="AA354" s="309"/>
    </row>
    <row r="355" spans="1:27" ht="15.75" customHeight="1">
      <c r="A355" s="900"/>
      <c r="B355" s="2"/>
      <c r="C355" s="2"/>
      <c r="D355" s="2"/>
      <c r="E355" s="2"/>
      <c r="F355" s="2"/>
      <c r="G355" s="2"/>
      <c r="H355" s="2"/>
      <c r="I355" s="2"/>
      <c r="J355" s="2"/>
      <c r="K355" s="2"/>
      <c r="L355" s="2"/>
      <c r="M355" s="2"/>
      <c r="N355" s="2"/>
      <c r="O355" s="2"/>
      <c r="P355" s="2"/>
      <c r="Q355" s="2"/>
      <c r="R355" s="2"/>
      <c r="S355" s="2"/>
      <c r="T355" s="2"/>
      <c r="U355" s="2"/>
      <c r="V355" s="2"/>
      <c r="W355" s="2"/>
      <c r="X355" s="2"/>
      <c r="Y355" s="2"/>
      <c r="Z355" s="309"/>
      <c r="AA355" s="309"/>
    </row>
    <row r="356" spans="1:27" ht="15.75" customHeight="1">
      <c r="A356" s="900"/>
      <c r="B356" s="2"/>
      <c r="C356" s="2"/>
      <c r="D356" s="2"/>
      <c r="E356" s="2"/>
      <c r="F356" s="2"/>
      <c r="G356" s="2"/>
      <c r="H356" s="2"/>
      <c r="I356" s="2"/>
      <c r="J356" s="2"/>
      <c r="K356" s="2"/>
      <c r="L356" s="2"/>
      <c r="M356" s="2"/>
      <c r="N356" s="2"/>
      <c r="O356" s="2"/>
      <c r="P356" s="2"/>
      <c r="Q356" s="2"/>
      <c r="R356" s="2"/>
      <c r="S356" s="2"/>
      <c r="T356" s="2"/>
      <c r="U356" s="2"/>
      <c r="V356" s="2"/>
      <c r="W356" s="2"/>
      <c r="X356" s="2"/>
      <c r="Y356" s="2"/>
      <c r="Z356" s="309"/>
      <c r="AA356" s="309"/>
    </row>
    <row r="357" spans="1:27" ht="15.75" customHeight="1">
      <c r="A357" s="900"/>
      <c r="B357" s="2"/>
      <c r="C357" s="2"/>
      <c r="D357" s="2"/>
      <c r="E357" s="2"/>
      <c r="F357" s="2"/>
      <c r="G357" s="2"/>
      <c r="H357" s="2"/>
      <c r="I357" s="2"/>
      <c r="J357" s="2"/>
      <c r="K357" s="2"/>
      <c r="L357" s="2"/>
      <c r="M357" s="2"/>
      <c r="N357" s="2"/>
      <c r="O357" s="2"/>
      <c r="P357" s="2"/>
      <c r="Q357" s="2"/>
      <c r="R357" s="2"/>
      <c r="S357" s="2"/>
      <c r="T357" s="2"/>
      <c r="U357" s="2"/>
      <c r="V357" s="2"/>
      <c r="W357" s="2"/>
      <c r="X357" s="2"/>
      <c r="Y357" s="2"/>
      <c r="Z357" s="309"/>
      <c r="AA357" s="309"/>
    </row>
    <row r="358" spans="1:27" ht="15.75" customHeight="1">
      <c r="A358" s="900"/>
      <c r="B358" s="2"/>
      <c r="C358" s="2"/>
      <c r="D358" s="2"/>
      <c r="E358" s="2"/>
      <c r="F358" s="2"/>
      <c r="G358" s="2"/>
      <c r="H358" s="2"/>
      <c r="I358" s="2"/>
      <c r="J358" s="2"/>
      <c r="K358" s="2"/>
      <c r="L358" s="2"/>
      <c r="M358" s="2"/>
      <c r="N358" s="2"/>
      <c r="O358" s="2"/>
      <c r="P358" s="2"/>
      <c r="Q358" s="2"/>
      <c r="R358" s="2"/>
      <c r="S358" s="2"/>
      <c r="T358" s="2"/>
      <c r="U358" s="2"/>
      <c r="V358" s="2"/>
      <c r="W358" s="2"/>
      <c r="X358" s="2"/>
      <c r="Y358" s="2"/>
      <c r="Z358" s="309"/>
      <c r="AA358" s="309"/>
    </row>
    <row r="359" spans="1:27" ht="15.75" customHeight="1">
      <c r="A359" s="900"/>
      <c r="B359" s="2"/>
      <c r="C359" s="2"/>
      <c r="D359" s="2"/>
      <c r="E359" s="2"/>
      <c r="F359" s="2"/>
      <c r="G359" s="2"/>
      <c r="H359" s="2"/>
      <c r="I359" s="2"/>
      <c r="J359" s="2"/>
      <c r="K359" s="2"/>
      <c r="L359" s="2"/>
      <c r="M359" s="2"/>
      <c r="N359" s="2"/>
      <c r="O359" s="2"/>
      <c r="P359" s="2"/>
      <c r="Q359" s="2"/>
      <c r="R359" s="2"/>
      <c r="S359" s="2"/>
      <c r="T359" s="2"/>
      <c r="U359" s="2"/>
      <c r="V359" s="2"/>
      <c r="W359" s="2"/>
      <c r="X359" s="2"/>
      <c r="Y359" s="2"/>
      <c r="Z359" s="309"/>
      <c r="AA359" s="309"/>
    </row>
    <row r="360" spans="1:27" ht="15.75" customHeight="1">
      <c r="A360" s="900"/>
      <c r="B360" s="2"/>
      <c r="C360" s="2"/>
      <c r="D360" s="2"/>
      <c r="E360" s="2"/>
      <c r="F360" s="2"/>
      <c r="G360" s="2"/>
      <c r="H360" s="2"/>
      <c r="I360" s="2"/>
      <c r="J360" s="2"/>
      <c r="K360" s="2"/>
      <c r="L360" s="2"/>
      <c r="M360" s="2"/>
      <c r="N360" s="2"/>
      <c r="O360" s="2"/>
      <c r="P360" s="2"/>
      <c r="Q360" s="2"/>
      <c r="R360" s="2"/>
      <c r="S360" s="2"/>
      <c r="T360" s="2"/>
      <c r="U360" s="2"/>
      <c r="V360" s="2"/>
      <c r="W360" s="2"/>
      <c r="X360" s="2"/>
      <c r="Y360" s="2"/>
      <c r="Z360" s="309"/>
      <c r="AA360" s="309"/>
    </row>
    <row r="361" spans="1:27" ht="15.75" customHeight="1">
      <c r="A361" s="900"/>
      <c r="B361" s="2"/>
      <c r="C361" s="2"/>
      <c r="D361" s="2"/>
      <c r="E361" s="2"/>
      <c r="F361" s="2"/>
      <c r="G361" s="2"/>
      <c r="H361" s="2"/>
      <c r="I361" s="2"/>
      <c r="J361" s="2"/>
      <c r="K361" s="2"/>
      <c r="L361" s="2"/>
      <c r="M361" s="2"/>
      <c r="N361" s="2"/>
      <c r="O361" s="2"/>
      <c r="P361" s="2"/>
      <c r="Q361" s="2"/>
      <c r="R361" s="2"/>
      <c r="S361" s="2"/>
      <c r="T361" s="2"/>
      <c r="U361" s="2"/>
      <c r="V361" s="2"/>
      <c r="W361" s="2"/>
      <c r="X361" s="2"/>
      <c r="Y361" s="2"/>
      <c r="Z361" s="309"/>
      <c r="AA361" s="309"/>
    </row>
    <row r="362" spans="1:27" ht="15.75" customHeight="1">
      <c r="A362" s="900"/>
      <c r="B362" s="2"/>
      <c r="C362" s="2"/>
      <c r="D362" s="2"/>
      <c r="E362" s="2"/>
      <c r="F362" s="2"/>
      <c r="G362" s="2"/>
      <c r="H362" s="2"/>
      <c r="I362" s="2"/>
      <c r="J362" s="2"/>
      <c r="K362" s="2"/>
      <c r="L362" s="2"/>
      <c r="M362" s="2"/>
      <c r="N362" s="2"/>
      <c r="O362" s="2"/>
      <c r="P362" s="2"/>
      <c r="Q362" s="2"/>
      <c r="R362" s="2"/>
      <c r="S362" s="2"/>
      <c r="T362" s="2"/>
      <c r="U362" s="2"/>
      <c r="V362" s="2"/>
      <c r="W362" s="2"/>
      <c r="X362" s="2"/>
      <c r="Y362" s="2"/>
      <c r="Z362" s="309"/>
      <c r="AA362" s="309"/>
    </row>
    <row r="363" spans="1:27" ht="15.75" customHeight="1">
      <c r="A363" s="900"/>
      <c r="B363" s="2"/>
      <c r="C363" s="2"/>
      <c r="D363" s="2"/>
      <c r="E363" s="2"/>
      <c r="F363" s="2"/>
      <c r="G363" s="309"/>
      <c r="H363" s="309"/>
      <c r="I363" s="309"/>
      <c r="J363" s="309"/>
      <c r="K363" s="309"/>
      <c r="L363" s="309"/>
      <c r="M363" s="309"/>
      <c r="N363" s="309"/>
      <c r="O363" s="309"/>
      <c r="P363" s="309"/>
      <c r="Q363" s="309"/>
      <c r="R363" s="309"/>
      <c r="S363" s="309"/>
      <c r="T363" s="309"/>
      <c r="U363" s="309"/>
      <c r="V363" s="309"/>
      <c r="W363" s="309"/>
      <c r="X363" s="309"/>
      <c r="Y363" s="309"/>
      <c r="Z363" s="309"/>
      <c r="AA363" s="309"/>
    </row>
    <row r="364" spans="1:27" ht="15.75" customHeight="1">
      <c r="B364" s="309"/>
      <c r="C364" s="309"/>
      <c r="D364" s="309"/>
      <c r="E364" s="309"/>
      <c r="F364" s="309"/>
      <c r="G364" s="309"/>
      <c r="H364" s="309"/>
      <c r="I364" s="309"/>
      <c r="J364" s="309"/>
      <c r="K364" s="309"/>
      <c r="L364" s="309"/>
      <c r="M364" s="309"/>
      <c r="N364" s="309"/>
      <c r="O364" s="309"/>
      <c r="P364" s="309"/>
      <c r="Q364" s="309"/>
      <c r="R364" s="309"/>
      <c r="S364" s="309"/>
      <c r="T364" s="309"/>
      <c r="U364" s="309"/>
      <c r="V364" s="309"/>
      <c r="W364" s="309"/>
      <c r="X364" s="309"/>
      <c r="Y364" s="309"/>
      <c r="Z364" s="309"/>
      <c r="AA364" s="309"/>
    </row>
    <row r="365" spans="1:27" ht="15.75" customHeight="1">
      <c r="B365" s="309"/>
      <c r="C365" s="309"/>
      <c r="D365" s="309"/>
      <c r="E365" s="309"/>
      <c r="F365" s="309"/>
      <c r="G365" s="309"/>
      <c r="H365" s="309"/>
      <c r="I365" s="309"/>
      <c r="J365" s="309"/>
      <c r="K365" s="309"/>
      <c r="L365" s="309"/>
      <c r="M365" s="309"/>
      <c r="N365" s="309"/>
      <c r="O365" s="309"/>
      <c r="P365" s="309"/>
      <c r="Q365" s="309"/>
      <c r="R365" s="309"/>
      <c r="S365" s="309"/>
      <c r="T365" s="309"/>
      <c r="U365" s="309"/>
      <c r="V365" s="309"/>
      <c r="W365" s="309"/>
      <c r="X365" s="309"/>
      <c r="Y365" s="309"/>
      <c r="Z365" s="309"/>
      <c r="AA365" s="309"/>
    </row>
    <row r="366" spans="1:27" ht="15.75" customHeight="1">
      <c r="B366" s="309"/>
      <c r="C366" s="309"/>
      <c r="D366" s="309"/>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row>
    <row r="367" spans="1:27" ht="15.75" customHeight="1">
      <c r="B367" s="309"/>
      <c r="C367" s="309"/>
      <c r="D367" s="309"/>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row>
    <row r="368" spans="1:27" ht="15.75" customHeight="1">
      <c r="B368" s="309"/>
      <c r="C368" s="309"/>
      <c r="D368" s="309"/>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row>
    <row r="369" spans="2:27" ht="15.75" customHeight="1">
      <c r="B369" s="309"/>
      <c r="C369" s="309"/>
      <c r="D369" s="309"/>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row>
    <row r="370" spans="2:27" ht="15.75" customHeight="1">
      <c r="B370" s="309"/>
      <c r="C370" s="309"/>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row>
    <row r="371" spans="2:27" ht="15.75" customHeight="1">
      <c r="B371" s="309"/>
      <c r="C371" s="309"/>
      <c r="D371" s="309"/>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row>
    <row r="372" spans="2:27" ht="15.75" customHeight="1">
      <c r="B372" s="309"/>
      <c r="C372" s="309"/>
      <c r="D372" s="309"/>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row>
    <row r="373" spans="2:27" ht="15.75" customHeight="1">
      <c r="B373" s="309"/>
      <c r="C373" s="309"/>
      <c r="D373" s="309"/>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row>
    <row r="374" spans="2:27" ht="15.75" customHeight="1">
      <c r="B374" s="309"/>
      <c r="C374" s="309"/>
      <c r="D374" s="309"/>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row>
    <row r="375" spans="2:27" ht="15.75" customHeight="1">
      <c r="B375" s="309"/>
      <c r="C375" s="309"/>
      <c r="D375" s="309"/>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row>
    <row r="376" spans="2:27" ht="15.75" customHeight="1">
      <c r="B376" s="309"/>
      <c r="C376" s="309"/>
      <c r="D376" s="309"/>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row>
    <row r="377" spans="2:27" ht="15.75" customHeight="1">
      <c r="B377" s="309"/>
      <c r="C377" s="309"/>
      <c r="D377" s="309"/>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row>
    <row r="378" spans="2:27" ht="15.75" customHeight="1">
      <c r="B378" s="309"/>
      <c r="C378" s="309"/>
      <c r="D378" s="309"/>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row>
    <row r="379" spans="2:27" ht="15.75" customHeight="1">
      <c r="B379" s="309"/>
      <c r="C379" s="309"/>
      <c r="D379" s="309"/>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row>
    <row r="380" spans="2:27" ht="15.75" customHeight="1">
      <c r="B380" s="309"/>
      <c r="C380" s="309"/>
      <c r="D380" s="309"/>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row>
    <row r="381" spans="2:27" ht="15.75" customHeight="1">
      <c r="B381" s="309"/>
      <c r="C381" s="309"/>
      <c r="D381" s="309"/>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row>
    <row r="382" spans="2:27" ht="15.75" customHeight="1">
      <c r="B382" s="309"/>
      <c r="C382" s="309"/>
      <c r="D382" s="309"/>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row>
    <row r="383" spans="2:27" ht="15.75" customHeight="1">
      <c r="B383" s="309"/>
      <c r="C383" s="309"/>
      <c r="D383" s="309"/>
      <c r="E383" s="309"/>
      <c r="F383" s="309"/>
      <c r="G383" s="309"/>
      <c r="H383" s="309"/>
      <c r="I383" s="309"/>
      <c r="J383" s="309"/>
      <c r="K383" s="309"/>
      <c r="L383" s="309"/>
      <c r="M383" s="309"/>
      <c r="N383" s="309"/>
      <c r="O383" s="309"/>
      <c r="P383" s="309"/>
      <c r="Q383" s="309"/>
      <c r="R383" s="309"/>
      <c r="S383" s="309"/>
      <c r="T383" s="309"/>
      <c r="U383" s="309"/>
      <c r="V383" s="309"/>
      <c r="W383" s="309"/>
      <c r="X383" s="309"/>
      <c r="Y383" s="309"/>
      <c r="Z383" s="309"/>
      <c r="AA383" s="309"/>
    </row>
    <row r="384" spans="2:27" ht="15.75" customHeight="1">
      <c r="B384" s="309"/>
      <c r="C384" s="309"/>
      <c r="D384" s="309"/>
      <c r="E384" s="309"/>
      <c r="F384" s="309"/>
      <c r="G384" s="309"/>
      <c r="H384" s="309"/>
      <c r="I384" s="309"/>
      <c r="J384" s="309"/>
      <c r="K384" s="309"/>
      <c r="L384" s="309"/>
      <c r="M384" s="309"/>
      <c r="N384" s="309"/>
      <c r="O384" s="309"/>
      <c r="P384" s="309"/>
      <c r="Q384" s="309"/>
      <c r="R384" s="309"/>
      <c r="S384" s="309"/>
      <c r="T384" s="309"/>
      <c r="U384" s="309"/>
      <c r="V384" s="309"/>
      <c r="W384" s="309"/>
      <c r="X384" s="309"/>
      <c r="Y384" s="309"/>
      <c r="Z384" s="309"/>
      <c r="AA384" s="309"/>
    </row>
    <row r="385" spans="2:27" ht="15.75" customHeight="1">
      <c r="B385" s="309"/>
      <c r="C385" s="309"/>
      <c r="D385" s="309"/>
      <c r="E385" s="309"/>
      <c r="F385" s="309"/>
      <c r="G385" s="309"/>
      <c r="H385" s="309"/>
      <c r="I385" s="309"/>
      <c r="J385" s="309"/>
      <c r="K385" s="309"/>
      <c r="L385" s="309"/>
      <c r="M385" s="309"/>
      <c r="N385" s="309"/>
      <c r="O385" s="309"/>
      <c r="P385" s="309"/>
      <c r="Q385" s="309"/>
      <c r="R385" s="309"/>
      <c r="S385" s="309"/>
      <c r="T385" s="309"/>
      <c r="U385" s="309"/>
      <c r="V385" s="309"/>
      <c r="W385" s="309"/>
      <c r="X385" s="309"/>
      <c r="Y385" s="309"/>
      <c r="Z385" s="309"/>
      <c r="AA385" s="309"/>
    </row>
    <row r="386" spans="2:27" ht="15.75" customHeight="1">
      <c r="B386" s="309"/>
      <c r="C386" s="309"/>
      <c r="D386" s="309"/>
      <c r="E386" s="309"/>
      <c r="F386" s="309"/>
      <c r="G386" s="309"/>
      <c r="H386" s="309"/>
      <c r="I386" s="309"/>
      <c r="J386" s="309"/>
      <c r="K386" s="309"/>
      <c r="L386" s="309"/>
      <c r="M386" s="309"/>
      <c r="N386" s="309"/>
      <c r="O386" s="309"/>
      <c r="P386" s="309"/>
      <c r="Q386" s="309"/>
      <c r="R386" s="309"/>
      <c r="S386" s="309"/>
      <c r="T386" s="309"/>
      <c r="U386" s="309"/>
      <c r="V386" s="309"/>
      <c r="W386" s="309"/>
      <c r="X386" s="309"/>
      <c r="Y386" s="309"/>
      <c r="Z386" s="309"/>
      <c r="AA386" s="309"/>
    </row>
    <row r="387" spans="2:27" ht="15.75" customHeight="1">
      <c r="B387" s="309"/>
      <c r="C387" s="309"/>
      <c r="D387" s="309"/>
      <c r="E387" s="309"/>
      <c r="F387" s="309"/>
      <c r="G387" s="309"/>
      <c r="H387" s="309"/>
      <c r="I387" s="309"/>
      <c r="J387" s="309"/>
      <c r="K387" s="309"/>
      <c r="L387" s="309"/>
      <c r="M387" s="309"/>
      <c r="N387" s="309"/>
      <c r="O387" s="309"/>
      <c r="P387" s="309"/>
      <c r="Q387" s="309"/>
      <c r="R387" s="309"/>
      <c r="S387" s="309"/>
      <c r="T387" s="309"/>
      <c r="U387" s="309"/>
      <c r="V387" s="309"/>
      <c r="W387" s="309"/>
      <c r="X387" s="309"/>
      <c r="Y387" s="309"/>
      <c r="Z387" s="309"/>
      <c r="AA387" s="309"/>
    </row>
    <row r="388" spans="2:27" ht="15.75" customHeight="1">
      <c r="B388" s="309"/>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09"/>
      <c r="Z388" s="309"/>
      <c r="AA388" s="309"/>
    </row>
    <row r="389" spans="2:27" ht="15.75" customHeight="1">
      <c r="B389" s="309"/>
      <c r="C389" s="309"/>
      <c r="D389" s="309"/>
      <c r="E389" s="309"/>
      <c r="F389" s="309"/>
      <c r="G389" s="309"/>
      <c r="H389" s="309"/>
      <c r="I389" s="309"/>
      <c r="J389" s="309"/>
      <c r="K389" s="309"/>
      <c r="L389" s="309"/>
      <c r="M389" s="309"/>
      <c r="N389" s="309"/>
      <c r="O389" s="309"/>
      <c r="P389" s="309"/>
      <c r="Q389" s="309"/>
      <c r="R389" s="309"/>
      <c r="S389" s="309"/>
      <c r="T389" s="309"/>
      <c r="U389" s="309"/>
      <c r="V389" s="309"/>
      <c r="W389" s="309"/>
      <c r="X389" s="309"/>
      <c r="Y389" s="309"/>
      <c r="Z389" s="309"/>
      <c r="AA389" s="309"/>
    </row>
    <row r="390" spans="2:27" ht="15.75" customHeight="1">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09"/>
      <c r="X390" s="309"/>
      <c r="Y390" s="309"/>
      <c r="Z390" s="309"/>
      <c r="AA390" s="309"/>
    </row>
    <row r="391" spans="2:27" ht="15.75" customHeight="1">
      <c r="B391" s="309"/>
      <c r="C391" s="309"/>
      <c r="D391" s="309"/>
      <c r="E391" s="309"/>
      <c r="F391" s="309"/>
      <c r="G391" s="309"/>
      <c r="H391" s="309"/>
      <c r="I391" s="309"/>
      <c r="J391" s="309"/>
      <c r="K391" s="309"/>
      <c r="L391" s="309"/>
      <c r="M391" s="309"/>
      <c r="N391" s="309"/>
      <c r="O391" s="309"/>
      <c r="P391" s="309"/>
      <c r="Q391" s="309"/>
      <c r="R391" s="309"/>
      <c r="S391" s="309"/>
      <c r="T391" s="309"/>
      <c r="U391" s="309"/>
      <c r="V391" s="309"/>
      <c r="W391" s="309"/>
      <c r="X391" s="309"/>
      <c r="Y391" s="309"/>
      <c r="Z391" s="309"/>
      <c r="AA391" s="309"/>
    </row>
    <row r="392" spans="2:27" ht="15.75" customHeight="1">
      <c r="B392" s="309"/>
      <c r="C392" s="309"/>
      <c r="D392" s="309"/>
      <c r="E392" s="309"/>
      <c r="F392" s="309"/>
      <c r="G392" s="309"/>
      <c r="H392" s="309"/>
      <c r="I392" s="309"/>
      <c r="J392" s="309"/>
      <c r="K392" s="309"/>
      <c r="L392" s="309"/>
      <c r="M392" s="309"/>
      <c r="N392" s="309"/>
      <c r="O392" s="309"/>
      <c r="P392" s="309"/>
      <c r="Q392" s="309"/>
      <c r="R392" s="309"/>
      <c r="S392" s="309"/>
      <c r="T392" s="309"/>
      <c r="U392" s="309"/>
      <c r="V392" s="309"/>
      <c r="W392" s="309"/>
      <c r="X392" s="309"/>
      <c r="Y392" s="309"/>
      <c r="Z392" s="309"/>
      <c r="AA392" s="309"/>
    </row>
    <row r="393" spans="2:27" ht="15.75" customHeight="1">
      <c r="B393" s="309"/>
      <c r="C393" s="309"/>
      <c r="D393" s="309"/>
      <c r="E393" s="309"/>
      <c r="F393" s="309"/>
      <c r="G393" s="309"/>
      <c r="H393" s="309"/>
      <c r="I393" s="309"/>
      <c r="J393" s="309"/>
      <c r="K393" s="309"/>
      <c r="L393" s="309"/>
      <c r="M393" s="309"/>
      <c r="N393" s="309"/>
      <c r="O393" s="309"/>
      <c r="P393" s="309"/>
      <c r="Q393" s="309"/>
      <c r="R393" s="309"/>
      <c r="S393" s="309"/>
      <c r="T393" s="309"/>
      <c r="U393" s="309"/>
      <c r="V393" s="309"/>
      <c r="W393" s="309"/>
      <c r="X393" s="309"/>
      <c r="Y393" s="309"/>
      <c r="Z393" s="309"/>
      <c r="AA393" s="309"/>
    </row>
    <row r="394" spans="2:27" ht="15.75" customHeight="1">
      <c r="B394" s="309"/>
      <c r="C394" s="309"/>
      <c r="D394" s="309"/>
      <c r="E394" s="309"/>
      <c r="F394" s="309"/>
      <c r="G394" s="309"/>
      <c r="H394" s="309"/>
      <c r="I394" s="309"/>
      <c r="J394" s="309"/>
      <c r="K394" s="309"/>
      <c r="L394" s="309"/>
      <c r="M394" s="309"/>
      <c r="N394" s="309"/>
      <c r="O394" s="309"/>
      <c r="P394" s="309"/>
      <c r="Q394" s="309"/>
      <c r="R394" s="309"/>
      <c r="S394" s="309"/>
      <c r="T394" s="309"/>
      <c r="U394" s="309"/>
      <c r="V394" s="309"/>
      <c r="W394" s="309"/>
      <c r="X394" s="309"/>
      <c r="Y394" s="309"/>
      <c r="Z394" s="309"/>
      <c r="AA394" s="309"/>
    </row>
    <row r="395" spans="2:27" ht="15.75" customHeight="1">
      <c r="B395" s="309"/>
      <c r="C395" s="309"/>
      <c r="D395" s="309"/>
      <c r="E395" s="309"/>
      <c r="F395" s="309"/>
      <c r="G395" s="309"/>
      <c r="H395" s="309"/>
      <c r="I395" s="309"/>
      <c r="J395" s="309"/>
      <c r="K395" s="309"/>
      <c r="L395" s="309"/>
      <c r="M395" s="309"/>
      <c r="N395" s="309"/>
      <c r="O395" s="309"/>
      <c r="P395" s="309"/>
      <c r="Q395" s="309"/>
      <c r="R395" s="309"/>
      <c r="S395" s="309"/>
      <c r="T395" s="309"/>
      <c r="U395" s="309"/>
      <c r="V395" s="309"/>
      <c r="W395" s="309"/>
      <c r="X395" s="309"/>
      <c r="Y395" s="309"/>
      <c r="Z395" s="309"/>
      <c r="AA395" s="309"/>
    </row>
    <row r="396" spans="2:27" ht="15.75" customHeight="1">
      <c r="B396" s="309"/>
      <c r="C396" s="309"/>
      <c r="D396" s="309"/>
      <c r="E396" s="309"/>
      <c r="F396" s="309"/>
      <c r="G396" s="309"/>
      <c r="H396" s="309"/>
      <c r="I396" s="309"/>
      <c r="J396" s="309"/>
      <c r="K396" s="309"/>
      <c r="L396" s="309"/>
      <c r="M396" s="309"/>
      <c r="N396" s="309"/>
      <c r="O396" s="309"/>
      <c r="P396" s="309"/>
      <c r="Q396" s="309"/>
      <c r="R396" s="309"/>
      <c r="S396" s="309"/>
      <c r="T396" s="309"/>
      <c r="U396" s="309"/>
      <c r="V396" s="309"/>
      <c r="W396" s="309"/>
      <c r="X396" s="309"/>
      <c r="Y396" s="309"/>
      <c r="Z396" s="309"/>
      <c r="AA396" s="309"/>
    </row>
    <row r="397" spans="2:27" ht="15.75" customHeight="1">
      <c r="B397" s="309"/>
      <c r="C397" s="309"/>
      <c r="D397" s="309"/>
      <c r="E397" s="309"/>
      <c r="F397" s="309"/>
      <c r="G397" s="309"/>
      <c r="H397" s="309"/>
      <c r="I397" s="309"/>
      <c r="J397" s="309"/>
      <c r="K397" s="309"/>
      <c r="L397" s="309"/>
      <c r="M397" s="309"/>
      <c r="N397" s="309"/>
      <c r="O397" s="309"/>
      <c r="P397" s="309"/>
      <c r="Q397" s="309"/>
      <c r="R397" s="309"/>
      <c r="S397" s="309"/>
      <c r="T397" s="309"/>
      <c r="U397" s="309"/>
      <c r="V397" s="309"/>
      <c r="W397" s="309"/>
      <c r="X397" s="309"/>
      <c r="Y397" s="309"/>
      <c r="Z397" s="309"/>
      <c r="AA397" s="309"/>
    </row>
    <row r="398" spans="2:27" ht="15.75" customHeight="1">
      <c r="B398" s="309"/>
      <c r="C398" s="309"/>
      <c r="D398" s="309"/>
      <c r="E398" s="309"/>
      <c r="F398" s="309"/>
      <c r="G398" s="309"/>
      <c r="H398" s="309"/>
      <c r="I398" s="309"/>
      <c r="J398" s="309"/>
      <c r="K398" s="309"/>
      <c r="L398" s="309"/>
      <c r="M398" s="309"/>
      <c r="N398" s="309"/>
      <c r="O398" s="309"/>
      <c r="P398" s="309"/>
      <c r="Q398" s="309"/>
      <c r="R398" s="309"/>
      <c r="S398" s="309"/>
      <c r="T398" s="309"/>
      <c r="U398" s="309"/>
      <c r="V398" s="309"/>
      <c r="W398" s="309"/>
      <c r="X398" s="309"/>
      <c r="Y398" s="309"/>
      <c r="Z398" s="309"/>
      <c r="AA398" s="309"/>
    </row>
    <row r="399" spans="2:27" ht="15.75" customHeight="1">
      <c r="B399" s="309"/>
      <c r="C399" s="309"/>
      <c r="D399" s="309"/>
      <c r="E399" s="309"/>
      <c r="F399" s="309"/>
      <c r="G399" s="309"/>
      <c r="H399" s="309"/>
      <c r="I399" s="309"/>
      <c r="J399" s="309"/>
      <c r="K399" s="309"/>
      <c r="L399" s="309"/>
      <c r="M399" s="309"/>
      <c r="N399" s="309"/>
      <c r="O399" s="309"/>
      <c r="P399" s="309"/>
      <c r="Q399" s="309"/>
      <c r="R399" s="309"/>
      <c r="S399" s="309"/>
      <c r="T399" s="309"/>
      <c r="U399" s="309"/>
      <c r="V399" s="309"/>
      <c r="W399" s="309"/>
      <c r="X399" s="309"/>
      <c r="Y399" s="309"/>
      <c r="Z399" s="309"/>
      <c r="AA399" s="309"/>
    </row>
    <row r="400" spans="2:27" ht="15.75" customHeight="1">
      <c r="B400" s="309"/>
      <c r="C400" s="309"/>
      <c r="D400" s="309"/>
      <c r="E400" s="309"/>
      <c r="F400" s="309"/>
      <c r="G400" s="309"/>
      <c r="H400" s="309"/>
      <c r="I400" s="309"/>
      <c r="J400" s="309"/>
      <c r="K400" s="309"/>
      <c r="L400" s="309"/>
      <c r="M400" s="309"/>
      <c r="N400" s="309"/>
      <c r="O400" s="309"/>
      <c r="P400" s="309"/>
      <c r="Q400" s="309"/>
      <c r="R400" s="309"/>
      <c r="S400" s="309"/>
      <c r="T400" s="309"/>
      <c r="U400" s="309"/>
      <c r="V400" s="309"/>
      <c r="W400" s="309"/>
      <c r="X400" s="309"/>
      <c r="Y400" s="309"/>
      <c r="Z400" s="309"/>
      <c r="AA400" s="309"/>
    </row>
    <row r="401" spans="2:27" ht="15.75" customHeight="1">
      <c r="B401" s="309"/>
      <c r="C401" s="309"/>
      <c r="D401" s="309"/>
      <c r="E401" s="309"/>
      <c r="F401" s="309"/>
      <c r="G401" s="309"/>
      <c r="H401" s="309"/>
      <c r="I401" s="309"/>
      <c r="J401" s="309"/>
      <c r="K401" s="309"/>
      <c r="L401" s="309"/>
      <c r="M401" s="309"/>
      <c r="N401" s="309"/>
      <c r="O401" s="309"/>
      <c r="P401" s="309"/>
      <c r="Q401" s="309"/>
      <c r="R401" s="309"/>
      <c r="S401" s="309"/>
      <c r="T401" s="309"/>
      <c r="U401" s="309"/>
      <c r="V401" s="309"/>
      <c r="W401" s="309"/>
      <c r="X401" s="309"/>
      <c r="Y401" s="309"/>
      <c r="Z401" s="309"/>
      <c r="AA401" s="309"/>
    </row>
    <row r="402" spans="2:27" ht="15.75" customHeight="1">
      <c r="B402" s="309"/>
      <c r="C402" s="309"/>
      <c r="D402" s="309"/>
      <c r="E402" s="309"/>
      <c r="F402" s="309"/>
      <c r="G402" s="309"/>
      <c r="H402" s="309"/>
      <c r="I402" s="309"/>
      <c r="J402" s="309"/>
      <c r="K402" s="309"/>
      <c r="L402" s="309"/>
      <c r="M402" s="309"/>
      <c r="N402" s="309"/>
      <c r="O402" s="309"/>
      <c r="P402" s="309"/>
      <c r="Q402" s="309"/>
      <c r="R402" s="309"/>
      <c r="S402" s="309"/>
      <c r="T402" s="309"/>
      <c r="U402" s="309"/>
      <c r="V402" s="309"/>
      <c r="W402" s="309"/>
      <c r="X402" s="309"/>
      <c r="Y402" s="309"/>
      <c r="Z402" s="309"/>
      <c r="AA402" s="309"/>
    </row>
    <row r="403" spans="2:27" ht="15.75" customHeight="1">
      <c r="B403" s="309"/>
      <c r="C403" s="309"/>
      <c r="D403" s="309"/>
      <c r="E403" s="309"/>
      <c r="F403" s="309"/>
      <c r="G403" s="309"/>
      <c r="H403" s="309"/>
      <c r="I403" s="309"/>
      <c r="J403" s="309"/>
      <c r="K403" s="309"/>
      <c r="L403" s="309"/>
      <c r="M403" s="309"/>
      <c r="N403" s="309"/>
      <c r="O403" s="309"/>
      <c r="P403" s="309"/>
      <c r="Q403" s="309"/>
      <c r="R403" s="309"/>
      <c r="S403" s="309"/>
      <c r="T403" s="309"/>
      <c r="U403" s="309"/>
      <c r="V403" s="309"/>
      <c r="W403" s="309"/>
      <c r="X403" s="309"/>
      <c r="Y403" s="309"/>
      <c r="Z403" s="309"/>
      <c r="AA403" s="309"/>
    </row>
    <row r="404" spans="2:27" ht="15.75" customHeight="1">
      <c r="B404" s="309"/>
      <c r="C404" s="309"/>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09"/>
      <c r="AA404" s="309"/>
    </row>
    <row r="405" spans="2:27" ht="15.75" customHeight="1">
      <c r="B405" s="309"/>
      <c r="C405" s="309"/>
      <c r="D405" s="309"/>
      <c r="E405" s="309"/>
      <c r="F405" s="309"/>
      <c r="G405" s="309"/>
      <c r="H405" s="309"/>
      <c r="I405" s="309"/>
      <c r="J405" s="309"/>
      <c r="K405" s="309"/>
      <c r="L405" s="309"/>
      <c r="M405" s="309"/>
      <c r="N405" s="309"/>
      <c r="O405" s="309"/>
      <c r="P405" s="309"/>
      <c r="Q405" s="309"/>
      <c r="R405" s="309"/>
      <c r="S405" s="309"/>
      <c r="T405" s="309"/>
      <c r="U405" s="309"/>
      <c r="V405" s="309"/>
      <c r="W405" s="309"/>
      <c r="X405" s="309"/>
      <c r="Y405" s="309"/>
      <c r="Z405" s="309"/>
      <c r="AA405" s="309"/>
    </row>
    <row r="406" spans="2:27" ht="15.75" customHeight="1">
      <c r="B406" s="309"/>
      <c r="C406" s="309"/>
      <c r="D406" s="309"/>
      <c r="E406" s="309"/>
      <c r="F406" s="309"/>
      <c r="G406" s="309"/>
      <c r="H406" s="309"/>
      <c r="I406" s="309"/>
      <c r="J406" s="309"/>
      <c r="K406" s="309"/>
      <c r="L406" s="309"/>
      <c r="M406" s="309"/>
      <c r="N406" s="309"/>
      <c r="O406" s="309"/>
      <c r="P406" s="309"/>
      <c r="Q406" s="309"/>
      <c r="R406" s="309"/>
      <c r="S406" s="309"/>
      <c r="T406" s="309"/>
      <c r="U406" s="309"/>
      <c r="V406" s="309"/>
      <c r="W406" s="309"/>
      <c r="X406" s="309"/>
      <c r="Y406" s="309"/>
      <c r="Z406" s="309"/>
      <c r="AA406" s="309"/>
    </row>
    <row r="407" spans="2:27" ht="15.75" customHeight="1">
      <c r="B407" s="309"/>
      <c r="C407" s="309"/>
      <c r="D407" s="309"/>
      <c r="E407" s="309"/>
      <c r="F407" s="309"/>
      <c r="G407" s="309"/>
      <c r="H407" s="309"/>
      <c r="I407" s="309"/>
      <c r="J407" s="309"/>
      <c r="K407" s="309"/>
      <c r="L407" s="309"/>
      <c r="M407" s="309"/>
      <c r="N407" s="309"/>
      <c r="O407" s="309"/>
      <c r="P407" s="309"/>
      <c r="Q407" s="309"/>
      <c r="R407" s="309"/>
      <c r="S407" s="309"/>
      <c r="T407" s="309"/>
      <c r="U407" s="309"/>
      <c r="V407" s="309"/>
      <c r="W407" s="309"/>
      <c r="X407" s="309"/>
      <c r="Y407" s="309"/>
      <c r="Z407" s="309"/>
      <c r="AA407" s="309"/>
    </row>
    <row r="408" spans="2:27" ht="15.75" customHeight="1">
      <c r="B408" s="309"/>
      <c r="C408" s="309"/>
      <c r="D408" s="309"/>
      <c r="E408" s="309"/>
      <c r="F408" s="309"/>
      <c r="G408" s="309"/>
      <c r="H408" s="309"/>
      <c r="I408" s="309"/>
      <c r="J408" s="309"/>
      <c r="K408" s="309"/>
      <c r="L408" s="309"/>
      <c r="M408" s="309"/>
      <c r="N408" s="309"/>
      <c r="O408" s="309"/>
      <c r="P408" s="309"/>
      <c r="Q408" s="309"/>
      <c r="R408" s="309"/>
      <c r="S408" s="309"/>
      <c r="T408" s="309"/>
      <c r="U408" s="309"/>
      <c r="V408" s="309"/>
      <c r="W408" s="309"/>
      <c r="X408" s="309"/>
      <c r="Y408" s="309"/>
      <c r="Z408" s="309"/>
      <c r="AA408" s="309"/>
    </row>
    <row r="409" spans="2:27" ht="15.75" customHeight="1">
      <c r="B409" s="309"/>
      <c r="C409" s="309"/>
      <c r="D409" s="309"/>
      <c r="E409" s="309"/>
      <c r="F409" s="309"/>
      <c r="G409" s="309"/>
      <c r="H409" s="309"/>
      <c r="I409" s="309"/>
      <c r="J409" s="309"/>
      <c r="K409" s="309"/>
      <c r="L409" s="309"/>
      <c r="M409" s="309"/>
      <c r="N409" s="309"/>
      <c r="O409" s="309"/>
      <c r="P409" s="309"/>
      <c r="Q409" s="309"/>
      <c r="R409" s="309"/>
      <c r="S409" s="309"/>
      <c r="T409" s="309"/>
      <c r="U409" s="309"/>
      <c r="V409" s="309"/>
      <c r="W409" s="309"/>
      <c r="X409" s="309"/>
      <c r="Y409" s="309"/>
      <c r="Z409" s="309"/>
      <c r="AA409" s="309"/>
    </row>
    <row r="410" spans="2:27" ht="15.75" customHeight="1">
      <c r="B410" s="309"/>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row>
    <row r="411" spans="2:27" ht="15.75" customHeight="1">
      <c r="B411" s="309"/>
      <c r="C411" s="309"/>
      <c r="D411" s="309"/>
      <c r="E411" s="309"/>
      <c r="F411" s="309"/>
      <c r="G411" s="309"/>
      <c r="H411" s="309"/>
      <c r="I411" s="309"/>
      <c r="J411" s="309"/>
      <c r="K411" s="309"/>
      <c r="L411" s="309"/>
      <c r="M411" s="309"/>
      <c r="N411" s="309"/>
      <c r="O411" s="309"/>
      <c r="P411" s="309"/>
      <c r="Q411" s="309"/>
      <c r="R411" s="309"/>
      <c r="S411" s="309"/>
      <c r="T411" s="309"/>
      <c r="U411" s="309"/>
      <c r="V411" s="309"/>
      <c r="W411" s="309"/>
      <c r="X411" s="309"/>
      <c r="Y411" s="309"/>
      <c r="Z411" s="309"/>
      <c r="AA411" s="309"/>
    </row>
    <row r="412" spans="2:27" ht="15.75" customHeight="1">
      <c r="B412" s="309"/>
      <c r="C412" s="309"/>
      <c r="D412" s="309"/>
      <c r="E412" s="309"/>
      <c r="F412" s="309"/>
      <c r="G412" s="309"/>
      <c r="H412" s="309"/>
      <c r="I412" s="309"/>
      <c r="J412" s="309"/>
      <c r="K412" s="309"/>
      <c r="L412" s="309"/>
      <c r="M412" s="309"/>
      <c r="N412" s="309"/>
      <c r="O412" s="309"/>
      <c r="P412" s="309"/>
      <c r="Q412" s="309"/>
      <c r="R412" s="309"/>
      <c r="S412" s="309"/>
      <c r="T412" s="309"/>
      <c r="U412" s="309"/>
      <c r="V412" s="309"/>
      <c r="W412" s="309"/>
      <c r="X412" s="309"/>
      <c r="Y412" s="309"/>
      <c r="Z412" s="309"/>
      <c r="AA412" s="309"/>
    </row>
    <row r="413" spans="2:27" ht="15.75" customHeight="1">
      <c r="B413" s="309"/>
      <c r="C413" s="309"/>
      <c r="D413" s="309"/>
      <c r="E413" s="309"/>
      <c r="F413" s="309"/>
      <c r="G413" s="309"/>
      <c r="H413" s="309"/>
      <c r="I413" s="309"/>
      <c r="J413" s="309"/>
      <c r="K413" s="309"/>
      <c r="L413" s="309"/>
      <c r="M413" s="309"/>
      <c r="N413" s="309"/>
      <c r="O413" s="309"/>
      <c r="P413" s="309"/>
      <c r="Q413" s="309"/>
      <c r="R413" s="309"/>
      <c r="S413" s="309"/>
      <c r="T413" s="309"/>
      <c r="U413" s="309"/>
      <c r="V413" s="309"/>
      <c r="W413" s="309"/>
      <c r="X413" s="309"/>
      <c r="Y413" s="309"/>
      <c r="Z413" s="309"/>
      <c r="AA413" s="309"/>
    </row>
    <row r="414" spans="2:27" ht="15.75" customHeight="1">
      <c r="B414" s="309"/>
      <c r="C414" s="309"/>
      <c r="D414" s="309"/>
      <c r="E414" s="309"/>
      <c r="F414" s="309"/>
      <c r="G414" s="309"/>
      <c r="H414" s="309"/>
      <c r="I414" s="309"/>
      <c r="J414" s="309"/>
      <c r="K414" s="309"/>
      <c r="L414" s="309"/>
      <c r="M414" s="309"/>
      <c r="N414" s="309"/>
      <c r="O414" s="309"/>
      <c r="P414" s="309"/>
      <c r="Q414" s="309"/>
      <c r="R414" s="309"/>
      <c r="S414" s="309"/>
      <c r="T414" s="309"/>
      <c r="U414" s="309"/>
      <c r="V414" s="309"/>
      <c r="W414" s="309"/>
      <c r="X414" s="309"/>
      <c r="Y414" s="309"/>
      <c r="Z414" s="309"/>
      <c r="AA414" s="309"/>
    </row>
    <row r="415" spans="2:27" ht="15.75" customHeight="1">
      <c r="B415" s="309"/>
      <c r="C415" s="309"/>
      <c r="D415" s="309"/>
      <c r="E415" s="309"/>
      <c r="F415" s="309"/>
      <c r="G415" s="309"/>
      <c r="H415" s="309"/>
      <c r="I415" s="309"/>
      <c r="J415" s="309"/>
      <c r="K415" s="309"/>
      <c r="L415" s="309"/>
      <c r="M415" s="309"/>
      <c r="N415" s="309"/>
      <c r="O415" s="309"/>
      <c r="P415" s="309"/>
      <c r="Q415" s="309"/>
      <c r="R415" s="309"/>
      <c r="S415" s="309"/>
      <c r="T415" s="309"/>
      <c r="U415" s="309"/>
      <c r="V415" s="309"/>
      <c r="W415" s="309"/>
      <c r="X415" s="309"/>
      <c r="Y415" s="309"/>
      <c r="Z415" s="309"/>
      <c r="AA415" s="309"/>
    </row>
    <row r="416" spans="2:27" ht="15.75" customHeight="1">
      <c r="B416" s="309"/>
      <c r="C416" s="309"/>
      <c r="D416" s="309"/>
      <c r="E416" s="309"/>
      <c r="F416" s="309"/>
      <c r="G416" s="309"/>
      <c r="H416" s="309"/>
      <c r="I416" s="309"/>
      <c r="J416" s="309"/>
      <c r="K416" s="309"/>
      <c r="L416" s="309"/>
      <c r="M416" s="309"/>
      <c r="N416" s="309"/>
      <c r="O416" s="309"/>
      <c r="P416" s="309"/>
      <c r="Q416" s="309"/>
      <c r="R416" s="309"/>
      <c r="S416" s="309"/>
      <c r="T416" s="309"/>
      <c r="U416" s="309"/>
      <c r="V416" s="309"/>
      <c r="W416" s="309"/>
      <c r="X416" s="309"/>
      <c r="Y416" s="309"/>
      <c r="Z416" s="309"/>
      <c r="AA416" s="309"/>
    </row>
    <row r="417" spans="2:27" ht="15.75" customHeight="1">
      <c r="B417" s="309"/>
      <c r="C417" s="309"/>
      <c r="D417" s="309"/>
      <c r="E417" s="309"/>
      <c r="F417" s="309"/>
      <c r="G417" s="309"/>
      <c r="H417" s="309"/>
      <c r="I417" s="309"/>
      <c r="J417" s="309"/>
      <c r="K417" s="309"/>
      <c r="L417" s="309"/>
      <c r="M417" s="309"/>
      <c r="N417" s="309"/>
      <c r="O417" s="309"/>
      <c r="P417" s="309"/>
      <c r="Q417" s="309"/>
      <c r="R417" s="309"/>
      <c r="S417" s="309"/>
      <c r="T417" s="309"/>
      <c r="U417" s="309"/>
      <c r="V417" s="309"/>
      <c r="W417" s="309"/>
      <c r="X417" s="309"/>
      <c r="Y417" s="309"/>
      <c r="Z417" s="309"/>
      <c r="AA417" s="309"/>
    </row>
    <row r="418" spans="2:27" ht="15.75" customHeight="1">
      <c r="B418" s="309"/>
      <c r="C418" s="309"/>
      <c r="D418" s="309"/>
      <c r="E418" s="309"/>
      <c r="F418" s="309"/>
      <c r="G418" s="309"/>
      <c r="H418" s="309"/>
      <c r="I418" s="309"/>
      <c r="J418" s="309"/>
      <c r="K418" s="309"/>
      <c r="L418" s="309"/>
      <c r="M418" s="309"/>
      <c r="N418" s="309"/>
      <c r="O418" s="309"/>
      <c r="P418" s="309"/>
      <c r="Q418" s="309"/>
      <c r="R418" s="309"/>
      <c r="S418" s="309"/>
      <c r="T418" s="309"/>
      <c r="U418" s="309"/>
      <c r="V418" s="309"/>
      <c r="W418" s="309"/>
      <c r="X418" s="309"/>
      <c r="Y418" s="309"/>
      <c r="Z418" s="309"/>
      <c r="AA418" s="309"/>
    </row>
    <row r="419" spans="2:27" ht="15.75" customHeight="1">
      <c r="B419" s="309"/>
      <c r="C419" s="309"/>
      <c r="D419" s="309"/>
      <c r="E419" s="309"/>
      <c r="F419" s="309"/>
      <c r="G419" s="309"/>
      <c r="H419" s="309"/>
      <c r="I419" s="309"/>
      <c r="J419" s="309"/>
      <c r="K419" s="309"/>
      <c r="L419" s="309"/>
      <c r="M419" s="309"/>
      <c r="N419" s="309"/>
      <c r="O419" s="309"/>
      <c r="P419" s="309"/>
      <c r="Q419" s="309"/>
      <c r="R419" s="309"/>
      <c r="S419" s="309"/>
      <c r="T419" s="309"/>
      <c r="U419" s="309"/>
      <c r="V419" s="309"/>
      <c r="W419" s="309"/>
      <c r="X419" s="309"/>
      <c r="Y419" s="309"/>
      <c r="Z419" s="309"/>
      <c r="AA419" s="309"/>
    </row>
    <row r="420" spans="2:27" ht="15.75" customHeight="1">
      <c r="B420" s="309"/>
      <c r="C420" s="309"/>
      <c r="D420" s="309"/>
      <c r="E420" s="309"/>
      <c r="F420" s="309"/>
      <c r="G420" s="309"/>
      <c r="H420" s="309"/>
      <c r="I420" s="309"/>
      <c r="J420" s="309"/>
      <c r="K420" s="309"/>
      <c r="L420" s="309"/>
      <c r="M420" s="309"/>
      <c r="N420" s="309"/>
      <c r="O420" s="309"/>
      <c r="P420" s="309"/>
      <c r="Q420" s="309"/>
      <c r="R420" s="309"/>
      <c r="S420" s="309"/>
      <c r="T420" s="309"/>
      <c r="U420" s="309"/>
      <c r="V420" s="309"/>
      <c r="W420" s="309"/>
      <c r="X420" s="309"/>
      <c r="Y420" s="309"/>
      <c r="Z420" s="309"/>
      <c r="AA420" s="309"/>
    </row>
    <row r="421" spans="2:27" ht="15.75" customHeight="1">
      <c r="B421" s="309"/>
      <c r="C421" s="309"/>
      <c r="D421" s="309"/>
      <c r="E421" s="309"/>
      <c r="F421" s="309"/>
      <c r="G421" s="309"/>
      <c r="H421" s="309"/>
      <c r="I421" s="309"/>
      <c r="J421" s="309"/>
      <c r="K421" s="309"/>
      <c r="L421" s="309"/>
      <c r="M421" s="309"/>
      <c r="N421" s="309"/>
      <c r="O421" s="309"/>
      <c r="P421" s="309"/>
      <c r="Q421" s="309"/>
      <c r="R421" s="309"/>
      <c r="S421" s="309"/>
      <c r="T421" s="309"/>
      <c r="U421" s="309"/>
      <c r="V421" s="309"/>
      <c r="W421" s="309"/>
      <c r="X421" s="309"/>
      <c r="Y421" s="309"/>
      <c r="Z421" s="309"/>
      <c r="AA421" s="309"/>
    </row>
    <row r="422" spans="2:27" ht="15.75" customHeight="1">
      <c r="B422" s="309"/>
      <c r="C422" s="309"/>
      <c r="D422" s="309"/>
      <c r="E422" s="309"/>
      <c r="F422" s="309"/>
      <c r="G422" s="309"/>
      <c r="H422" s="309"/>
      <c r="I422" s="309"/>
      <c r="J422" s="309"/>
      <c r="K422" s="309"/>
      <c r="L422" s="309"/>
      <c r="M422" s="309"/>
      <c r="N422" s="309"/>
      <c r="O422" s="309"/>
      <c r="P422" s="309"/>
      <c r="Q422" s="309"/>
      <c r="R422" s="309"/>
      <c r="S422" s="309"/>
      <c r="T422" s="309"/>
      <c r="U422" s="309"/>
      <c r="V422" s="309"/>
      <c r="W422" s="309"/>
      <c r="X422" s="309"/>
      <c r="Y422" s="309"/>
      <c r="Z422" s="309"/>
      <c r="AA422" s="309"/>
    </row>
    <row r="423" spans="2:27" ht="15.75" customHeight="1">
      <c r="B423" s="309"/>
      <c r="C423" s="309"/>
      <c r="D423" s="309"/>
      <c r="E423" s="309"/>
      <c r="F423" s="309"/>
      <c r="G423" s="309"/>
      <c r="H423" s="309"/>
      <c r="I423" s="309"/>
      <c r="J423" s="309"/>
      <c r="K423" s="309"/>
      <c r="L423" s="309"/>
      <c r="M423" s="309"/>
      <c r="N423" s="309"/>
      <c r="O423" s="309"/>
      <c r="P423" s="309"/>
      <c r="Q423" s="309"/>
      <c r="R423" s="309"/>
      <c r="S423" s="309"/>
      <c r="T423" s="309"/>
      <c r="U423" s="309"/>
      <c r="V423" s="309"/>
      <c r="W423" s="309"/>
      <c r="X423" s="309"/>
      <c r="Y423" s="309"/>
      <c r="Z423" s="309"/>
      <c r="AA423" s="309"/>
    </row>
    <row r="424" spans="2:27" ht="15.75" customHeight="1">
      <c r="B424" s="309"/>
      <c r="C424" s="309"/>
      <c r="D424" s="309"/>
      <c r="E424" s="309"/>
      <c r="F424" s="309"/>
      <c r="G424" s="309"/>
      <c r="H424" s="309"/>
      <c r="I424" s="309"/>
      <c r="J424" s="309"/>
      <c r="K424" s="309"/>
      <c r="L424" s="309"/>
      <c r="M424" s="309"/>
      <c r="N424" s="309"/>
      <c r="O424" s="309"/>
      <c r="P424" s="309"/>
      <c r="Q424" s="309"/>
      <c r="R424" s="309"/>
      <c r="S424" s="309"/>
      <c r="T424" s="309"/>
      <c r="U424" s="309"/>
      <c r="V424" s="309"/>
      <c r="W424" s="309"/>
      <c r="X424" s="309"/>
      <c r="Y424" s="309"/>
      <c r="Z424" s="309"/>
      <c r="AA424" s="309"/>
    </row>
    <row r="425" spans="2:27" ht="15.75" customHeight="1">
      <c r="B425" s="309"/>
      <c r="C425" s="309"/>
      <c r="D425" s="309"/>
      <c r="E425" s="309"/>
      <c r="F425" s="309"/>
      <c r="G425" s="309"/>
      <c r="H425" s="309"/>
      <c r="I425" s="309"/>
      <c r="J425" s="309"/>
      <c r="K425" s="309"/>
      <c r="L425" s="309"/>
      <c r="M425" s="309"/>
      <c r="N425" s="309"/>
      <c r="O425" s="309"/>
      <c r="P425" s="309"/>
      <c r="Q425" s="309"/>
      <c r="R425" s="309"/>
      <c r="S425" s="309"/>
      <c r="T425" s="309"/>
      <c r="U425" s="309"/>
      <c r="V425" s="309"/>
      <c r="W425" s="309"/>
      <c r="X425" s="309"/>
      <c r="Y425" s="309"/>
      <c r="Z425" s="309"/>
      <c r="AA425" s="309"/>
    </row>
    <row r="426" spans="2:27" ht="15.75" customHeight="1">
      <c r="B426" s="309"/>
      <c r="C426" s="309"/>
      <c r="D426" s="309"/>
      <c r="E426" s="309"/>
      <c r="F426" s="309"/>
      <c r="G426" s="309"/>
      <c r="H426" s="309"/>
      <c r="I426" s="309"/>
      <c r="J426" s="309"/>
      <c r="K426" s="309"/>
      <c r="L426" s="309"/>
      <c r="M426" s="309"/>
      <c r="N426" s="309"/>
      <c r="O426" s="309"/>
      <c r="P426" s="309"/>
      <c r="Q426" s="309"/>
      <c r="R426" s="309"/>
      <c r="S426" s="309"/>
      <c r="T426" s="309"/>
      <c r="U426" s="309"/>
      <c r="V426" s="309"/>
      <c r="W426" s="309"/>
      <c r="X426" s="309"/>
      <c r="Y426" s="309"/>
      <c r="Z426" s="309"/>
      <c r="AA426" s="309"/>
    </row>
    <row r="427" spans="2:27" ht="15.75" customHeight="1">
      <c r="B427" s="309"/>
      <c r="C427" s="309"/>
      <c r="D427" s="309"/>
      <c r="E427" s="309"/>
      <c r="F427" s="309"/>
      <c r="G427" s="309"/>
      <c r="H427" s="309"/>
      <c r="I427" s="309"/>
      <c r="J427" s="309"/>
      <c r="K427" s="309"/>
      <c r="L427" s="309"/>
      <c r="M427" s="309"/>
      <c r="N427" s="309"/>
      <c r="O427" s="309"/>
      <c r="P427" s="309"/>
      <c r="Q427" s="309"/>
      <c r="R427" s="309"/>
      <c r="S427" s="309"/>
      <c r="T427" s="309"/>
      <c r="U427" s="309"/>
      <c r="V427" s="309"/>
      <c r="W427" s="309"/>
      <c r="X427" s="309"/>
      <c r="Y427" s="309"/>
      <c r="Z427" s="309"/>
      <c r="AA427" s="309"/>
    </row>
    <row r="428" spans="2:27" ht="15.75" customHeight="1">
      <c r="B428" s="309"/>
      <c r="C428" s="309"/>
      <c r="D428" s="309"/>
      <c r="E428" s="309"/>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row>
    <row r="429" spans="2:27" ht="15.75" customHeight="1">
      <c r="B429" s="309"/>
      <c r="C429" s="309"/>
      <c r="D429" s="309"/>
      <c r="E429" s="309"/>
      <c r="F429" s="309"/>
      <c r="G429" s="309"/>
      <c r="H429" s="309"/>
      <c r="I429" s="309"/>
      <c r="J429" s="309"/>
      <c r="K429" s="309"/>
      <c r="L429" s="309"/>
      <c r="M429" s="309"/>
      <c r="N429" s="309"/>
      <c r="O429" s="309"/>
      <c r="P429" s="309"/>
      <c r="Q429" s="309"/>
      <c r="R429" s="309"/>
      <c r="S429" s="309"/>
      <c r="T429" s="309"/>
      <c r="U429" s="309"/>
      <c r="V429" s="309"/>
      <c r="W429" s="309"/>
      <c r="X429" s="309"/>
      <c r="Y429" s="309"/>
      <c r="Z429" s="309"/>
      <c r="AA429" s="309"/>
    </row>
    <row r="430" spans="2:27" ht="15.75" customHeight="1">
      <c r="B430" s="309"/>
      <c r="C430" s="309"/>
      <c r="D430" s="309"/>
      <c r="E430" s="309"/>
      <c r="F430" s="309"/>
      <c r="G430" s="309"/>
      <c r="H430" s="309"/>
      <c r="I430" s="309"/>
      <c r="J430" s="309"/>
      <c r="K430" s="309"/>
      <c r="L430" s="309"/>
      <c r="M430" s="309"/>
      <c r="N430" s="309"/>
      <c r="O430" s="309"/>
      <c r="P430" s="309"/>
      <c r="Q430" s="309"/>
      <c r="R430" s="309"/>
      <c r="S430" s="309"/>
      <c r="T430" s="309"/>
      <c r="U430" s="309"/>
      <c r="V430" s="309"/>
      <c r="W430" s="309"/>
      <c r="X430" s="309"/>
      <c r="Y430" s="309"/>
      <c r="Z430" s="309"/>
      <c r="AA430" s="309"/>
    </row>
    <row r="431" spans="2:27" ht="15.75" customHeight="1">
      <c r="B431" s="309"/>
      <c r="C431" s="309"/>
      <c r="D431" s="309"/>
      <c r="E431" s="309"/>
      <c r="F431" s="309"/>
      <c r="G431" s="309"/>
      <c r="H431" s="309"/>
      <c r="I431" s="309"/>
      <c r="J431" s="309"/>
      <c r="K431" s="309"/>
      <c r="L431" s="309"/>
      <c r="M431" s="309"/>
      <c r="N431" s="309"/>
      <c r="O431" s="309"/>
      <c r="P431" s="309"/>
      <c r="Q431" s="309"/>
      <c r="R431" s="309"/>
      <c r="S431" s="309"/>
      <c r="T431" s="309"/>
      <c r="U431" s="309"/>
      <c r="V431" s="309"/>
      <c r="W431" s="309"/>
      <c r="X431" s="309"/>
      <c r="Y431" s="309"/>
      <c r="Z431" s="309"/>
      <c r="AA431" s="309"/>
    </row>
    <row r="432" spans="2:27" ht="15.75" customHeight="1">
      <c r="B432" s="309"/>
      <c r="C432" s="309"/>
      <c r="D432" s="309"/>
      <c r="E432" s="309"/>
      <c r="F432" s="309"/>
      <c r="G432" s="309"/>
      <c r="H432" s="309"/>
      <c r="I432" s="309"/>
      <c r="J432" s="309"/>
      <c r="K432" s="309"/>
      <c r="L432" s="309"/>
      <c r="M432" s="309"/>
      <c r="N432" s="309"/>
      <c r="O432" s="309"/>
      <c r="P432" s="309"/>
      <c r="Q432" s="309"/>
      <c r="R432" s="309"/>
      <c r="S432" s="309"/>
      <c r="T432" s="309"/>
      <c r="U432" s="309"/>
      <c r="V432" s="309"/>
      <c r="W432" s="309"/>
      <c r="X432" s="309"/>
      <c r="Y432" s="309"/>
      <c r="Z432" s="309"/>
      <c r="AA432" s="309"/>
    </row>
    <row r="433" spans="2:27" ht="15.75" customHeight="1">
      <c r="B433" s="309"/>
      <c r="C433" s="309"/>
      <c r="D433" s="309"/>
      <c r="E433" s="309"/>
      <c r="F433" s="309"/>
      <c r="G433" s="309"/>
      <c r="H433" s="309"/>
      <c r="I433" s="309"/>
      <c r="J433" s="309"/>
      <c r="K433" s="309"/>
      <c r="L433" s="309"/>
      <c r="M433" s="309"/>
      <c r="N433" s="309"/>
      <c r="O433" s="309"/>
      <c r="P433" s="309"/>
      <c r="Q433" s="309"/>
      <c r="R433" s="309"/>
      <c r="S433" s="309"/>
      <c r="T433" s="309"/>
      <c r="U433" s="309"/>
      <c r="V433" s="309"/>
      <c r="W433" s="309"/>
      <c r="X433" s="309"/>
      <c r="Y433" s="309"/>
      <c r="Z433" s="309"/>
      <c r="AA433" s="309"/>
    </row>
    <row r="434" spans="2:27" ht="15.75" customHeight="1">
      <c r="B434" s="309"/>
      <c r="C434" s="309"/>
      <c r="D434" s="309"/>
      <c r="E434" s="309"/>
      <c r="F434" s="309"/>
      <c r="G434" s="309"/>
      <c r="H434" s="309"/>
      <c r="I434" s="309"/>
      <c r="J434" s="309"/>
      <c r="K434" s="309"/>
      <c r="L434" s="309"/>
      <c r="M434" s="309"/>
      <c r="N434" s="309"/>
      <c r="O434" s="309"/>
      <c r="P434" s="309"/>
      <c r="Q434" s="309"/>
      <c r="R434" s="309"/>
      <c r="S434" s="309"/>
      <c r="T434" s="309"/>
      <c r="U434" s="309"/>
      <c r="V434" s="309"/>
      <c r="W434" s="309"/>
      <c r="X434" s="309"/>
      <c r="Y434" s="309"/>
      <c r="Z434" s="309"/>
      <c r="AA434" s="309"/>
    </row>
    <row r="435" spans="2:27" ht="15.75" customHeight="1">
      <c r="B435" s="309"/>
      <c r="C435" s="309"/>
      <c r="D435" s="309"/>
      <c r="E435" s="309"/>
      <c r="F435" s="309"/>
      <c r="G435" s="309"/>
      <c r="H435" s="309"/>
      <c r="I435" s="309"/>
      <c r="J435" s="309"/>
      <c r="K435" s="309"/>
      <c r="L435" s="309"/>
      <c r="M435" s="309"/>
      <c r="N435" s="309"/>
      <c r="O435" s="309"/>
      <c r="P435" s="309"/>
      <c r="Q435" s="309"/>
      <c r="R435" s="309"/>
      <c r="S435" s="309"/>
      <c r="T435" s="309"/>
      <c r="U435" s="309"/>
      <c r="V435" s="309"/>
      <c r="W435" s="309"/>
      <c r="X435" s="309"/>
      <c r="Y435" s="309"/>
      <c r="Z435" s="309"/>
      <c r="AA435" s="309"/>
    </row>
    <row r="436" spans="2:27" ht="15.75" customHeight="1">
      <c r="B436" s="309"/>
      <c r="C436" s="309"/>
      <c r="D436" s="309"/>
      <c r="E436" s="309"/>
      <c r="F436" s="309"/>
      <c r="G436" s="309"/>
      <c r="H436" s="309"/>
      <c r="I436" s="309"/>
      <c r="J436" s="309"/>
      <c r="K436" s="309"/>
      <c r="L436" s="309"/>
      <c r="M436" s="309"/>
      <c r="N436" s="309"/>
      <c r="O436" s="309"/>
      <c r="P436" s="309"/>
      <c r="Q436" s="309"/>
      <c r="R436" s="309"/>
      <c r="S436" s="309"/>
      <c r="T436" s="309"/>
      <c r="U436" s="309"/>
      <c r="V436" s="309"/>
      <c r="W436" s="309"/>
      <c r="X436" s="309"/>
      <c r="Y436" s="309"/>
      <c r="Z436" s="309"/>
      <c r="AA436" s="309"/>
    </row>
    <row r="437" spans="2:27" ht="15.75" customHeight="1">
      <c r="B437" s="309"/>
      <c r="C437" s="309"/>
      <c r="D437" s="309"/>
      <c r="E437" s="309"/>
      <c r="F437" s="309"/>
      <c r="G437" s="309"/>
      <c r="H437" s="309"/>
      <c r="I437" s="309"/>
      <c r="J437" s="309"/>
      <c r="K437" s="309"/>
      <c r="L437" s="309"/>
      <c r="M437" s="309"/>
      <c r="N437" s="309"/>
      <c r="O437" s="309"/>
      <c r="P437" s="309"/>
      <c r="Q437" s="309"/>
      <c r="R437" s="309"/>
      <c r="S437" s="309"/>
      <c r="T437" s="309"/>
      <c r="U437" s="309"/>
      <c r="V437" s="309"/>
      <c r="W437" s="309"/>
      <c r="X437" s="309"/>
      <c r="Y437" s="309"/>
      <c r="Z437" s="309"/>
      <c r="AA437" s="309"/>
    </row>
    <row r="438" spans="2:27" ht="15.75" customHeight="1">
      <c r="B438" s="309"/>
      <c r="C438" s="309"/>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09"/>
      <c r="AA438" s="309"/>
    </row>
    <row r="439" spans="2:27" ht="15.75" customHeight="1">
      <c r="B439" s="309"/>
      <c r="C439" s="309"/>
      <c r="D439" s="309"/>
      <c r="E439" s="309"/>
      <c r="F439" s="309"/>
      <c r="G439" s="309"/>
      <c r="H439" s="309"/>
      <c r="I439" s="309"/>
      <c r="J439" s="309"/>
      <c r="K439" s="309"/>
      <c r="L439" s="309"/>
      <c r="M439" s="309"/>
      <c r="N439" s="309"/>
      <c r="O439" s="309"/>
      <c r="P439" s="309"/>
      <c r="Q439" s="309"/>
      <c r="R439" s="309"/>
      <c r="S439" s="309"/>
      <c r="T439" s="309"/>
      <c r="U439" s="309"/>
      <c r="V439" s="309"/>
      <c r="W439" s="309"/>
      <c r="X439" s="309"/>
      <c r="Y439" s="309"/>
      <c r="Z439" s="309"/>
      <c r="AA439" s="309"/>
    </row>
    <row r="440" spans="2:27" ht="15.75" customHeight="1">
      <c r="B440" s="309"/>
      <c r="C440" s="309"/>
      <c r="D440" s="309"/>
      <c r="E440" s="309"/>
      <c r="F440" s="309"/>
      <c r="G440" s="309"/>
      <c r="H440" s="309"/>
      <c r="I440" s="309"/>
      <c r="J440" s="309"/>
      <c r="K440" s="309"/>
      <c r="L440" s="309"/>
      <c r="M440" s="309"/>
      <c r="N440" s="309"/>
      <c r="O440" s="309"/>
      <c r="P440" s="309"/>
      <c r="Q440" s="309"/>
      <c r="R440" s="309"/>
      <c r="S440" s="309"/>
      <c r="T440" s="309"/>
      <c r="U440" s="309"/>
      <c r="V440" s="309"/>
      <c r="W440" s="309"/>
      <c r="X440" s="309"/>
      <c r="Y440" s="309"/>
      <c r="Z440" s="309"/>
      <c r="AA440" s="309"/>
    </row>
    <row r="441" spans="2:27" ht="15.75" customHeight="1">
      <c r="B441" s="309"/>
      <c r="C441" s="309"/>
      <c r="D441" s="309"/>
      <c r="E441" s="309"/>
      <c r="F441" s="309"/>
      <c r="G441" s="309"/>
      <c r="H441" s="309"/>
      <c r="I441" s="309"/>
      <c r="J441" s="309"/>
      <c r="K441" s="309"/>
      <c r="L441" s="309"/>
      <c r="M441" s="309"/>
      <c r="N441" s="309"/>
      <c r="O441" s="309"/>
      <c r="P441" s="309"/>
      <c r="Q441" s="309"/>
      <c r="R441" s="309"/>
      <c r="S441" s="309"/>
      <c r="T441" s="309"/>
      <c r="U441" s="309"/>
      <c r="V441" s="309"/>
      <c r="W441" s="309"/>
      <c r="X441" s="309"/>
      <c r="Y441" s="309"/>
      <c r="Z441" s="309"/>
      <c r="AA441" s="309"/>
    </row>
    <row r="442" spans="2:27" ht="15.75" customHeight="1">
      <c r="B442" s="309"/>
      <c r="C442" s="309"/>
      <c r="D442" s="309"/>
      <c r="E442" s="309"/>
      <c r="F442" s="309"/>
      <c r="G442" s="309"/>
      <c r="H442" s="309"/>
      <c r="I442" s="309"/>
      <c r="J442" s="309"/>
      <c r="K442" s="309"/>
      <c r="L442" s="309"/>
      <c r="M442" s="309"/>
      <c r="N442" s="309"/>
      <c r="O442" s="309"/>
      <c r="P442" s="309"/>
      <c r="Q442" s="309"/>
      <c r="R442" s="309"/>
      <c r="S442" s="309"/>
      <c r="T442" s="309"/>
      <c r="U442" s="309"/>
      <c r="V442" s="309"/>
      <c r="W442" s="309"/>
      <c r="X442" s="309"/>
      <c r="Y442" s="309"/>
      <c r="Z442" s="309"/>
      <c r="AA442" s="309"/>
    </row>
    <row r="443" spans="2:27" ht="15.75" customHeight="1">
      <c r="B443" s="309"/>
      <c r="C443" s="309"/>
      <c r="D443" s="309"/>
      <c r="E443" s="309"/>
      <c r="F443" s="309"/>
      <c r="G443" s="309"/>
      <c r="H443" s="309"/>
      <c r="I443" s="309"/>
      <c r="J443" s="309"/>
      <c r="K443" s="309"/>
      <c r="L443" s="309"/>
      <c r="M443" s="309"/>
      <c r="N443" s="309"/>
      <c r="O443" s="309"/>
      <c r="P443" s="309"/>
      <c r="Q443" s="309"/>
      <c r="R443" s="309"/>
      <c r="S443" s="309"/>
      <c r="T443" s="309"/>
      <c r="U443" s="309"/>
      <c r="V443" s="309"/>
      <c r="W443" s="309"/>
      <c r="X443" s="309"/>
      <c r="Y443" s="309"/>
      <c r="Z443" s="309"/>
      <c r="AA443" s="309"/>
    </row>
    <row r="444" spans="2:27" ht="15.75" customHeight="1">
      <c r="B444" s="309"/>
      <c r="C444" s="309"/>
      <c r="D444" s="309"/>
      <c r="E444" s="309"/>
      <c r="F444" s="309"/>
      <c r="G444" s="309"/>
      <c r="H444" s="309"/>
      <c r="I444" s="309"/>
      <c r="J444" s="309"/>
      <c r="K444" s="309"/>
      <c r="L444" s="309"/>
      <c r="M444" s="309"/>
      <c r="N444" s="309"/>
      <c r="O444" s="309"/>
      <c r="P444" s="309"/>
      <c r="Q444" s="309"/>
      <c r="R444" s="309"/>
      <c r="S444" s="309"/>
      <c r="T444" s="309"/>
      <c r="U444" s="309"/>
      <c r="V444" s="309"/>
      <c r="W444" s="309"/>
      <c r="X444" s="309"/>
      <c r="Y444" s="309"/>
      <c r="Z444" s="309"/>
      <c r="AA444" s="309"/>
    </row>
    <row r="445" spans="2:27" ht="15.75" customHeight="1">
      <c r="B445" s="309"/>
      <c r="C445" s="309"/>
      <c r="D445" s="309"/>
      <c r="E445" s="309"/>
      <c r="F445" s="309"/>
      <c r="G445" s="309"/>
      <c r="H445" s="309"/>
      <c r="I445" s="309"/>
      <c r="J445" s="309"/>
      <c r="K445" s="309"/>
      <c r="L445" s="309"/>
      <c r="M445" s="309"/>
      <c r="N445" s="309"/>
      <c r="O445" s="309"/>
      <c r="P445" s="309"/>
      <c r="Q445" s="309"/>
      <c r="R445" s="309"/>
      <c r="S445" s="309"/>
      <c r="T445" s="309"/>
      <c r="U445" s="309"/>
      <c r="V445" s="309"/>
      <c r="W445" s="309"/>
      <c r="X445" s="309"/>
      <c r="Y445" s="309"/>
      <c r="Z445" s="309"/>
      <c r="AA445" s="309"/>
    </row>
    <row r="446" spans="2:27" ht="15.75" customHeight="1">
      <c r="B446" s="309"/>
      <c r="C446" s="309"/>
      <c r="D446" s="309"/>
      <c r="E446" s="309"/>
      <c r="F446" s="309"/>
      <c r="G446" s="309"/>
      <c r="H446" s="309"/>
      <c r="I446" s="309"/>
      <c r="J446" s="309"/>
      <c r="K446" s="309"/>
      <c r="L446" s="309"/>
      <c r="M446" s="309"/>
      <c r="N446" s="309"/>
      <c r="O446" s="309"/>
      <c r="P446" s="309"/>
      <c r="Q446" s="309"/>
      <c r="R446" s="309"/>
      <c r="S446" s="309"/>
      <c r="T446" s="309"/>
      <c r="U446" s="309"/>
      <c r="V446" s="309"/>
      <c r="W446" s="309"/>
      <c r="X446" s="309"/>
      <c r="Y446" s="309"/>
      <c r="Z446" s="309"/>
      <c r="AA446" s="309"/>
    </row>
    <row r="447" spans="2:27" ht="15.75" customHeight="1">
      <c r="B447" s="309"/>
      <c r="C447" s="309"/>
      <c r="D447" s="309"/>
      <c r="E447" s="309"/>
      <c r="F447" s="309"/>
      <c r="G447" s="309"/>
      <c r="H447" s="309"/>
      <c r="I447" s="309"/>
      <c r="J447" s="309"/>
      <c r="K447" s="309"/>
      <c r="L447" s="309"/>
      <c r="M447" s="309"/>
      <c r="N447" s="309"/>
      <c r="O447" s="309"/>
      <c r="P447" s="309"/>
      <c r="Q447" s="309"/>
      <c r="R447" s="309"/>
      <c r="S447" s="309"/>
      <c r="T447" s="309"/>
      <c r="U447" s="309"/>
      <c r="V447" s="309"/>
      <c r="W447" s="309"/>
      <c r="X447" s="309"/>
      <c r="Y447" s="309"/>
      <c r="Z447" s="309"/>
      <c r="AA447" s="309"/>
    </row>
    <row r="448" spans="2:27" ht="15.75" customHeight="1">
      <c r="B448" s="309"/>
      <c r="C448" s="309"/>
      <c r="D448" s="309"/>
      <c r="E448" s="309"/>
      <c r="F448" s="309"/>
      <c r="G448" s="309"/>
      <c r="H448" s="309"/>
      <c r="I448" s="309"/>
      <c r="J448" s="309"/>
      <c r="K448" s="309"/>
      <c r="L448" s="309"/>
      <c r="M448" s="309"/>
      <c r="N448" s="309"/>
      <c r="O448" s="309"/>
      <c r="P448" s="309"/>
      <c r="Q448" s="309"/>
      <c r="R448" s="309"/>
      <c r="S448" s="309"/>
      <c r="T448" s="309"/>
      <c r="U448" s="309"/>
      <c r="V448" s="309"/>
      <c r="W448" s="309"/>
      <c r="X448" s="309"/>
      <c r="Y448" s="309"/>
      <c r="Z448" s="309"/>
      <c r="AA448" s="309"/>
    </row>
    <row r="449" spans="2:27" ht="15.75" customHeight="1">
      <c r="B449" s="309"/>
      <c r="C449" s="309"/>
      <c r="D449" s="309"/>
      <c r="E449" s="309"/>
      <c r="F449" s="309"/>
      <c r="G449" s="309"/>
      <c r="H449" s="309"/>
      <c r="I449" s="309"/>
      <c r="J449" s="309"/>
      <c r="K449" s="309"/>
      <c r="L449" s="309"/>
      <c r="M449" s="309"/>
      <c r="N449" s="309"/>
      <c r="O449" s="309"/>
      <c r="P449" s="309"/>
      <c r="Q449" s="309"/>
      <c r="R449" s="309"/>
      <c r="S449" s="309"/>
      <c r="T449" s="309"/>
      <c r="U449" s="309"/>
      <c r="V449" s="309"/>
      <c r="W449" s="309"/>
      <c r="X449" s="309"/>
      <c r="Y449" s="309"/>
      <c r="Z449" s="309"/>
      <c r="AA449" s="309"/>
    </row>
    <row r="450" spans="2:27" ht="15.75" customHeight="1">
      <c r="B450" s="309"/>
      <c r="C450" s="309"/>
      <c r="D450" s="309"/>
      <c r="E450" s="309"/>
      <c r="F450" s="309"/>
      <c r="G450" s="309"/>
      <c r="H450" s="309"/>
      <c r="I450" s="309"/>
      <c r="J450" s="309"/>
      <c r="K450" s="309"/>
      <c r="L450" s="309"/>
      <c r="M450" s="309"/>
      <c r="N450" s="309"/>
      <c r="O450" s="309"/>
      <c r="P450" s="309"/>
      <c r="Q450" s="309"/>
      <c r="R450" s="309"/>
      <c r="S450" s="309"/>
      <c r="T450" s="309"/>
      <c r="U450" s="309"/>
      <c r="V450" s="309"/>
      <c r="W450" s="309"/>
      <c r="X450" s="309"/>
      <c r="Y450" s="309"/>
      <c r="Z450" s="309"/>
      <c r="AA450" s="309"/>
    </row>
    <row r="451" spans="2:27" ht="15.75" customHeight="1">
      <c r="B451" s="309"/>
      <c r="C451" s="309"/>
      <c r="D451" s="309"/>
      <c r="E451" s="309"/>
      <c r="F451" s="309"/>
      <c r="G451" s="309"/>
      <c r="H451" s="309"/>
      <c r="I451" s="309"/>
      <c r="J451" s="309"/>
      <c r="K451" s="309"/>
      <c r="L451" s="309"/>
      <c r="M451" s="309"/>
      <c r="N451" s="309"/>
      <c r="O451" s="309"/>
      <c r="P451" s="309"/>
      <c r="Q451" s="309"/>
      <c r="R451" s="309"/>
      <c r="S451" s="309"/>
      <c r="T451" s="309"/>
      <c r="U451" s="309"/>
      <c r="V451" s="309"/>
      <c r="W451" s="309"/>
      <c r="X451" s="309"/>
      <c r="Y451" s="309"/>
      <c r="Z451" s="309"/>
      <c r="AA451" s="309"/>
    </row>
    <row r="452" spans="2:27" ht="15.75" customHeight="1">
      <c r="B452" s="309"/>
      <c r="C452" s="309"/>
      <c r="D452" s="309"/>
      <c r="E452" s="309"/>
      <c r="F452" s="309"/>
      <c r="G452" s="309"/>
      <c r="H452" s="309"/>
      <c r="I452" s="309"/>
      <c r="J452" s="309"/>
      <c r="K452" s="309"/>
      <c r="L452" s="309"/>
      <c r="M452" s="309"/>
      <c r="N452" s="309"/>
      <c r="O452" s="309"/>
      <c r="P452" s="309"/>
      <c r="Q452" s="309"/>
      <c r="R452" s="309"/>
      <c r="S452" s="309"/>
      <c r="T452" s="309"/>
      <c r="U452" s="309"/>
      <c r="V452" s="309"/>
      <c r="W452" s="309"/>
      <c r="X452" s="309"/>
      <c r="Y452" s="309"/>
      <c r="Z452" s="309"/>
      <c r="AA452" s="309"/>
    </row>
    <row r="453" spans="2:27" ht="15.75" customHeight="1">
      <c r="B453" s="309"/>
      <c r="C453" s="309"/>
      <c r="D453" s="309"/>
      <c r="E453" s="309"/>
      <c r="F453" s="309"/>
      <c r="G453" s="309"/>
      <c r="H453" s="309"/>
      <c r="I453" s="309"/>
      <c r="J453" s="309"/>
      <c r="K453" s="309"/>
      <c r="L453" s="309"/>
      <c r="M453" s="309"/>
      <c r="N453" s="309"/>
      <c r="O453" s="309"/>
      <c r="P453" s="309"/>
      <c r="Q453" s="309"/>
      <c r="R453" s="309"/>
      <c r="S453" s="309"/>
      <c r="T453" s="309"/>
      <c r="U453" s="309"/>
      <c r="V453" s="309"/>
      <c r="W453" s="309"/>
      <c r="X453" s="309"/>
      <c r="Y453" s="309"/>
      <c r="Z453" s="309"/>
      <c r="AA453" s="309"/>
    </row>
    <row r="454" spans="2:27" ht="15.75" customHeight="1">
      <c r="B454" s="309"/>
      <c r="C454" s="309"/>
      <c r="D454" s="309"/>
      <c r="E454" s="309"/>
      <c r="F454" s="309"/>
      <c r="G454" s="309"/>
      <c r="H454" s="309"/>
      <c r="I454" s="309"/>
      <c r="J454" s="309"/>
      <c r="K454" s="309"/>
      <c r="L454" s="309"/>
      <c r="M454" s="309"/>
      <c r="N454" s="309"/>
      <c r="O454" s="309"/>
      <c r="P454" s="309"/>
      <c r="Q454" s="309"/>
      <c r="R454" s="309"/>
      <c r="S454" s="309"/>
      <c r="T454" s="309"/>
      <c r="U454" s="309"/>
      <c r="V454" s="309"/>
      <c r="W454" s="309"/>
      <c r="X454" s="309"/>
      <c r="Y454" s="309"/>
      <c r="Z454" s="309"/>
      <c r="AA454" s="309"/>
    </row>
    <row r="455" spans="2:27" ht="15.75" customHeight="1">
      <c r="B455" s="309"/>
      <c r="C455" s="309"/>
      <c r="D455" s="309"/>
      <c r="E455" s="309"/>
      <c r="F455" s="309"/>
      <c r="G455" s="309"/>
      <c r="H455" s="309"/>
      <c r="I455" s="309"/>
      <c r="J455" s="309"/>
      <c r="K455" s="309"/>
      <c r="L455" s="309"/>
      <c r="M455" s="309"/>
      <c r="N455" s="309"/>
      <c r="O455" s="309"/>
      <c r="P455" s="309"/>
      <c r="Q455" s="309"/>
      <c r="R455" s="309"/>
      <c r="S455" s="309"/>
      <c r="T455" s="309"/>
      <c r="U455" s="309"/>
      <c r="V455" s="309"/>
      <c r="W455" s="309"/>
      <c r="X455" s="309"/>
      <c r="Y455" s="309"/>
      <c r="Z455" s="309"/>
      <c r="AA455" s="309"/>
    </row>
    <row r="456" spans="2:27" ht="15.75" customHeight="1">
      <c r="B456" s="309"/>
      <c r="C456" s="309"/>
      <c r="D456" s="309"/>
      <c r="E456" s="309"/>
      <c r="F456" s="309"/>
      <c r="G456" s="309"/>
      <c r="H456" s="309"/>
      <c r="I456" s="309"/>
      <c r="J456" s="309"/>
      <c r="K456" s="309"/>
      <c r="L456" s="309"/>
      <c r="M456" s="309"/>
      <c r="N456" s="309"/>
      <c r="O456" s="309"/>
      <c r="P456" s="309"/>
      <c r="Q456" s="309"/>
      <c r="R456" s="309"/>
      <c r="S456" s="309"/>
      <c r="T456" s="309"/>
      <c r="U456" s="309"/>
      <c r="V456" s="309"/>
      <c r="W456" s="309"/>
      <c r="X456" s="309"/>
      <c r="Y456" s="309"/>
      <c r="Z456" s="309"/>
      <c r="AA456" s="309"/>
    </row>
    <row r="457" spans="2:27" ht="15.75" customHeight="1">
      <c r="B457" s="309"/>
      <c r="C457" s="309"/>
      <c r="D457" s="309"/>
      <c r="E457" s="309"/>
      <c r="F457" s="309"/>
      <c r="G457" s="309"/>
      <c r="H457" s="309"/>
      <c r="I457" s="309"/>
      <c r="J457" s="309"/>
      <c r="K457" s="309"/>
      <c r="L457" s="309"/>
      <c r="M457" s="309"/>
      <c r="N457" s="309"/>
      <c r="O457" s="309"/>
      <c r="P457" s="309"/>
      <c r="Q457" s="309"/>
      <c r="R457" s="309"/>
      <c r="S457" s="309"/>
      <c r="T457" s="309"/>
      <c r="U457" s="309"/>
      <c r="V457" s="309"/>
      <c r="W457" s="309"/>
      <c r="X457" s="309"/>
      <c r="Y457" s="309"/>
      <c r="Z457" s="309"/>
      <c r="AA457" s="309"/>
    </row>
    <row r="458" spans="2:27" ht="15.75" customHeight="1">
      <c r="B458" s="309"/>
      <c r="C458" s="309"/>
      <c r="D458" s="309"/>
      <c r="E458" s="309"/>
      <c r="F458" s="309"/>
      <c r="G458" s="309"/>
      <c r="H458" s="309"/>
      <c r="I458" s="309"/>
      <c r="J458" s="309"/>
      <c r="K458" s="309"/>
      <c r="L458" s="309"/>
      <c r="M458" s="309"/>
      <c r="N458" s="309"/>
      <c r="O458" s="309"/>
      <c r="P458" s="309"/>
      <c r="Q458" s="309"/>
      <c r="R458" s="309"/>
      <c r="S458" s="309"/>
      <c r="T458" s="309"/>
      <c r="U458" s="309"/>
      <c r="V458" s="309"/>
      <c r="W458" s="309"/>
      <c r="X458" s="309"/>
      <c r="Y458" s="309"/>
      <c r="Z458" s="309"/>
      <c r="AA458" s="309"/>
    </row>
    <row r="459" spans="2:27" ht="15.75" customHeight="1">
      <c r="B459" s="309"/>
      <c r="C459" s="309"/>
      <c r="D459" s="309"/>
      <c r="E459" s="309"/>
      <c r="F459" s="309"/>
      <c r="G459" s="309"/>
      <c r="H459" s="309"/>
      <c r="I459" s="309"/>
      <c r="J459" s="309"/>
      <c r="K459" s="309"/>
      <c r="L459" s="309"/>
      <c r="M459" s="309"/>
      <c r="N459" s="309"/>
      <c r="O459" s="309"/>
      <c r="P459" s="309"/>
      <c r="Q459" s="309"/>
      <c r="R459" s="309"/>
      <c r="S459" s="309"/>
      <c r="T459" s="309"/>
      <c r="U459" s="309"/>
      <c r="V459" s="309"/>
      <c r="W459" s="309"/>
      <c r="X459" s="309"/>
      <c r="Y459" s="309"/>
      <c r="Z459" s="309"/>
      <c r="AA459" s="309"/>
    </row>
    <row r="460" spans="2:27" ht="15.75" customHeight="1">
      <c r="B460" s="309"/>
      <c r="C460" s="309"/>
      <c r="D460" s="309"/>
      <c r="E460" s="309"/>
      <c r="F460" s="309"/>
      <c r="G460" s="309"/>
      <c r="H460" s="309"/>
      <c r="I460" s="309"/>
      <c r="J460" s="309"/>
      <c r="K460" s="309"/>
      <c r="L460" s="309"/>
      <c r="M460" s="309"/>
      <c r="N460" s="309"/>
      <c r="O460" s="309"/>
      <c r="P460" s="309"/>
      <c r="Q460" s="309"/>
      <c r="R460" s="309"/>
      <c r="S460" s="309"/>
      <c r="T460" s="309"/>
      <c r="U460" s="309"/>
      <c r="V460" s="309"/>
      <c r="W460" s="309"/>
      <c r="X460" s="309"/>
      <c r="Y460" s="309"/>
      <c r="Z460" s="309"/>
      <c r="AA460" s="309"/>
    </row>
    <row r="461" spans="2:27" ht="15.75" customHeight="1">
      <c r="B461" s="309"/>
      <c r="C461" s="309"/>
      <c r="D461" s="309"/>
      <c r="E461" s="309"/>
      <c r="F461" s="309"/>
      <c r="G461" s="309"/>
      <c r="H461" s="309"/>
      <c r="I461" s="309"/>
      <c r="J461" s="309"/>
      <c r="K461" s="309"/>
      <c r="L461" s="309"/>
      <c r="M461" s="309"/>
      <c r="N461" s="309"/>
      <c r="O461" s="309"/>
      <c r="P461" s="309"/>
      <c r="Q461" s="309"/>
      <c r="R461" s="309"/>
      <c r="S461" s="309"/>
      <c r="T461" s="309"/>
      <c r="U461" s="309"/>
      <c r="V461" s="309"/>
      <c r="W461" s="309"/>
      <c r="X461" s="309"/>
      <c r="Y461" s="309"/>
      <c r="Z461" s="309"/>
      <c r="AA461" s="309"/>
    </row>
    <row r="462" spans="2:27" ht="15.75" customHeight="1">
      <c r="B462" s="309"/>
      <c r="C462" s="309"/>
      <c r="D462" s="309"/>
      <c r="E462" s="309"/>
      <c r="F462" s="309"/>
      <c r="G462" s="309"/>
      <c r="H462" s="309"/>
      <c r="I462" s="309"/>
      <c r="J462" s="309"/>
      <c r="K462" s="309"/>
      <c r="L462" s="309"/>
      <c r="M462" s="309"/>
      <c r="N462" s="309"/>
      <c r="O462" s="309"/>
      <c r="P462" s="309"/>
      <c r="Q462" s="309"/>
      <c r="R462" s="309"/>
      <c r="S462" s="309"/>
      <c r="T462" s="309"/>
      <c r="U462" s="309"/>
      <c r="V462" s="309"/>
      <c r="W462" s="309"/>
      <c r="X462" s="309"/>
      <c r="Y462" s="309"/>
      <c r="Z462" s="309"/>
      <c r="AA462" s="309"/>
    </row>
    <row r="463" spans="2:27" ht="15.75" customHeight="1">
      <c r="B463" s="309"/>
      <c r="C463" s="309"/>
      <c r="D463" s="309"/>
      <c r="E463" s="309"/>
      <c r="F463" s="309"/>
      <c r="G463" s="309"/>
      <c r="H463" s="309"/>
      <c r="I463" s="309"/>
      <c r="J463" s="309"/>
      <c r="K463" s="309"/>
      <c r="L463" s="309"/>
      <c r="M463" s="309"/>
      <c r="N463" s="309"/>
      <c r="O463" s="309"/>
      <c r="P463" s="309"/>
      <c r="Q463" s="309"/>
      <c r="R463" s="309"/>
      <c r="S463" s="309"/>
      <c r="T463" s="309"/>
      <c r="U463" s="309"/>
      <c r="V463" s="309"/>
      <c r="W463" s="309"/>
      <c r="X463" s="309"/>
      <c r="Y463" s="309"/>
      <c r="Z463" s="309"/>
      <c r="AA463" s="309"/>
    </row>
    <row r="464" spans="2:27" ht="15.75" customHeight="1">
      <c r="B464" s="309"/>
      <c r="C464" s="309"/>
      <c r="D464" s="309"/>
      <c r="E464" s="309"/>
      <c r="F464" s="309"/>
      <c r="G464" s="309"/>
      <c r="H464" s="309"/>
      <c r="I464" s="309"/>
      <c r="J464" s="309"/>
      <c r="K464" s="309"/>
      <c r="L464" s="309"/>
      <c r="M464" s="309"/>
      <c r="N464" s="309"/>
      <c r="O464" s="309"/>
      <c r="P464" s="309"/>
      <c r="Q464" s="309"/>
      <c r="R464" s="309"/>
      <c r="S464" s="309"/>
      <c r="T464" s="309"/>
      <c r="U464" s="309"/>
      <c r="V464" s="309"/>
      <c r="W464" s="309"/>
      <c r="X464" s="309"/>
      <c r="Y464" s="309"/>
      <c r="Z464" s="309"/>
      <c r="AA464" s="309"/>
    </row>
    <row r="465" spans="2:27" ht="15.75" customHeight="1">
      <c r="B465" s="309"/>
      <c r="C465" s="309"/>
      <c r="D465" s="309"/>
      <c r="E465" s="309"/>
      <c r="F465" s="309"/>
      <c r="G465" s="309"/>
      <c r="H465" s="309"/>
      <c r="I465" s="309"/>
      <c r="J465" s="309"/>
      <c r="K465" s="309"/>
      <c r="L465" s="309"/>
      <c r="M465" s="309"/>
      <c r="N465" s="309"/>
      <c r="O465" s="309"/>
      <c r="P465" s="309"/>
      <c r="Q465" s="309"/>
      <c r="R465" s="309"/>
      <c r="S465" s="309"/>
      <c r="T465" s="309"/>
      <c r="U465" s="309"/>
      <c r="V465" s="309"/>
      <c r="W465" s="309"/>
      <c r="X465" s="309"/>
      <c r="Y465" s="309"/>
      <c r="Z465" s="309"/>
      <c r="AA465" s="309"/>
    </row>
    <row r="466" spans="2:27" ht="15.75" customHeight="1">
      <c r="B466" s="309"/>
      <c r="C466" s="309"/>
      <c r="D466" s="309"/>
      <c r="E466" s="309"/>
      <c r="F466" s="309"/>
      <c r="G466" s="309"/>
      <c r="H466" s="309"/>
      <c r="I466" s="309"/>
      <c r="J466" s="309"/>
      <c r="K466" s="309"/>
      <c r="L466" s="309"/>
      <c r="M466" s="309"/>
      <c r="N466" s="309"/>
      <c r="O466" s="309"/>
      <c r="P466" s="309"/>
      <c r="Q466" s="309"/>
      <c r="R466" s="309"/>
      <c r="S466" s="309"/>
      <c r="T466" s="309"/>
      <c r="U466" s="309"/>
      <c r="V466" s="309"/>
      <c r="W466" s="309"/>
      <c r="X466" s="309"/>
      <c r="Y466" s="309"/>
      <c r="Z466" s="309"/>
      <c r="AA466" s="309"/>
    </row>
    <row r="467" spans="2:27" ht="15.75" customHeight="1">
      <c r="B467" s="309"/>
      <c r="C467" s="309"/>
      <c r="D467" s="309"/>
      <c r="E467" s="309"/>
      <c r="F467" s="309"/>
      <c r="G467" s="309"/>
      <c r="H467" s="309"/>
      <c r="I467" s="309"/>
      <c r="J467" s="309"/>
      <c r="K467" s="309"/>
      <c r="L467" s="309"/>
      <c r="M467" s="309"/>
      <c r="N467" s="309"/>
      <c r="O467" s="309"/>
      <c r="P467" s="309"/>
      <c r="Q467" s="309"/>
      <c r="R467" s="309"/>
      <c r="S467" s="309"/>
      <c r="T467" s="309"/>
      <c r="U467" s="309"/>
      <c r="V467" s="309"/>
      <c r="W467" s="309"/>
      <c r="X467" s="309"/>
      <c r="Y467" s="309"/>
      <c r="Z467" s="309"/>
      <c r="AA467" s="309"/>
    </row>
    <row r="468" spans="2:27" ht="15.75" customHeight="1">
      <c r="B468" s="309"/>
      <c r="C468" s="309"/>
      <c r="D468" s="309"/>
      <c r="E468" s="309"/>
      <c r="F468" s="309"/>
      <c r="G468" s="309"/>
      <c r="H468" s="309"/>
      <c r="I468" s="309"/>
      <c r="J468" s="309"/>
      <c r="K468" s="309"/>
      <c r="L468" s="309"/>
      <c r="M468" s="309"/>
      <c r="N468" s="309"/>
      <c r="O468" s="309"/>
      <c r="P468" s="309"/>
      <c r="Q468" s="309"/>
      <c r="R468" s="309"/>
      <c r="S468" s="309"/>
      <c r="T468" s="309"/>
      <c r="U468" s="309"/>
      <c r="V468" s="309"/>
      <c r="W468" s="309"/>
      <c r="X468" s="309"/>
      <c r="Y468" s="309"/>
      <c r="Z468" s="309"/>
      <c r="AA468" s="309"/>
    </row>
    <row r="469" spans="2:27" ht="15.75" customHeight="1">
      <c r="B469" s="309"/>
      <c r="C469" s="309"/>
      <c r="D469" s="309"/>
      <c r="E469" s="309"/>
      <c r="F469" s="309"/>
      <c r="G469" s="309"/>
      <c r="H469" s="309"/>
      <c r="I469" s="309"/>
      <c r="J469" s="309"/>
      <c r="K469" s="309"/>
      <c r="L469" s="309"/>
      <c r="M469" s="309"/>
      <c r="N469" s="309"/>
      <c r="O469" s="309"/>
      <c r="P469" s="309"/>
      <c r="Q469" s="309"/>
      <c r="R469" s="309"/>
      <c r="S469" s="309"/>
      <c r="T469" s="309"/>
      <c r="U469" s="309"/>
      <c r="V469" s="309"/>
      <c r="W469" s="309"/>
      <c r="X469" s="309"/>
      <c r="Y469" s="309"/>
      <c r="Z469" s="309"/>
      <c r="AA469" s="309"/>
    </row>
    <row r="470" spans="2:27" ht="15.75" customHeight="1">
      <c r="B470" s="309"/>
      <c r="C470" s="309"/>
      <c r="D470" s="309"/>
      <c r="E470" s="309"/>
      <c r="F470" s="309"/>
      <c r="G470" s="309"/>
      <c r="H470" s="309"/>
      <c r="I470" s="309"/>
      <c r="J470" s="309"/>
      <c r="K470" s="309"/>
      <c r="L470" s="309"/>
      <c r="M470" s="309"/>
      <c r="N470" s="309"/>
      <c r="O470" s="309"/>
      <c r="P470" s="309"/>
      <c r="Q470" s="309"/>
      <c r="R470" s="309"/>
      <c r="S470" s="309"/>
      <c r="T470" s="309"/>
      <c r="U470" s="309"/>
      <c r="V470" s="309"/>
      <c r="W470" s="309"/>
      <c r="X470" s="309"/>
      <c r="Y470" s="309"/>
      <c r="Z470" s="309"/>
      <c r="AA470" s="309"/>
    </row>
    <row r="471" spans="2:27" ht="15.75" customHeight="1">
      <c r="B471" s="309"/>
      <c r="C471" s="309"/>
      <c r="D471" s="309"/>
      <c r="E471" s="309"/>
      <c r="F471" s="309"/>
      <c r="G471" s="309"/>
      <c r="H471" s="309"/>
      <c r="I471" s="309"/>
      <c r="J471" s="309"/>
      <c r="K471" s="309"/>
      <c r="L471" s="309"/>
      <c r="M471" s="309"/>
      <c r="N471" s="309"/>
      <c r="O471" s="309"/>
      <c r="P471" s="309"/>
      <c r="Q471" s="309"/>
      <c r="R471" s="309"/>
      <c r="S471" s="309"/>
      <c r="T471" s="309"/>
      <c r="U471" s="309"/>
      <c r="V471" s="309"/>
      <c r="W471" s="309"/>
      <c r="X471" s="309"/>
      <c r="Y471" s="309"/>
      <c r="Z471" s="309"/>
      <c r="AA471" s="309"/>
    </row>
    <row r="472" spans="2:27" ht="15.75" customHeight="1">
      <c r="B472" s="309"/>
      <c r="C472" s="309"/>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09"/>
      <c r="AA472" s="309"/>
    </row>
    <row r="473" spans="2:27" ht="15.75" customHeight="1">
      <c r="B473" s="309"/>
      <c r="C473" s="309"/>
      <c r="D473" s="309"/>
      <c r="E473" s="309"/>
      <c r="F473" s="309"/>
      <c r="G473" s="309"/>
      <c r="H473" s="309"/>
      <c r="I473" s="309"/>
      <c r="J473" s="309"/>
      <c r="K473" s="309"/>
      <c r="L473" s="309"/>
      <c r="M473" s="309"/>
      <c r="N473" s="309"/>
      <c r="O473" s="309"/>
      <c r="P473" s="309"/>
      <c r="Q473" s="309"/>
      <c r="R473" s="309"/>
      <c r="S473" s="309"/>
      <c r="T473" s="309"/>
      <c r="U473" s="309"/>
      <c r="V473" s="309"/>
      <c r="W473" s="309"/>
      <c r="X473" s="309"/>
      <c r="Y473" s="309"/>
      <c r="Z473" s="309"/>
      <c r="AA473" s="309"/>
    </row>
    <row r="474" spans="2:27" ht="15.75" customHeight="1">
      <c r="B474" s="309"/>
      <c r="C474" s="309"/>
      <c r="D474" s="309"/>
      <c r="E474" s="309"/>
      <c r="F474" s="309"/>
      <c r="G474" s="309"/>
      <c r="H474" s="309"/>
      <c r="I474" s="309"/>
      <c r="J474" s="309"/>
      <c r="K474" s="309"/>
      <c r="L474" s="309"/>
      <c r="M474" s="309"/>
      <c r="N474" s="309"/>
      <c r="O474" s="309"/>
      <c r="P474" s="309"/>
      <c r="Q474" s="309"/>
      <c r="R474" s="309"/>
      <c r="S474" s="309"/>
      <c r="T474" s="309"/>
      <c r="U474" s="309"/>
      <c r="V474" s="309"/>
      <c r="W474" s="309"/>
      <c r="X474" s="309"/>
      <c r="Y474" s="309"/>
      <c r="Z474" s="309"/>
      <c r="AA474" s="309"/>
    </row>
    <row r="475" spans="2:27" ht="15.75" customHeight="1">
      <c r="B475" s="309"/>
      <c r="C475" s="309"/>
      <c r="D475" s="309"/>
      <c r="E475" s="309"/>
      <c r="F475" s="309"/>
      <c r="G475" s="309"/>
      <c r="H475" s="309"/>
      <c r="I475" s="309"/>
      <c r="J475" s="309"/>
      <c r="K475" s="309"/>
      <c r="L475" s="309"/>
      <c r="M475" s="309"/>
      <c r="N475" s="309"/>
      <c r="O475" s="309"/>
      <c r="P475" s="309"/>
      <c r="Q475" s="309"/>
      <c r="R475" s="309"/>
      <c r="S475" s="309"/>
      <c r="T475" s="309"/>
      <c r="U475" s="309"/>
      <c r="V475" s="309"/>
      <c r="W475" s="309"/>
      <c r="X475" s="309"/>
      <c r="Y475" s="309"/>
      <c r="Z475" s="309"/>
      <c r="AA475" s="309"/>
    </row>
    <row r="476" spans="2:27" ht="15.75" customHeight="1">
      <c r="B476" s="309"/>
      <c r="C476" s="309"/>
      <c r="D476" s="309"/>
      <c r="E476" s="309"/>
      <c r="F476" s="309"/>
      <c r="G476" s="309"/>
      <c r="H476" s="309"/>
      <c r="I476" s="309"/>
      <c r="J476" s="309"/>
      <c r="K476" s="309"/>
      <c r="L476" s="309"/>
      <c r="M476" s="309"/>
      <c r="N476" s="309"/>
      <c r="O476" s="309"/>
      <c r="P476" s="309"/>
      <c r="Q476" s="309"/>
      <c r="R476" s="309"/>
      <c r="S476" s="309"/>
      <c r="T476" s="309"/>
      <c r="U476" s="309"/>
      <c r="V476" s="309"/>
      <c r="W476" s="309"/>
      <c r="X476" s="309"/>
      <c r="Y476" s="309"/>
      <c r="Z476" s="309"/>
      <c r="AA476" s="309"/>
    </row>
    <row r="477" spans="2:27" ht="15.75" customHeight="1">
      <c r="B477" s="309"/>
      <c r="C477" s="309"/>
      <c r="D477" s="309"/>
      <c r="E477" s="309"/>
      <c r="F477" s="309"/>
      <c r="G477" s="309"/>
      <c r="H477" s="309"/>
      <c r="I477" s="309"/>
      <c r="J477" s="309"/>
      <c r="K477" s="309"/>
      <c r="L477" s="309"/>
      <c r="M477" s="309"/>
      <c r="N477" s="309"/>
      <c r="O477" s="309"/>
      <c r="P477" s="309"/>
      <c r="Q477" s="309"/>
      <c r="R477" s="309"/>
      <c r="S477" s="309"/>
      <c r="T477" s="309"/>
      <c r="U477" s="309"/>
      <c r="V477" s="309"/>
      <c r="W477" s="309"/>
      <c r="X477" s="309"/>
      <c r="Y477" s="309"/>
      <c r="Z477" s="309"/>
      <c r="AA477" s="309"/>
    </row>
    <row r="478" spans="2:27" ht="15.75" customHeight="1">
      <c r="B478" s="309"/>
      <c r="C478" s="309"/>
      <c r="D478" s="309"/>
      <c r="E478" s="309"/>
      <c r="F478" s="309"/>
      <c r="G478" s="309"/>
      <c r="H478" s="309"/>
      <c r="I478" s="309"/>
      <c r="J478" s="309"/>
      <c r="K478" s="309"/>
      <c r="L478" s="309"/>
      <c r="M478" s="309"/>
      <c r="N478" s="309"/>
      <c r="O478" s="309"/>
      <c r="P478" s="309"/>
      <c r="Q478" s="309"/>
      <c r="R478" s="309"/>
      <c r="S478" s="309"/>
      <c r="T478" s="309"/>
      <c r="U478" s="309"/>
      <c r="V478" s="309"/>
      <c r="W478" s="309"/>
      <c r="X478" s="309"/>
      <c r="Y478" s="309"/>
      <c r="Z478" s="309"/>
      <c r="AA478" s="309"/>
    </row>
    <row r="479" spans="2:27" ht="15.75" customHeight="1">
      <c r="B479" s="309"/>
      <c r="C479" s="309"/>
      <c r="D479" s="309"/>
      <c r="E479" s="309"/>
      <c r="F479" s="309"/>
      <c r="G479" s="309"/>
      <c r="H479" s="309"/>
      <c r="I479" s="309"/>
      <c r="J479" s="309"/>
      <c r="K479" s="309"/>
      <c r="L479" s="309"/>
      <c r="M479" s="309"/>
      <c r="N479" s="309"/>
      <c r="O479" s="309"/>
      <c r="P479" s="309"/>
      <c r="Q479" s="309"/>
      <c r="R479" s="309"/>
      <c r="S479" s="309"/>
      <c r="T479" s="309"/>
      <c r="U479" s="309"/>
      <c r="V479" s="309"/>
      <c r="W479" s="309"/>
      <c r="X479" s="309"/>
      <c r="Y479" s="309"/>
      <c r="Z479" s="309"/>
      <c r="AA479" s="309"/>
    </row>
    <row r="480" spans="2:27" ht="15.75" customHeight="1">
      <c r="B480" s="309"/>
      <c r="C480" s="309"/>
      <c r="D480" s="309"/>
      <c r="E480" s="309"/>
      <c r="F480" s="309"/>
      <c r="G480" s="309"/>
      <c r="H480" s="309"/>
      <c r="I480" s="309"/>
      <c r="J480" s="309"/>
      <c r="K480" s="309"/>
      <c r="L480" s="309"/>
      <c r="M480" s="309"/>
      <c r="N480" s="309"/>
      <c r="O480" s="309"/>
      <c r="P480" s="309"/>
      <c r="Q480" s="309"/>
      <c r="R480" s="309"/>
      <c r="S480" s="309"/>
      <c r="T480" s="309"/>
      <c r="U480" s="309"/>
      <c r="V480" s="309"/>
      <c r="W480" s="309"/>
      <c r="X480" s="309"/>
      <c r="Y480" s="309"/>
      <c r="Z480" s="309"/>
      <c r="AA480" s="309"/>
    </row>
    <row r="481" spans="2:27" ht="15.75" customHeight="1">
      <c r="B481" s="309"/>
      <c r="C481" s="309"/>
      <c r="D481" s="309"/>
      <c r="E481" s="309"/>
      <c r="F481" s="309"/>
      <c r="G481" s="309"/>
      <c r="H481" s="309"/>
      <c r="I481" s="309"/>
      <c r="J481" s="309"/>
      <c r="K481" s="309"/>
      <c r="L481" s="309"/>
      <c r="M481" s="309"/>
      <c r="N481" s="309"/>
      <c r="O481" s="309"/>
      <c r="P481" s="309"/>
      <c r="Q481" s="309"/>
      <c r="R481" s="309"/>
      <c r="S481" s="309"/>
      <c r="T481" s="309"/>
      <c r="U481" s="309"/>
      <c r="V481" s="309"/>
      <c r="W481" s="309"/>
      <c r="X481" s="309"/>
      <c r="Y481" s="309"/>
      <c r="Z481" s="309"/>
      <c r="AA481" s="309"/>
    </row>
    <row r="482" spans="2:27" ht="15.75" customHeight="1">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row>
    <row r="483" spans="2:27" ht="15.75" customHeight="1">
      <c r="B483" s="309"/>
      <c r="C483" s="309"/>
      <c r="D483" s="309"/>
      <c r="E483" s="309"/>
      <c r="F483" s="309"/>
      <c r="G483" s="309"/>
      <c r="H483" s="309"/>
      <c r="I483" s="309"/>
      <c r="J483" s="309"/>
      <c r="K483" s="309"/>
      <c r="L483" s="309"/>
      <c r="M483" s="309"/>
      <c r="N483" s="309"/>
      <c r="O483" s="309"/>
      <c r="P483" s="309"/>
      <c r="Q483" s="309"/>
      <c r="R483" s="309"/>
      <c r="S483" s="309"/>
      <c r="T483" s="309"/>
      <c r="U483" s="309"/>
      <c r="V483" s="309"/>
      <c r="W483" s="309"/>
      <c r="X483" s="309"/>
      <c r="Y483" s="309"/>
      <c r="Z483" s="309"/>
      <c r="AA483" s="309"/>
    </row>
    <row r="484" spans="2:27" ht="15.75" customHeight="1">
      <c r="B484" s="309"/>
      <c r="C484" s="309"/>
      <c r="D484" s="309"/>
      <c r="E484" s="309"/>
      <c r="F484" s="309"/>
      <c r="G484" s="309"/>
      <c r="H484" s="309"/>
      <c r="I484" s="309"/>
      <c r="J484" s="309"/>
      <c r="K484" s="309"/>
      <c r="L484" s="309"/>
      <c r="M484" s="309"/>
      <c r="N484" s="309"/>
      <c r="O484" s="309"/>
      <c r="P484" s="309"/>
      <c r="Q484" s="309"/>
      <c r="R484" s="309"/>
      <c r="S484" s="309"/>
      <c r="T484" s="309"/>
      <c r="U484" s="309"/>
      <c r="V484" s="309"/>
      <c r="W484" s="309"/>
      <c r="X484" s="309"/>
      <c r="Y484" s="309"/>
      <c r="Z484" s="309"/>
      <c r="AA484" s="309"/>
    </row>
    <row r="485" spans="2:27" ht="15.75" customHeight="1">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c r="Z485" s="309"/>
      <c r="AA485" s="309"/>
    </row>
    <row r="486" spans="2:27" ht="15.75" customHeight="1">
      <c r="B486" s="309"/>
      <c r="C486" s="309"/>
      <c r="D486" s="309"/>
      <c r="E486" s="309"/>
      <c r="F486" s="309"/>
      <c r="G486" s="309"/>
      <c r="H486" s="309"/>
      <c r="I486" s="309"/>
      <c r="J486" s="309"/>
      <c r="K486" s="309"/>
      <c r="L486" s="309"/>
      <c r="M486" s="309"/>
      <c r="N486" s="309"/>
      <c r="O486" s="309"/>
      <c r="P486" s="309"/>
      <c r="Q486" s="309"/>
      <c r="R486" s="309"/>
      <c r="S486" s="309"/>
      <c r="T486" s="309"/>
      <c r="U486" s="309"/>
      <c r="V486" s="309"/>
      <c r="W486" s="309"/>
      <c r="X486" s="309"/>
      <c r="Y486" s="309"/>
      <c r="Z486" s="309"/>
      <c r="AA486" s="309"/>
    </row>
    <row r="487" spans="2:27" ht="15.75" customHeight="1">
      <c r="B487" s="309"/>
      <c r="C487" s="309"/>
      <c r="D487" s="309"/>
      <c r="E487" s="309"/>
      <c r="F487" s="309"/>
      <c r="G487" s="309"/>
      <c r="H487" s="309"/>
      <c r="I487" s="309"/>
      <c r="J487" s="309"/>
      <c r="K487" s="309"/>
      <c r="L487" s="309"/>
      <c r="M487" s="309"/>
      <c r="N487" s="309"/>
      <c r="O487" s="309"/>
      <c r="P487" s="309"/>
      <c r="Q487" s="309"/>
      <c r="R487" s="309"/>
      <c r="S487" s="309"/>
      <c r="T487" s="309"/>
      <c r="U487" s="309"/>
      <c r="V487" s="309"/>
      <c r="W487" s="309"/>
      <c r="X487" s="309"/>
      <c r="Y487" s="309"/>
      <c r="Z487" s="309"/>
      <c r="AA487" s="309"/>
    </row>
    <row r="488" spans="2:27" ht="15.75" customHeight="1">
      <c r="B488" s="309"/>
      <c r="C488" s="309"/>
      <c r="D488" s="309"/>
      <c r="E488" s="309"/>
      <c r="F488" s="309"/>
      <c r="G488" s="309"/>
      <c r="H488" s="309"/>
      <c r="I488" s="309"/>
      <c r="J488" s="309"/>
      <c r="K488" s="309"/>
      <c r="L488" s="309"/>
      <c r="M488" s="309"/>
      <c r="N488" s="309"/>
      <c r="O488" s="309"/>
      <c r="P488" s="309"/>
      <c r="Q488" s="309"/>
      <c r="R488" s="309"/>
      <c r="S488" s="309"/>
      <c r="T488" s="309"/>
      <c r="U488" s="309"/>
      <c r="V488" s="309"/>
      <c r="W488" s="309"/>
      <c r="X488" s="309"/>
      <c r="Y488" s="309"/>
      <c r="Z488" s="309"/>
      <c r="AA488" s="309"/>
    </row>
    <row r="489" spans="2:27" ht="15.75" customHeight="1">
      <c r="B489" s="309"/>
      <c r="C489" s="309"/>
      <c r="D489" s="309"/>
      <c r="E489" s="309"/>
      <c r="F489" s="309"/>
      <c r="G489" s="309"/>
      <c r="H489" s="309"/>
      <c r="I489" s="309"/>
      <c r="J489" s="309"/>
      <c r="K489" s="309"/>
      <c r="L489" s="309"/>
      <c r="M489" s="309"/>
      <c r="N489" s="309"/>
      <c r="O489" s="309"/>
      <c r="P489" s="309"/>
      <c r="Q489" s="309"/>
      <c r="R489" s="309"/>
      <c r="S489" s="309"/>
      <c r="T489" s="309"/>
      <c r="U489" s="309"/>
      <c r="V489" s="309"/>
      <c r="W489" s="309"/>
      <c r="X489" s="309"/>
      <c r="Y489" s="309"/>
      <c r="Z489" s="309"/>
      <c r="AA489" s="309"/>
    </row>
    <row r="490" spans="2:27" ht="15.75" customHeight="1">
      <c r="B490" s="309"/>
      <c r="C490" s="309"/>
      <c r="D490" s="309"/>
      <c r="E490" s="309"/>
      <c r="F490" s="309"/>
      <c r="G490" s="309"/>
      <c r="H490" s="309"/>
      <c r="I490" s="309"/>
      <c r="J490" s="309"/>
      <c r="K490" s="309"/>
      <c r="L490" s="309"/>
      <c r="M490" s="309"/>
      <c r="N490" s="309"/>
      <c r="O490" s="309"/>
      <c r="P490" s="309"/>
      <c r="Q490" s="309"/>
      <c r="R490" s="309"/>
      <c r="S490" s="309"/>
      <c r="T490" s="309"/>
      <c r="U490" s="309"/>
      <c r="V490" s="309"/>
      <c r="W490" s="309"/>
      <c r="X490" s="309"/>
      <c r="Y490" s="309"/>
      <c r="Z490" s="309"/>
      <c r="AA490" s="309"/>
    </row>
    <row r="491" spans="2:27" ht="15.75" customHeight="1">
      <c r="B491" s="309"/>
      <c r="C491" s="309"/>
      <c r="D491" s="309"/>
      <c r="E491" s="309"/>
      <c r="F491" s="309"/>
      <c r="G491" s="309"/>
      <c r="H491" s="309"/>
      <c r="I491" s="309"/>
      <c r="J491" s="309"/>
      <c r="K491" s="309"/>
      <c r="L491" s="309"/>
      <c r="M491" s="309"/>
      <c r="N491" s="309"/>
      <c r="O491" s="309"/>
      <c r="P491" s="309"/>
      <c r="Q491" s="309"/>
      <c r="R491" s="309"/>
      <c r="S491" s="309"/>
      <c r="T491" s="309"/>
      <c r="U491" s="309"/>
      <c r="V491" s="309"/>
      <c r="W491" s="309"/>
      <c r="X491" s="309"/>
      <c r="Y491" s="309"/>
      <c r="Z491" s="309"/>
      <c r="AA491" s="309"/>
    </row>
    <row r="492" spans="2:27" ht="15.75" customHeight="1">
      <c r="B492" s="309"/>
      <c r="C492" s="309"/>
      <c r="D492" s="309"/>
      <c r="E492" s="309"/>
      <c r="F492" s="309"/>
      <c r="G492" s="309"/>
      <c r="H492" s="309"/>
      <c r="I492" s="309"/>
      <c r="J492" s="309"/>
      <c r="K492" s="309"/>
      <c r="L492" s="309"/>
      <c r="M492" s="309"/>
      <c r="N492" s="309"/>
      <c r="O492" s="309"/>
      <c r="P492" s="309"/>
      <c r="Q492" s="309"/>
      <c r="R492" s="309"/>
      <c r="S492" s="309"/>
      <c r="T492" s="309"/>
      <c r="U492" s="309"/>
      <c r="V492" s="309"/>
      <c r="W492" s="309"/>
      <c r="X492" s="309"/>
      <c r="Y492" s="309"/>
      <c r="Z492" s="309"/>
      <c r="AA492" s="309"/>
    </row>
    <row r="493" spans="2:27" ht="15.75" customHeight="1">
      <c r="B493" s="309"/>
      <c r="C493" s="309"/>
      <c r="D493" s="309"/>
      <c r="E493" s="309"/>
      <c r="F493" s="309"/>
      <c r="G493" s="309"/>
      <c r="H493" s="309"/>
      <c r="I493" s="309"/>
      <c r="J493" s="309"/>
      <c r="K493" s="309"/>
      <c r="L493" s="309"/>
      <c r="M493" s="309"/>
      <c r="N493" s="309"/>
      <c r="O493" s="309"/>
      <c r="P493" s="309"/>
      <c r="Q493" s="309"/>
      <c r="R493" s="309"/>
      <c r="S493" s="309"/>
      <c r="T493" s="309"/>
      <c r="U493" s="309"/>
      <c r="V493" s="309"/>
      <c r="W493" s="309"/>
      <c r="X493" s="309"/>
      <c r="Y493" s="309"/>
      <c r="Z493" s="309"/>
      <c r="AA493" s="309"/>
    </row>
    <row r="494" spans="2:27" ht="15.75" customHeight="1">
      <c r="B494" s="309"/>
      <c r="C494" s="309"/>
      <c r="D494" s="309"/>
      <c r="E494" s="309"/>
      <c r="F494" s="309"/>
      <c r="G494" s="309"/>
      <c r="H494" s="309"/>
      <c r="I494" s="309"/>
      <c r="J494" s="309"/>
      <c r="K494" s="309"/>
      <c r="L494" s="309"/>
      <c r="M494" s="309"/>
      <c r="N494" s="309"/>
      <c r="O494" s="309"/>
      <c r="P494" s="309"/>
      <c r="Q494" s="309"/>
      <c r="R494" s="309"/>
      <c r="S494" s="309"/>
      <c r="T494" s="309"/>
      <c r="U494" s="309"/>
      <c r="V494" s="309"/>
      <c r="W494" s="309"/>
      <c r="X494" s="309"/>
      <c r="Y494" s="309"/>
      <c r="Z494" s="309"/>
      <c r="AA494" s="309"/>
    </row>
    <row r="495" spans="2:27" ht="15.75" customHeight="1">
      <c r="B495" s="309"/>
      <c r="C495" s="309"/>
      <c r="D495" s="309"/>
      <c r="E495" s="309"/>
      <c r="F495" s="309"/>
      <c r="G495" s="309"/>
      <c r="H495" s="309"/>
      <c r="I495" s="309"/>
      <c r="J495" s="309"/>
      <c r="K495" s="309"/>
      <c r="L495" s="309"/>
      <c r="M495" s="309"/>
      <c r="N495" s="309"/>
      <c r="O495" s="309"/>
      <c r="P495" s="309"/>
      <c r="Q495" s="309"/>
      <c r="R495" s="309"/>
      <c r="S495" s="309"/>
      <c r="T495" s="309"/>
      <c r="U495" s="309"/>
      <c r="V495" s="309"/>
      <c r="W495" s="309"/>
      <c r="X495" s="309"/>
      <c r="Y495" s="309"/>
      <c r="Z495" s="309"/>
      <c r="AA495" s="309"/>
    </row>
    <row r="496" spans="2:27" ht="15.75" customHeight="1">
      <c r="B496" s="309"/>
      <c r="C496" s="309"/>
      <c r="D496" s="309"/>
      <c r="E496" s="309"/>
      <c r="F496" s="309"/>
      <c r="G496" s="309"/>
      <c r="H496" s="309"/>
      <c r="I496" s="309"/>
      <c r="J496" s="309"/>
      <c r="K496" s="309"/>
      <c r="L496" s="309"/>
      <c r="M496" s="309"/>
      <c r="N496" s="309"/>
      <c r="O496" s="309"/>
      <c r="P496" s="309"/>
      <c r="Q496" s="309"/>
      <c r="R496" s="309"/>
      <c r="S496" s="309"/>
      <c r="T496" s="309"/>
      <c r="U496" s="309"/>
      <c r="V496" s="309"/>
      <c r="W496" s="309"/>
      <c r="X496" s="309"/>
      <c r="Y496" s="309"/>
      <c r="Z496" s="309"/>
      <c r="AA496" s="309"/>
    </row>
    <row r="497" spans="2:27" ht="15.75" customHeight="1">
      <c r="B497" s="309"/>
      <c r="C497" s="309"/>
      <c r="D497" s="309"/>
      <c r="E497" s="309"/>
      <c r="F497" s="309"/>
      <c r="G497" s="309"/>
      <c r="H497" s="309"/>
      <c r="I497" s="309"/>
      <c r="J497" s="309"/>
      <c r="K497" s="309"/>
      <c r="L497" s="309"/>
      <c r="M497" s="309"/>
      <c r="N497" s="309"/>
      <c r="O497" s="309"/>
      <c r="P497" s="309"/>
      <c r="Q497" s="309"/>
      <c r="R497" s="309"/>
      <c r="S497" s="309"/>
      <c r="T497" s="309"/>
      <c r="U497" s="309"/>
      <c r="V497" s="309"/>
      <c r="W497" s="309"/>
      <c r="X497" s="309"/>
      <c r="Y497" s="309"/>
      <c r="Z497" s="309"/>
      <c r="AA497" s="309"/>
    </row>
    <row r="498" spans="2:27" ht="15.75" customHeight="1">
      <c r="B498" s="309"/>
      <c r="C498" s="309"/>
      <c r="D498" s="309"/>
      <c r="E498" s="309"/>
      <c r="F498" s="309"/>
      <c r="G498" s="309"/>
      <c r="H498" s="309"/>
      <c r="I498" s="309"/>
      <c r="J498" s="309"/>
      <c r="K498" s="309"/>
      <c r="L498" s="309"/>
      <c r="M498" s="309"/>
      <c r="N498" s="309"/>
      <c r="O498" s="309"/>
      <c r="P498" s="309"/>
      <c r="Q498" s="309"/>
      <c r="R498" s="309"/>
      <c r="S498" s="309"/>
      <c r="T498" s="309"/>
      <c r="U498" s="309"/>
      <c r="V498" s="309"/>
      <c r="W498" s="309"/>
      <c r="X498" s="309"/>
      <c r="Y498" s="309"/>
      <c r="Z498" s="309"/>
      <c r="AA498" s="309"/>
    </row>
    <row r="499" spans="2:27" ht="15.75" customHeight="1">
      <c r="B499" s="309"/>
      <c r="C499" s="309"/>
      <c r="D499" s="309"/>
      <c r="E499" s="309"/>
      <c r="F499" s="309"/>
      <c r="G499" s="309"/>
      <c r="H499" s="309"/>
      <c r="I499" s="309"/>
      <c r="J499" s="309"/>
      <c r="K499" s="309"/>
      <c r="L499" s="309"/>
      <c r="M499" s="309"/>
      <c r="N499" s="309"/>
      <c r="O499" s="309"/>
      <c r="P499" s="309"/>
      <c r="Q499" s="309"/>
      <c r="R499" s="309"/>
      <c r="S499" s="309"/>
      <c r="T499" s="309"/>
      <c r="U499" s="309"/>
      <c r="V499" s="309"/>
      <c r="W499" s="309"/>
      <c r="X499" s="309"/>
      <c r="Y499" s="309"/>
      <c r="Z499" s="309"/>
      <c r="AA499" s="309"/>
    </row>
    <row r="500" spans="2:27" ht="15.75" customHeight="1">
      <c r="B500" s="309"/>
      <c r="C500" s="309"/>
      <c r="D500" s="309"/>
      <c r="E500" s="309"/>
      <c r="F500" s="309"/>
      <c r="G500" s="309"/>
      <c r="H500" s="309"/>
      <c r="I500" s="309"/>
      <c r="J500" s="309"/>
      <c r="K500" s="309"/>
      <c r="L500" s="309"/>
      <c r="M500" s="309"/>
      <c r="N500" s="309"/>
      <c r="O500" s="309"/>
      <c r="P500" s="309"/>
      <c r="Q500" s="309"/>
      <c r="R500" s="309"/>
      <c r="S500" s="309"/>
      <c r="T500" s="309"/>
      <c r="U500" s="309"/>
      <c r="V500" s="309"/>
      <c r="W500" s="309"/>
      <c r="X500" s="309"/>
      <c r="Y500" s="309"/>
      <c r="Z500" s="309"/>
      <c r="AA500" s="309"/>
    </row>
    <row r="501" spans="2:27" ht="15.75" customHeight="1">
      <c r="B501" s="309"/>
      <c r="C501" s="309"/>
      <c r="D501" s="309"/>
      <c r="E501" s="309"/>
      <c r="F501" s="309"/>
      <c r="G501" s="309"/>
      <c r="H501" s="309"/>
      <c r="I501" s="309"/>
      <c r="J501" s="309"/>
      <c r="K501" s="309"/>
      <c r="L501" s="309"/>
      <c r="M501" s="309"/>
      <c r="N501" s="309"/>
      <c r="O501" s="309"/>
      <c r="P501" s="309"/>
      <c r="Q501" s="309"/>
      <c r="R501" s="309"/>
      <c r="S501" s="309"/>
      <c r="T501" s="309"/>
      <c r="U501" s="309"/>
      <c r="V501" s="309"/>
      <c r="W501" s="309"/>
      <c r="X501" s="309"/>
      <c r="Y501" s="309"/>
      <c r="Z501" s="309"/>
      <c r="AA501" s="309"/>
    </row>
    <row r="502" spans="2:27" ht="15.75" customHeight="1">
      <c r="B502" s="309"/>
      <c r="C502" s="309"/>
      <c r="D502" s="309"/>
      <c r="E502" s="309"/>
      <c r="F502" s="309"/>
      <c r="G502" s="309"/>
      <c r="H502" s="309"/>
      <c r="I502" s="309"/>
      <c r="J502" s="309"/>
      <c r="K502" s="309"/>
      <c r="L502" s="309"/>
      <c r="M502" s="309"/>
      <c r="N502" s="309"/>
      <c r="O502" s="309"/>
      <c r="P502" s="309"/>
      <c r="Q502" s="309"/>
      <c r="R502" s="309"/>
      <c r="S502" s="309"/>
      <c r="T502" s="309"/>
      <c r="U502" s="309"/>
      <c r="V502" s="309"/>
      <c r="W502" s="309"/>
      <c r="X502" s="309"/>
      <c r="Y502" s="309"/>
      <c r="Z502" s="309"/>
      <c r="AA502" s="309"/>
    </row>
    <row r="503" spans="2:27" ht="15.75" customHeight="1">
      <c r="B503" s="309"/>
      <c r="C503" s="309"/>
      <c r="D503" s="309"/>
      <c r="E503" s="309"/>
      <c r="F503" s="309"/>
      <c r="G503" s="309"/>
      <c r="H503" s="309"/>
      <c r="I503" s="309"/>
      <c r="J503" s="309"/>
      <c r="K503" s="309"/>
      <c r="L503" s="309"/>
      <c r="M503" s="309"/>
      <c r="N503" s="309"/>
      <c r="O503" s="309"/>
      <c r="P503" s="309"/>
      <c r="Q503" s="309"/>
      <c r="R503" s="309"/>
      <c r="S503" s="309"/>
      <c r="T503" s="309"/>
      <c r="U503" s="309"/>
      <c r="V503" s="309"/>
      <c r="W503" s="309"/>
      <c r="X503" s="309"/>
      <c r="Y503" s="309"/>
      <c r="Z503" s="309"/>
      <c r="AA503" s="309"/>
    </row>
    <row r="504" spans="2:27" ht="15.75" customHeight="1">
      <c r="B504" s="309"/>
      <c r="C504" s="309"/>
      <c r="D504" s="309"/>
      <c r="E504" s="309"/>
      <c r="F504" s="309"/>
      <c r="G504" s="309"/>
      <c r="H504" s="309"/>
      <c r="I504" s="309"/>
      <c r="J504" s="309"/>
      <c r="K504" s="309"/>
      <c r="L504" s="309"/>
      <c r="M504" s="309"/>
      <c r="N504" s="309"/>
      <c r="O504" s="309"/>
      <c r="P504" s="309"/>
      <c r="Q504" s="309"/>
      <c r="R504" s="309"/>
      <c r="S504" s="309"/>
      <c r="T504" s="309"/>
      <c r="U504" s="309"/>
      <c r="V504" s="309"/>
      <c r="W504" s="309"/>
      <c r="X504" s="309"/>
      <c r="Y504" s="309"/>
      <c r="Z504" s="309"/>
      <c r="AA504" s="309"/>
    </row>
    <row r="505" spans="2:27" ht="15.75" customHeight="1">
      <c r="B505" s="309"/>
      <c r="C505" s="309"/>
      <c r="D505" s="309"/>
      <c r="E505" s="309"/>
      <c r="F505" s="309"/>
      <c r="G505" s="309"/>
      <c r="H505" s="309"/>
      <c r="I505" s="309"/>
      <c r="J505" s="309"/>
      <c r="K505" s="309"/>
      <c r="L505" s="309"/>
      <c r="M505" s="309"/>
      <c r="N505" s="309"/>
      <c r="O505" s="309"/>
      <c r="P505" s="309"/>
      <c r="Q505" s="309"/>
      <c r="R505" s="309"/>
      <c r="S505" s="309"/>
      <c r="T505" s="309"/>
      <c r="U505" s="309"/>
      <c r="V505" s="309"/>
      <c r="W505" s="309"/>
      <c r="X505" s="309"/>
      <c r="Y505" s="309"/>
      <c r="Z505" s="309"/>
      <c r="AA505" s="309"/>
    </row>
    <row r="506" spans="2:27" ht="15.75" customHeight="1">
      <c r="B506" s="309"/>
      <c r="C506" s="309"/>
      <c r="D506" s="309"/>
      <c r="E506" s="309"/>
      <c r="F506" s="309"/>
      <c r="G506" s="309"/>
      <c r="H506" s="309"/>
      <c r="I506" s="309"/>
      <c r="J506" s="309"/>
      <c r="K506" s="309"/>
      <c r="L506" s="309"/>
      <c r="M506" s="309"/>
      <c r="N506" s="309"/>
      <c r="O506" s="309"/>
      <c r="P506" s="309"/>
      <c r="Q506" s="309"/>
      <c r="R506" s="309"/>
      <c r="S506" s="309"/>
      <c r="T506" s="309"/>
      <c r="U506" s="309"/>
      <c r="V506" s="309"/>
      <c r="W506" s="309"/>
      <c r="X506" s="309"/>
      <c r="Y506" s="309"/>
      <c r="Z506" s="309"/>
      <c r="AA506" s="309"/>
    </row>
    <row r="507" spans="2:27" ht="15.75" customHeight="1">
      <c r="B507" s="309"/>
      <c r="C507" s="309"/>
      <c r="D507" s="309"/>
      <c r="E507" s="309"/>
      <c r="F507" s="309"/>
      <c r="G507" s="309"/>
      <c r="H507" s="309"/>
      <c r="I507" s="309"/>
      <c r="J507" s="309"/>
      <c r="K507" s="309"/>
      <c r="L507" s="309"/>
      <c r="M507" s="309"/>
      <c r="N507" s="309"/>
      <c r="O507" s="309"/>
      <c r="P507" s="309"/>
      <c r="Q507" s="309"/>
      <c r="R507" s="309"/>
      <c r="S507" s="309"/>
      <c r="T507" s="309"/>
      <c r="U507" s="309"/>
      <c r="V507" s="309"/>
      <c r="W507" s="309"/>
      <c r="X507" s="309"/>
      <c r="Y507" s="309"/>
      <c r="Z507" s="309"/>
      <c r="AA507" s="309"/>
    </row>
    <row r="508" spans="2:27" ht="15.75" customHeight="1">
      <c r="B508" s="309"/>
      <c r="C508" s="309"/>
      <c r="D508" s="309"/>
      <c r="E508" s="309"/>
      <c r="F508" s="309"/>
      <c r="G508" s="309"/>
      <c r="H508" s="309"/>
      <c r="I508" s="309"/>
      <c r="J508" s="309"/>
      <c r="K508" s="309"/>
      <c r="L508" s="309"/>
      <c r="M508" s="309"/>
      <c r="N508" s="309"/>
      <c r="O508" s="309"/>
      <c r="P508" s="309"/>
      <c r="Q508" s="309"/>
      <c r="R508" s="309"/>
      <c r="S508" s="309"/>
      <c r="T508" s="309"/>
      <c r="U508" s="309"/>
      <c r="V508" s="309"/>
      <c r="W508" s="309"/>
      <c r="X508" s="309"/>
      <c r="Y508" s="309"/>
      <c r="Z508" s="309"/>
      <c r="AA508" s="309"/>
    </row>
    <row r="509" spans="2:27" ht="15.75" customHeight="1">
      <c r="B509" s="309"/>
      <c r="C509" s="309"/>
      <c r="D509" s="309"/>
      <c r="E509" s="309"/>
      <c r="F509" s="309"/>
      <c r="G509" s="309"/>
      <c r="H509" s="309"/>
      <c r="I509" s="309"/>
      <c r="J509" s="309"/>
      <c r="K509" s="309"/>
      <c r="L509" s="309"/>
      <c r="M509" s="309"/>
      <c r="N509" s="309"/>
      <c r="O509" s="309"/>
      <c r="P509" s="309"/>
      <c r="Q509" s="309"/>
      <c r="R509" s="309"/>
      <c r="S509" s="309"/>
      <c r="T509" s="309"/>
      <c r="U509" s="309"/>
      <c r="V509" s="309"/>
      <c r="W509" s="309"/>
      <c r="X509" s="309"/>
      <c r="Y509" s="309"/>
      <c r="Z509" s="309"/>
      <c r="AA509" s="309"/>
    </row>
    <row r="510" spans="2:27" ht="15.75" customHeight="1">
      <c r="B510" s="309"/>
      <c r="C510" s="309"/>
      <c r="D510" s="309"/>
      <c r="E510" s="309"/>
      <c r="F510" s="309"/>
      <c r="G510" s="309"/>
      <c r="H510" s="309"/>
      <c r="I510" s="309"/>
      <c r="J510" s="309"/>
      <c r="K510" s="309"/>
      <c r="L510" s="309"/>
      <c r="M510" s="309"/>
      <c r="N510" s="309"/>
      <c r="O510" s="309"/>
      <c r="P510" s="309"/>
      <c r="Q510" s="309"/>
      <c r="R510" s="309"/>
      <c r="S510" s="309"/>
      <c r="T510" s="309"/>
      <c r="U510" s="309"/>
      <c r="V510" s="309"/>
      <c r="W510" s="309"/>
      <c r="X510" s="309"/>
      <c r="Y510" s="309"/>
      <c r="Z510" s="309"/>
      <c r="AA510" s="309"/>
    </row>
    <row r="511" spans="2:27" ht="15.75" customHeight="1">
      <c r="B511" s="309"/>
      <c r="C511" s="309"/>
      <c r="D511" s="309"/>
      <c r="E511" s="309"/>
      <c r="F511" s="309"/>
      <c r="G511" s="309"/>
      <c r="H511" s="309"/>
      <c r="I511" s="309"/>
      <c r="J511" s="309"/>
      <c r="K511" s="309"/>
      <c r="L511" s="309"/>
      <c r="M511" s="309"/>
      <c r="N511" s="309"/>
      <c r="O511" s="309"/>
      <c r="P511" s="309"/>
      <c r="Q511" s="309"/>
      <c r="R511" s="309"/>
      <c r="S511" s="309"/>
      <c r="T511" s="309"/>
      <c r="U511" s="309"/>
      <c r="V511" s="309"/>
      <c r="W511" s="309"/>
      <c r="X511" s="309"/>
      <c r="Y511" s="309"/>
      <c r="Z511" s="309"/>
      <c r="AA511" s="309"/>
    </row>
    <row r="512" spans="2:27" ht="15.75" customHeight="1">
      <c r="B512" s="309"/>
      <c r="C512" s="309"/>
      <c r="D512" s="309"/>
      <c r="E512" s="309"/>
      <c r="F512" s="309"/>
      <c r="G512" s="309"/>
      <c r="H512" s="309"/>
      <c r="I512" s="309"/>
      <c r="J512" s="309"/>
      <c r="K512" s="309"/>
      <c r="L512" s="309"/>
      <c r="M512" s="309"/>
      <c r="N512" s="309"/>
      <c r="O512" s="309"/>
      <c r="P512" s="309"/>
      <c r="Q512" s="309"/>
      <c r="R512" s="309"/>
      <c r="S512" s="309"/>
      <c r="T512" s="309"/>
      <c r="U512" s="309"/>
      <c r="V512" s="309"/>
      <c r="W512" s="309"/>
      <c r="X512" s="309"/>
      <c r="Y512" s="309"/>
      <c r="Z512" s="309"/>
      <c r="AA512" s="309"/>
    </row>
    <row r="513" spans="2:27" ht="15.75" customHeight="1">
      <c r="B513" s="309"/>
      <c r="C513" s="309"/>
      <c r="D513" s="309"/>
      <c r="E513" s="309"/>
      <c r="F513" s="309"/>
      <c r="G513" s="309"/>
      <c r="H513" s="309"/>
      <c r="I513" s="309"/>
      <c r="J513" s="309"/>
      <c r="K513" s="309"/>
      <c r="L513" s="309"/>
      <c r="M513" s="309"/>
      <c r="N513" s="309"/>
      <c r="O513" s="309"/>
      <c r="P513" s="309"/>
      <c r="Q513" s="309"/>
      <c r="R513" s="309"/>
      <c r="S513" s="309"/>
      <c r="T513" s="309"/>
      <c r="U513" s="309"/>
      <c r="V513" s="309"/>
      <c r="W513" s="309"/>
      <c r="X513" s="309"/>
      <c r="Y513" s="309"/>
      <c r="Z513" s="309"/>
      <c r="AA513" s="309"/>
    </row>
    <row r="514" spans="2:27" ht="15.75" customHeight="1">
      <c r="B514" s="309"/>
      <c r="C514" s="309"/>
      <c r="D514" s="309"/>
      <c r="E514" s="309"/>
      <c r="F514" s="309"/>
      <c r="G514" s="309"/>
      <c r="H514" s="309"/>
      <c r="I514" s="309"/>
      <c r="J514" s="309"/>
      <c r="K514" s="309"/>
      <c r="L514" s="309"/>
      <c r="M514" s="309"/>
      <c r="N514" s="309"/>
      <c r="O514" s="309"/>
      <c r="P514" s="309"/>
      <c r="Q514" s="309"/>
      <c r="R514" s="309"/>
      <c r="S514" s="309"/>
      <c r="T514" s="309"/>
      <c r="U514" s="309"/>
      <c r="V514" s="309"/>
      <c r="W514" s="309"/>
      <c r="X514" s="309"/>
      <c r="Y514" s="309"/>
      <c r="Z514" s="309"/>
      <c r="AA514" s="309"/>
    </row>
    <row r="515" spans="2:27" ht="15.75" customHeight="1">
      <c r="B515" s="309"/>
      <c r="C515" s="309"/>
      <c r="D515" s="309"/>
      <c r="E515" s="309"/>
      <c r="F515" s="309"/>
      <c r="G515" s="309"/>
      <c r="H515" s="309"/>
      <c r="I515" s="309"/>
      <c r="J515" s="309"/>
      <c r="K515" s="309"/>
      <c r="L515" s="309"/>
      <c r="M515" s="309"/>
      <c r="N515" s="309"/>
      <c r="O515" s="309"/>
      <c r="P515" s="309"/>
      <c r="Q515" s="309"/>
      <c r="R515" s="309"/>
      <c r="S515" s="309"/>
      <c r="T515" s="309"/>
      <c r="U515" s="309"/>
      <c r="V515" s="309"/>
      <c r="W515" s="309"/>
      <c r="X515" s="309"/>
      <c r="Y515" s="309"/>
      <c r="Z515" s="309"/>
      <c r="AA515" s="309"/>
    </row>
    <row r="516" spans="2:27" ht="15.75" customHeight="1">
      <c r="B516" s="309"/>
      <c r="C516" s="309"/>
      <c r="D516" s="309"/>
      <c r="E516" s="309"/>
      <c r="F516" s="309"/>
      <c r="G516" s="309"/>
      <c r="H516" s="309"/>
      <c r="I516" s="309"/>
      <c r="J516" s="309"/>
      <c r="K516" s="309"/>
      <c r="L516" s="309"/>
      <c r="M516" s="309"/>
      <c r="N516" s="309"/>
      <c r="O516" s="309"/>
      <c r="P516" s="309"/>
      <c r="Q516" s="309"/>
      <c r="R516" s="309"/>
      <c r="S516" s="309"/>
      <c r="T516" s="309"/>
      <c r="U516" s="309"/>
      <c r="V516" s="309"/>
      <c r="W516" s="309"/>
      <c r="X516" s="309"/>
      <c r="Y516" s="309"/>
      <c r="Z516" s="309"/>
      <c r="AA516" s="309"/>
    </row>
    <row r="517" spans="2:27" ht="15.75" customHeight="1">
      <c r="B517" s="309"/>
      <c r="C517" s="309"/>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09"/>
      <c r="AA517" s="309"/>
    </row>
    <row r="518" spans="2:27" ht="15.75" customHeight="1">
      <c r="B518" s="309"/>
      <c r="C518" s="309"/>
      <c r="D518" s="309"/>
      <c r="E518" s="309"/>
      <c r="F518" s="309"/>
      <c r="G518" s="309"/>
      <c r="H518" s="309"/>
      <c r="I518" s="309"/>
      <c r="J518" s="309"/>
      <c r="K518" s="309"/>
      <c r="L518" s="309"/>
      <c r="M518" s="309"/>
      <c r="N518" s="309"/>
      <c r="O518" s="309"/>
      <c r="P518" s="309"/>
      <c r="Q518" s="309"/>
      <c r="R518" s="309"/>
      <c r="S518" s="309"/>
      <c r="T518" s="309"/>
      <c r="U518" s="309"/>
      <c r="V518" s="309"/>
      <c r="W518" s="309"/>
      <c r="X518" s="309"/>
      <c r="Y518" s="309"/>
      <c r="Z518" s="309"/>
      <c r="AA518" s="309"/>
    </row>
    <row r="519" spans="2:27" ht="15.75" customHeight="1">
      <c r="B519" s="309"/>
      <c r="C519" s="309"/>
      <c r="D519" s="309"/>
      <c r="E519" s="309"/>
      <c r="F519" s="309"/>
      <c r="G519" s="309"/>
      <c r="H519" s="309"/>
      <c r="I519" s="309"/>
      <c r="J519" s="309"/>
      <c r="K519" s="309"/>
      <c r="L519" s="309"/>
      <c r="M519" s="309"/>
      <c r="N519" s="309"/>
      <c r="O519" s="309"/>
      <c r="P519" s="309"/>
      <c r="Q519" s="309"/>
      <c r="R519" s="309"/>
      <c r="S519" s="309"/>
      <c r="T519" s="309"/>
      <c r="U519" s="309"/>
      <c r="V519" s="309"/>
      <c r="W519" s="309"/>
      <c r="X519" s="309"/>
      <c r="Y519" s="309"/>
      <c r="Z519" s="309"/>
      <c r="AA519" s="309"/>
    </row>
    <row r="520" spans="2:27" ht="15.75" customHeight="1">
      <c r="B520" s="309"/>
      <c r="C520" s="309"/>
      <c r="D520" s="309"/>
      <c r="E520" s="309"/>
      <c r="F520" s="309"/>
      <c r="G520" s="309"/>
      <c r="H520" s="309"/>
      <c r="I520" s="309"/>
      <c r="J520" s="309"/>
      <c r="K520" s="309"/>
      <c r="L520" s="309"/>
      <c r="M520" s="309"/>
      <c r="N520" s="309"/>
      <c r="O520" s="309"/>
      <c r="P520" s="309"/>
      <c r="Q520" s="309"/>
      <c r="R520" s="309"/>
      <c r="S520" s="309"/>
      <c r="T520" s="309"/>
      <c r="U520" s="309"/>
      <c r="V520" s="309"/>
      <c r="W520" s="309"/>
      <c r="X520" s="309"/>
      <c r="Y520" s="309"/>
      <c r="Z520" s="309"/>
      <c r="AA520" s="309"/>
    </row>
    <row r="521" spans="2:27" ht="15.75" customHeight="1">
      <c r="B521" s="309"/>
      <c r="C521" s="309"/>
      <c r="D521" s="309"/>
      <c r="E521" s="309"/>
      <c r="F521" s="309"/>
      <c r="G521" s="309"/>
      <c r="H521" s="309"/>
      <c r="I521" s="309"/>
      <c r="J521" s="309"/>
      <c r="K521" s="309"/>
      <c r="L521" s="309"/>
      <c r="M521" s="309"/>
      <c r="N521" s="309"/>
      <c r="O521" s="309"/>
      <c r="P521" s="309"/>
      <c r="Q521" s="309"/>
      <c r="R521" s="309"/>
      <c r="S521" s="309"/>
      <c r="T521" s="309"/>
      <c r="U521" s="309"/>
      <c r="V521" s="309"/>
      <c r="W521" s="309"/>
      <c r="X521" s="309"/>
      <c r="Y521" s="309"/>
      <c r="Z521" s="309"/>
      <c r="AA521" s="309"/>
    </row>
    <row r="522" spans="2:27" ht="15.75" customHeight="1">
      <c r="B522" s="309"/>
      <c r="C522" s="309"/>
      <c r="D522" s="309"/>
      <c r="E522" s="309"/>
      <c r="F522" s="309"/>
      <c r="G522" s="309"/>
      <c r="H522" s="309"/>
      <c r="I522" s="309"/>
      <c r="J522" s="309"/>
      <c r="K522" s="309"/>
      <c r="L522" s="309"/>
      <c r="M522" s="309"/>
      <c r="N522" s="309"/>
      <c r="O522" s="309"/>
      <c r="P522" s="309"/>
      <c r="Q522" s="309"/>
      <c r="R522" s="309"/>
      <c r="S522" s="309"/>
      <c r="T522" s="309"/>
      <c r="U522" s="309"/>
      <c r="V522" s="309"/>
      <c r="W522" s="309"/>
      <c r="X522" s="309"/>
      <c r="Y522" s="309"/>
      <c r="Z522" s="309"/>
      <c r="AA522" s="309"/>
    </row>
    <row r="523" spans="2:27" ht="15.75" customHeight="1">
      <c r="B523" s="309"/>
      <c r="C523" s="309"/>
      <c r="D523" s="309"/>
      <c r="E523" s="309"/>
      <c r="F523" s="309"/>
      <c r="G523" s="309"/>
      <c r="H523" s="309"/>
      <c r="I523" s="309"/>
      <c r="J523" s="309"/>
      <c r="K523" s="309"/>
      <c r="L523" s="309"/>
      <c r="M523" s="309"/>
      <c r="N523" s="309"/>
      <c r="O523" s="309"/>
      <c r="P523" s="309"/>
      <c r="Q523" s="309"/>
      <c r="R523" s="309"/>
      <c r="S523" s="309"/>
      <c r="T523" s="309"/>
      <c r="U523" s="309"/>
      <c r="V523" s="309"/>
      <c r="W523" s="309"/>
      <c r="X523" s="309"/>
      <c r="Y523" s="309"/>
      <c r="Z523" s="309"/>
      <c r="AA523" s="309"/>
    </row>
    <row r="524" spans="2:27" ht="15.75" customHeight="1">
      <c r="B524" s="309"/>
      <c r="C524" s="309"/>
      <c r="D524" s="309"/>
      <c r="E524" s="309"/>
      <c r="F524" s="309"/>
      <c r="G524" s="309"/>
      <c r="H524" s="309"/>
      <c r="I524" s="309"/>
      <c r="J524" s="309"/>
      <c r="K524" s="309"/>
      <c r="L524" s="309"/>
      <c r="M524" s="309"/>
      <c r="N524" s="309"/>
      <c r="O524" s="309"/>
      <c r="P524" s="309"/>
      <c r="Q524" s="309"/>
      <c r="R524" s="309"/>
      <c r="S524" s="309"/>
      <c r="T524" s="309"/>
      <c r="U524" s="309"/>
      <c r="V524" s="309"/>
      <c r="W524" s="309"/>
      <c r="X524" s="309"/>
      <c r="Y524" s="309"/>
      <c r="Z524" s="309"/>
      <c r="AA524" s="309"/>
    </row>
    <row r="525" spans="2:27" ht="15.75" customHeight="1">
      <c r="B525" s="309"/>
      <c r="C525" s="309"/>
      <c r="D525" s="309"/>
      <c r="E525" s="309"/>
      <c r="F525" s="309"/>
      <c r="G525" s="309"/>
      <c r="H525" s="309"/>
      <c r="I525" s="309"/>
      <c r="J525" s="309"/>
      <c r="K525" s="309"/>
      <c r="L525" s="309"/>
      <c r="M525" s="309"/>
      <c r="N525" s="309"/>
      <c r="O525" s="309"/>
      <c r="P525" s="309"/>
      <c r="Q525" s="309"/>
      <c r="R525" s="309"/>
      <c r="S525" s="309"/>
      <c r="T525" s="309"/>
      <c r="U525" s="309"/>
      <c r="V525" s="309"/>
      <c r="W525" s="309"/>
      <c r="X525" s="309"/>
      <c r="Y525" s="309"/>
      <c r="Z525" s="309"/>
      <c r="AA525" s="309"/>
    </row>
    <row r="526" spans="2:27" ht="15.75" customHeight="1">
      <c r="B526" s="309"/>
      <c r="C526" s="309"/>
      <c r="D526" s="309"/>
      <c r="E526" s="309"/>
      <c r="F526" s="309"/>
      <c r="G526" s="309"/>
      <c r="H526" s="309"/>
      <c r="I526" s="309"/>
      <c r="J526" s="309"/>
      <c r="K526" s="309"/>
      <c r="L526" s="309"/>
      <c r="M526" s="309"/>
      <c r="N526" s="309"/>
      <c r="O526" s="309"/>
      <c r="P526" s="309"/>
      <c r="Q526" s="309"/>
      <c r="R526" s="309"/>
      <c r="S526" s="309"/>
      <c r="T526" s="309"/>
      <c r="U526" s="309"/>
      <c r="V526" s="309"/>
      <c r="W526" s="309"/>
      <c r="X526" s="309"/>
      <c r="Y526" s="309"/>
      <c r="Z526" s="309"/>
      <c r="AA526" s="309"/>
    </row>
    <row r="527" spans="2:27" ht="15.75" customHeight="1">
      <c r="B527" s="309"/>
      <c r="C527" s="309"/>
      <c r="D527" s="309"/>
      <c r="E527" s="309"/>
      <c r="F527" s="309"/>
      <c r="G527" s="309"/>
      <c r="H527" s="309"/>
      <c r="I527" s="309"/>
      <c r="J527" s="309"/>
      <c r="K527" s="309"/>
      <c r="L527" s="309"/>
      <c r="M527" s="309"/>
      <c r="N527" s="309"/>
      <c r="O527" s="309"/>
      <c r="P527" s="309"/>
      <c r="Q527" s="309"/>
      <c r="R527" s="309"/>
      <c r="S527" s="309"/>
      <c r="T527" s="309"/>
      <c r="U527" s="309"/>
      <c r="V527" s="309"/>
      <c r="W527" s="309"/>
      <c r="X527" s="309"/>
      <c r="Y527" s="309"/>
      <c r="Z527" s="309"/>
      <c r="AA527" s="309"/>
    </row>
    <row r="528" spans="2:27" ht="15.75" customHeight="1">
      <c r="B528" s="309"/>
      <c r="C528" s="309"/>
      <c r="D528" s="309"/>
      <c r="E528" s="309"/>
      <c r="F528" s="309"/>
      <c r="G528" s="309"/>
      <c r="H528" s="309"/>
      <c r="I528" s="309"/>
      <c r="J528" s="309"/>
      <c r="K528" s="309"/>
      <c r="L528" s="309"/>
      <c r="M528" s="309"/>
      <c r="N528" s="309"/>
      <c r="O528" s="309"/>
      <c r="P528" s="309"/>
      <c r="Q528" s="309"/>
      <c r="R528" s="309"/>
      <c r="S528" s="309"/>
      <c r="T528" s="309"/>
      <c r="U528" s="309"/>
      <c r="V528" s="309"/>
      <c r="W528" s="309"/>
      <c r="X528" s="309"/>
      <c r="Y528" s="309"/>
      <c r="Z528" s="309"/>
      <c r="AA528" s="309"/>
    </row>
    <row r="529" spans="2:27" ht="15.75" customHeight="1">
      <c r="B529" s="309"/>
      <c r="C529" s="309"/>
      <c r="D529" s="309"/>
      <c r="E529" s="309"/>
      <c r="F529" s="309"/>
      <c r="G529" s="309"/>
      <c r="H529" s="309"/>
      <c r="I529" s="309"/>
      <c r="J529" s="309"/>
      <c r="K529" s="309"/>
      <c r="L529" s="309"/>
      <c r="M529" s="309"/>
      <c r="N529" s="309"/>
      <c r="O529" s="309"/>
      <c r="P529" s="309"/>
      <c r="Q529" s="309"/>
      <c r="R529" s="309"/>
      <c r="S529" s="309"/>
      <c r="T529" s="309"/>
      <c r="U529" s="309"/>
      <c r="V529" s="309"/>
      <c r="W529" s="309"/>
      <c r="X529" s="309"/>
      <c r="Y529" s="309"/>
      <c r="Z529" s="309"/>
      <c r="AA529" s="309"/>
    </row>
    <row r="530" spans="2:27" ht="15.75" customHeight="1">
      <c r="B530" s="309"/>
      <c r="C530" s="309"/>
      <c r="D530" s="309"/>
      <c r="E530" s="309"/>
      <c r="F530" s="309"/>
      <c r="G530" s="309"/>
      <c r="H530" s="309"/>
      <c r="I530" s="309"/>
      <c r="J530" s="309"/>
      <c r="K530" s="309"/>
      <c r="L530" s="309"/>
      <c r="M530" s="309"/>
      <c r="N530" s="309"/>
      <c r="O530" s="309"/>
      <c r="P530" s="309"/>
      <c r="Q530" s="309"/>
      <c r="R530" s="309"/>
      <c r="S530" s="309"/>
      <c r="T530" s="309"/>
      <c r="U530" s="309"/>
      <c r="V530" s="309"/>
      <c r="W530" s="309"/>
      <c r="X530" s="309"/>
      <c r="Y530" s="309"/>
      <c r="Z530" s="309"/>
      <c r="AA530" s="309"/>
    </row>
    <row r="531" spans="2:27" ht="15.75" customHeight="1">
      <c r="B531" s="309"/>
      <c r="C531" s="309"/>
      <c r="D531" s="309"/>
      <c r="E531" s="309"/>
      <c r="F531" s="309"/>
      <c r="G531" s="309"/>
      <c r="H531" s="309"/>
      <c r="I531" s="309"/>
      <c r="J531" s="309"/>
      <c r="K531" s="309"/>
      <c r="L531" s="309"/>
      <c r="M531" s="309"/>
      <c r="N531" s="309"/>
      <c r="O531" s="309"/>
      <c r="P531" s="309"/>
      <c r="Q531" s="309"/>
      <c r="R531" s="309"/>
      <c r="S531" s="309"/>
      <c r="T531" s="309"/>
      <c r="U531" s="309"/>
      <c r="V531" s="309"/>
      <c r="W531" s="309"/>
      <c r="X531" s="309"/>
      <c r="Y531" s="309"/>
      <c r="Z531" s="309"/>
      <c r="AA531" s="309"/>
    </row>
    <row r="532" spans="2:27" ht="15.75" customHeight="1">
      <c r="B532" s="309"/>
      <c r="C532" s="309"/>
      <c r="D532" s="309"/>
      <c r="E532" s="309"/>
      <c r="F532" s="309"/>
      <c r="G532" s="309"/>
      <c r="H532" s="309"/>
      <c r="I532" s="309"/>
      <c r="J532" s="309"/>
      <c r="K532" s="309"/>
      <c r="L532" s="309"/>
      <c r="M532" s="309"/>
      <c r="N532" s="309"/>
      <c r="O532" s="309"/>
      <c r="P532" s="309"/>
      <c r="Q532" s="309"/>
      <c r="R532" s="309"/>
      <c r="S532" s="309"/>
      <c r="T532" s="309"/>
      <c r="U532" s="309"/>
      <c r="V532" s="309"/>
      <c r="W532" s="309"/>
      <c r="X532" s="309"/>
      <c r="Y532" s="309"/>
      <c r="Z532" s="309"/>
      <c r="AA532" s="309"/>
    </row>
    <row r="533" spans="2:27" ht="15.75" customHeight="1">
      <c r="B533" s="309"/>
      <c r="C533" s="309"/>
      <c r="D533" s="309"/>
      <c r="E533" s="309"/>
      <c r="F533" s="309"/>
      <c r="G533" s="309"/>
      <c r="H533" s="309"/>
      <c r="I533" s="309"/>
      <c r="J533" s="309"/>
      <c r="K533" s="309"/>
      <c r="L533" s="309"/>
      <c r="M533" s="309"/>
      <c r="N533" s="309"/>
      <c r="O533" s="309"/>
      <c r="P533" s="309"/>
      <c r="Q533" s="309"/>
      <c r="R533" s="309"/>
      <c r="S533" s="309"/>
      <c r="T533" s="309"/>
      <c r="U533" s="309"/>
      <c r="V533" s="309"/>
      <c r="W533" s="309"/>
      <c r="X533" s="309"/>
      <c r="Y533" s="309"/>
      <c r="Z533" s="309"/>
      <c r="AA533" s="309"/>
    </row>
    <row r="534" spans="2:27" ht="15.75" customHeight="1">
      <c r="B534" s="309"/>
      <c r="C534" s="309"/>
      <c r="D534" s="309"/>
      <c r="E534" s="309"/>
      <c r="F534" s="309"/>
      <c r="G534" s="309"/>
      <c r="H534" s="309"/>
      <c r="I534" s="309"/>
      <c r="J534" s="309"/>
      <c r="K534" s="309"/>
      <c r="L534" s="309"/>
      <c r="M534" s="309"/>
      <c r="N534" s="309"/>
      <c r="O534" s="309"/>
      <c r="P534" s="309"/>
      <c r="Q534" s="309"/>
      <c r="R534" s="309"/>
      <c r="S534" s="309"/>
      <c r="T534" s="309"/>
      <c r="U534" s="309"/>
      <c r="V534" s="309"/>
      <c r="W534" s="309"/>
      <c r="X534" s="309"/>
      <c r="Y534" s="309"/>
      <c r="Z534" s="309"/>
      <c r="AA534" s="309"/>
    </row>
    <row r="535" spans="2:27" ht="15.75" customHeight="1">
      <c r="B535" s="309"/>
      <c r="C535" s="309"/>
      <c r="D535" s="309"/>
      <c r="E535" s="309"/>
      <c r="F535" s="309"/>
      <c r="G535" s="309"/>
      <c r="H535" s="309"/>
      <c r="I535" s="309"/>
      <c r="J535" s="309"/>
      <c r="K535" s="309"/>
      <c r="L535" s="309"/>
      <c r="M535" s="309"/>
      <c r="N535" s="309"/>
      <c r="O535" s="309"/>
      <c r="P535" s="309"/>
      <c r="Q535" s="309"/>
      <c r="R535" s="309"/>
      <c r="S535" s="309"/>
      <c r="T535" s="309"/>
      <c r="U535" s="309"/>
      <c r="V535" s="309"/>
      <c r="W535" s="309"/>
      <c r="X535" s="309"/>
      <c r="Y535" s="309"/>
      <c r="Z535" s="309"/>
      <c r="AA535" s="309"/>
    </row>
    <row r="536" spans="2:27" ht="15.75" customHeight="1">
      <c r="B536" s="309"/>
      <c r="C536" s="309"/>
      <c r="D536" s="309"/>
      <c r="E536" s="309"/>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row>
    <row r="537" spans="2:27" ht="15.75" customHeight="1">
      <c r="B537" s="309"/>
      <c r="C537" s="309"/>
      <c r="D537" s="309"/>
      <c r="E537" s="309"/>
      <c r="F537" s="309"/>
      <c r="G537" s="309"/>
      <c r="H537" s="309"/>
      <c r="I537" s="309"/>
      <c r="J537" s="309"/>
      <c r="K537" s="309"/>
      <c r="L537" s="309"/>
      <c r="M537" s="309"/>
      <c r="N537" s="309"/>
      <c r="O537" s="309"/>
      <c r="P537" s="309"/>
      <c r="Q537" s="309"/>
      <c r="R537" s="309"/>
      <c r="S537" s="309"/>
      <c r="T537" s="309"/>
      <c r="U537" s="309"/>
      <c r="V537" s="309"/>
      <c r="W537" s="309"/>
      <c r="X537" s="309"/>
      <c r="Y537" s="309"/>
      <c r="Z537" s="309"/>
      <c r="AA537" s="309"/>
    </row>
    <row r="538" spans="2:27" ht="15.75" customHeight="1">
      <c r="B538" s="309"/>
      <c r="C538" s="309"/>
      <c r="D538" s="309"/>
      <c r="E538" s="309"/>
      <c r="F538" s="309"/>
      <c r="G538" s="309"/>
      <c r="H538" s="309"/>
      <c r="I538" s="309"/>
      <c r="J538" s="309"/>
      <c r="K538" s="309"/>
      <c r="L538" s="309"/>
      <c r="M538" s="309"/>
      <c r="N538" s="309"/>
      <c r="O538" s="309"/>
      <c r="P538" s="309"/>
      <c r="Q538" s="309"/>
      <c r="R538" s="309"/>
      <c r="S538" s="309"/>
      <c r="T538" s="309"/>
      <c r="U538" s="309"/>
      <c r="V538" s="309"/>
      <c r="W538" s="309"/>
      <c r="X538" s="309"/>
      <c r="Y538" s="309"/>
      <c r="Z538" s="309"/>
      <c r="AA538" s="309"/>
    </row>
    <row r="539" spans="2:27" ht="15.75" customHeight="1">
      <c r="B539" s="309"/>
      <c r="C539" s="309"/>
      <c r="D539" s="309"/>
      <c r="E539" s="309"/>
      <c r="F539" s="309"/>
      <c r="G539" s="309"/>
      <c r="H539" s="309"/>
      <c r="I539" s="309"/>
      <c r="J539" s="309"/>
      <c r="K539" s="309"/>
      <c r="L539" s="309"/>
      <c r="M539" s="309"/>
      <c r="N539" s="309"/>
      <c r="O539" s="309"/>
      <c r="P539" s="309"/>
      <c r="Q539" s="309"/>
      <c r="R539" s="309"/>
      <c r="S539" s="309"/>
      <c r="T539" s="309"/>
      <c r="U539" s="309"/>
      <c r="V539" s="309"/>
      <c r="W539" s="309"/>
      <c r="X539" s="309"/>
      <c r="Y539" s="309"/>
      <c r="Z539" s="309"/>
      <c r="AA539" s="309"/>
    </row>
    <row r="540" spans="2:27" ht="15.75" customHeight="1">
      <c r="B540" s="309"/>
      <c r="C540" s="309"/>
      <c r="D540" s="309"/>
      <c r="E540" s="309"/>
      <c r="F540" s="309"/>
      <c r="G540" s="309"/>
      <c r="H540" s="309"/>
      <c r="I540" s="309"/>
      <c r="J540" s="309"/>
      <c r="K540" s="309"/>
      <c r="L540" s="309"/>
      <c r="M540" s="309"/>
      <c r="N540" s="309"/>
      <c r="O540" s="309"/>
      <c r="P540" s="309"/>
      <c r="Q540" s="309"/>
      <c r="R540" s="309"/>
      <c r="S540" s="309"/>
      <c r="T540" s="309"/>
      <c r="U540" s="309"/>
      <c r="V540" s="309"/>
      <c r="W540" s="309"/>
      <c r="X540" s="309"/>
      <c r="Y540" s="309"/>
      <c r="Z540" s="309"/>
      <c r="AA540" s="309"/>
    </row>
    <row r="541" spans="2:27" ht="15.75" customHeight="1">
      <c r="B541" s="309"/>
      <c r="C541" s="309"/>
      <c r="D541" s="309"/>
      <c r="E541" s="309"/>
      <c r="F541" s="309"/>
      <c r="G541" s="309"/>
      <c r="H541" s="309"/>
      <c r="I541" s="309"/>
      <c r="J541" s="309"/>
      <c r="K541" s="309"/>
      <c r="L541" s="309"/>
      <c r="M541" s="309"/>
      <c r="N541" s="309"/>
      <c r="O541" s="309"/>
      <c r="P541" s="309"/>
      <c r="Q541" s="309"/>
      <c r="R541" s="309"/>
      <c r="S541" s="309"/>
      <c r="T541" s="309"/>
      <c r="U541" s="309"/>
      <c r="V541" s="309"/>
      <c r="W541" s="309"/>
      <c r="X541" s="309"/>
      <c r="Y541" s="309"/>
      <c r="Z541" s="309"/>
      <c r="AA541" s="309"/>
    </row>
    <row r="542" spans="2:27" ht="15.75" customHeight="1">
      <c r="B542" s="309"/>
      <c r="C542" s="309"/>
      <c r="D542" s="309"/>
      <c r="E542" s="309"/>
      <c r="F542" s="309"/>
      <c r="G542" s="309"/>
      <c r="H542" s="309"/>
      <c r="I542" s="309"/>
      <c r="J542" s="309"/>
      <c r="K542" s="309"/>
      <c r="L542" s="309"/>
      <c r="M542" s="309"/>
      <c r="N542" s="309"/>
      <c r="O542" s="309"/>
      <c r="P542" s="309"/>
      <c r="Q542" s="309"/>
      <c r="R542" s="309"/>
      <c r="S542" s="309"/>
      <c r="T542" s="309"/>
      <c r="U542" s="309"/>
      <c r="V542" s="309"/>
      <c r="W542" s="309"/>
      <c r="X542" s="309"/>
      <c r="Y542" s="309"/>
      <c r="Z542" s="309"/>
      <c r="AA542" s="309"/>
    </row>
    <row r="543" spans="2:27" ht="15.75" customHeight="1">
      <c r="B543" s="309"/>
      <c r="C543" s="309"/>
      <c r="D543" s="309"/>
      <c r="E543" s="309"/>
      <c r="F543" s="309"/>
      <c r="G543" s="309"/>
      <c r="H543" s="309"/>
      <c r="I543" s="309"/>
      <c r="J543" s="309"/>
      <c r="K543" s="309"/>
      <c r="L543" s="309"/>
      <c r="M543" s="309"/>
      <c r="N543" s="309"/>
      <c r="O543" s="309"/>
      <c r="P543" s="309"/>
      <c r="Q543" s="309"/>
      <c r="R543" s="309"/>
      <c r="S543" s="309"/>
      <c r="T543" s="309"/>
      <c r="U543" s="309"/>
      <c r="V543" s="309"/>
      <c r="W543" s="309"/>
      <c r="X543" s="309"/>
      <c r="Y543" s="309"/>
      <c r="Z543" s="309"/>
      <c r="AA543" s="309"/>
    </row>
    <row r="544" spans="2:27" ht="15.75" customHeight="1">
      <c r="B544" s="309"/>
      <c r="C544" s="309"/>
      <c r="D544" s="309"/>
      <c r="E544" s="309"/>
      <c r="F544" s="309"/>
      <c r="G544" s="309"/>
      <c r="H544" s="309"/>
      <c r="I544" s="309"/>
      <c r="J544" s="309"/>
      <c r="K544" s="309"/>
      <c r="L544" s="309"/>
      <c r="M544" s="309"/>
      <c r="N544" s="309"/>
      <c r="O544" s="309"/>
      <c r="P544" s="309"/>
      <c r="Q544" s="309"/>
      <c r="R544" s="309"/>
      <c r="S544" s="309"/>
      <c r="T544" s="309"/>
      <c r="U544" s="309"/>
      <c r="V544" s="309"/>
      <c r="W544" s="309"/>
      <c r="X544" s="309"/>
      <c r="Y544" s="309"/>
      <c r="Z544" s="309"/>
      <c r="AA544" s="309"/>
    </row>
    <row r="545" spans="2:27" ht="15.75" customHeight="1">
      <c r="B545" s="309"/>
      <c r="C545" s="309"/>
      <c r="D545" s="309"/>
      <c r="E545" s="309"/>
      <c r="F545" s="309"/>
      <c r="G545" s="309"/>
      <c r="H545" s="309"/>
      <c r="I545" s="309"/>
      <c r="J545" s="309"/>
      <c r="K545" s="309"/>
      <c r="L545" s="309"/>
      <c r="M545" s="309"/>
      <c r="N545" s="309"/>
      <c r="O545" s="309"/>
      <c r="P545" s="309"/>
      <c r="Q545" s="309"/>
      <c r="R545" s="309"/>
      <c r="S545" s="309"/>
      <c r="T545" s="309"/>
      <c r="U545" s="309"/>
      <c r="V545" s="309"/>
      <c r="W545" s="309"/>
      <c r="X545" s="309"/>
      <c r="Y545" s="309"/>
      <c r="Z545" s="309"/>
      <c r="AA545" s="309"/>
    </row>
    <row r="546" spans="2:27" ht="15.75" customHeight="1">
      <c r="B546" s="309"/>
      <c r="C546" s="309"/>
      <c r="D546" s="309"/>
      <c r="E546" s="309"/>
      <c r="F546" s="309"/>
      <c r="G546" s="309"/>
      <c r="H546" s="309"/>
      <c r="I546" s="309"/>
      <c r="J546" s="309"/>
      <c r="K546" s="309"/>
      <c r="L546" s="309"/>
      <c r="M546" s="309"/>
      <c r="N546" s="309"/>
      <c r="O546" s="309"/>
      <c r="P546" s="309"/>
      <c r="Q546" s="309"/>
      <c r="R546" s="309"/>
      <c r="S546" s="309"/>
      <c r="T546" s="309"/>
      <c r="U546" s="309"/>
      <c r="V546" s="309"/>
      <c r="W546" s="309"/>
      <c r="X546" s="309"/>
      <c r="Y546" s="309"/>
      <c r="Z546" s="309"/>
      <c r="AA546" s="309"/>
    </row>
    <row r="547" spans="2:27" ht="15.75" customHeight="1">
      <c r="B547" s="309"/>
      <c r="C547" s="309"/>
      <c r="D547" s="309"/>
      <c r="E547" s="309"/>
      <c r="F547" s="309"/>
      <c r="G547" s="309"/>
      <c r="H547" s="309"/>
      <c r="I547" s="309"/>
      <c r="J547" s="309"/>
      <c r="K547" s="309"/>
      <c r="L547" s="309"/>
      <c r="M547" s="309"/>
      <c r="N547" s="309"/>
      <c r="O547" s="309"/>
      <c r="P547" s="309"/>
      <c r="Q547" s="309"/>
      <c r="R547" s="309"/>
      <c r="S547" s="309"/>
      <c r="T547" s="309"/>
      <c r="U547" s="309"/>
      <c r="V547" s="309"/>
      <c r="W547" s="309"/>
      <c r="X547" s="309"/>
      <c r="Y547" s="309"/>
      <c r="Z547" s="309"/>
      <c r="AA547" s="309"/>
    </row>
    <row r="548" spans="2:27" ht="15.75" customHeight="1">
      <c r="B548" s="309"/>
      <c r="C548" s="309"/>
      <c r="D548" s="309"/>
      <c r="E548" s="309"/>
      <c r="F548" s="309"/>
      <c r="G548" s="309"/>
      <c r="H548" s="309"/>
      <c r="I548" s="309"/>
      <c r="J548" s="309"/>
      <c r="K548" s="309"/>
      <c r="L548" s="309"/>
      <c r="M548" s="309"/>
      <c r="N548" s="309"/>
      <c r="O548" s="309"/>
      <c r="P548" s="309"/>
      <c r="Q548" s="309"/>
      <c r="R548" s="309"/>
      <c r="S548" s="309"/>
      <c r="T548" s="309"/>
      <c r="U548" s="309"/>
      <c r="V548" s="309"/>
      <c r="W548" s="309"/>
      <c r="X548" s="309"/>
      <c r="Y548" s="309"/>
      <c r="Z548" s="309"/>
      <c r="AA548" s="309"/>
    </row>
    <row r="549" spans="2:27" ht="15.75" customHeight="1">
      <c r="B549" s="309"/>
      <c r="C549" s="309"/>
      <c r="D549" s="309"/>
      <c r="E549" s="309"/>
      <c r="F549" s="309"/>
      <c r="G549" s="309"/>
      <c r="H549" s="309"/>
      <c r="I549" s="309"/>
      <c r="J549" s="309"/>
      <c r="K549" s="309"/>
      <c r="L549" s="309"/>
      <c r="M549" s="309"/>
      <c r="N549" s="309"/>
      <c r="O549" s="309"/>
      <c r="P549" s="309"/>
      <c r="Q549" s="309"/>
      <c r="R549" s="309"/>
      <c r="S549" s="309"/>
      <c r="T549" s="309"/>
      <c r="U549" s="309"/>
      <c r="V549" s="309"/>
      <c r="W549" s="309"/>
      <c r="X549" s="309"/>
      <c r="Y549" s="309"/>
      <c r="Z549" s="309"/>
      <c r="AA549" s="309"/>
    </row>
    <row r="550" spans="2:27" ht="15.75" customHeight="1">
      <c r="B550" s="309"/>
      <c r="C550" s="309"/>
      <c r="D550" s="309"/>
      <c r="E550" s="309"/>
      <c r="F550" s="309"/>
      <c r="G550" s="309"/>
      <c r="H550" s="309"/>
      <c r="I550" s="309"/>
      <c r="J550" s="309"/>
      <c r="K550" s="309"/>
      <c r="L550" s="309"/>
      <c r="M550" s="309"/>
      <c r="N550" s="309"/>
      <c r="O550" s="309"/>
      <c r="P550" s="309"/>
      <c r="Q550" s="309"/>
      <c r="R550" s="309"/>
      <c r="S550" s="309"/>
      <c r="T550" s="309"/>
      <c r="U550" s="309"/>
      <c r="V550" s="309"/>
      <c r="W550" s="309"/>
      <c r="X550" s="309"/>
      <c r="Y550" s="309"/>
      <c r="Z550" s="309"/>
      <c r="AA550" s="309"/>
    </row>
    <row r="551" spans="2:27" ht="15.75" customHeight="1">
      <c r="B551" s="309"/>
      <c r="C551" s="309"/>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09"/>
      <c r="AA551" s="309"/>
    </row>
    <row r="552" spans="2:27" ht="15.75" customHeight="1">
      <c r="B552" s="309"/>
      <c r="C552" s="309"/>
      <c r="D552" s="309"/>
      <c r="E552" s="309"/>
      <c r="F552" s="309"/>
      <c r="G552" s="309"/>
      <c r="H552" s="309"/>
      <c r="I552" s="309"/>
      <c r="J552" s="309"/>
      <c r="K552" s="309"/>
      <c r="L552" s="309"/>
      <c r="M552" s="309"/>
      <c r="N552" s="309"/>
      <c r="O552" s="309"/>
      <c r="P552" s="309"/>
      <c r="Q552" s="309"/>
      <c r="R552" s="309"/>
      <c r="S552" s="309"/>
      <c r="T552" s="309"/>
      <c r="U552" s="309"/>
      <c r="V552" s="309"/>
      <c r="W552" s="309"/>
      <c r="X552" s="309"/>
      <c r="Y552" s="309"/>
      <c r="Z552" s="309"/>
      <c r="AA552" s="309"/>
    </row>
    <row r="553" spans="2:27" ht="15.75" customHeight="1">
      <c r="B553" s="309"/>
      <c r="C553" s="309"/>
      <c r="D553" s="309"/>
      <c r="E553" s="309"/>
      <c r="F553" s="309"/>
      <c r="G553" s="309"/>
      <c r="H553" s="309"/>
      <c r="I553" s="309"/>
      <c r="J553" s="309"/>
      <c r="K553" s="309"/>
      <c r="L553" s="309"/>
      <c r="M553" s="309"/>
      <c r="N553" s="309"/>
      <c r="O553" s="309"/>
      <c r="P553" s="309"/>
      <c r="Q553" s="309"/>
      <c r="R553" s="309"/>
      <c r="S553" s="309"/>
      <c r="T553" s="309"/>
      <c r="U553" s="309"/>
      <c r="V553" s="309"/>
      <c r="W553" s="309"/>
      <c r="X553" s="309"/>
      <c r="Y553" s="309"/>
      <c r="Z553" s="309"/>
      <c r="AA553" s="309"/>
    </row>
    <row r="554" spans="2:27" ht="15.75" customHeight="1">
      <c r="B554" s="309"/>
      <c r="C554" s="309"/>
      <c r="D554" s="309"/>
      <c r="E554" s="309"/>
      <c r="F554" s="309"/>
      <c r="G554" s="309"/>
      <c r="H554" s="309"/>
      <c r="I554" s="309"/>
      <c r="J554" s="309"/>
      <c r="K554" s="309"/>
      <c r="L554" s="309"/>
      <c r="M554" s="309"/>
      <c r="N554" s="309"/>
      <c r="O554" s="309"/>
      <c r="P554" s="309"/>
      <c r="Q554" s="309"/>
      <c r="R554" s="309"/>
      <c r="S554" s="309"/>
      <c r="T554" s="309"/>
      <c r="U554" s="309"/>
      <c r="V554" s="309"/>
      <c r="W554" s="309"/>
      <c r="X554" s="309"/>
      <c r="Y554" s="309"/>
      <c r="Z554" s="309"/>
      <c r="AA554" s="309"/>
    </row>
    <row r="555" spans="2:27" ht="15.75" customHeight="1">
      <c r="B555" s="309"/>
      <c r="C555" s="309"/>
      <c r="D555" s="309"/>
      <c r="E555" s="309"/>
      <c r="F555" s="309"/>
      <c r="G555" s="309"/>
      <c r="H555" s="309"/>
      <c r="I555" s="309"/>
      <c r="J555" s="309"/>
      <c r="K555" s="309"/>
      <c r="L555" s="309"/>
      <c r="M555" s="309"/>
      <c r="N555" s="309"/>
      <c r="O555" s="309"/>
      <c r="P555" s="309"/>
      <c r="Q555" s="309"/>
      <c r="R555" s="309"/>
      <c r="S555" s="309"/>
      <c r="T555" s="309"/>
      <c r="U555" s="309"/>
      <c r="V555" s="309"/>
      <c r="W555" s="309"/>
      <c r="X555" s="309"/>
      <c r="Y555" s="309"/>
      <c r="Z555" s="309"/>
      <c r="AA555" s="309"/>
    </row>
    <row r="556" spans="2:27" ht="15.75" customHeight="1">
      <c r="B556" s="309"/>
      <c r="C556" s="309"/>
      <c r="D556" s="309"/>
      <c r="E556" s="309"/>
      <c r="F556" s="309"/>
      <c r="G556" s="309"/>
      <c r="H556" s="309"/>
      <c r="I556" s="309"/>
      <c r="J556" s="309"/>
      <c r="K556" s="309"/>
      <c r="L556" s="309"/>
      <c r="M556" s="309"/>
      <c r="N556" s="309"/>
      <c r="O556" s="309"/>
      <c r="P556" s="309"/>
      <c r="Q556" s="309"/>
      <c r="R556" s="309"/>
      <c r="S556" s="309"/>
      <c r="T556" s="309"/>
      <c r="U556" s="309"/>
      <c r="V556" s="309"/>
      <c r="W556" s="309"/>
      <c r="X556" s="309"/>
      <c r="Y556" s="309"/>
      <c r="Z556" s="309"/>
      <c r="AA556" s="309"/>
    </row>
    <row r="557" spans="2:27" ht="15.75" customHeight="1">
      <c r="B557" s="309"/>
      <c r="C557" s="309"/>
      <c r="D557" s="309"/>
      <c r="E557" s="309"/>
      <c r="F557" s="309"/>
      <c r="G557" s="309"/>
      <c r="H557" s="309"/>
      <c r="I557" s="309"/>
      <c r="J557" s="309"/>
      <c r="K557" s="309"/>
      <c r="L557" s="309"/>
      <c r="M557" s="309"/>
      <c r="N557" s="309"/>
      <c r="O557" s="309"/>
      <c r="P557" s="309"/>
      <c r="Q557" s="309"/>
      <c r="R557" s="309"/>
      <c r="S557" s="309"/>
      <c r="T557" s="309"/>
      <c r="U557" s="309"/>
      <c r="V557" s="309"/>
      <c r="W557" s="309"/>
      <c r="X557" s="309"/>
      <c r="Y557" s="309"/>
      <c r="Z557" s="309"/>
      <c r="AA557" s="309"/>
    </row>
    <row r="558" spans="2:27" ht="15.75" customHeight="1">
      <c r="B558" s="309"/>
      <c r="C558" s="309"/>
      <c r="D558" s="309"/>
      <c r="E558" s="309"/>
      <c r="F558" s="309"/>
      <c r="G558" s="309"/>
      <c r="H558" s="309"/>
      <c r="I558" s="309"/>
      <c r="J558" s="309"/>
      <c r="K558" s="309"/>
      <c r="L558" s="309"/>
      <c r="M558" s="309"/>
      <c r="N558" s="309"/>
      <c r="O558" s="309"/>
      <c r="P558" s="309"/>
      <c r="Q558" s="309"/>
      <c r="R558" s="309"/>
      <c r="S558" s="309"/>
      <c r="T558" s="309"/>
      <c r="U558" s="309"/>
      <c r="V558" s="309"/>
      <c r="W558" s="309"/>
      <c r="X558" s="309"/>
      <c r="Y558" s="309"/>
      <c r="Z558" s="309"/>
      <c r="AA558" s="309"/>
    </row>
    <row r="559" spans="2:27" ht="15.75" customHeight="1">
      <c r="B559" s="309"/>
      <c r="C559" s="309"/>
      <c r="D559" s="309"/>
      <c r="E559" s="309"/>
      <c r="F559" s="309"/>
      <c r="G559" s="309"/>
      <c r="H559" s="309"/>
      <c r="I559" s="309"/>
      <c r="J559" s="309"/>
      <c r="K559" s="309"/>
      <c r="L559" s="309"/>
      <c r="M559" s="309"/>
      <c r="N559" s="309"/>
      <c r="O559" s="309"/>
      <c r="P559" s="309"/>
      <c r="Q559" s="309"/>
      <c r="R559" s="309"/>
      <c r="S559" s="309"/>
      <c r="T559" s="309"/>
      <c r="U559" s="309"/>
      <c r="V559" s="309"/>
      <c r="W559" s="309"/>
      <c r="X559" s="309"/>
      <c r="Y559" s="309"/>
      <c r="Z559" s="309"/>
      <c r="AA559" s="309"/>
    </row>
    <row r="560" spans="2:27" ht="15.75" customHeight="1">
      <c r="B560" s="309"/>
      <c r="C560" s="309"/>
      <c r="D560" s="309"/>
      <c r="E560" s="309"/>
      <c r="F560" s="309"/>
      <c r="G560" s="309"/>
      <c r="H560" s="309"/>
      <c r="I560" s="309"/>
      <c r="J560" s="309"/>
      <c r="K560" s="309"/>
      <c r="L560" s="309"/>
      <c r="M560" s="309"/>
      <c r="N560" s="309"/>
      <c r="O560" s="309"/>
      <c r="P560" s="309"/>
      <c r="Q560" s="309"/>
      <c r="R560" s="309"/>
      <c r="S560" s="309"/>
      <c r="T560" s="309"/>
      <c r="U560" s="309"/>
      <c r="V560" s="309"/>
      <c r="W560" s="309"/>
      <c r="X560" s="309"/>
      <c r="Y560" s="309"/>
      <c r="Z560" s="309"/>
      <c r="AA560" s="309"/>
    </row>
    <row r="561" spans="2:27" ht="15.75" customHeight="1">
      <c r="B561" s="309"/>
      <c r="C561" s="309"/>
      <c r="D561" s="309"/>
      <c r="E561" s="309"/>
      <c r="F561" s="309"/>
      <c r="G561" s="309"/>
      <c r="H561" s="309"/>
      <c r="I561" s="309"/>
      <c r="J561" s="309"/>
      <c r="K561" s="309"/>
      <c r="L561" s="309"/>
      <c r="M561" s="309"/>
      <c r="N561" s="309"/>
      <c r="O561" s="309"/>
      <c r="P561" s="309"/>
      <c r="Q561" s="309"/>
      <c r="R561" s="309"/>
      <c r="S561" s="309"/>
      <c r="T561" s="309"/>
      <c r="U561" s="309"/>
      <c r="V561" s="309"/>
      <c r="W561" s="309"/>
      <c r="X561" s="309"/>
      <c r="Y561" s="309"/>
      <c r="Z561" s="309"/>
      <c r="AA561" s="309"/>
    </row>
    <row r="562" spans="2:27" ht="15.75" customHeight="1">
      <c r="B562" s="309"/>
      <c r="C562" s="309"/>
      <c r="D562" s="309"/>
      <c r="E562" s="309"/>
      <c r="F562" s="309"/>
      <c r="G562" s="309"/>
      <c r="H562" s="309"/>
      <c r="I562" s="309"/>
      <c r="J562" s="309"/>
      <c r="K562" s="309"/>
      <c r="L562" s="309"/>
      <c r="M562" s="309"/>
      <c r="N562" s="309"/>
      <c r="O562" s="309"/>
      <c r="P562" s="309"/>
      <c r="Q562" s="309"/>
      <c r="R562" s="309"/>
      <c r="S562" s="309"/>
      <c r="T562" s="309"/>
      <c r="U562" s="309"/>
      <c r="V562" s="309"/>
      <c r="W562" s="309"/>
      <c r="X562" s="309"/>
      <c r="Y562" s="309"/>
      <c r="Z562" s="309"/>
      <c r="AA562" s="309"/>
    </row>
    <row r="563" spans="2:27" ht="15.75" customHeight="1">
      <c r="B563" s="309"/>
      <c r="C563" s="309"/>
      <c r="D563" s="309"/>
      <c r="E563" s="309"/>
      <c r="F563" s="309"/>
      <c r="G563" s="309"/>
      <c r="H563" s="309"/>
      <c r="I563" s="309"/>
      <c r="J563" s="309"/>
      <c r="K563" s="309"/>
      <c r="L563" s="309"/>
      <c r="M563" s="309"/>
      <c r="N563" s="309"/>
      <c r="O563" s="309"/>
      <c r="P563" s="309"/>
      <c r="Q563" s="309"/>
      <c r="R563" s="309"/>
      <c r="S563" s="309"/>
      <c r="T563" s="309"/>
      <c r="U563" s="309"/>
      <c r="V563" s="309"/>
      <c r="W563" s="309"/>
      <c r="X563" s="309"/>
      <c r="Y563" s="309"/>
      <c r="Z563" s="309"/>
      <c r="AA563" s="309"/>
    </row>
    <row r="564" spans="2:27" ht="15.75" customHeight="1">
      <c r="B564" s="309"/>
      <c r="C564" s="309"/>
      <c r="D564" s="309"/>
      <c r="E564" s="309"/>
      <c r="F564" s="309"/>
      <c r="G564" s="309"/>
      <c r="H564" s="309"/>
      <c r="I564" s="309"/>
      <c r="J564" s="309"/>
      <c r="K564" s="309"/>
      <c r="L564" s="309"/>
      <c r="M564" s="309"/>
      <c r="N564" s="309"/>
      <c r="O564" s="309"/>
      <c r="P564" s="309"/>
      <c r="Q564" s="309"/>
      <c r="R564" s="309"/>
      <c r="S564" s="309"/>
      <c r="T564" s="309"/>
      <c r="U564" s="309"/>
      <c r="V564" s="309"/>
      <c r="W564" s="309"/>
      <c r="X564" s="309"/>
      <c r="Y564" s="309"/>
      <c r="Z564" s="309"/>
      <c r="AA564" s="309"/>
    </row>
    <row r="565" spans="2:27" ht="15.75" customHeight="1">
      <c r="B565" s="309"/>
      <c r="C565" s="309"/>
      <c r="D565" s="309"/>
      <c r="E565" s="309"/>
      <c r="F565" s="309"/>
      <c r="G565" s="309"/>
      <c r="H565" s="309"/>
      <c r="I565" s="309"/>
      <c r="J565" s="309"/>
      <c r="K565" s="309"/>
      <c r="L565" s="309"/>
      <c r="M565" s="309"/>
      <c r="N565" s="309"/>
      <c r="O565" s="309"/>
      <c r="P565" s="309"/>
      <c r="Q565" s="309"/>
      <c r="R565" s="309"/>
      <c r="S565" s="309"/>
      <c r="T565" s="309"/>
      <c r="U565" s="309"/>
      <c r="V565" s="309"/>
      <c r="W565" s="309"/>
      <c r="X565" s="309"/>
      <c r="Y565" s="309"/>
      <c r="Z565" s="309"/>
      <c r="AA565" s="309"/>
    </row>
    <row r="566" spans="2:27" ht="15.75" customHeight="1">
      <c r="B566" s="309"/>
      <c r="C566" s="309"/>
      <c r="D566" s="309"/>
      <c r="E566" s="309"/>
      <c r="F566" s="309"/>
      <c r="G566" s="309"/>
      <c r="H566" s="309"/>
      <c r="I566" s="309"/>
      <c r="J566" s="309"/>
      <c r="K566" s="309"/>
      <c r="L566" s="309"/>
      <c r="M566" s="309"/>
      <c r="N566" s="309"/>
      <c r="O566" s="309"/>
      <c r="P566" s="309"/>
      <c r="Q566" s="309"/>
      <c r="R566" s="309"/>
      <c r="S566" s="309"/>
      <c r="T566" s="309"/>
      <c r="U566" s="309"/>
      <c r="V566" s="309"/>
      <c r="W566" s="309"/>
      <c r="X566" s="309"/>
      <c r="Y566" s="309"/>
      <c r="Z566" s="309"/>
      <c r="AA566" s="309"/>
    </row>
    <row r="567" spans="2:27" ht="15.75" customHeight="1">
      <c r="B567" s="309"/>
      <c r="C567" s="309"/>
      <c r="D567" s="309"/>
      <c r="E567" s="309"/>
      <c r="F567" s="309"/>
      <c r="G567" s="309"/>
      <c r="H567" s="309"/>
      <c r="I567" s="309"/>
      <c r="J567" s="309"/>
      <c r="K567" s="309"/>
      <c r="L567" s="309"/>
      <c r="M567" s="309"/>
      <c r="N567" s="309"/>
      <c r="O567" s="309"/>
      <c r="P567" s="309"/>
      <c r="Q567" s="309"/>
      <c r="R567" s="309"/>
      <c r="S567" s="309"/>
      <c r="T567" s="309"/>
      <c r="U567" s="309"/>
      <c r="V567" s="309"/>
      <c r="W567" s="309"/>
      <c r="X567" s="309"/>
      <c r="Y567" s="309"/>
      <c r="Z567" s="309"/>
      <c r="AA567" s="309"/>
    </row>
    <row r="568" spans="2:27" ht="15.75" customHeight="1">
      <c r="B568" s="309"/>
      <c r="C568" s="309"/>
      <c r="D568" s="309"/>
      <c r="E568" s="309"/>
      <c r="F568" s="309"/>
      <c r="G568" s="309"/>
      <c r="H568" s="309"/>
      <c r="I568" s="309"/>
      <c r="J568" s="309"/>
      <c r="K568" s="309"/>
      <c r="L568" s="309"/>
      <c r="M568" s="309"/>
      <c r="N568" s="309"/>
      <c r="O568" s="309"/>
      <c r="P568" s="309"/>
      <c r="Q568" s="309"/>
      <c r="R568" s="309"/>
      <c r="S568" s="309"/>
      <c r="T568" s="309"/>
      <c r="U568" s="309"/>
      <c r="V568" s="309"/>
      <c r="W568" s="309"/>
      <c r="X568" s="309"/>
      <c r="Y568" s="309"/>
      <c r="Z568" s="309"/>
      <c r="AA568" s="309"/>
    </row>
    <row r="569" spans="2:27" ht="15.75" customHeight="1">
      <c r="B569" s="309"/>
      <c r="C569" s="309"/>
      <c r="D569" s="309"/>
      <c r="E569" s="309"/>
      <c r="F569" s="309"/>
      <c r="G569" s="309"/>
      <c r="H569" s="309"/>
      <c r="I569" s="309"/>
      <c r="J569" s="309"/>
      <c r="K569" s="309"/>
      <c r="L569" s="309"/>
      <c r="M569" s="309"/>
      <c r="N569" s="309"/>
      <c r="O569" s="309"/>
      <c r="P569" s="309"/>
      <c r="Q569" s="309"/>
      <c r="R569" s="309"/>
      <c r="S569" s="309"/>
      <c r="T569" s="309"/>
      <c r="U569" s="309"/>
      <c r="V569" s="309"/>
      <c r="W569" s="309"/>
      <c r="X569" s="309"/>
      <c r="Y569" s="309"/>
      <c r="Z569" s="309"/>
      <c r="AA569" s="309"/>
    </row>
    <row r="570" spans="2:27" ht="15.75" customHeight="1">
      <c r="B570" s="309"/>
      <c r="C570" s="309"/>
      <c r="D570" s="309"/>
      <c r="E570" s="309"/>
      <c r="F570" s="309"/>
      <c r="G570" s="309"/>
      <c r="H570" s="309"/>
      <c r="I570" s="309"/>
      <c r="J570" s="309"/>
      <c r="K570" s="309"/>
      <c r="L570" s="309"/>
      <c r="M570" s="309"/>
      <c r="N570" s="309"/>
      <c r="O570" s="309"/>
      <c r="P570" s="309"/>
      <c r="Q570" s="309"/>
      <c r="R570" s="309"/>
      <c r="S570" s="309"/>
      <c r="T570" s="309"/>
      <c r="U570" s="309"/>
      <c r="V570" s="309"/>
      <c r="W570" s="309"/>
      <c r="X570" s="309"/>
      <c r="Y570" s="309"/>
      <c r="Z570" s="309"/>
      <c r="AA570" s="309"/>
    </row>
    <row r="571" spans="2:27" ht="15.75" customHeight="1">
      <c r="B571" s="309"/>
      <c r="C571" s="309"/>
      <c r="D571" s="309"/>
      <c r="E571" s="309"/>
      <c r="F571" s="309"/>
      <c r="G571" s="309"/>
      <c r="H571" s="309"/>
      <c r="I571" s="309"/>
      <c r="J571" s="309"/>
      <c r="K571" s="309"/>
      <c r="L571" s="309"/>
      <c r="M571" s="309"/>
      <c r="N571" s="309"/>
      <c r="O571" s="309"/>
      <c r="P571" s="309"/>
      <c r="Q571" s="309"/>
      <c r="R571" s="309"/>
      <c r="S571" s="309"/>
      <c r="T571" s="309"/>
      <c r="U571" s="309"/>
      <c r="V571" s="309"/>
      <c r="W571" s="309"/>
      <c r="X571" s="309"/>
      <c r="Y571" s="309"/>
      <c r="Z571" s="309"/>
      <c r="AA571" s="309"/>
    </row>
    <row r="572" spans="2:27" ht="15.75" customHeight="1">
      <c r="B572" s="309"/>
      <c r="C572" s="309"/>
      <c r="D572" s="309"/>
      <c r="E572" s="309"/>
      <c r="F572" s="309"/>
      <c r="G572" s="309"/>
      <c r="H572" s="309"/>
      <c r="I572" s="309"/>
      <c r="J572" s="309"/>
      <c r="K572" s="309"/>
      <c r="L572" s="309"/>
      <c r="M572" s="309"/>
      <c r="N572" s="309"/>
      <c r="O572" s="309"/>
      <c r="P572" s="309"/>
      <c r="Q572" s="309"/>
      <c r="R572" s="309"/>
      <c r="S572" s="309"/>
      <c r="T572" s="309"/>
      <c r="U572" s="309"/>
      <c r="V572" s="309"/>
      <c r="W572" s="309"/>
      <c r="X572" s="309"/>
      <c r="Y572" s="309"/>
      <c r="Z572" s="309"/>
      <c r="AA572" s="309"/>
    </row>
    <row r="573" spans="2:27" ht="15.75" customHeight="1">
      <c r="B573" s="309"/>
      <c r="C573" s="309"/>
      <c r="D573" s="309"/>
      <c r="E573" s="309"/>
      <c r="F573" s="309"/>
      <c r="G573" s="309"/>
      <c r="H573" s="309"/>
      <c r="I573" s="309"/>
      <c r="J573" s="309"/>
      <c r="K573" s="309"/>
      <c r="L573" s="309"/>
      <c r="M573" s="309"/>
      <c r="N573" s="309"/>
      <c r="O573" s="309"/>
      <c r="P573" s="309"/>
      <c r="Q573" s="309"/>
      <c r="R573" s="309"/>
      <c r="S573" s="309"/>
      <c r="T573" s="309"/>
      <c r="U573" s="309"/>
      <c r="V573" s="309"/>
      <c r="W573" s="309"/>
      <c r="X573" s="309"/>
      <c r="Y573" s="309"/>
      <c r="Z573" s="309"/>
      <c r="AA573" s="309"/>
    </row>
    <row r="574" spans="2:27" ht="15.75" customHeight="1">
      <c r="B574" s="309"/>
      <c r="C574" s="309"/>
      <c r="D574" s="309"/>
      <c r="E574" s="309"/>
      <c r="F574" s="309"/>
      <c r="G574" s="309"/>
      <c r="H574" s="309"/>
      <c r="I574" s="309"/>
      <c r="J574" s="309"/>
      <c r="K574" s="309"/>
      <c r="L574" s="309"/>
      <c r="M574" s="309"/>
      <c r="N574" s="309"/>
      <c r="O574" s="309"/>
      <c r="P574" s="309"/>
      <c r="Q574" s="309"/>
      <c r="R574" s="309"/>
      <c r="S574" s="309"/>
      <c r="T574" s="309"/>
      <c r="U574" s="309"/>
      <c r="V574" s="309"/>
      <c r="W574" s="309"/>
      <c r="X574" s="309"/>
      <c r="Y574" s="309"/>
      <c r="Z574" s="309"/>
      <c r="AA574" s="309"/>
    </row>
    <row r="575" spans="2:27" ht="15.75" customHeight="1">
      <c r="B575" s="309"/>
      <c r="C575" s="309"/>
      <c r="D575" s="309"/>
      <c r="E575" s="309"/>
      <c r="F575" s="309"/>
      <c r="G575" s="309"/>
      <c r="H575" s="309"/>
      <c r="I575" s="309"/>
      <c r="J575" s="309"/>
      <c r="K575" s="309"/>
      <c r="L575" s="309"/>
      <c r="M575" s="309"/>
      <c r="N575" s="309"/>
      <c r="O575" s="309"/>
      <c r="P575" s="309"/>
      <c r="Q575" s="309"/>
      <c r="R575" s="309"/>
      <c r="S575" s="309"/>
      <c r="T575" s="309"/>
      <c r="U575" s="309"/>
      <c r="V575" s="309"/>
      <c r="W575" s="309"/>
      <c r="X575" s="309"/>
      <c r="Y575" s="309"/>
      <c r="Z575" s="309"/>
      <c r="AA575" s="309"/>
    </row>
    <row r="576" spans="2:27" ht="15.75" customHeight="1">
      <c r="B576" s="309"/>
      <c r="C576" s="309"/>
      <c r="D576" s="309"/>
      <c r="E576" s="309"/>
      <c r="F576" s="309"/>
      <c r="G576" s="309"/>
      <c r="H576" s="309"/>
      <c r="I576" s="309"/>
      <c r="J576" s="309"/>
      <c r="K576" s="309"/>
      <c r="L576" s="309"/>
      <c r="M576" s="309"/>
      <c r="N576" s="309"/>
      <c r="O576" s="309"/>
      <c r="P576" s="309"/>
      <c r="Q576" s="309"/>
      <c r="R576" s="309"/>
      <c r="S576" s="309"/>
      <c r="T576" s="309"/>
      <c r="U576" s="309"/>
      <c r="V576" s="309"/>
      <c r="W576" s="309"/>
      <c r="X576" s="309"/>
      <c r="Y576" s="309"/>
      <c r="Z576" s="309"/>
      <c r="AA576" s="309"/>
    </row>
    <row r="577" spans="2:27" ht="15.75" customHeight="1">
      <c r="B577" s="309"/>
      <c r="C577" s="309"/>
      <c r="D577" s="309"/>
      <c r="E577" s="309"/>
      <c r="F577" s="309"/>
      <c r="G577" s="309"/>
      <c r="H577" s="309"/>
      <c r="I577" s="309"/>
      <c r="J577" s="309"/>
      <c r="K577" s="309"/>
      <c r="L577" s="309"/>
      <c r="M577" s="309"/>
      <c r="N577" s="309"/>
      <c r="O577" s="309"/>
      <c r="P577" s="309"/>
      <c r="Q577" s="309"/>
      <c r="R577" s="309"/>
      <c r="S577" s="309"/>
      <c r="T577" s="309"/>
      <c r="U577" s="309"/>
      <c r="V577" s="309"/>
      <c r="W577" s="309"/>
      <c r="X577" s="309"/>
      <c r="Y577" s="309"/>
      <c r="Z577" s="309"/>
      <c r="AA577" s="309"/>
    </row>
    <row r="578" spans="2:27" ht="15.75" customHeight="1">
      <c r="B578" s="309"/>
      <c r="C578" s="309"/>
      <c r="D578" s="309"/>
      <c r="E578" s="309"/>
      <c r="F578" s="309"/>
      <c r="G578" s="309"/>
      <c r="H578" s="309"/>
      <c r="I578" s="309"/>
      <c r="J578" s="309"/>
      <c r="K578" s="309"/>
      <c r="L578" s="309"/>
      <c r="M578" s="309"/>
      <c r="N578" s="309"/>
      <c r="O578" s="309"/>
      <c r="P578" s="309"/>
      <c r="Q578" s="309"/>
      <c r="R578" s="309"/>
      <c r="S578" s="309"/>
      <c r="T578" s="309"/>
      <c r="U578" s="309"/>
      <c r="V578" s="309"/>
      <c r="W578" s="309"/>
      <c r="X578" s="309"/>
      <c r="Y578" s="309"/>
      <c r="Z578" s="309"/>
      <c r="AA578" s="309"/>
    </row>
    <row r="579" spans="2:27" ht="15.75" customHeight="1">
      <c r="B579" s="309"/>
      <c r="C579" s="309"/>
      <c r="D579" s="309"/>
      <c r="E579" s="309"/>
      <c r="F579" s="309"/>
      <c r="G579" s="309"/>
      <c r="H579" s="309"/>
      <c r="I579" s="309"/>
      <c r="J579" s="309"/>
      <c r="K579" s="309"/>
      <c r="L579" s="309"/>
      <c r="M579" s="309"/>
      <c r="N579" s="309"/>
      <c r="O579" s="309"/>
      <c r="P579" s="309"/>
      <c r="Q579" s="309"/>
      <c r="R579" s="309"/>
      <c r="S579" s="309"/>
      <c r="T579" s="309"/>
      <c r="U579" s="309"/>
      <c r="V579" s="309"/>
      <c r="W579" s="309"/>
      <c r="X579" s="309"/>
      <c r="Y579" s="309"/>
      <c r="Z579" s="309"/>
      <c r="AA579" s="309"/>
    </row>
    <row r="580" spans="2:27" ht="15.75" customHeight="1">
      <c r="B580" s="309"/>
      <c r="C580" s="309"/>
      <c r="D580" s="309"/>
      <c r="E580" s="309"/>
      <c r="F580" s="309"/>
      <c r="G580" s="309"/>
      <c r="H580" s="309"/>
      <c r="I580" s="309"/>
      <c r="J580" s="309"/>
      <c r="K580" s="309"/>
      <c r="L580" s="309"/>
      <c r="M580" s="309"/>
      <c r="N580" s="309"/>
      <c r="O580" s="309"/>
      <c r="P580" s="309"/>
      <c r="Q580" s="309"/>
      <c r="R580" s="309"/>
      <c r="S580" s="309"/>
      <c r="T580" s="309"/>
      <c r="U580" s="309"/>
      <c r="V580" s="309"/>
      <c r="W580" s="309"/>
      <c r="X580" s="309"/>
      <c r="Y580" s="309"/>
      <c r="Z580" s="309"/>
      <c r="AA580" s="309"/>
    </row>
    <row r="581" spans="2:27" ht="15.75" customHeight="1">
      <c r="B581" s="309"/>
      <c r="C581" s="309"/>
      <c r="D581" s="309"/>
      <c r="E581" s="309"/>
      <c r="F581" s="309"/>
      <c r="G581" s="309"/>
      <c r="H581" s="309"/>
      <c r="I581" s="309"/>
      <c r="J581" s="309"/>
      <c r="K581" s="309"/>
      <c r="L581" s="309"/>
      <c r="M581" s="309"/>
      <c r="N581" s="309"/>
      <c r="O581" s="309"/>
      <c r="P581" s="309"/>
      <c r="Q581" s="309"/>
      <c r="R581" s="309"/>
      <c r="S581" s="309"/>
      <c r="T581" s="309"/>
      <c r="U581" s="309"/>
      <c r="V581" s="309"/>
      <c r="W581" s="309"/>
      <c r="X581" s="309"/>
      <c r="Y581" s="309"/>
      <c r="Z581" s="309"/>
      <c r="AA581" s="309"/>
    </row>
    <row r="582" spans="2:27" ht="15.75" customHeight="1">
      <c r="B582" s="309"/>
      <c r="C582" s="309"/>
      <c r="D582" s="309"/>
      <c r="E582" s="309"/>
      <c r="F582" s="309"/>
      <c r="G582" s="309"/>
      <c r="H582" s="309"/>
      <c r="I582" s="309"/>
      <c r="J582" s="309"/>
      <c r="K582" s="309"/>
      <c r="L582" s="309"/>
      <c r="M582" s="309"/>
      <c r="N582" s="309"/>
      <c r="O582" s="309"/>
      <c r="P582" s="309"/>
      <c r="Q582" s="309"/>
      <c r="R582" s="309"/>
      <c r="S582" s="309"/>
      <c r="T582" s="309"/>
      <c r="U582" s="309"/>
      <c r="V582" s="309"/>
      <c r="W582" s="309"/>
      <c r="X582" s="309"/>
      <c r="Y582" s="309"/>
      <c r="Z582" s="309"/>
      <c r="AA582" s="309"/>
    </row>
    <row r="583" spans="2:27" ht="15.75" customHeight="1">
      <c r="B583" s="309"/>
      <c r="C583" s="309"/>
      <c r="D583" s="309"/>
      <c r="E583" s="309"/>
      <c r="F583" s="309"/>
      <c r="G583" s="309"/>
      <c r="H583" s="309"/>
      <c r="I583" s="309"/>
      <c r="J583" s="309"/>
      <c r="K583" s="309"/>
      <c r="L583" s="309"/>
      <c r="M583" s="309"/>
      <c r="N583" s="309"/>
      <c r="O583" s="309"/>
      <c r="P583" s="309"/>
      <c r="Q583" s="309"/>
      <c r="R583" s="309"/>
      <c r="S583" s="309"/>
      <c r="T583" s="309"/>
      <c r="U583" s="309"/>
      <c r="V583" s="309"/>
      <c r="W583" s="309"/>
      <c r="X583" s="309"/>
      <c r="Y583" s="309"/>
      <c r="Z583" s="309"/>
      <c r="AA583" s="309"/>
    </row>
    <row r="584" spans="2:27" ht="15.75" customHeight="1">
      <c r="B584" s="309"/>
      <c r="C584" s="309"/>
      <c r="D584" s="309"/>
      <c r="E584" s="309"/>
      <c r="F584" s="309"/>
      <c r="G584" s="309"/>
      <c r="H584" s="309"/>
      <c r="I584" s="309"/>
      <c r="J584" s="309"/>
      <c r="K584" s="309"/>
      <c r="L584" s="309"/>
      <c r="M584" s="309"/>
      <c r="N584" s="309"/>
      <c r="O584" s="309"/>
      <c r="P584" s="309"/>
      <c r="Q584" s="309"/>
      <c r="R584" s="309"/>
      <c r="S584" s="309"/>
      <c r="T584" s="309"/>
      <c r="U584" s="309"/>
      <c r="V584" s="309"/>
      <c r="W584" s="309"/>
      <c r="X584" s="309"/>
      <c r="Y584" s="309"/>
      <c r="Z584" s="309"/>
      <c r="AA584" s="309"/>
    </row>
    <row r="585" spans="2:27" ht="15.75" customHeight="1">
      <c r="B585" s="309"/>
      <c r="C585" s="309"/>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09"/>
      <c r="AA585" s="309"/>
    </row>
    <row r="586" spans="2:27" ht="15.75" customHeight="1">
      <c r="B586" s="309"/>
      <c r="C586" s="309"/>
      <c r="D586" s="309"/>
      <c r="E586" s="309"/>
      <c r="F586" s="309"/>
      <c r="G586" s="309"/>
      <c r="H586" s="309"/>
      <c r="I586" s="309"/>
      <c r="J586" s="309"/>
      <c r="K586" s="309"/>
      <c r="L586" s="309"/>
      <c r="M586" s="309"/>
      <c r="N586" s="309"/>
      <c r="O586" s="309"/>
      <c r="P586" s="309"/>
      <c r="Q586" s="309"/>
      <c r="R586" s="309"/>
      <c r="S586" s="309"/>
      <c r="T586" s="309"/>
      <c r="U586" s="309"/>
      <c r="V586" s="309"/>
      <c r="W586" s="309"/>
      <c r="X586" s="309"/>
      <c r="Y586" s="309"/>
      <c r="Z586" s="309"/>
      <c r="AA586" s="309"/>
    </row>
    <row r="587" spans="2:27" ht="15.75" customHeight="1">
      <c r="B587" s="309"/>
      <c r="C587" s="309"/>
      <c r="D587" s="309"/>
      <c r="E587" s="309"/>
      <c r="F587" s="309"/>
      <c r="G587" s="309"/>
      <c r="H587" s="309"/>
      <c r="I587" s="309"/>
      <c r="J587" s="309"/>
      <c r="K587" s="309"/>
      <c r="L587" s="309"/>
      <c r="M587" s="309"/>
      <c r="N587" s="309"/>
      <c r="O587" s="309"/>
      <c r="P587" s="309"/>
      <c r="Q587" s="309"/>
      <c r="R587" s="309"/>
      <c r="S587" s="309"/>
      <c r="T587" s="309"/>
      <c r="U587" s="309"/>
      <c r="V587" s="309"/>
      <c r="W587" s="309"/>
      <c r="X587" s="309"/>
      <c r="Y587" s="309"/>
      <c r="Z587" s="309"/>
      <c r="AA587" s="309"/>
    </row>
    <row r="588" spans="2:27" ht="15.75" customHeight="1">
      <c r="B588" s="309"/>
      <c r="C588" s="309"/>
      <c r="D588" s="309"/>
      <c r="E588" s="309"/>
      <c r="F588" s="309"/>
      <c r="G588" s="309"/>
      <c r="H588" s="309"/>
      <c r="I588" s="309"/>
      <c r="J588" s="309"/>
      <c r="K588" s="309"/>
      <c r="L588" s="309"/>
      <c r="M588" s="309"/>
      <c r="N588" s="309"/>
      <c r="O588" s="309"/>
      <c r="P588" s="309"/>
      <c r="Q588" s="309"/>
      <c r="R588" s="309"/>
      <c r="S588" s="309"/>
      <c r="T588" s="309"/>
      <c r="U588" s="309"/>
      <c r="V588" s="309"/>
      <c r="W588" s="309"/>
      <c r="X588" s="309"/>
      <c r="Y588" s="309"/>
      <c r="Z588" s="309"/>
      <c r="AA588" s="309"/>
    </row>
    <row r="589" spans="2:27" ht="15.75" customHeight="1">
      <c r="B589" s="309"/>
      <c r="C589" s="309"/>
      <c r="D589" s="309"/>
      <c r="E589" s="309"/>
      <c r="F589" s="309"/>
      <c r="G589" s="309"/>
      <c r="H589" s="309"/>
      <c r="I589" s="309"/>
      <c r="J589" s="309"/>
      <c r="K589" s="309"/>
      <c r="L589" s="309"/>
      <c r="M589" s="309"/>
      <c r="N589" s="309"/>
      <c r="O589" s="309"/>
      <c r="P589" s="309"/>
      <c r="Q589" s="309"/>
      <c r="R589" s="309"/>
      <c r="S589" s="309"/>
      <c r="T589" s="309"/>
      <c r="U589" s="309"/>
      <c r="V589" s="309"/>
      <c r="W589" s="309"/>
      <c r="X589" s="309"/>
      <c r="Y589" s="309"/>
      <c r="Z589" s="309"/>
      <c r="AA589" s="309"/>
    </row>
    <row r="590" spans="2:27" ht="15.75" customHeight="1">
      <c r="B590" s="309"/>
      <c r="C590" s="309"/>
      <c r="D590" s="309"/>
      <c r="E590" s="309"/>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row>
    <row r="591" spans="2:27" ht="15.75" customHeight="1">
      <c r="B591" s="309"/>
      <c r="C591" s="309"/>
      <c r="D591" s="309"/>
      <c r="E591" s="309"/>
      <c r="F591" s="309"/>
      <c r="G591" s="309"/>
      <c r="H591" s="309"/>
      <c r="I591" s="309"/>
      <c r="J591" s="309"/>
      <c r="K591" s="309"/>
      <c r="L591" s="309"/>
      <c r="M591" s="309"/>
      <c r="N591" s="309"/>
      <c r="O591" s="309"/>
      <c r="P591" s="309"/>
      <c r="Q591" s="309"/>
      <c r="R591" s="309"/>
      <c r="S591" s="309"/>
      <c r="T591" s="309"/>
      <c r="U591" s="309"/>
      <c r="V591" s="309"/>
      <c r="W591" s="309"/>
      <c r="X591" s="309"/>
      <c r="Y591" s="309"/>
      <c r="Z591" s="309"/>
      <c r="AA591" s="309"/>
    </row>
    <row r="592" spans="2:27" ht="15.75" customHeight="1">
      <c r="B592" s="309"/>
      <c r="C592" s="309"/>
      <c r="D592" s="309"/>
      <c r="E592" s="309"/>
      <c r="F592" s="309"/>
      <c r="G592" s="309"/>
      <c r="H592" s="309"/>
      <c r="I592" s="309"/>
      <c r="J592" s="309"/>
      <c r="K592" s="309"/>
      <c r="L592" s="309"/>
      <c r="M592" s="309"/>
      <c r="N592" s="309"/>
      <c r="O592" s="309"/>
      <c r="P592" s="309"/>
      <c r="Q592" s="309"/>
      <c r="R592" s="309"/>
      <c r="S592" s="309"/>
      <c r="T592" s="309"/>
      <c r="U592" s="309"/>
      <c r="V592" s="309"/>
      <c r="W592" s="309"/>
      <c r="X592" s="309"/>
      <c r="Y592" s="309"/>
      <c r="Z592" s="309"/>
      <c r="AA592" s="309"/>
    </row>
    <row r="593" spans="2:27" ht="15.75" customHeight="1">
      <c r="B593" s="309"/>
      <c r="C593" s="309"/>
      <c r="D593" s="309"/>
      <c r="E593" s="309"/>
      <c r="F593" s="309"/>
      <c r="G593" s="309"/>
      <c r="H593" s="309"/>
      <c r="I593" s="309"/>
      <c r="J593" s="309"/>
      <c r="K593" s="309"/>
      <c r="L593" s="309"/>
      <c r="M593" s="309"/>
      <c r="N593" s="309"/>
      <c r="O593" s="309"/>
      <c r="P593" s="309"/>
      <c r="Q593" s="309"/>
      <c r="R593" s="309"/>
      <c r="S593" s="309"/>
      <c r="T593" s="309"/>
      <c r="U593" s="309"/>
      <c r="V593" s="309"/>
      <c r="W593" s="309"/>
      <c r="X593" s="309"/>
      <c r="Y593" s="309"/>
      <c r="Z593" s="309"/>
      <c r="AA593" s="309"/>
    </row>
    <row r="594" spans="2:27" ht="15.75" customHeight="1">
      <c r="B594" s="309"/>
      <c r="C594" s="309"/>
      <c r="D594" s="309"/>
      <c r="E594" s="309"/>
      <c r="F594" s="309"/>
      <c r="G594" s="309"/>
      <c r="H594" s="309"/>
      <c r="I594" s="309"/>
      <c r="J594" s="309"/>
      <c r="K594" s="309"/>
      <c r="L594" s="309"/>
      <c r="M594" s="309"/>
      <c r="N594" s="309"/>
      <c r="O594" s="309"/>
      <c r="P594" s="309"/>
      <c r="Q594" s="309"/>
      <c r="R594" s="309"/>
      <c r="S594" s="309"/>
      <c r="T594" s="309"/>
      <c r="U594" s="309"/>
      <c r="V594" s="309"/>
      <c r="W594" s="309"/>
      <c r="X594" s="309"/>
      <c r="Y594" s="309"/>
      <c r="Z594" s="309"/>
      <c r="AA594" s="309"/>
    </row>
    <row r="595" spans="2:27" ht="15.75" customHeight="1">
      <c r="B595" s="309"/>
      <c r="C595" s="309"/>
      <c r="D595" s="309"/>
      <c r="E595" s="309"/>
      <c r="F595" s="309"/>
      <c r="G595" s="309"/>
      <c r="H595" s="309"/>
      <c r="I595" s="309"/>
      <c r="J595" s="309"/>
      <c r="K595" s="309"/>
      <c r="L595" s="309"/>
      <c r="M595" s="309"/>
      <c r="N595" s="309"/>
      <c r="O595" s="309"/>
      <c r="P595" s="309"/>
      <c r="Q595" s="309"/>
      <c r="R595" s="309"/>
      <c r="S595" s="309"/>
      <c r="T595" s="309"/>
      <c r="U595" s="309"/>
      <c r="V595" s="309"/>
      <c r="W595" s="309"/>
      <c r="X595" s="309"/>
      <c r="Y595" s="309"/>
      <c r="Z595" s="309"/>
      <c r="AA595" s="309"/>
    </row>
    <row r="596" spans="2:27" ht="15.75" customHeight="1">
      <c r="B596" s="309"/>
      <c r="C596" s="309"/>
      <c r="D596" s="309"/>
      <c r="E596" s="309"/>
      <c r="F596" s="309"/>
      <c r="G596" s="309"/>
      <c r="H596" s="309"/>
      <c r="I596" s="309"/>
      <c r="J596" s="309"/>
      <c r="K596" s="309"/>
      <c r="L596" s="309"/>
      <c r="M596" s="309"/>
      <c r="N596" s="309"/>
      <c r="O596" s="309"/>
      <c r="P596" s="309"/>
      <c r="Q596" s="309"/>
      <c r="R596" s="309"/>
      <c r="S596" s="309"/>
      <c r="T596" s="309"/>
      <c r="U596" s="309"/>
      <c r="V596" s="309"/>
      <c r="W596" s="309"/>
      <c r="X596" s="309"/>
      <c r="Y596" s="309"/>
      <c r="Z596" s="309"/>
      <c r="AA596" s="309"/>
    </row>
    <row r="597" spans="2:27" ht="15.75" customHeight="1">
      <c r="B597" s="309"/>
      <c r="C597" s="309"/>
      <c r="D597" s="309"/>
      <c r="E597" s="309"/>
      <c r="F597" s="309"/>
      <c r="G597" s="309"/>
      <c r="H597" s="309"/>
      <c r="I597" s="309"/>
      <c r="J597" s="309"/>
      <c r="K597" s="309"/>
      <c r="L597" s="309"/>
      <c r="M597" s="309"/>
      <c r="N597" s="309"/>
      <c r="O597" s="309"/>
      <c r="P597" s="309"/>
      <c r="Q597" s="309"/>
      <c r="R597" s="309"/>
      <c r="S597" s="309"/>
      <c r="T597" s="309"/>
      <c r="U597" s="309"/>
      <c r="V597" s="309"/>
      <c r="W597" s="309"/>
      <c r="X597" s="309"/>
      <c r="Y597" s="309"/>
      <c r="Z597" s="309"/>
      <c r="AA597" s="309"/>
    </row>
    <row r="598" spans="2:27" ht="15.75" customHeight="1">
      <c r="B598" s="309"/>
      <c r="C598" s="309"/>
      <c r="D598" s="309"/>
      <c r="E598" s="309"/>
      <c r="F598" s="309"/>
      <c r="G598" s="309"/>
      <c r="H598" s="309"/>
      <c r="I598" s="309"/>
      <c r="J598" s="309"/>
      <c r="K598" s="309"/>
      <c r="L598" s="309"/>
      <c r="M598" s="309"/>
      <c r="N598" s="309"/>
      <c r="O598" s="309"/>
      <c r="P598" s="309"/>
      <c r="Q598" s="309"/>
      <c r="R598" s="309"/>
      <c r="S598" s="309"/>
      <c r="T598" s="309"/>
      <c r="U598" s="309"/>
      <c r="V598" s="309"/>
      <c r="W598" s="309"/>
      <c r="X598" s="309"/>
      <c r="Y598" s="309"/>
      <c r="Z598" s="309"/>
      <c r="AA598" s="309"/>
    </row>
    <row r="599" spans="2:27" ht="15.75" customHeight="1">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row>
    <row r="600" spans="2:27" ht="15.75" customHeight="1">
      <c r="B600" s="309"/>
      <c r="C600" s="309"/>
      <c r="D600" s="309"/>
      <c r="E600" s="309"/>
      <c r="F600" s="309"/>
      <c r="G600" s="309"/>
      <c r="H600" s="309"/>
      <c r="I600" s="309"/>
      <c r="J600" s="309"/>
      <c r="K600" s="309"/>
      <c r="L600" s="309"/>
      <c r="M600" s="309"/>
      <c r="N600" s="309"/>
      <c r="O600" s="309"/>
      <c r="P600" s="309"/>
      <c r="Q600" s="309"/>
      <c r="R600" s="309"/>
      <c r="S600" s="309"/>
      <c r="T600" s="309"/>
      <c r="U600" s="309"/>
      <c r="V600" s="309"/>
      <c r="W600" s="309"/>
      <c r="X600" s="309"/>
      <c r="Y600" s="309"/>
      <c r="Z600" s="309"/>
      <c r="AA600" s="309"/>
    </row>
    <row r="601" spans="2:27" ht="15.75" customHeight="1">
      <c r="B601" s="309"/>
      <c r="C601" s="309"/>
      <c r="D601" s="309"/>
      <c r="E601" s="309"/>
      <c r="F601" s="309"/>
      <c r="G601" s="309"/>
      <c r="H601" s="309"/>
      <c r="I601" s="309"/>
      <c r="J601" s="309"/>
      <c r="K601" s="309"/>
      <c r="L601" s="309"/>
      <c r="M601" s="309"/>
      <c r="N601" s="309"/>
      <c r="O601" s="309"/>
      <c r="P601" s="309"/>
      <c r="Q601" s="309"/>
      <c r="R601" s="309"/>
      <c r="S601" s="309"/>
      <c r="T601" s="309"/>
      <c r="U601" s="309"/>
      <c r="V601" s="309"/>
      <c r="W601" s="309"/>
      <c r="X601" s="309"/>
      <c r="Y601" s="309"/>
      <c r="Z601" s="309"/>
      <c r="AA601" s="309"/>
    </row>
    <row r="602" spans="2:27" ht="15.75" customHeight="1">
      <c r="B602" s="309"/>
      <c r="C602" s="309"/>
      <c r="D602" s="309"/>
      <c r="E602" s="309"/>
      <c r="F602" s="309"/>
      <c r="G602" s="309"/>
      <c r="H602" s="309"/>
      <c r="I602" s="309"/>
      <c r="J602" s="309"/>
      <c r="K602" s="309"/>
      <c r="L602" s="309"/>
      <c r="M602" s="309"/>
      <c r="N602" s="309"/>
      <c r="O602" s="309"/>
      <c r="P602" s="309"/>
      <c r="Q602" s="309"/>
      <c r="R602" s="309"/>
      <c r="S602" s="309"/>
      <c r="T602" s="309"/>
      <c r="U602" s="309"/>
      <c r="V602" s="309"/>
      <c r="W602" s="309"/>
      <c r="X602" s="309"/>
      <c r="Y602" s="309"/>
      <c r="Z602" s="309"/>
      <c r="AA602" s="309"/>
    </row>
    <row r="603" spans="2:27" ht="15.75" customHeight="1">
      <c r="B603" s="309"/>
      <c r="C603" s="309"/>
      <c r="D603" s="309"/>
      <c r="E603" s="309"/>
      <c r="F603" s="309"/>
      <c r="G603" s="309"/>
      <c r="H603" s="309"/>
      <c r="I603" s="309"/>
      <c r="J603" s="309"/>
      <c r="K603" s="309"/>
      <c r="L603" s="309"/>
      <c r="M603" s="309"/>
      <c r="N603" s="309"/>
      <c r="O603" s="309"/>
      <c r="P603" s="309"/>
      <c r="Q603" s="309"/>
      <c r="R603" s="309"/>
      <c r="S603" s="309"/>
      <c r="T603" s="309"/>
      <c r="U603" s="309"/>
      <c r="V603" s="309"/>
      <c r="W603" s="309"/>
      <c r="X603" s="309"/>
      <c r="Y603" s="309"/>
      <c r="Z603" s="309"/>
      <c r="AA603" s="309"/>
    </row>
    <row r="604" spans="2:27" ht="15.75" customHeight="1">
      <c r="B604" s="309"/>
      <c r="C604" s="309"/>
      <c r="D604" s="309"/>
      <c r="E604" s="309"/>
      <c r="F604" s="309"/>
      <c r="G604" s="309"/>
      <c r="H604" s="309"/>
      <c r="I604" s="309"/>
      <c r="J604" s="309"/>
      <c r="K604" s="309"/>
      <c r="L604" s="309"/>
      <c r="M604" s="309"/>
      <c r="N604" s="309"/>
      <c r="O604" s="309"/>
      <c r="P604" s="309"/>
      <c r="Q604" s="309"/>
      <c r="R604" s="309"/>
      <c r="S604" s="309"/>
      <c r="T604" s="309"/>
      <c r="U604" s="309"/>
      <c r="V604" s="309"/>
      <c r="W604" s="309"/>
      <c r="X604" s="309"/>
      <c r="Y604" s="309"/>
      <c r="Z604" s="309"/>
      <c r="AA604" s="309"/>
    </row>
    <row r="605" spans="2:27" ht="15.75" customHeight="1">
      <c r="B605" s="309"/>
      <c r="C605" s="309"/>
      <c r="D605" s="309"/>
      <c r="E605" s="309"/>
      <c r="F605" s="309"/>
      <c r="G605" s="309"/>
      <c r="H605" s="309"/>
      <c r="I605" s="309"/>
      <c r="J605" s="309"/>
      <c r="K605" s="309"/>
      <c r="L605" s="309"/>
      <c r="M605" s="309"/>
      <c r="N605" s="309"/>
      <c r="O605" s="309"/>
      <c r="P605" s="309"/>
      <c r="Q605" s="309"/>
      <c r="R605" s="309"/>
      <c r="S605" s="309"/>
      <c r="T605" s="309"/>
      <c r="U605" s="309"/>
      <c r="V605" s="309"/>
      <c r="W605" s="309"/>
      <c r="X605" s="309"/>
      <c r="Y605" s="309"/>
      <c r="Z605" s="309"/>
      <c r="AA605" s="309"/>
    </row>
    <row r="606" spans="2:27" ht="15.75" customHeight="1">
      <c r="B606" s="309"/>
      <c r="C606" s="309"/>
      <c r="D606" s="309"/>
      <c r="E606" s="309"/>
      <c r="F606" s="309"/>
      <c r="G606" s="309"/>
      <c r="H606" s="309"/>
      <c r="I606" s="309"/>
      <c r="J606" s="309"/>
      <c r="K606" s="309"/>
      <c r="L606" s="309"/>
      <c r="M606" s="309"/>
      <c r="N606" s="309"/>
      <c r="O606" s="309"/>
      <c r="P606" s="309"/>
      <c r="Q606" s="309"/>
      <c r="R606" s="309"/>
      <c r="S606" s="309"/>
      <c r="T606" s="309"/>
      <c r="U606" s="309"/>
      <c r="V606" s="309"/>
      <c r="W606" s="309"/>
      <c r="X606" s="309"/>
      <c r="Y606" s="309"/>
      <c r="Z606" s="309"/>
      <c r="AA606" s="309"/>
    </row>
    <row r="607" spans="2:27" ht="15.75" customHeight="1">
      <c r="B607" s="309"/>
      <c r="C607" s="309"/>
      <c r="D607" s="309"/>
      <c r="E607" s="309"/>
      <c r="F607" s="309"/>
      <c r="G607" s="309"/>
      <c r="H607" s="309"/>
      <c r="I607" s="309"/>
      <c r="J607" s="309"/>
      <c r="K607" s="309"/>
      <c r="L607" s="309"/>
      <c r="M607" s="309"/>
      <c r="N607" s="309"/>
      <c r="O607" s="309"/>
      <c r="P607" s="309"/>
      <c r="Q607" s="309"/>
      <c r="R607" s="309"/>
      <c r="S607" s="309"/>
      <c r="T607" s="309"/>
      <c r="U607" s="309"/>
      <c r="V607" s="309"/>
      <c r="W607" s="309"/>
      <c r="X607" s="309"/>
      <c r="Y607" s="309"/>
      <c r="Z607" s="309"/>
      <c r="AA607" s="309"/>
    </row>
    <row r="608" spans="2:27" ht="15.75" customHeight="1">
      <c r="B608" s="309"/>
      <c r="C608" s="309"/>
      <c r="D608" s="309"/>
      <c r="E608" s="309"/>
      <c r="F608" s="309"/>
      <c r="G608" s="309"/>
      <c r="H608" s="309"/>
      <c r="I608" s="309"/>
      <c r="J608" s="309"/>
      <c r="K608" s="309"/>
      <c r="L608" s="309"/>
      <c r="M608" s="309"/>
      <c r="N608" s="309"/>
      <c r="O608" s="309"/>
      <c r="P608" s="309"/>
      <c r="Q608" s="309"/>
      <c r="R608" s="309"/>
      <c r="S608" s="309"/>
      <c r="T608" s="309"/>
      <c r="U608" s="309"/>
      <c r="V608" s="309"/>
      <c r="W608" s="309"/>
      <c r="X608" s="309"/>
      <c r="Y608" s="309"/>
      <c r="Z608" s="309"/>
      <c r="AA608" s="309"/>
    </row>
    <row r="609" spans="2:27" ht="15.75" customHeight="1">
      <c r="B609" s="309"/>
      <c r="C609" s="309"/>
      <c r="D609" s="309"/>
      <c r="E609" s="309"/>
      <c r="F609" s="309"/>
      <c r="G609" s="309"/>
      <c r="H609" s="309"/>
      <c r="I609" s="309"/>
      <c r="J609" s="309"/>
      <c r="K609" s="309"/>
      <c r="L609" s="309"/>
      <c r="M609" s="309"/>
      <c r="N609" s="309"/>
      <c r="O609" s="309"/>
      <c r="P609" s="309"/>
      <c r="Q609" s="309"/>
      <c r="R609" s="309"/>
      <c r="S609" s="309"/>
      <c r="T609" s="309"/>
      <c r="U609" s="309"/>
      <c r="V609" s="309"/>
      <c r="W609" s="309"/>
      <c r="X609" s="309"/>
      <c r="Y609" s="309"/>
      <c r="Z609" s="309"/>
      <c r="AA609" s="309"/>
    </row>
    <row r="610" spans="2:27" ht="15.75" customHeight="1">
      <c r="B610" s="309"/>
      <c r="C610" s="309"/>
      <c r="D610" s="309"/>
      <c r="E610" s="309"/>
      <c r="F610" s="309"/>
      <c r="G610" s="309"/>
      <c r="H610" s="309"/>
      <c r="I610" s="309"/>
      <c r="J610" s="309"/>
      <c r="K610" s="309"/>
      <c r="L610" s="309"/>
      <c r="M610" s="309"/>
      <c r="N610" s="309"/>
      <c r="O610" s="309"/>
      <c r="P610" s="309"/>
      <c r="Q610" s="309"/>
      <c r="R610" s="309"/>
      <c r="S610" s="309"/>
      <c r="T610" s="309"/>
      <c r="U610" s="309"/>
      <c r="V610" s="309"/>
      <c r="W610" s="309"/>
      <c r="X610" s="309"/>
      <c r="Y610" s="309"/>
      <c r="Z610" s="309"/>
      <c r="AA610" s="309"/>
    </row>
    <row r="611" spans="2:27" ht="15.75" customHeight="1">
      <c r="B611" s="309"/>
      <c r="C611" s="309"/>
      <c r="D611" s="309"/>
      <c r="E611" s="309"/>
      <c r="F611" s="309"/>
      <c r="G611" s="309"/>
      <c r="H611" s="309"/>
      <c r="I611" s="309"/>
      <c r="J611" s="309"/>
      <c r="K611" s="309"/>
      <c r="L611" s="309"/>
      <c r="M611" s="309"/>
      <c r="N611" s="309"/>
      <c r="O611" s="309"/>
      <c r="P611" s="309"/>
      <c r="Q611" s="309"/>
      <c r="R611" s="309"/>
      <c r="S611" s="309"/>
      <c r="T611" s="309"/>
      <c r="U611" s="309"/>
      <c r="V611" s="309"/>
      <c r="W611" s="309"/>
      <c r="X611" s="309"/>
      <c r="Y611" s="309"/>
      <c r="Z611" s="309"/>
      <c r="AA611" s="309"/>
    </row>
    <row r="612" spans="2:27" ht="15.75" customHeight="1">
      <c r="B612" s="309"/>
      <c r="C612" s="309"/>
      <c r="D612" s="309"/>
      <c r="E612" s="309"/>
      <c r="F612" s="309"/>
      <c r="G612" s="309"/>
      <c r="H612" s="309"/>
      <c r="I612" s="309"/>
      <c r="J612" s="309"/>
      <c r="K612" s="309"/>
      <c r="L612" s="309"/>
      <c r="M612" s="309"/>
      <c r="N612" s="309"/>
      <c r="O612" s="309"/>
      <c r="P612" s="309"/>
      <c r="Q612" s="309"/>
      <c r="R612" s="309"/>
      <c r="S612" s="309"/>
      <c r="T612" s="309"/>
      <c r="U612" s="309"/>
      <c r="V612" s="309"/>
      <c r="W612" s="309"/>
      <c r="X612" s="309"/>
      <c r="Y612" s="309"/>
      <c r="Z612" s="309"/>
      <c r="AA612" s="309"/>
    </row>
    <row r="613" spans="2:27" ht="15.75" customHeight="1">
      <c r="B613" s="309"/>
      <c r="C613" s="309"/>
      <c r="D613" s="309"/>
      <c r="E613" s="309"/>
      <c r="F613" s="309"/>
      <c r="G613" s="309"/>
      <c r="H613" s="309"/>
      <c r="I613" s="309"/>
      <c r="J613" s="309"/>
      <c r="K613" s="309"/>
      <c r="L613" s="309"/>
      <c r="M613" s="309"/>
      <c r="N613" s="309"/>
      <c r="O613" s="309"/>
      <c r="P613" s="309"/>
      <c r="Q613" s="309"/>
      <c r="R613" s="309"/>
      <c r="S613" s="309"/>
      <c r="T613" s="309"/>
      <c r="U613" s="309"/>
      <c r="V613" s="309"/>
      <c r="W613" s="309"/>
      <c r="X613" s="309"/>
      <c r="Y613" s="309"/>
      <c r="Z613" s="309"/>
      <c r="AA613" s="309"/>
    </row>
    <row r="614" spans="2:27" ht="15.75" customHeight="1">
      <c r="B614" s="309"/>
      <c r="C614" s="309"/>
      <c r="D614" s="309"/>
      <c r="E614" s="309"/>
      <c r="F614" s="309"/>
      <c r="G614" s="309"/>
      <c r="H614" s="309"/>
      <c r="I614" s="309"/>
      <c r="J614" s="309"/>
      <c r="K614" s="309"/>
      <c r="L614" s="309"/>
      <c r="M614" s="309"/>
      <c r="N614" s="309"/>
      <c r="O614" s="309"/>
      <c r="P614" s="309"/>
      <c r="Q614" s="309"/>
      <c r="R614" s="309"/>
      <c r="S614" s="309"/>
      <c r="T614" s="309"/>
      <c r="U614" s="309"/>
      <c r="V614" s="309"/>
      <c r="W614" s="309"/>
      <c r="X614" s="309"/>
      <c r="Y614" s="309"/>
      <c r="Z614" s="309"/>
      <c r="AA614" s="309"/>
    </row>
    <row r="615" spans="2:27" ht="15.75" customHeight="1">
      <c r="B615" s="309"/>
      <c r="C615" s="309"/>
      <c r="D615" s="309"/>
      <c r="E615" s="309"/>
      <c r="F615" s="309"/>
      <c r="G615" s="309"/>
      <c r="H615" s="309"/>
      <c r="I615" s="309"/>
      <c r="J615" s="309"/>
      <c r="K615" s="309"/>
      <c r="L615" s="309"/>
      <c r="M615" s="309"/>
      <c r="N615" s="309"/>
      <c r="O615" s="309"/>
      <c r="P615" s="309"/>
      <c r="Q615" s="309"/>
      <c r="R615" s="309"/>
      <c r="S615" s="309"/>
      <c r="T615" s="309"/>
      <c r="U615" s="309"/>
      <c r="V615" s="309"/>
      <c r="W615" s="309"/>
      <c r="X615" s="309"/>
      <c r="Y615" s="309"/>
      <c r="Z615" s="309"/>
      <c r="AA615" s="309"/>
    </row>
    <row r="616" spans="2:27" ht="15.75" customHeight="1">
      <c r="B616" s="309"/>
      <c r="C616" s="309"/>
      <c r="D616" s="309"/>
      <c r="E616" s="309"/>
      <c r="F616" s="309"/>
      <c r="G616" s="309"/>
      <c r="H616" s="309"/>
      <c r="I616" s="309"/>
      <c r="J616" s="309"/>
      <c r="K616" s="309"/>
      <c r="L616" s="309"/>
      <c r="M616" s="309"/>
      <c r="N616" s="309"/>
      <c r="O616" s="309"/>
      <c r="P616" s="309"/>
      <c r="Q616" s="309"/>
      <c r="R616" s="309"/>
      <c r="S616" s="309"/>
      <c r="T616" s="309"/>
      <c r="U616" s="309"/>
      <c r="V616" s="309"/>
      <c r="W616" s="309"/>
      <c r="X616" s="309"/>
      <c r="Y616" s="309"/>
      <c r="Z616" s="309"/>
      <c r="AA616" s="309"/>
    </row>
    <row r="617" spans="2:27" ht="15.75" customHeight="1">
      <c r="B617" s="309"/>
      <c r="C617" s="309"/>
      <c r="D617" s="309"/>
      <c r="E617" s="309"/>
      <c r="F617" s="309"/>
      <c r="G617" s="309"/>
      <c r="H617" s="309"/>
      <c r="I617" s="309"/>
      <c r="J617" s="309"/>
      <c r="K617" s="309"/>
      <c r="L617" s="309"/>
      <c r="M617" s="309"/>
      <c r="N617" s="309"/>
      <c r="O617" s="309"/>
      <c r="P617" s="309"/>
      <c r="Q617" s="309"/>
      <c r="R617" s="309"/>
      <c r="S617" s="309"/>
      <c r="T617" s="309"/>
      <c r="U617" s="309"/>
      <c r="V617" s="309"/>
      <c r="W617" s="309"/>
      <c r="X617" s="309"/>
      <c r="Y617" s="309"/>
      <c r="Z617" s="309"/>
      <c r="AA617" s="309"/>
    </row>
    <row r="618" spans="2:27" ht="15.75" customHeight="1">
      <c r="B618" s="309"/>
      <c r="C618" s="309"/>
      <c r="D618" s="309"/>
      <c r="E618" s="309"/>
      <c r="F618" s="309"/>
      <c r="G618" s="309"/>
      <c r="H618" s="309"/>
      <c r="I618" s="309"/>
      <c r="J618" s="309"/>
      <c r="K618" s="309"/>
      <c r="L618" s="309"/>
      <c r="M618" s="309"/>
      <c r="N618" s="309"/>
      <c r="O618" s="309"/>
      <c r="P618" s="309"/>
      <c r="Q618" s="309"/>
      <c r="R618" s="309"/>
      <c r="S618" s="309"/>
      <c r="T618" s="309"/>
      <c r="U618" s="309"/>
      <c r="V618" s="309"/>
      <c r="W618" s="309"/>
      <c r="X618" s="309"/>
      <c r="Y618" s="309"/>
      <c r="Z618" s="309"/>
      <c r="AA618" s="309"/>
    </row>
    <row r="619" spans="2:27" ht="15.75" customHeight="1">
      <c r="B619" s="309"/>
      <c r="C619" s="309"/>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09"/>
      <c r="AA619" s="309"/>
    </row>
    <row r="620" spans="2:27" ht="15.75" customHeight="1">
      <c r="B620" s="309"/>
      <c r="C620" s="309"/>
      <c r="D620" s="309"/>
      <c r="E620" s="309"/>
      <c r="F620" s="309"/>
      <c r="G620" s="309"/>
      <c r="H620" s="309"/>
      <c r="I620" s="309"/>
      <c r="J620" s="309"/>
      <c r="K620" s="309"/>
      <c r="L620" s="309"/>
      <c r="M620" s="309"/>
      <c r="N620" s="309"/>
      <c r="O620" s="309"/>
      <c r="P620" s="309"/>
      <c r="Q620" s="309"/>
      <c r="R620" s="309"/>
      <c r="S620" s="309"/>
      <c r="T620" s="309"/>
      <c r="U620" s="309"/>
      <c r="V620" s="309"/>
      <c r="W620" s="309"/>
      <c r="X620" s="309"/>
      <c r="Y620" s="309"/>
      <c r="Z620" s="309"/>
      <c r="AA620" s="309"/>
    </row>
    <row r="621" spans="2:27" ht="15.75" customHeight="1">
      <c r="B621" s="309"/>
      <c r="C621" s="309"/>
      <c r="D621" s="309"/>
      <c r="E621" s="309"/>
      <c r="F621" s="309"/>
      <c r="G621" s="309"/>
      <c r="H621" s="309"/>
      <c r="I621" s="309"/>
      <c r="J621" s="309"/>
      <c r="K621" s="309"/>
      <c r="L621" s="309"/>
      <c r="M621" s="309"/>
      <c r="N621" s="309"/>
      <c r="O621" s="309"/>
      <c r="P621" s="309"/>
      <c r="Q621" s="309"/>
      <c r="R621" s="309"/>
      <c r="S621" s="309"/>
      <c r="T621" s="309"/>
      <c r="U621" s="309"/>
      <c r="V621" s="309"/>
      <c r="W621" s="309"/>
      <c r="X621" s="309"/>
      <c r="Y621" s="309"/>
      <c r="Z621" s="309"/>
      <c r="AA621" s="309"/>
    </row>
    <row r="622" spans="2:27" ht="15.75" customHeight="1">
      <c r="B622" s="309"/>
      <c r="C622" s="309"/>
      <c r="D622" s="309"/>
      <c r="E622" s="309"/>
      <c r="F622" s="309"/>
      <c r="G622" s="309"/>
      <c r="H622" s="309"/>
      <c r="I622" s="309"/>
      <c r="J622" s="309"/>
      <c r="K622" s="309"/>
      <c r="L622" s="309"/>
      <c r="M622" s="309"/>
      <c r="N622" s="309"/>
      <c r="O622" s="309"/>
      <c r="P622" s="309"/>
      <c r="Q622" s="309"/>
      <c r="R622" s="309"/>
      <c r="S622" s="309"/>
      <c r="T622" s="309"/>
      <c r="U622" s="309"/>
      <c r="V622" s="309"/>
      <c r="W622" s="309"/>
      <c r="X622" s="309"/>
      <c r="Y622" s="309"/>
      <c r="Z622" s="309"/>
      <c r="AA622" s="309"/>
    </row>
    <row r="623" spans="2:27" ht="15.75" customHeight="1">
      <c r="B623" s="309"/>
      <c r="C623" s="309"/>
      <c r="D623" s="309"/>
      <c r="E623" s="309"/>
      <c r="F623" s="309"/>
      <c r="G623" s="309"/>
      <c r="H623" s="309"/>
      <c r="I623" s="309"/>
      <c r="J623" s="309"/>
      <c r="K623" s="309"/>
      <c r="L623" s="309"/>
      <c r="M623" s="309"/>
      <c r="N623" s="309"/>
      <c r="O623" s="309"/>
      <c r="P623" s="309"/>
      <c r="Q623" s="309"/>
      <c r="R623" s="309"/>
      <c r="S623" s="309"/>
      <c r="T623" s="309"/>
      <c r="U623" s="309"/>
      <c r="V623" s="309"/>
      <c r="W623" s="309"/>
      <c r="X623" s="309"/>
      <c r="Y623" s="309"/>
      <c r="Z623" s="309"/>
      <c r="AA623" s="309"/>
    </row>
    <row r="624" spans="2:27" ht="15.75" customHeight="1">
      <c r="B624" s="309"/>
      <c r="C624" s="309"/>
      <c r="D624" s="309"/>
      <c r="E624" s="309"/>
      <c r="F624" s="309"/>
      <c r="G624" s="309"/>
      <c r="H624" s="309"/>
      <c r="I624" s="309"/>
      <c r="J624" s="309"/>
      <c r="K624" s="309"/>
      <c r="L624" s="309"/>
      <c r="M624" s="309"/>
      <c r="N624" s="309"/>
      <c r="O624" s="309"/>
      <c r="P624" s="309"/>
      <c r="Q624" s="309"/>
      <c r="R624" s="309"/>
      <c r="S624" s="309"/>
      <c r="T624" s="309"/>
      <c r="U624" s="309"/>
      <c r="V624" s="309"/>
      <c r="W624" s="309"/>
      <c r="X624" s="309"/>
      <c r="Y624" s="309"/>
      <c r="Z624" s="309"/>
      <c r="AA624" s="309"/>
    </row>
    <row r="625" spans="2:27" ht="15.75" customHeight="1">
      <c r="B625" s="309"/>
      <c r="C625" s="309"/>
      <c r="D625" s="309"/>
      <c r="E625" s="309"/>
      <c r="F625" s="309"/>
      <c r="G625" s="309"/>
      <c r="H625" s="309"/>
      <c r="I625" s="309"/>
      <c r="J625" s="309"/>
      <c r="K625" s="309"/>
      <c r="L625" s="309"/>
      <c r="M625" s="309"/>
      <c r="N625" s="309"/>
      <c r="O625" s="309"/>
      <c r="P625" s="309"/>
      <c r="Q625" s="309"/>
      <c r="R625" s="309"/>
      <c r="S625" s="309"/>
      <c r="T625" s="309"/>
      <c r="U625" s="309"/>
      <c r="V625" s="309"/>
      <c r="W625" s="309"/>
      <c r="X625" s="309"/>
      <c r="Y625" s="309"/>
      <c r="Z625" s="309"/>
      <c r="AA625" s="309"/>
    </row>
    <row r="626" spans="2:27" ht="15.75" customHeight="1">
      <c r="B626" s="309"/>
      <c r="C626" s="309"/>
      <c r="D626" s="309"/>
      <c r="E626" s="309"/>
      <c r="F626" s="309"/>
      <c r="G626" s="309"/>
      <c r="H626" s="309"/>
      <c r="I626" s="309"/>
      <c r="J626" s="309"/>
      <c r="K626" s="309"/>
      <c r="L626" s="309"/>
      <c r="M626" s="309"/>
      <c r="N626" s="309"/>
      <c r="O626" s="309"/>
      <c r="P626" s="309"/>
      <c r="Q626" s="309"/>
      <c r="R626" s="309"/>
      <c r="S626" s="309"/>
      <c r="T626" s="309"/>
      <c r="U626" s="309"/>
      <c r="V626" s="309"/>
      <c r="W626" s="309"/>
      <c r="X626" s="309"/>
      <c r="Y626" s="309"/>
      <c r="Z626" s="309"/>
      <c r="AA626" s="309"/>
    </row>
    <row r="627" spans="2:27" ht="15.75" customHeight="1">
      <c r="B627" s="309"/>
      <c r="C627" s="309"/>
      <c r="D627" s="309"/>
      <c r="E627" s="309"/>
      <c r="F627" s="309"/>
      <c r="G627" s="309"/>
      <c r="H627" s="309"/>
      <c r="I627" s="309"/>
      <c r="J627" s="309"/>
      <c r="K627" s="309"/>
      <c r="L627" s="309"/>
      <c r="M627" s="309"/>
      <c r="N627" s="309"/>
      <c r="O627" s="309"/>
      <c r="P627" s="309"/>
      <c r="Q627" s="309"/>
      <c r="R627" s="309"/>
      <c r="S627" s="309"/>
      <c r="T627" s="309"/>
      <c r="U627" s="309"/>
      <c r="V627" s="309"/>
      <c r="W627" s="309"/>
      <c r="X627" s="309"/>
      <c r="Y627" s="309"/>
      <c r="Z627" s="309"/>
      <c r="AA627" s="309"/>
    </row>
    <row r="628" spans="2:27" ht="15.75" customHeight="1">
      <c r="B628" s="309"/>
      <c r="C628" s="309"/>
      <c r="D628" s="309"/>
      <c r="E628" s="309"/>
      <c r="F628" s="309"/>
      <c r="G628" s="309"/>
      <c r="H628" s="309"/>
      <c r="I628" s="309"/>
      <c r="J628" s="309"/>
      <c r="K628" s="309"/>
      <c r="L628" s="309"/>
      <c r="M628" s="309"/>
      <c r="N628" s="309"/>
      <c r="O628" s="309"/>
      <c r="P628" s="309"/>
      <c r="Q628" s="309"/>
      <c r="R628" s="309"/>
      <c r="S628" s="309"/>
      <c r="T628" s="309"/>
      <c r="U628" s="309"/>
      <c r="V628" s="309"/>
      <c r="W628" s="309"/>
      <c r="X628" s="309"/>
      <c r="Y628" s="309"/>
      <c r="Z628" s="309"/>
      <c r="AA628" s="309"/>
    </row>
    <row r="629" spans="2:27" ht="15.75" customHeight="1">
      <c r="B629" s="309"/>
      <c r="C629" s="309"/>
      <c r="D629" s="309"/>
      <c r="E629" s="309"/>
      <c r="F629" s="309"/>
      <c r="G629" s="309"/>
      <c r="H629" s="309"/>
      <c r="I629" s="309"/>
      <c r="J629" s="309"/>
      <c r="K629" s="309"/>
      <c r="L629" s="309"/>
      <c r="M629" s="309"/>
      <c r="N629" s="309"/>
      <c r="O629" s="309"/>
      <c r="P629" s="309"/>
      <c r="Q629" s="309"/>
      <c r="R629" s="309"/>
      <c r="S629" s="309"/>
      <c r="T629" s="309"/>
      <c r="U629" s="309"/>
      <c r="V629" s="309"/>
      <c r="W629" s="309"/>
      <c r="X629" s="309"/>
      <c r="Y629" s="309"/>
      <c r="Z629" s="309"/>
      <c r="AA629" s="309"/>
    </row>
    <row r="630" spans="2:27" ht="15.75" customHeight="1">
      <c r="B630" s="309"/>
      <c r="C630" s="309"/>
      <c r="D630" s="309"/>
      <c r="E630" s="309"/>
      <c r="F630" s="309"/>
      <c r="G630" s="309"/>
      <c r="H630" s="309"/>
      <c r="I630" s="309"/>
      <c r="J630" s="309"/>
      <c r="K630" s="309"/>
      <c r="L630" s="309"/>
      <c r="M630" s="309"/>
      <c r="N630" s="309"/>
      <c r="O630" s="309"/>
      <c r="P630" s="309"/>
      <c r="Q630" s="309"/>
      <c r="R630" s="309"/>
      <c r="S630" s="309"/>
      <c r="T630" s="309"/>
      <c r="U630" s="309"/>
      <c r="V630" s="309"/>
      <c r="W630" s="309"/>
      <c r="X630" s="309"/>
      <c r="Y630" s="309"/>
      <c r="Z630" s="309"/>
      <c r="AA630" s="309"/>
    </row>
    <row r="631" spans="2:27" ht="15.75" customHeight="1">
      <c r="B631" s="309"/>
      <c r="C631" s="309"/>
      <c r="D631" s="309"/>
      <c r="E631" s="309"/>
      <c r="F631" s="309"/>
      <c r="G631" s="309"/>
      <c r="H631" s="309"/>
      <c r="I631" s="309"/>
      <c r="J631" s="309"/>
      <c r="K631" s="309"/>
      <c r="L631" s="309"/>
      <c r="M631" s="309"/>
      <c r="N631" s="309"/>
      <c r="O631" s="309"/>
      <c r="P631" s="309"/>
      <c r="Q631" s="309"/>
      <c r="R631" s="309"/>
      <c r="S631" s="309"/>
      <c r="T631" s="309"/>
      <c r="U631" s="309"/>
      <c r="V631" s="309"/>
      <c r="W631" s="309"/>
      <c r="X631" s="309"/>
      <c r="Y631" s="309"/>
      <c r="Z631" s="309"/>
      <c r="AA631" s="309"/>
    </row>
    <row r="632" spans="2:27" ht="15.75" customHeight="1">
      <c r="B632" s="309"/>
      <c r="C632" s="309"/>
      <c r="D632" s="309"/>
      <c r="E632" s="309"/>
      <c r="F632" s="309"/>
      <c r="G632" s="309"/>
      <c r="H632" s="309"/>
      <c r="I632" s="309"/>
      <c r="J632" s="309"/>
      <c r="K632" s="309"/>
      <c r="L632" s="309"/>
      <c r="M632" s="309"/>
      <c r="N632" s="309"/>
      <c r="O632" s="309"/>
      <c r="P632" s="309"/>
      <c r="Q632" s="309"/>
      <c r="R632" s="309"/>
      <c r="S632" s="309"/>
      <c r="T632" s="309"/>
      <c r="U632" s="309"/>
      <c r="V632" s="309"/>
      <c r="W632" s="309"/>
      <c r="X632" s="309"/>
      <c r="Y632" s="309"/>
      <c r="Z632" s="309"/>
      <c r="AA632" s="309"/>
    </row>
    <row r="633" spans="2:27" ht="15.75" customHeight="1">
      <c r="B633" s="309"/>
      <c r="C633" s="309"/>
      <c r="D633" s="309"/>
      <c r="E633" s="309"/>
      <c r="F633" s="309"/>
      <c r="G633" s="309"/>
      <c r="H633" s="309"/>
      <c r="I633" s="309"/>
      <c r="J633" s="309"/>
      <c r="K633" s="309"/>
      <c r="L633" s="309"/>
      <c r="M633" s="309"/>
      <c r="N633" s="309"/>
      <c r="O633" s="309"/>
      <c r="P633" s="309"/>
      <c r="Q633" s="309"/>
      <c r="R633" s="309"/>
      <c r="S633" s="309"/>
      <c r="T633" s="309"/>
      <c r="U633" s="309"/>
      <c r="V633" s="309"/>
      <c r="W633" s="309"/>
      <c r="X633" s="309"/>
      <c r="Y633" s="309"/>
      <c r="Z633" s="309"/>
      <c r="AA633" s="309"/>
    </row>
    <row r="634" spans="2:27" ht="15.75" customHeight="1">
      <c r="B634" s="309"/>
      <c r="C634" s="309"/>
      <c r="D634" s="309"/>
      <c r="E634" s="309"/>
      <c r="F634" s="309"/>
      <c r="G634" s="309"/>
      <c r="H634" s="309"/>
      <c r="I634" s="309"/>
      <c r="J634" s="309"/>
      <c r="K634" s="309"/>
      <c r="L634" s="309"/>
      <c r="M634" s="309"/>
      <c r="N634" s="309"/>
      <c r="O634" s="309"/>
      <c r="P634" s="309"/>
      <c r="Q634" s="309"/>
      <c r="R634" s="309"/>
      <c r="S634" s="309"/>
      <c r="T634" s="309"/>
      <c r="U634" s="309"/>
      <c r="V634" s="309"/>
      <c r="W634" s="309"/>
      <c r="X634" s="309"/>
      <c r="Y634" s="309"/>
      <c r="Z634" s="309"/>
      <c r="AA634" s="309"/>
    </row>
    <row r="635" spans="2:27" ht="15.75" customHeight="1">
      <c r="B635" s="309"/>
      <c r="C635" s="309"/>
      <c r="D635" s="309"/>
      <c r="E635" s="309"/>
      <c r="F635" s="309"/>
      <c r="G635" s="309"/>
      <c r="H635" s="309"/>
      <c r="I635" s="309"/>
      <c r="J635" s="309"/>
      <c r="K635" s="309"/>
      <c r="L635" s="309"/>
      <c r="M635" s="309"/>
      <c r="N635" s="309"/>
      <c r="O635" s="309"/>
      <c r="P635" s="309"/>
      <c r="Q635" s="309"/>
      <c r="R635" s="309"/>
      <c r="S635" s="309"/>
      <c r="T635" s="309"/>
      <c r="U635" s="309"/>
      <c r="V635" s="309"/>
      <c r="W635" s="309"/>
      <c r="X635" s="309"/>
      <c r="Y635" s="309"/>
      <c r="Z635" s="309"/>
      <c r="AA635" s="309"/>
    </row>
    <row r="636" spans="2:27" ht="15.75" customHeight="1">
      <c r="B636" s="309"/>
      <c r="C636" s="309"/>
      <c r="D636" s="309"/>
      <c r="E636" s="309"/>
      <c r="F636" s="309"/>
      <c r="G636" s="309"/>
      <c r="H636" s="309"/>
      <c r="I636" s="309"/>
      <c r="J636" s="309"/>
      <c r="K636" s="309"/>
      <c r="L636" s="309"/>
      <c r="M636" s="309"/>
      <c r="N636" s="309"/>
      <c r="O636" s="309"/>
      <c r="P636" s="309"/>
      <c r="Q636" s="309"/>
      <c r="R636" s="309"/>
      <c r="S636" s="309"/>
      <c r="T636" s="309"/>
      <c r="U636" s="309"/>
      <c r="V636" s="309"/>
      <c r="W636" s="309"/>
      <c r="X636" s="309"/>
      <c r="Y636" s="309"/>
      <c r="Z636" s="309"/>
      <c r="AA636" s="309"/>
    </row>
    <row r="637" spans="2:27" ht="15.75" customHeight="1">
      <c r="B637" s="309"/>
      <c r="C637" s="309"/>
      <c r="D637" s="309"/>
      <c r="E637" s="309"/>
      <c r="F637" s="309"/>
      <c r="G637" s="309"/>
      <c r="H637" s="309"/>
      <c r="I637" s="309"/>
      <c r="J637" s="309"/>
      <c r="K637" s="309"/>
      <c r="L637" s="309"/>
      <c r="M637" s="309"/>
      <c r="N637" s="309"/>
      <c r="O637" s="309"/>
      <c r="P637" s="309"/>
      <c r="Q637" s="309"/>
      <c r="R637" s="309"/>
      <c r="S637" s="309"/>
      <c r="T637" s="309"/>
      <c r="U637" s="309"/>
      <c r="V637" s="309"/>
      <c r="W637" s="309"/>
      <c r="X637" s="309"/>
      <c r="Y637" s="309"/>
      <c r="Z637" s="309"/>
      <c r="AA637" s="309"/>
    </row>
    <row r="638" spans="2:27" ht="15.75" customHeight="1">
      <c r="B638" s="309"/>
      <c r="C638" s="309"/>
      <c r="D638" s="309"/>
      <c r="E638" s="309"/>
      <c r="F638" s="309"/>
      <c r="G638" s="309"/>
      <c r="H638" s="309"/>
      <c r="I638" s="309"/>
      <c r="J638" s="309"/>
      <c r="K638" s="309"/>
      <c r="L638" s="309"/>
      <c r="M638" s="309"/>
      <c r="N638" s="309"/>
      <c r="O638" s="309"/>
      <c r="P638" s="309"/>
      <c r="Q638" s="309"/>
      <c r="R638" s="309"/>
      <c r="S638" s="309"/>
      <c r="T638" s="309"/>
      <c r="U638" s="309"/>
      <c r="V638" s="309"/>
      <c r="W638" s="309"/>
      <c r="X638" s="309"/>
      <c r="Y638" s="309"/>
      <c r="Z638" s="309"/>
      <c r="AA638" s="309"/>
    </row>
    <row r="639" spans="2:27" ht="15.75" customHeight="1">
      <c r="B639" s="309"/>
      <c r="C639" s="309"/>
      <c r="D639" s="309"/>
      <c r="E639" s="309"/>
      <c r="F639" s="309"/>
      <c r="G639" s="309"/>
      <c r="H639" s="309"/>
      <c r="I639" s="309"/>
      <c r="J639" s="309"/>
      <c r="K639" s="309"/>
      <c r="L639" s="309"/>
      <c r="M639" s="309"/>
      <c r="N639" s="309"/>
      <c r="O639" s="309"/>
      <c r="P639" s="309"/>
      <c r="Q639" s="309"/>
      <c r="R639" s="309"/>
      <c r="S639" s="309"/>
      <c r="T639" s="309"/>
      <c r="U639" s="309"/>
      <c r="V639" s="309"/>
      <c r="W639" s="309"/>
      <c r="X639" s="309"/>
      <c r="Y639" s="309"/>
      <c r="Z639" s="309"/>
      <c r="AA639" s="309"/>
    </row>
    <row r="640" spans="2:27" ht="15.75" customHeight="1">
      <c r="B640" s="309"/>
      <c r="C640" s="309"/>
      <c r="D640" s="309"/>
      <c r="E640" s="309"/>
      <c r="F640" s="309"/>
      <c r="G640" s="309"/>
      <c r="H640" s="309"/>
      <c r="I640" s="309"/>
      <c r="J640" s="309"/>
      <c r="K640" s="309"/>
      <c r="L640" s="309"/>
      <c r="M640" s="309"/>
      <c r="N640" s="309"/>
      <c r="O640" s="309"/>
      <c r="P640" s="309"/>
      <c r="Q640" s="309"/>
      <c r="R640" s="309"/>
      <c r="S640" s="309"/>
      <c r="T640" s="309"/>
      <c r="U640" s="309"/>
      <c r="V640" s="309"/>
      <c r="W640" s="309"/>
      <c r="X640" s="309"/>
      <c r="Y640" s="309"/>
      <c r="Z640" s="309"/>
      <c r="AA640" s="309"/>
    </row>
    <row r="641" spans="2:27" ht="15.75" customHeight="1">
      <c r="B641" s="309"/>
      <c r="C641" s="309"/>
      <c r="D641" s="309"/>
      <c r="E641" s="309"/>
      <c r="F641" s="309"/>
      <c r="G641" s="309"/>
      <c r="H641" s="309"/>
      <c r="I641" s="309"/>
      <c r="J641" s="309"/>
      <c r="K641" s="309"/>
      <c r="L641" s="309"/>
      <c r="M641" s="309"/>
      <c r="N641" s="309"/>
      <c r="O641" s="309"/>
      <c r="P641" s="309"/>
      <c r="Q641" s="309"/>
      <c r="R641" s="309"/>
      <c r="S641" s="309"/>
      <c r="T641" s="309"/>
      <c r="U641" s="309"/>
      <c r="V641" s="309"/>
      <c r="W641" s="309"/>
      <c r="X641" s="309"/>
      <c r="Y641" s="309"/>
      <c r="Z641" s="309"/>
      <c r="AA641" s="309"/>
    </row>
    <row r="642" spans="2:27" ht="15.75" customHeight="1">
      <c r="B642" s="309"/>
      <c r="C642" s="309"/>
      <c r="D642" s="309"/>
      <c r="E642" s="309"/>
      <c r="F642" s="309"/>
      <c r="G642" s="309"/>
      <c r="H642" s="309"/>
      <c r="I642" s="309"/>
      <c r="J642" s="309"/>
      <c r="K642" s="309"/>
      <c r="L642" s="309"/>
      <c r="M642" s="309"/>
      <c r="N642" s="309"/>
      <c r="O642" s="309"/>
      <c r="P642" s="309"/>
      <c r="Q642" s="309"/>
      <c r="R642" s="309"/>
      <c r="S642" s="309"/>
      <c r="T642" s="309"/>
      <c r="U642" s="309"/>
      <c r="V642" s="309"/>
      <c r="W642" s="309"/>
      <c r="X642" s="309"/>
      <c r="Y642" s="309"/>
      <c r="Z642" s="309"/>
      <c r="AA642" s="309"/>
    </row>
    <row r="643" spans="2:27" ht="15.75" customHeight="1">
      <c r="B643" s="309"/>
      <c r="C643" s="309"/>
      <c r="D643" s="309"/>
      <c r="E643" s="309"/>
      <c r="F643" s="309"/>
      <c r="G643" s="309"/>
      <c r="H643" s="309"/>
      <c r="I643" s="309"/>
      <c r="J643" s="309"/>
      <c r="K643" s="309"/>
      <c r="L643" s="309"/>
      <c r="M643" s="309"/>
      <c r="N643" s="309"/>
      <c r="O643" s="309"/>
      <c r="P643" s="309"/>
      <c r="Q643" s="309"/>
      <c r="R643" s="309"/>
      <c r="S643" s="309"/>
      <c r="T643" s="309"/>
      <c r="U643" s="309"/>
      <c r="V643" s="309"/>
      <c r="W643" s="309"/>
      <c r="X643" s="309"/>
      <c r="Y643" s="309"/>
      <c r="Z643" s="309"/>
      <c r="AA643" s="309"/>
    </row>
    <row r="644" spans="2:27" ht="15.75" customHeight="1">
      <c r="B644" s="309"/>
      <c r="C644" s="309"/>
      <c r="D644" s="309"/>
      <c r="E644" s="309"/>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row>
    <row r="645" spans="2:27" ht="15.75" customHeight="1">
      <c r="B645" s="309"/>
      <c r="C645" s="309"/>
      <c r="D645" s="309"/>
      <c r="E645" s="309"/>
      <c r="F645" s="309"/>
      <c r="G645" s="309"/>
      <c r="H645" s="309"/>
      <c r="I645" s="309"/>
      <c r="J645" s="309"/>
      <c r="K645" s="309"/>
      <c r="L645" s="309"/>
      <c r="M645" s="309"/>
      <c r="N645" s="309"/>
      <c r="O645" s="309"/>
      <c r="P645" s="309"/>
      <c r="Q645" s="309"/>
      <c r="R645" s="309"/>
      <c r="S645" s="309"/>
      <c r="T645" s="309"/>
      <c r="U645" s="309"/>
      <c r="V645" s="309"/>
      <c r="W645" s="309"/>
      <c r="X645" s="309"/>
      <c r="Y645" s="309"/>
      <c r="Z645" s="309"/>
      <c r="AA645" s="309"/>
    </row>
    <row r="646" spans="2:27" ht="15.75" customHeight="1">
      <c r="B646" s="309"/>
      <c r="C646" s="309"/>
      <c r="D646" s="309"/>
      <c r="E646" s="309"/>
      <c r="F646" s="309"/>
      <c r="G646" s="309"/>
      <c r="H646" s="309"/>
      <c r="I646" s="309"/>
      <c r="J646" s="309"/>
      <c r="K646" s="309"/>
      <c r="L646" s="309"/>
      <c r="M646" s="309"/>
      <c r="N646" s="309"/>
      <c r="O646" s="309"/>
      <c r="P646" s="309"/>
      <c r="Q646" s="309"/>
      <c r="R646" s="309"/>
      <c r="S646" s="309"/>
      <c r="T646" s="309"/>
      <c r="U646" s="309"/>
      <c r="V646" s="309"/>
      <c r="W646" s="309"/>
      <c r="X646" s="309"/>
      <c r="Y646" s="309"/>
      <c r="Z646" s="309"/>
      <c r="AA646" s="309"/>
    </row>
    <row r="647" spans="2:27" ht="15.75" customHeight="1">
      <c r="B647" s="309"/>
      <c r="C647" s="309"/>
      <c r="D647" s="309"/>
      <c r="E647" s="309"/>
      <c r="F647" s="309"/>
      <c r="G647" s="309"/>
      <c r="H647" s="309"/>
      <c r="I647" s="309"/>
      <c r="J647" s="309"/>
      <c r="K647" s="309"/>
      <c r="L647" s="309"/>
      <c r="M647" s="309"/>
      <c r="N647" s="309"/>
      <c r="O647" s="309"/>
      <c r="P647" s="309"/>
      <c r="Q647" s="309"/>
      <c r="R647" s="309"/>
      <c r="S647" s="309"/>
      <c r="T647" s="309"/>
      <c r="U647" s="309"/>
      <c r="V647" s="309"/>
      <c r="W647" s="309"/>
      <c r="X647" s="309"/>
      <c r="Y647" s="309"/>
      <c r="Z647" s="309"/>
      <c r="AA647" s="309"/>
    </row>
    <row r="648" spans="2:27" ht="15.75" customHeight="1">
      <c r="B648" s="309"/>
      <c r="C648" s="309"/>
      <c r="D648" s="309"/>
      <c r="E648" s="309"/>
      <c r="F648" s="309"/>
      <c r="G648" s="309"/>
      <c r="H648" s="309"/>
      <c r="I648" s="309"/>
      <c r="J648" s="309"/>
      <c r="K648" s="309"/>
      <c r="L648" s="309"/>
      <c r="M648" s="309"/>
      <c r="N648" s="309"/>
      <c r="O648" s="309"/>
      <c r="P648" s="309"/>
      <c r="Q648" s="309"/>
      <c r="R648" s="309"/>
      <c r="S648" s="309"/>
      <c r="T648" s="309"/>
      <c r="U648" s="309"/>
      <c r="V648" s="309"/>
      <c r="W648" s="309"/>
      <c r="X648" s="309"/>
      <c r="Y648" s="309"/>
      <c r="Z648" s="309"/>
      <c r="AA648" s="309"/>
    </row>
    <row r="649" spans="2:27" ht="15.75" customHeight="1">
      <c r="B649" s="309"/>
      <c r="C649" s="309"/>
      <c r="D649" s="309"/>
      <c r="E649" s="309"/>
      <c r="F649" s="309"/>
      <c r="G649" s="309"/>
      <c r="H649" s="309"/>
      <c r="I649" s="309"/>
      <c r="J649" s="309"/>
      <c r="K649" s="309"/>
      <c r="L649" s="309"/>
      <c r="M649" s="309"/>
      <c r="N649" s="309"/>
      <c r="O649" s="309"/>
      <c r="P649" s="309"/>
      <c r="Q649" s="309"/>
      <c r="R649" s="309"/>
      <c r="S649" s="309"/>
      <c r="T649" s="309"/>
      <c r="U649" s="309"/>
      <c r="V649" s="309"/>
      <c r="W649" s="309"/>
      <c r="X649" s="309"/>
      <c r="Y649" s="309"/>
      <c r="Z649" s="309"/>
      <c r="AA649" s="309"/>
    </row>
    <row r="650" spans="2:27" ht="15.75" customHeight="1">
      <c r="B650" s="309"/>
      <c r="C650" s="309"/>
      <c r="D650" s="309"/>
      <c r="E650" s="309"/>
      <c r="F650" s="309"/>
      <c r="G650" s="309"/>
      <c r="H650" s="309"/>
      <c r="I650" s="309"/>
      <c r="J650" s="309"/>
      <c r="K650" s="309"/>
      <c r="L650" s="309"/>
      <c r="M650" s="309"/>
      <c r="N650" s="309"/>
      <c r="O650" s="309"/>
      <c r="P650" s="309"/>
      <c r="Q650" s="309"/>
      <c r="R650" s="309"/>
      <c r="S650" s="309"/>
      <c r="T650" s="309"/>
      <c r="U650" s="309"/>
      <c r="V650" s="309"/>
      <c r="W650" s="309"/>
      <c r="X650" s="309"/>
      <c r="Y650" s="309"/>
      <c r="Z650" s="309"/>
      <c r="AA650" s="309"/>
    </row>
    <row r="651" spans="2:27" ht="15.75" customHeight="1">
      <c r="B651" s="309"/>
      <c r="C651" s="309"/>
      <c r="D651" s="309"/>
      <c r="E651" s="309"/>
      <c r="F651" s="309"/>
      <c r="G651" s="309"/>
      <c r="H651" s="309"/>
      <c r="I651" s="309"/>
      <c r="J651" s="309"/>
      <c r="K651" s="309"/>
      <c r="L651" s="309"/>
      <c r="M651" s="309"/>
      <c r="N651" s="309"/>
      <c r="O651" s="309"/>
      <c r="P651" s="309"/>
      <c r="Q651" s="309"/>
      <c r="R651" s="309"/>
      <c r="S651" s="309"/>
      <c r="T651" s="309"/>
      <c r="U651" s="309"/>
      <c r="V651" s="309"/>
      <c r="W651" s="309"/>
      <c r="X651" s="309"/>
      <c r="Y651" s="309"/>
      <c r="Z651" s="309"/>
      <c r="AA651" s="309"/>
    </row>
    <row r="652" spans="2:27" ht="15.75" customHeight="1">
      <c r="B652" s="309"/>
      <c r="C652" s="309"/>
      <c r="D652" s="309"/>
      <c r="E652" s="309"/>
      <c r="F652" s="309"/>
      <c r="G652" s="309"/>
      <c r="H652" s="309"/>
      <c r="I652" s="309"/>
      <c r="J652" s="309"/>
      <c r="K652" s="309"/>
      <c r="L652" s="309"/>
      <c r="M652" s="309"/>
      <c r="N652" s="309"/>
      <c r="O652" s="309"/>
      <c r="P652" s="309"/>
      <c r="Q652" s="309"/>
      <c r="R652" s="309"/>
      <c r="S652" s="309"/>
      <c r="T652" s="309"/>
      <c r="U652" s="309"/>
      <c r="V652" s="309"/>
      <c r="W652" s="309"/>
      <c r="X652" s="309"/>
      <c r="Y652" s="309"/>
      <c r="Z652" s="309"/>
      <c r="AA652" s="309"/>
    </row>
    <row r="653" spans="2:27" ht="15.75" customHeight="1">
      <c r="B653" s="309"/>
      <c r="C653" s="309"/>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09"/>
      <c r="AA653" s="309"/>
    </row>
    <row r="654" spans="2:27" ht="15.75" customHeight="1">
      <c r="B654" s="309"/>
      <c r="C654" s="309"/>
      <c r="D654" s="309"/>
      <c r="E654" s="309"/>
      <c r="F654" s="309"/>
      <c r="G654" s="309"/>
      <c r="H654" s="309"/>
      <c r="I654" s="309"/>
      <c r="J654" s="309"/>
      <c r="K654" s="309"/>
      <c r="L654" s="309"/>
      <c r="M654" s="309"/>
      <c r="N654" s="309"/>
      <c r="O654" s="309"/>
      <c r="P654" s="309"/>
      <c r="Q654" s="309"/>
      <c r="R654" s="309"/>
      <c r="S654" s="309"/>
      <c r="T654" s="309"/>
      <c r="U654" s="309"/>
      <c r="V654" s="309"/>
      <c r="W654" s="309"/>
      <c r="X654" s="309"/>
      <c r="Y654" s="309"/>
      <c r="Z654" s="309"/>
      <c r="AA654" s="309"/>
    </row>
    <row r="655" spans="2:27" ht="15.75" customHeight="1">
      <c r="B655" s="309"/>
      <c r="C655" s="309"/>
      <c r="D655" s="309"/>
      <c r="E655" s="309"/>
      <c r="F655" s="309"/>
      <c r="G655" s="309"/>
      <c r="H655" s="309"/>
      <c r="I655" s="309"/>
      <c r="J655" s="309"/>
      <c r="K655" s="309"/>
      <c r="L655" s="309"/>
      <c r="M655" s="309"/>
      <c r="N655" s="309"/>
      <c r="O655" s="309"/>
      <c r="P655" s="309"/>
      <c r="Q655" s="309"/>
      <c r="R655" s="309"/>
      <c r="S655" s="309"/>
      <c r="T655" s="309"/>
      <c r="U655" s="309"/>
      <c r="V655" s="309"/>
      <c r="W655" s="309"/>
      <c r="X655" s="309"/>
      <c r="Y655" s="309"/>
      <c r="Z655" s="309"/>
      <c r="AA655" s="309"/>
    </row>
    <row r="656" spans="2:27" ht="15.75" customHeight="1">
      <c r="B656" s="309"/>
      <c r="C656" s="309"/>
      <c r="D656" s="309"/>
      <c r="E656" s="309"/>
      <c r="F656" s="309"/>
      <c r="G656" s="309"/>
      <c r="H656" s="309"/>
      <c r="I656" s="309"/>
      <c r="J656" s="309"/>
      <c r="K656" s="309"/>
      <c r="L656" s="309"/>
      <c r="M656" s="309"/>
      <c r="N656" s="309"/>
      <c r="O656" s="309"/>
      <c r="P656" s="309"/>
      <c r="Q656" s="309"/>
      <c r="R656" s="309"/>
      <c r="S656" s="309"/>
      <c r="T656" s="309"/>
      <c r="U656" s="309"/>
      <c r="V656" s="309"/>
      <c r="W656" s="309"/>
      <c r="X656" s="309"/>
      <c r="Y656" s="309"/>
      <c r="Z656" s="309"/>
      <c r="AA656" s="309"/>
    </row>
    <row r="657" spans="2:27" ht="15.75" customHeight="1">
      <c r="B657" s="309"/>
      <c r="C657" s="309"/>
      <c r="D657" s="309"/>
      <c r="E657" s="309"/>
      <c r="F657" s="309"/>
      <c r="G657" s="309"/>
      <c r="H657" s="309"/>
      <c r="I657" s="309"/>
      <c r="J657" s="309"/>
      <c r="K657" s="309"/>
      <c r="L657" s="309"/>
      <c r="M657" s="309"/>
      <c r="N657" s="309"/>
      <c r="O657" s="309"/>
      <c r="P657" s="309"/>
      <c r="Q657" s="309"/>
      <c r="R657" s="309"/>
      <c r="S657" s="309"/>
      <c r="T657" s="309"/>
      <c r="U657" s="309"/>
      <c r="V657" s="309"/>
      <c r="W657" s="309"/>
      <c r="X657" s="309"/>
      <c r="Y657" s="309"/>
      <c r="Z657" s="309"/>
      <c r="AA657" s="309"/>
    </row>
    <row r="658" spans="2:27" ht="15.75" customHeight="1">
      <c r="B658" s="309"/>
      <c r="C658" s="309"/>
      <c r="D658" s="309"/>
      <c r="E658" s="309"/>
      <c r="F658" s="309"/>
      <c r="G658" s="309"/>
      <c r="H658" s="309"/>
      <c r="I658" s="309"/>
      <c r="J658" s="309"/>
      <c r="K658" s="309"/>
      <c r="L658" s="309"/>
      <c r="M658" s="309"/>
      <c r="N658" s="309"/>
      <c r="O658" s="309"/>
      <c r="P658" s="309"/>
      <c r="Q658" s="309"/>
      <c r="R658" s="309"/>
      <c r="S658" s="309"/>
      <c r="T658" s="309"/>
      <c r="U658" s="309"/>
      <c r="V658" s="309"/>
      <c r="W658" s="309"/>
      <c r="X658" s="309"/>
      <c r="Y658" s="309"/>
      <c r="Z658" s="309"/>
      <c r="AA658" s="309"/>
    </row>
    <row r="659" spans="2:27" ht="15.75" customHeight="1">
      <c r="B659" s="309"/>
      <c r="C659" s="309"/>
      <c r="D659" s="309"/>
      <c r="E659" s="309"/>
      <c r="F659" s="309"/>
      <c r="G659" s="309"/>
      <c r="H659" s="309"/>
      <c r="I659" s="309"/>
      <c r="J659" s="309"/>
      <c r="K659" s="309"/>
      <c r="L659" s="309"/>
      <c r="M659" s="309"/>
      <c r="N659" s="309"/>
      <c r="O659" s="309"/>
      <c r="P659" s="309"/>
      <c r="Q659" s="309"/>
      <c r="R659" s="309"/>
      <c r="S659" s="309"/>
      <c r="T659" s="309"/>
      <c r="U659" s="309"/>
      <c r="V659" s="309"/>
      <c r="W659" s="309"/>
      <c r="X659" s="309"/>
      <c r="Y659" s="309"/>
      <c r="Z659" s="309"/>
      <c r="AA659" s="309"/>
    </row>
    <row r="660" spans="2:27" ht="15.75" customHeight="1">
      <c r="B660" s="309"/>
      <c r="C660" s="309"/>
      <c r="D660" s="309"/>
      <c r="E660" s="309"/>
      <c r="F660" s="309"/>
      <c r="G660" s="309"/>
      <c r="H660" s="309"/>
      <c r="I660" s="309"/>
      <c r="J660" s="309"/>
      <c r="K660" s="309"/>
      <c r="L660" s="309"/>
      <c r="M660" s="309"/>
      <c r="N660" s="309"/>
      <c r="O660" s="309"/>
      <c r="P660" s="309"/>
      <c r="Q660" s="309"/>
      <c r="R660" s="309"/>
      <c r="S660" s="309"/>
      <c r="T660" s="309"/>
      <c r="U660" s="309"/>
      <c r="V660" s="309"/>
      <c r="W660" s="309"/>
      <c r="X660" s="309"/>
      <c r="Y660" s="309"/>
      <c r="Z660" s="309"/>
      <c r="AA660" s="309"/>
    </row>
    <row r="661" spans="2:27" ht="15.75" customHeight="1">
      <c r="B661" s="309"/>
      <c r="C661" s="309"/>
      <c r="D661" s="309"/>
      <c r="E661" s="309"/>
      <c r="F661" s="309"/>
      <c r="G661" s="309"/>
      <c r="H661" s="309"/>
      <c r="I661" s="309"/>
      <c r="J661" s="309"/>
      <c r="K661" s="309"/>
      <c r="L661" s="309"/>
      <c r="M661" s="309"/>
      <c r="N661" s="309"/>
      <c r="O661" s="309"/>
      <c r="P661" s="309"/>
      <c r="Q661" s="309"/>
      <c r="R661" s="309"/>
      <c r="S661" s="309"/>
      <c r="T661" s="309"/>
      <c r="U661" s="309"/>
      <c r="V661" s="309"/>
      <c r="W661" s="309"/>
      <c r="X661" s="309"/>
      <c r="Y661" s="309"/>
      <c r="Z661" s="309"/>
      <c r="AA661" s="309"/>
    </row>
    <row r="662" spans="2:27" ht="15.75" customHeight="1">
      <c r="B662" s="309"/>
      <c r="C662" s="309"/>
      <c r="D662" s="309"/>
      <c r="E662" s="309"/>
      <c r="F662" s="309"/>
      <c r="G662" s="309"/>
      <c r="H662" s="309"/>
      <c r="I662" s="309"/>
      <c r="J662" s="309"/>
      <c r="K662" s="309"/>
      <c r="L662" s="309"/>
      <c r="M662" s="309"/>
      <c r="N662" s="309"/>
      <c r="O662" s="309"/>
      <c r="P662" s="309"/>
      <c r="Q662" s="309"/>
      <c r="R662" s="309"/>
      <c r="S662" s="309"/>
      <c r="T662" s="309"/>
      <c r="U662" s="309"/>
      <c r="V662" s="309"/>
      <c r="W662" s="309"/>
      <c r="X662" s="309"/>
      <c r="Y662" s="309"/>
      <c r="Z662" s="309"/>
      <c r="AA662" s="309"/>
    </row>
    <row r="663" spans="2:27" ht="15.75" customHeight="1">
      <c r="B663" s="309"/>
      <c r="C663" s="309"/>
      <c r="D663" s="309"/>
      <c r="E663" s="309"/>
      <c r="F663" s="309"/>
      <c r="G663" s="309"/>
      <c r="H663" s="309"/>
      <c r="I663" s="309"/>
      <c r="J663" s="309"/>
      <c r="K663" s="309"/>
      <c r="L663" s="309"/>
      <c r="M663" s="309"/>
      <c r="N663" s="309"/>
      <c r="O663" s="309"/>
      <c r="P663" s="309"/>
      <c r="Q663" s="309"/>
      <c r="R663" s="309"/>
      <c r="S663" s="309"/>
      <c r="T663" s="309"/>
      <c r="U663" s="309"/>
      <c r="V663" s="309"/>
      <c r="W663" s="309"/>
      <c r="X663" s="309"/>
      <c r="Y663" s="309"/>
      <c r="Z663" s="309"/>
      <c r="AA663" s="309"/>
    </row>
    <row r="664" spans="2:27" ht="15.75" customHeight="1">
      <c r="B664" s="309"/>
      <c r="C664" s="309"/>
      <c r="D664" s="309"/>
      <c r="E664" s="309"/>
      <c r="F664" s="309"/>
      <c r="G664" s="309"/>
      <c r="H664" s="309"/>
      <c r="I664" s="309"/>
      <c r="J664" s="309"/>
      <c r="K664" s="309"/>
      <c r="L664" s="309"/>
      <c r="M664" s="309"/>
      <c r="N664" s="309"/>
      <c r="O664" s="309"/>
      <c r="P664" s="309"/>
      <c r="Q664" s="309"/>
      <c r="R664" s="309"/>
      <c r="S664" s="309"/>
      <c r="T664" s="309"/>
      <c r="U664" s="309"/>
      <c r="V664" s="309"/>
      <c r="W664" s="309"/>
      <c r="X664" s="309"/>
      <c r="Y664" s="309"/>
      <c r="Z664" s="309"/>
      <c r="AA664" s="309"/>
    </row>
    <row r="665" spans="2:27" ht="15.75" customHeight="1">
      <c r="B665" s="309"/>
      <c r="C665" s="309"/>
      <c r="D665" s="309"/>
      <c r="E665" s="309"/>
      <c r="F665" s="309"/>
      <c r="G665" s="309"/>
      <c r="H665" s="309"/>
      <c r="I665" s="309"/>
      <c r="J665" s="309"/>
      <c r="K665" s="309"/>
      <c r="L665" s="309"/>
      <c r="M665" s="309"/>
      <c r="N665" s="309"/>
      <c r="O665" s="309"/>
      <c r="P665" s="309"/>
      <c r="Q665" s="309"/>
      <c r="R665" s="309"/>
      <c r="S665" s="309"/>
      <c r="T665" s="309"/>
      <c r="U665" s="309"/>
      <c r="V665" s="309"/>
      <c r="W665" s="309"/>
      <c r="X665" s="309"/>
      <c r="Y665" s="309"/>
      <c r="Z665" s="309"/>
      <c r="AA665" s="309"/>
    </row>
    <row r="666" spans="2:27" ht="15.75" customHeight="1">
      <c r="B666" s="309"/>
      <c r="C666" s="309"/>
      <c r="D666" s="309"/>
      <c r="E666" s="309"/>
      <c r="F666" s="309"/>
      <c r="G666" s="309"/>
      <c r="H666" s="309"/>
      <c r="I666" s="309"/>
      <c r="J666" s="309"/>
      <c r="K666" s="309"/>
      <c r="L666" s="309"/>
      <c r="M666" s="309"/>
      <c r="N666" s="309"/>
      <c r="O666" s="309"/>
      <c r="P666" s="309"/>
      <c r="Q666" s="309"/>
      <c r="R666" s="309"/>
      <c r="S666" s="309"/>
      <c r="T666" s="309"/>
      <c r="U666" s="309"/>
      <c r="V666" s="309"/>
      <c r="W666" s="309"/>
      <c r="X666" s="309"/>
      <c r="Y666" s="309"/>
      <c r="Z666" s="309"/>
      <c r="AA666" s="309"/>
    </row>
    <row r="667" spans="2:27" ht="15.75" customHeight="1">
      <c r="B667" s="309"/>
      <c r="C667" s="309"/>
      <c r="D667" s="309"/>
      <c r="E667" s="309"/>
      <c r="F667" s="309"/>
      <c r="G667" s="309"/>
      <c r="H667" s="309"/>
      <c r="I667" s="309"/>
      <c r="J667" s="309"/>
      <c r="K667" s="309"/>
      <c r="L667" s="309"/>
      <c r="M667" s="309"/>
      <c r="N667" s="309"/>
      <c r="O667" s="309"/>
      <c r="P667" s="309"/>
      <c r="Q667" s="309"/>
      <c r="R667" s="309"/>
      <c r="S667" s="309"/>
      <c r="T667" s="309"/>
      <c r="U667" s="309"/>
      <c r="V667" s="309"/>
      <c r="W667" s="309"/>
      <c r="X667" s="309"/>
      <c r="Y667" s="309"/>
      <c r="Z667" s="309"/>
      <c r="AA667" s="309"/>
    </row>
    <row r="668" spans="2:27" ht="15.75" customHeight="1">
      <c r="B668" s="309"/>
      <c r="C668" s="309"/>
      <c r="D668" s="309"/>
      <c r="E668" s="309"/>
      <c r="F668" s="309"/>
      <c r="G668" s="309"/>
      <c r="H668" s="309"/>
      <c r="I668" s="309"/>
      <c r="J668" s="309"/>
      <c r="K668" s="309"/>
      <c r="L668" s="309"/>
      <c r="M668" s="309"/>
      <c r="N668" s="309"/>
      <c r="O668" s="309"/>
      <c r="P668" s="309"/>
      <c r="Q668" s="309"/>
      <c r="R668" s="309"/>
      <c r="S668" s="309"/>
      <c r="T668" s="309"/>
      <c r="U668" s="309"/>
      <c r="V668" s="309"/>
      <c r="W668" s="309"/>
      <c r="X668" s="309"/>
      <c r="Y668" s="309"/>
      <c r="Z668" s="309"/>
      <c r="AA668" s="309"/>
    </row>
    <row r="669" spans="2:27" ht="15.75" customHeight="1">
      <c r="B669" s="309"/>
      <c r="C669" s="309"/>
      <c r="D669" s="309"/>
      <c r="E669" s="309"/>
      <c r="F669" s="309"/>
      <c r="G669" s="309"/>
      <c r="H669" s="309"/>
      <c r="I669" s="309"/>
      <c r="J669" s="309"/>
      <c r="K669" s="309"/>
      <c r="L669" s="309"/>
      <c r="M669" s="309"/>
      <c r="N669" s="309"/>
      <c r="O669" s="309"/>
      <c r="P669" s="309"/>
      <c r="Q669" s="309"/>
      <c r="R669" s="309"/>
      <c r="S669" s="309"/>
      <c r="T669" s="309"/>
      <c r="U669" s="309"/>
      <c r="V669" s="309"/>
      <c r="W669" s="309"/>
      <c r="X669" s="309"/>
      <c r="Y669" s="309"/>
      <c r="Z669" s="309"/>
      <c r="AA669" s="309"/>
    </row>
    <row r="670" spans="2:27" ht="15.75" customHeight="1">
      <c r="B670" s="309"/>
      <c r="C670" s="309"/>
      <c r="D670" s="309"/>
      <c r="E670" s="309"/>
      <c r="F670" s="309"/>
      <c r="G670" s="309"/>
      <c r="H670" s="309"/>
      <c r="I670" s="309"/>
      <c r="J670" s="309"/>
      <c r="K670" s="309"/>
      <c r="L670" s="309"/>
      <c r="M670" s="309"/>
      <c r="N670" s="309"/>
      <c r="O670" s="309"/>
      <c r="P670" s="309"/>
      <c r="Q670" s="309"/>
      <c r="R670" s="309"/>
      <c r="S670" s="309"/>
      <c r="T670" s="309"/>
      <c r="U670" s="309"/>
      <c r="V670" s="309"/>
      <c r="W670" s="309"/>
      <c r="X670" s="309"/>
      <c r="Y670" s="309"/>
      <c r="Z670" s="309"/>
      <c r="AA670" s="309"/>
    </row>
    <row r="671" spans="2:27" ht="15.75" customHeight="1">
      <c r="B671" s="309"/>
      <c r="C671" s="309"/>
      <c r="D671" s="309"/>
      <c r="E671" s="309"/>
      <c r="F671" s="309"/>
      <c r="G671" s="309"/>
      <c r="H671" s="309"/>
      <c r="I671" s="309"/>
      <c r="J671" s="309"/>
      <c r="K671" s="309"/>
      <c r="L671" s="309"/>
      <c r="M671" s="309"/>
      <c r="N671" s="309"/>
      <c r="O671" s="309"/>
      <c r="P671" s="309"/>
      <c r="Q671" s="309"/>
      <c r="R671" s="309"/>
      <c r="S671" s="309"/>
      <c r="T671" s="309"/>
      <c r="U671" s="309"/>
      <c r="V671" s="309"/>
      <c r="W671" s="309"/>
      <c r="X671" s="309"/>
      <c r="Y671" s="309"/>
      <c r="Z671" s="309"/>
      <c r="AA671" s="309"/>
    </row>
    <row r="672" spans="2:27" ht="15.75" customHeight="1">
      <c r="B672" s="309"/>
      <c r="C672" s="309"/>
      <c r="D672" s="309"/>
      <c r="E672" s="309"/>
      <c r="F672" s="309"/>
      <c r="G672" s="309"/>
      <c r="H672" s="309"/>
      <c r="I672" s="309"/>
      <c r="J672" s="309"/>
      <c r="K672" s="309"/>
      <c r="L672" s="309"/>
      <c r="M672" s="309"/>
      <c r="N672" s="309"/>
      <c r="O672" s="309"/>
      <c r="P672" s="309"/>
      <c r="Q672" s="309"/>
      <c r="R672" s="309"/>
      <c r="S672" s="309"/>
      <c r="T672" s="309"/>
      <c r="U672" s="309"/>
      <c r="V672" s="309"/>
      <c r="W672" s="309"/>
      <c r="X672" s="309"/>
      <c r="Y672" s="309"/>
      <c r="Z672" s="309"/>
      <c r="AA672" s="309"/>
    </row>
    <row r="673" spans="2:27" ht="15.75" customHeight="1">
      <c r="B673" s="309"/>
      <c r="C673" s="309"/>
      <c r="D673" s="309"/>
      <c r="E673" s="309"/>
      <c r="F673" s="309"/>
      <c r="G673" s="309"/>
      <c r="H673" s="309"/>
      <c r="I673" s="309"/>
      <c r="J673" s="309"/>
      <c r="K673" s="309"/>
      <c r="L673" s="309"/>
      <c r="M673" s="309"/>
      <c r="N673" s="309"/>
      <c r="O673" s="309"/>
      <c r="P673" s="309"/>
      <c r="Q673" s="309"/>
      <c r="R673" s="309"/>
      <c r="S673" s="309"/>
      <c r="T673" s="309"/>
      <c r="U673" s="309"/>
      <c r="V673" s="309"/>
      <c r="W673" s="309"/>
      <c r="X673" s="309"/>
      <c r="Y673" s="309"/>
      <c r="Z673" s="309"/>
      <c r="AA673" s="309"/>
    </row>
    <row r="674" spans="2:27" ht="15.75" customHeight="1">
      <c r="B674" s="309"/>
      <c r="C674" s="309"/>
      <c r="D674" s="309"/>
      <c r="E674" s="309"/>
      <c r="F674" s="309"/>
      <c r="G674" s="309"/>
      <c r="H674" s="309"/>
      <c r="I674" s="309"/>
      <c r="J674" s="309"/>
      <c r="K674" s="309"/>
      <c r="L674" s="309"/>
      <c r="M674" s="309"/>
      <c r="N674" s="309"/>
      <c r="O674" s="309"/>
      <c r="P674" s="309"/>
      <c r="Q674" s="309"/>
      <c r="R674" s="309"/>
      <c r="S674" s="309"/>
      <c r="T674" s="309"/>
      <c r="U674" s="309"/>
      <c r="V674" s="309"/>
      <c r="W674" s="309"/>
      <c r="X674" s="309"/>
      <c r="Y674" s="309"/>
      <c r="Z674" s="309"/>
      <c r="AA674" s="309"/>
    </row>
    <row r="675" spans="2:27" ht="15.75" customHeight="1">
      <c r="B675" s="309"/>
      <c r="C675" s="309"/>
      <c r="D675" s="309"/>
      <c r="E675" s="309"/>
      <c r="F675" s="309"/>
      <c r="G675" s="309"/>
      <c r="H675" s="309"/>
      <c r="I675" s="309"/>
      <c r="J675" s="309"/>
      <c r="K675" s="309"/>
      <c r="L675" s="309"/>
      <c r="M675" s="309"/>
      <c r="N675" s="309"/>
      <c r="O675" s="309"/>
      <c r="P675" s="309"/>
      <c r="Q675" s="309"/>
      <c r="R675" s="309"/>
      <c r="S675" s="309"/>
      <c r="T675" s="309"/>
      <c r="U675" s="309"/>
      <c r="V675" s="309"/>
      <c r="W675" s="309"/>
      <c r="X675" s="309"/>
      <c r="Y675" s="309"/>
      <c r="Z675" s="309"/>
      <c r="AA675" s="309"/>
    </row>
    <row r="676" spans="2:27" ht="15.75" customHeight="1">
      <c r="B676" s="309"/>
      <c r="C676" s="309"/>
      <c r="D676" s="309"/>
      <c r="E676" s="309"/>
      <c r="F676" s="309"/>
      <c r="G676" s="309"/>
      <c r="H676" s="309"/>
      <c r="I676" s="309"/>
      <c r="J676" s="309"/>
      <c r="K676" s="309"/>
      <c r="L676" s="309"/>
      <c r="M676" s="309"/>
      <c r="N676" s="309"/>
      <c r="O676" s="309"/>
      <c r="P676" s="309"/>
      <c r="Q676" s="309"/>
      <c r="R676" s="309"/>
      <c r="S676" s="309"/>
      <c r="T676" s="309"/>
      <c r="U676" s="309"/>
      <c r="V676" s="309"/>
      <c r="W676" s="309"/>
      <c r="X676" s="309"/>
      <c r="Y676" s="309"/>
      <c r="Z676" s="309"/>
      <c r="AA676" s="309"/>
    </row>
    <row r="677" spans="2:27" ht="15.75" customHeight="1">
      <c r="B677" s="309"/>
      <c r="C677" s="309"/>
      <c r="D677" s="309"/>
      <c r="E677" s="309"/>
      <c r="F677" s="309"/>
      <c r="G677" s="309"/>
      <c r="H677" s="309"/>
      <c r="I677" s="309"/>
      <c r="J677" s="309"/>
      <c r="K677" s="309"/>
      <c r="L677" s="309"/>
      <c r="M677" s="309"/>
      <c r="N677" s="309"/>
      <c r="O677" s="309"/>
      <c r="P677" s="309"/>
      <c r="Q677" s="309"/>
      <c r="R677" s="309"/>
      <c r="S677" s="309"/>
      <c r="T677" s="309"/>
      <c r="U677" s="309"/>
      <c r="V677" s="309"/>
      <c r="W677" s="309"/>
      <c r="X677" s="309"/>
      <c r="Y677" s="309"/>
      <c r="Z677" s="309"/>
      <c r="AA677" s="309"/>
    </row>
    <row r="678" spans="2:27" ht="15.75" customHeight="1">
      <c r="B678" s="309"/>
      <c r="C678" s="309"/>
      <c r="D678" s="309"/>
      <c r="E678" s="309"/>
      <c r="F678" s="309"/>
      <c r="G678" s="309"/>
      <c r="H678" s="309"/>
      <c r="I678" s="309"/>
      <c r="J678" s="309"/>
      <c r="K678" s="309"/>
      <c r="L678" s="309"/>
      <c r="M678" s="309"/>
      <c r="N678" s="309"/>
      <c r="O678" s="309"/>
      <c r="P678" s="309"/>
      <c r="Q678" s="309"/>
      <c r="R678" s="309"/>
      <c r="S678" s="309"/>
      <c r="T678" s="309"/>
      <c r="U678" s="309"/>
      <c r="V678" s="309"/>
      <c r="W678" s="309"/>
      <c r="X678" s="309"/>
      <c r="Y678" s="309"/>
      <c r="Z678" s="309"/>
      <c r="AA678" s="309"/>
    </row>
    <row r="679" spans="2:27" ht="15.75" customHeight="1">
      <c r="B679" s="309"/>
      <c r="C679" s="309"/>
      <c r="D679" s="309"/>
      <c r="E679" s="309"/>
      <c r="F679" s="309"/>
      <c r="G679" s="309"/>
      <c r="H679" s="309"/>
      <c r="I679" s="309"/>
      <c r="J679" s="309"/>
      <c r="K679" s="309"/>
      <c r="L679" s="309"/>
      <c r="M679" s="309"/>
      <c r="N679" s="309"/>
      <c r="O679" s="309"/>
      <c r="P679" s="309"/>
      <c r="Q679" s="309"/>
      <c r="R679" s="309"/>
      <c r="S679" s="309"/>
      <c r="T679" s="309"/>
      <c r="U679" s="309"/>
      <c r="V679" s="309"/>
      <c r="W679" s="309"/>
      <c r="X679" s="309"/>
      <c r="Y679" s="309"/>
      <c r="Z679" s="309"/>
      <c r="AA679" s="309"/>
    </row>
    <row r="680" spans="2:27" ht="15.75" customHeight="1">
      <c r="B680" s="309"/>
      <c r="C680" s="309"/>
      <c r="D680" s="309"/>
      <c r="E680" s="309"/>
      <c r="F680" s="309"/>
      <c r="G680" s="309"/>
      <c r="H680" s="309"/>
      <c r="I680" s="309"/>
      <c r="J680" s="309"/>
      <c r="K680" s="309"/>
      <c r="L680" s="309"/>
      <c r="M680" s="309"/>
      <c r="N680" s="309"/>
      <c r="O680" s="309"/>
      <c r="P680" s="309"/>
      <c r="Q680" s="309"/>
      <c r="R680" s="309"/>
      <c r="S680" s="309"/>
      <c r="T680" s="309"/>
      <c r="U680" s="309"/>
      <c r="V680" s="309"/>
      <c r="W680" s="309"/>
      <c r="X680" s="309"/>
      <c r="Y680" s="309"/>
      <c r="Z680" s="309"/>
      <c r="AA680" s="309"/>
    </row>
    <row r="681" spans="2:27" ht="15.75" customHeight="1">
      <c r="B681" s="309"/>
      <c r="C681" s="309"/>
      <c r="D681" s="309"/>
      <c r="E681" s="309"/>
      <c r="F681" s="309"/>
      <c r="G681" s="309"/>
      <c r="H681" s="309"/>
      <c r="I681" s="309"/>
      <c r="J681" s="309"/>
      <c r="K681" s="309"/>
      <c r="L681" s="309"/>
      <c r="M681" s="309"/>
      <c r="N681" s="309"/>
      <c r="O681" s="309"/>
      <c r="P681" s="309"/>
      <c r="Q681" s="309"/>
      <c r="R681" s="309"/>
      <c r="S681" s="309"/>
      <c r="T681" s="309"/>
      <c r="U681" s="309"/>
      <c r="V681" s="309"/>
      <c r="W681" s="309"/>
      <c r="X681" s="309"/>
      <c r="Y681" s="309"/>
      <c r="Z681" s="309"/>
      <c r="AA681" s="309"/>
    </row>
    <row r="682" spans="2:27" ht="15.75" customHeight="1">
      <c r="B682" s="309"/>
      <c r="C682" s="309"/>
      <c r="D682" s="309"/>
      <c r="E682" s="309"/>
      <c r="F682" s="309"/>
      <c r="G682" s="309"/>
      <c r="H682" s="309"/>
      <c r="I682" s="309"/>
      <c r="J682" s="309"/>
      <c r="K682" s="309"/>
      <c r="L682" s="309"/>
      <c r="M682" s="309"/>
      <c r="N682" s="309"/>
      <c r="O682" s="309"/>
      <c r="P682" s="309"/>
      <c r="Q682" s="309"/>
      <c r="R682" s="309"/>
      <c r="S682" s="309"/>
      <c r="T682" s="309"/>
      <c r="U682" s="309"/>
      <c r="V682" s="309"/>
      <c r="W682" s="309"/>
      <c r="X682" s="309"/>
      <c r="Y682" s="309"/>
      <c r="Z682" s="309"/>
      <c r="AA682" s="309"/>
    </row>
    <row r="683" spans="2:27" ht="15.75" customHeight="1">
      <c r="B683" s="309"/>
      <c r="C683" s="309"/>
      <c r="D683" s="309"/>
      <c r="E683" s="309"/>
      <c r="F683" s="309"/>
      <c r="G683" s="309"/>
      <c r="H683" s="309"/>
      <c r="I683" s="309"/>
      <c r="J683" s="309"/>
      <c r="K683" s="309"/>
      <c r="L683" s="309"/>
      <c r="M683" s="309"/>
      <c r="N683" s="309"/>
      <c r="O683" s="309"/>
      <c r="P683" s="309"/>
      <c r="Q683" s="309"/>
      <c r="R683" s="309"/>
      <c r="S683" s="309"/>
      <c r="T683" s="309"/>
      <c r="U683" s="309"/>
      <c r="V683" s="309"/>
      <c r="W683" s="309"/>
      <c r="X683" s="309"/>
      <c r="Y683" s="309"/>
      <c r="Z683" s="309"/>
      <c r="AA683" s="309"/>
    </row>
    <row r="684" spans="2:27" ht="15.75" customHeight="1">
      <c r="B684" s="309"/>
      <c r="C684" s="309"/>
      <c r="D684" s="309"/>
      <c r="E684" s="309"/>
      <c r="F684" s="309"/>
      <c r="G684" s="309"/>
      <c r="H684" s="309"/>
      <c r="I684" s="309"/>
      <c r="J684" s="309"/>
      <c r="K684" s="309"/>
      <c r="L684" s="309"/>
      <c r="M684" s="309"/>
      <c r="N684" s="309"/>
      <c r="O684" s="309"/>
      <c r="P684" s="309"/>
      <c r="Q684" s="309"/>
      <c r="R684" s="309"/>
      <c r="S684" s="309"/>
      <c r="T684" s="309"/>
      <c r="U684" s="309"/>
      <c r="V684" s="309"/>
      <c r="W684" s="309"/>
      <c r="X684" s="309"/>
      <c r="Y684" s="309"/>
      <c r="Z684" s="309"/>
      <c r="AA684" s="309"/>
    </row>
    <row r="685" spans="2:27" ht="15.75" customHeight="1">
      <c r="B685" s="309"/>
      <c r="C685" s="309"/>
      <c r="D685" s="309"/>
      <c r="E685" s="309"/>
      <c r="F685" s="309"/>
      <c r="G685" s="309"/>
      <c r="H685" s="309"/>
      <c r="I685" s="309"/>
      <c r="J685" s="309"/>
      <c r="K685" s="309"/>
      <c r="L685" s="309"/>
      <c r="M685" s="309"/>
      <c r="N685" s="309"/>
      <c r="O685" s="309"/>
      <c r="P685" s="309"/>
      <c r="Q685" s="309"/>
      <c r="R685" s="309"/>
      <c r="S685" s="309"/>
      <c r="T685" s="309"/>
      <c r="U685" s="309"/>
      <c r="V685" s="309"/>
      <c r="W685" s="309"/>
      <c r="X685" s="309"/>
      <c r="Y685" s="309"/>
      <c r="Z685" s="309"/>
      <c r="AA685" s="309"/>
    </row>
    <row r="686" spans="2:27" ht="15.75" customHeight="1">
      <c r="B686" s="309"/>
      <c r="C686" s="309"/>
      <c r="D686" s="309"/>
      <c r="E686" s="309"/>
      <c r="F686" s="309"/>
      <c r="G686" s="309"/>
      <c r="H686" s="309"/>
      <c r="I686" s="309"/>
      <c r="J686" s="309"/>
      <c r="K686" s="309"/>
      <c r="L686" s="309"/>
      <c r="M686" s="309"/>
      <c r="N686" s="309"/>
      <c r="O686" s="309"/>
      <c r="P686" s="309"/>
      <c r="Q686" s="309"/>
      <c r="R686" s="309"/>
      <c r="S686" s="309"/>
      <c r="T686" s="309"/>
      <c r="U686" s="309"/>
      <c r="V686" s="309"/>
      <c r="W686" s="309"/>
      <c r="X686" s="309"/>
      <c r="Y686" s="309"/>
      <c r="Z686" s="309"/>
      <c r="AA686" s="309"/>
    </row>
    <row r="687" spans="2:27" ht="15.75" customHeight="1">
      <c r="B687" s="309"/>
      <c r="C687" s="309"/>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09"/>
      <c r="AA687" s="309"/>
    </row>
    <row r="688" spans="2:27" ht="15.75" customHeight="1">
      <c r="B688" s="309"/>
      <c r="C688" s="309"/>
      <c r="D688" s="309"/>
      <c r="E688" s="309"/>
      <c r="F688" s="309"/>
      <c r="G688" s="309"/>
      <c r="H688" s="309"/>
      <c r="I688" s="309"/>
      <c r="J688" s="309"/>
      <c r="K688" s="309"/>
      <c r="L688" s="309"/>
      <c r="M688" s="309"/>
      <c r="N688" s="309"/>
      <c r="O688" s="309"/>
      <c r="P688" s="309"/>
      <c r="Q688" s="309"/>
      <c r="R688" s="309"/>
      <c r="S688" s="309"/>
      <c r="T688" s="309"/>
      <c r="U688" s="309"/>
      <c r="V688" s="309"/>
      <c r="W688" s="309"/>
      <c r="X688" s="309"/>
      <c r="Y688" s="309"/>
      <c r="Z688" s="309"/>
      <c r="AA688" s="309"/>
    </row>
    <row r="689" spans="2:27" ht="15.75" customHeight="1">
      <c r="B689" s="309"/>
      <c r="C689" s="309"/>
      <c r="D689" s="309"/>
      <c r="E689" s="309"/>
      <c r="F689" s="309"/>
      <c r="G689" s="309"/>
      <c r="H689" s="309"/>
      <c r="I689" s="309"/>
      <c r="J689" s="309"/>
      <c r="K689" s="309"/>
      <c r="L689" s="309"/>
      <c r="M689" s="309"/>
      <c r="N689" s="309"/>
      <c r="O689" s="309"/>
      <c r="P689" s="309"/>
      <c r="Q689" s="309"/>
      <c r="R689" s="309"/>
      <c r="S689" s="309"/>
      <c r="T689" s="309"/>
      <c r="U689" s="309"/>
      <c r="V689" s="309"/>
      <c r="W689" s="309"/>
      <c r="X689" s="309"/>
      <c r="Y689" s="309"/>
      <c r="Z689" s="309"/>
      <c r="AA689" s="309"/>
    </row>
    <row r="690" spans="2:27" ht="15.75" customHeight="1">
      <c r="B690" s="309"/>
      <c r="C690" s="309"/>
      <c r="D690" s="309"/>
      <c r="E690" s="309"/>
      <c r="F690" s="309"/>
      <c r="G690" s="309"/>
      <c r="H690" s="309"/>
      <c r="I690" s="309"/>
      <c r="J690" s="309"/>
      <c r="K690" s="309"/>
      <c r="L690" s="309"/>
      <c r="M690" s="309"/>
      <c r="N690" s="309"/>
      <c r="O690" s="309"/>
      <c r="P690" s="309"/>
      <c r="Q690" s="309"/>
      <c r="R690" s="309"/>
      <c r="S690" s="309"/>
      <c r="T690" s="309"/>
      <c r="U690" s="309"/>
      <c r="V690" s="309"/>
      <c r="W690" s="309"/>
      <c r="X690" s="309"/>
      <c r="Y690" s="309"/>
      <c r="Z690" s="309"/>
      <c r="AA690" s="309"/>
    </row>
    <row r="691" spans="2:27" ht="15.75" customHeight="1">
      <c r="B691" s="309"/>
      <c r="C691" s="309"/>
      <c r="D691" s="309"/>
      <c r="E691" s="309"/>
      <c r="F691" s="309"/>
      <c r="G691" s="309"/>
      <c r="H691" s="309"/>
      <c r="I691" s="309"/>
      <c r="J691" s="309"/>
      <c r="K691" s="309"/>
      <c r="L691" s="309"/>
      <c r="M691" s="309"/>
      <c r="N691" s="309"/>
      <c r="O691" s="309"/>
      <c r="P691" s="309"/>
      <c r="Q691" s="309"/>
      <c r="R691" s="309"/>
      <c r="S691" s="309"/>
      <c r="T691" s="309"/>
      <c r="U691" s="309"/>
      <c r="V691" s="309"/>
      <c r="W691" s="309"/>
      <c r="X691" s="309"/>
      <c r="Y691" s="309"/>
      <c r="Z691" s="309"/>
      <c r="AA691" s="309"/>
    </row>
    <row r="692" spans="2:27" ht="15.75" customHeight="1">
      <c r="B692" s="309"/>
      <c r="C692" s="309"/>
      <c r="D692" s="309"/>
      <c r="E692" s="309"/>
      <c r="F692" s="309"/>
      <c r="G692" s="309"/>
      <c r="H692" s="309"/>
      <c r="I692" s="309"/>
      <c r="J692" s="309"/>
      <c r="K692" s="309"/>
      <c r="L692" s="309"/>
      <c r="M692" s="309"/>
      <c r="N692" s="309"/>
      <c r="O692" s="309"/>
      <c r="P692" s="309"/>
      <c r="Q692" s="309"/>
      <c r="R692" s="309"/>
      <c r="S692" s="309"/>
      <c r="T692" s="309"/>
      <c r="U692" s="309"/>
      <c r="V692" s="309"/>
      <c r="W692" s="309"/>
      <c r="X692" s="309"/>
      <c r="Y692" s="309"/>
      <c r="Z692" s="309"/>
      <c r="AA692" s="309"/>
    </row>
    <row r="693" spans="2:27" ht="15.75" customHeight="1">
      <c r="B693" s="309"/>
      <c r="C693" s="309"/>
      <c r="D693" s="309"/>
      <c r="E693" s="309"/>
      <c r="F693" s="309"/>
      <c r="G693" s="309"/>
      <c r="H693" s="309"/>
      <c r="I693" s="309"/>
      <c r="J693" s="309"/>
      <c r="K693" s="309"/>
      <c r="L693" s="309"/>
      <c r="M693" s="309"/>
      <c r="N693" s="309"/>
      <c r="O693" s="309"/>
      <c r="P693" s="309"/>
      <c r="Q693" s="309"/>
      <c r="R693" s="309"/>
      <c r="S693" s="309"/>
      <c r="T693" s="309"/>
      <c r="U693" s="309"/>
      <c r="V693" s="309"/>
      <c r="W693" s="309"/>
      <c r="X693" s="309"/>
      <c r="Y693" s="309"/>
      <c r="Z693" s="309"/>
      <c r="AA693" s="309"/>
    </row>
    <row r="694" spans="2:27" ht="15.75" customHeight="1">
      <c r="B694" s="309"/>
      <c r="C694" s="309"/>
      <c r="D694" s="309"/>
      <c r="E694" s="309"/>
      <c r="F694" s="309"/>
      <c r="G694" s="309"/>
      <c r="H694" s="309"/>
      <c r="I694" s="309"/>
      <c r="J694" s="309"/>
      <c r="K694" s="309"/>
      <c r="L694" s="309"/>
      <c r="M694" s="309"/>
      <c r="N694" s="309"/>
      <c r="O694" s="309"/>
      <c r="P694" s="309"/>
      <c r="Q694" s="309"/>
      <c r="R694" s="309"/>
      <c r="S694" s="309"/>
      <c r="T694" s="309"/>
      <c r="U694" s="309"/>
      <c r="V694" s="309"/>
      <c r="W694" s="309"/>
      <c r="X694" s="309"/>
      <c r="Y694" s="309"/>
      <c r="Z694" s="309"/>
      <c r="AA694" s="309"/>
    </row>
    <row r="695" spans="2:27" ht="15.75" customHeight="1">
      <c r="B695" s="309"/>
      <c r="C695" s="309"/>
      <c r="D695" s="309"/>
      <c r="E695" s="309"/>
      <c r="F695" s="309"/>
      <c r="G695" s="309"/>
      <c r="H695" s="309"/>
      <c r="I695" s="309"/>
      <c r="J695" s="309"/>
      <c r="K695" s="309"/>
      <c r="L695" s="309"/>
      <c r="M695" s="309"/>
      <c r="N695" s="309"/>
      <c r="O695" s="309"/>
      <c r="P695" s="309"/>
      <c r="Q695" s="309"/>
      <c r="R695" s="309"/>
      <c r="S695" s="309"/>
      <c r="T695" s="309"/>
      <c r="U695" s="309"/>
      <c r="V695" s="309"/>
      <c r="W695" s="309"/>
      <c r="X695" s="309"/>
      <c r="Y695" s="309"/>
      <c r="Z695" s="309"/>
      <c r="AA695" s="309"/>
    </row>
    <row r="696" spans="2:27" ht="15.75" customHeight="1">
      <c r="B696" s="309"/>
      <c r="C696" s="309"/>
      <c r="D696" s="309"/>
      <c r="E696" s="309"/>
      <c r="F696" s="309"/>
      <c r="G696" s="309"/>
      <c r="H696" s="309"/>
      <c r="I696" s="309"/>
      <c r="J696" s="309"/>
      <c r="K696" s="309"/>
      <c r="L696" s="309"/>
      <c r="M696" s="309"/>
      <c r="N696" s="309"/>
      <c r="O696" s="309"/>
      <c r="P696" s="309"/>
      <c r="Q696" s="309"/>
      <c r="R696" s="309"/>
      <c r="S696" s="309"/>
      <c r="T696" s="309"/>
      <c r="U696" s="309"/>
      <c r="V696" s="309"/>
      <c r="W696" s="309"/>
      <c r="X696" s="309"/>
      <c r="Y696" s="309"/>
      <c r="Z696" s="309"/>
      <c r="AA696" s="309"/>
    </row>
    <row r="697" spans="2:27" ht="15.75" customHeight="1">
      <c r="B697" s="309"/>
      <c r="C697" s="309"/>
      <c r="D697" s="309"/>
      <c r="E697" s="309"/>
      <c r="F697" s="309"/>
      <c r="G697" s="309"/>
      <c r="H697" s="309"/>
      <c r="I697" s="309"/>
      <c r="J697" s="309"/>
      <c r="K697" s="309"/>
      <c r="L697" s="309"/>
      <c r="M697" s="309"/>
      <c r="N697" s="309"/>
      <c r="O697" s="309"/>
      <c r="P697" s="309"/>
      <c r="Q697" s="309"/>
      <c r="R697" s="309"/>
      <c r="S697" s="309"/>
      <c r="T697" s="309"/>
      <c r="U697" s="309"/>
      <c r="V697" s="309"/>
      <c r="W697" s="309"/>
      <c r="X697" s="309"/>
      <c r="Y697" s="309"/>
      <c r="Z697" s="309"/>
      <c r="AA697" s="309"/>
    </row>
    <row r="698" spans="2:27" ht="15.75" customHeight="1">
      <c r="B698" s="309"/>
      <c r="C698" s="309"/>
      <c r="D698" s="309"/>
      <c r="E698" s="309"/>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row>
    <row r="699" spans="2:27" ht="15.75" customHeight="1">
      <c r="B699" s="309"/>
      <c r="C699" s="309"/>
      <c r="D699" s="309"/>
      <c r="E699" s="309"/>
      <c r="F699" s="309"/>
      <c r="G699" s="309"/>
      <c r="H699" s="309"/>
      <c r="I699" s="309"/>
      <c r="J699" s="309"/>
      <c r="K699" s="309"/>
      <c r="L699" s="309"/>
      <c r="M699" s="309"/>
      <c r="N699" s="309"/>
      <c r="O699" s="309"/>
      <c r="P699" s="309"/>
      <c r="Q699" s="309"/>
      <c r="R699" s="309"/>
      <c r="S699" s="309"/>
      <c r="T699" s="309"/>
      <c r="U699" s="309"/>
      <c r="V699" s="309"/>
      <c r="W699" s="309"/>
      <c r="X699" s="309"/>
      <c r="Y699" s="309"/>
      <c r="Z699" s="309"/>
      <c r="AA699" s="309"/>
    </row>
    <row r="700" spans="2:27" ht="15.75" customHeight="1">
      <c r="B700" s="309"/>
      <c r="C700" s="309"/>
      <c r="D700" s="309"/>
      <c r="E700" s="309"/>
      <c r="F700" s="309"/>
      <c r="G700" s="309"/>
      <c r="H700" s="309"/>
      <c r="I700" s="309"/>
      <c r="J700" s="309"/>
      <c r="K700" s="309"/>
      <c r="L700" s="309"/>
      <c r="M700" s="309"/>
      <c r="N700" s="309"/>
      <c r="O700" s="309"/>
      <c r="P700" s="309"/>
      <c r="Q700" s="309"/>
      <c r="R700" s="309"/>
      <c r="S700" s="309"/>
      <c r="T700" s="309"/>
      <c r="U700" s="309"/>
      <c r="V700" s="309"/>
      <c r="W700" s="309"/>
      <c r="X700" s="309"/>
      <c r="Y700" s="309"/>
      <c r="Z700" s="309"/>
      <c r="AA700" s="309"/>
    </row>
    <row r="701" spans="2:27" ht="15.75" customHeight="1">
      <c r="B701" s="309"/>
      <c r="C701" s="309"/>
      <c r="D701" s="309"/>
      <c r="E701" s="309"/>
      <c r="F701" s="309"/>
      <c r="G701" s="309"/>
      <c r="H701" s="309"/>
      <c r="I701" s="309"/>
      <c r="J701" s="309"/>
      <c r="K701" s="309"/>
      <c r="L701" s="309"/>
      <c r="M701" s="309"/>
      <c r="N701" s="309"/>
      <c r="O701" s="309"/>
      <c r="P701" s="309"/>
      <c r="Q701" s="309"/>
      <c r="R701" s="309"/>
      <c r="S701" s="309"/>
      <c r="T701" s="309"/>
      <c r="U701" s="309"/>
      <c r="V701" s="309"/>
      <c r="W701" s="309"/>
      <c r="X701" s="309"/>
      <c r="Y701" s="309"/>
      <c r="Z701" s="309"/>
      <c r="AA701" s="309"/>
    </row>
    <row r="702" spans="2:27" ht="15.75" customHeight="1">
      <c r="B702" s="309"/>
      <c r="C702" s="309"/>
      <c r="D702" s="309"/>
      <c r="E702" s="309"/>
      <c r="F702" s="309"/>
      <c r="G702" s="309"/>
      <c r="H702" s="309"/>
      <c r="I702" s="309"/>
      <c r="J702" s="309"/>
      <c r="K702" s="309"/>
      <c r="L702" s="309"/>
      <c r="M702" s="309"/>
      <c r="N702" s="309"/>
      <c r="O702" s="309"/>
      <c r="P702" s="309"/>
      <c r="Q702" s="309"/>
      <c r="R702" s="309"/>
      <c r="S702" s="309"/>
      <c r="T702" s="309"/>
      <c r="U702" s="309"/>
      <c r="V702" s="309"/>
      <c r="W702" s="309"/>
      <c r="X702" s="309"/>
      <c r="Y702" s="309"/>
      <c r="Z702" s="309"/>
      <c r="AA702" s="309"/>
    </row>
    <row r="703" spans="2:27" ht="15.75" customHeight="1">
      <c r="B703" s="309"/>
      <c r="C703" s="309"/>
      <c r="D703" s="309"/>
      <c r="E703" s="309"/>
      <c r="F703" s="309"/>
      <c r="G703" s="309"/>
      <c r="H703" s="309"/>
      <c r="I703" s="309"/>
      <c r="J703" s="309"/>
      <c r="K703" s="309"/>
      <c r="L703" s="309"/>
      <c r="M703" s="309"/>
      <c r="N703" s="309"/>
      <c r="O703" s="309"/>
      <c r="P703" s="309"/>
      <c r="Q703" s="309"/>
      <c r="R703" s="309"/>
      <c r="S703" s="309"/>
      <c r="T703" s="309"/>
      <c r="U703" s="309"/>
      <c r="V703" s="309"/>
      <c r="W703" s="309"/>
      <c r="X703" s="309"/>
      <c r="Y703" s="309"/>
      <c r="Z703" s="309"/>
      <c r="AA703" s="309"/>
    </row>
    <row r="704" spans="2:27" ht="15.75" customHeight="1">
      <c r="B704" s="309"/>
      <c r="C704" s="309"/>
      <c r="D704" s="309"/>
      <c r="E704" s="309"/>
      <c r="F704" s="309"/>
      <c r="G704" s="309"/>
      <c r="H704" s="309"/>
      <c r="I704" s="309"/>
      <c r="J704" s="309"/>
      <c r="K704" s="309"/>
      <c r="L704" s="309"/>
      <c r="M704" s="309"/>
      <c r="N704" s="309"/>
      <c r="O704" s="309"/>
      <c r="P704" s="309"/>
      <c r="Q704" s="309"/>
      <c r="R704" s="309"/>
      <c r="S704" s="309"/>
      <c r="T704" s="309"/>
      <c r="U704" s="309"/>
      <c r="V704" s="309"/>
      <c r="W704" s="309"/>
      <c r="X704" s="309"/>
      <c r="Y704" s="309"/>
      <c r="Z704" s="309"/>
      <c r="AA704" s="309"/>
    </row>
    <row r="705" spans="2:27" ht="15.75" customHeight="1">
      <c r="B705" s="309"/>
      <c r="C705" s="309"/>
      <c r="D705" s="309"/>
      <c r="E705" s="309"/>
      <c r="F705" s="309"/>
      <c r="G705" s="309"/>
      <c r="H705" s="309"/>
      <c r="I705" s="309"/>
      <c r="J705" s="309"/>
      <c r="K705" s="309"/>
      <c r="L705" s="309"/>
      <c r="M705" s="309"/>
      <c r="N705" s="309"/>
      <c r="O705" s="309"/>
      <c r="P705" s="309"/>
      <c r="Q705" s="309"/>
      <c r="R705" s="309"/>
      <c r="S705" s="309"/>
      <c r="T705" s="309"/>
      <c r="U705" s="309"/>
      <c r="V705" s="309"/>
      <c r="W705" s="309"/>
      <c r="X705" s="309"/>
      <c r="Y705" s="309"/>
      <c r="Z705" s="309"/>
      <c r="AA705" s="309"/>
    </row>
    <row r="706" spans="2:27" ht="15.75" customHeight="1">
      <c r="B706" s="309"/>
      <c r="C706" s="309"/>
      <c r="D706" s="309"/>
      <c r="E706" s="309"/>
      <c r="F706" s="309"/>
      <c r="G706" s="309"/>
      <c r="H706" s="309"/>
      <c r="I706" s="309"/>
      <c r="J706" s="309"/>
      <c r="K706" s="309"/>
      <c r="L706" s="309"/>
      <c r="M706" s="309"/>
      <c r="N706" s="309"/>
      <c r="O706" s="309"/>
      <c r="P706" s="309"/>
      <c r="Q706" s="309"/>
      <c r="R706" s="309"/>
      <c r="S706" s="309"/>
      <c r="T706" s="309"/>
      <c r="U706" s="309"/>
      <c r="V706" s="309"/>
      <c r="W706" s="309"/>
      <c r="X706" s="309"/>
      <c r="Y706" s="309"/>
      <c r="Z706" s="309"/>
      <c r="AA706" s="309"/>
    </row>
    <row r="707" spans="2:27" ht="15.75" customHeight="1">
      <c r="B707" s="309"/>
      <c r="C707" s="309"/>
      <c r="D707" s="309"/>
      <c r="E707" s="309"/>
      <c r="F707" s="309"/>
      <c r="G707" s="309"/>
      <c r="H707" s="309"/>
      <c r="I707" s="309"/>
      <c r="J707" s="309"/>
      <c r="K707" s="309"/>
      <c r="L707" s="309"/>
      <c r="M707" s="309"/>
      <c r="N707" s="309"/>
      <c r="O707" s="309"/>
      <c r="P707" s="309"/>
      <c r="Q707" s="309"/>
      <c r="R707" s="309"/>
      <c r="S707" s="309"/>
      <c r="T707" s="309"/>
      <c r="U707" s="309"/>
      <c r="V707" s="309"/>
      <c r="W707" s="309"/>
      <c r="X707" s="309"/>
      <c r="Y707" s="309"/>
      <c r="Z707" s="309"/>
      <c r="AA707" s="309"/>
    </row>
    <row r="708" spans="2:27" ht="15.75" customHeight="1">
      <c r="B708" s="309"/>
      <c r="C708" s="309"/>
      <c r="D708" s="309"/>
      <c r="E708" s="309"/>
      <c r="F708" s="309"/>
      <c r="G708" s="309"/>
      <c r="H708" s="309"/>
      <c r="I708" s="309"/>
      <c r="J708" s="309"/>
      <c r="K708" s="309"/>
      <c r="L708" s="309"/>
      <c r="M708" s="309"/>
      <c r="N708" s="309"/>
      <c r="O708" s="309"/>
      <c r="P708" s="309"/>
      <c r="Q708" s="309"/>
      <c r="R708" s="309"/>
      <c r="S708" s="309"/>
      <c r="T708" s="309"/>
      <c r="U708" s="309"/>
      <c r="V708" s="309"/>
      <c r="W708" s="309"/>
      <c r="X708" s="309"/>
      <c r="Y708" s="309"/>
      <c r="Z708" s="309"/>
      <c r="AA708" s="309"/>
    </row>
    <row r="709" spans="2:27" ht="15.75" customHeight="1">
      <c r="B709" s="309"/>
      <c r="C709" s="309"/>
      <c r="D709" s="309"/>
      <c r="E709" s="309"/>
      <c r="F709" s="309"/>
      <c r="G709" s="309"/>
      <c r="H709" s="309"/>
      <c r="I709" s="309"/>
      <c r="J709" s="309"/>
      <c r="K709" s="309"/>
      <c r="L709" s="309"/>
      <c r="M709" s="309"/>
      <c r="N709" s="309"/>
      <c r="O709" s="309"/>
      <c r="P709" s="309"/>
      <c r="Q709" s="309"/>
      <c r="R709" s="309"/>
      <c r="S709" s="309"/>
      <c r="T709" s="309"/>
      <c r="U709" s="309"/>
      <c r="V709" s="309"/>
      <c r="W709" s="309"/>
      <c r="X709" s="309"/>
      <c r="Y709" s="309"/>
      <c r="Z709" s="309"/>
      <c r="AA709" s="309"/>
    </row>
    <row r="710" spans="2:27" ht="15.75" customHeight="1">
      <c r="B710" s="309"/>
      <c r="C710" s="309"/>
      <c r="D710" s="309"/>
      <c r="E710" s="309"/>
      <c r="F710" s="309"/>
      <c r="G710" s="309"/>
      <c r="H710" s="309"/>
      <c r="I710" s="309"/>
      <c r="J710" s="309"/>
      <c r="K710" s="309"/>
      <c r="L710" s="309"/>
      <c r="M710" s="309"/>
      <c r="N710" s="309"/>
      <c r="O710" s="309"/>
      <c r="P710" s="309"/>
      <c r="Q710" s="309"/>
      <c r="R710" s="309"/>
      <c r="S710" s="309"/>
      <c r="T710" s="309"/>
      <c r="U710" s="309"/>
      <c r="V710" s="309"/>
      <c r="W710" s="309"/>
      <c r="X710" s="309"/>
      <c r="Y710" s="309"/>
      <c r="Z710" s="309"/>
      <c r="AA710" s="309"/>
    </row>
    <row r="711" spans="2:27" ht="15.75" customHeight="1">
      <c r="B711" s="309"/>
      <c r="C711" s="309"/>
      <c r="D711" s="309"/>
      <c r="E711" s="309"/>
      <c r="F711" s="309"/>
      <c r="G711" s="309"/>
      <c r="H711" s="309"/>
      <c r="I711" s="309"/>
      <c r="J711" s="309"/>
      <c r="K711" s="309"/>
      <c r="L711" s="309"/>
      <c r="M711" s="309"/>
      <c r="N711" s="309"/>
      <c r="O711" s="309"/>
      <c r="P711" s="309"/>
      <c r="Q711" s="309"/>
      <c r="R711" s="309"/>
      <c r="S711" s="309"/>
      <c r="T711" s="309"/>
      <c r="U711" s="309"/>
      <c r="V711" s="309"/>
      <c r="W711" s="309"/>
      <c r="X711" s="309"/>
      <c r="Y711" s="309"/>
      <c r="Z711" s="309"/>
      <c r="AA711" s="309"/>
    </row>
    <row r="712" spans="2:27" ht="15.75" customHeight="1">
      <c r="B712" s="309"/>
      <c r="C712" s="309"/>
      <c r="D712" s="309"/>
      <c r="E712" s="309"/>
      <c r="F712" s="309"/>
      <c r="G712" s="309"/>
      <c r="H712" s="309"/>
      <c r="I712" s="309"/>
      <c r="J712" s="309"/>
      <c r="K712" s="309"/>
      <c r="L712" s="309"/>
      <c r="M712" s="309"/>
      <c r="N712" s="309"/>
      <c r="O712" s="309"/>
      <c r="P712" s="309"/>
      <c r="Q712" s="309"/>
      <c r="R712" s="309"/>
      <c r="S712" s="309"/>
      <c r="T712" s="309"/>
      <c r="U712" s="309"/>
      <c r="V712" s="309"/>
      <c r="W712" s="309"/>
      <c r="X712" s="309"/>
      <c r="Y712" s="309"/>
      <c r="Z712" s="309"/>
      <c r="AA712" s="309"/>
    </row>
    <row r="713" spans="2:27" ht="15.75" customHeight="1">
      <c r="B713" s="309"/>
      <c r="C713" s="309"/>
      <c r="D713" s="309"/>
      <c r="E713" s="309"/>
      <c r="F713" s="309"/>
      <c r="G713" s="309"/>
      <c r="H713" s="309"/>
      <c r="I713" s="309"/>
      <c r="J713" s="309"/>
      <c r="K713" s="309"/>
      <c r="L713" s="309"/>
      <c r="M713" s="309"/>
      <c r="N713" s="309"/>
      <c r="O713" s="309"/>
      <c r="P713" s="309"/>
      <c r="Q713" s="309"/>
      <c r="R713" s="309"/>
      <c r="S713" s="309"/>
      <c r="T713" s="309"/>
      <c r="U713" s="309"/>
      <c r="V713" s="309"/>
      <c r="W713" s="309"/>
      <c r="X713" s="309"/>
      <c r="Y713" s="309"/>
      <c r="Z713" s="309"/>
      <c r="AA713" s="309"/>
    </row>
    <row r="714" spans="2:27" ht="15.75" customHeight="1">
      <c r="B714" s="309"/>
      <c r="C714" s="309"/>
      <c r="D714" s="309"/>
      <c r="E714" s="309"/>
      <c r="F714" s="309"/>
      <c r="G714" s="309"/>
      <c r="H714" s="309"/>
      <c r="I714" s="309"/>
      <c r="J714" s="309"/>
      <c r="K714" s="309"/>
      <c r="L714" s="309"/>
      <c r="M714" s="309"/>
      <c r="N714" s="309"/>
      <c r="O714" s="309"/>
      <c r="P714" s="309"/>
      <c r="Q714" s="309"/>
      <c r="R714" s="309"/>
      <c r="S714" s="309"/>
      <c r="T714" s="309"/>
      <c r="U714" s="309"/>
      <c r="V714" s="309"/>
      <c r="W714" s="309"/>
      <c r="X714" s="309"/>
      <c r="Y714" s="309"/>
      <c r="Z714" s="309"/>
      <c r="AA714" s="309"/>
    </row>
    <row r="715" spans="2:27" ht="15.75" customHeight="1">
      <c r="B715" s="309"/>
      <c r="C715" s="309"/>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row>
    <row r="716" spans="2:27" ht="15.75" customHeight="1">
      <c r="B716" s="309"/>
      <c r="C716" s="309"/>
      <c r="D716" s="309"/>
      <c r="E716" s="309"/>
      <c r="F716" s="309"/>
      <c r="G716" s="309"/>
      <c r="H716" s="309"/>
      <c r="I716" s="309"/>
      <c r="J716" s="309"/>
      <c r="K716" s="309"/>
      <c r="L716" s="309"/>
      <c r="M716" s="309"/>
      <c r="N716" s="309"/>
      <c r="O716" s="309"/>
      <c r="P716" s="309"/>
      <c r="Q716" s="309"/>
      <c r="R716" s="309"/>
      <c r="S716" s="309"/>
      <c r="T716" s="309"/>
      <c r="U716" s="309"/>
      <c r="V716" s="309"/>
      <c r="W716" s="309"/>
      <c r="X716" s="309"/>
      <c r="Y716" s="309"/>
      <c r="Z716" s="309"/>
      <c r="AA716" s="309"/>
    </row>
    <row r="717" spans="2:27" ht="15.75" customHeight="1">
      <c r="B717" s="309"/>
      <c r="C717" s="309"/>
      <c r="D717" s="309"/>
      <c r="E717" s="309"/>
      <c r="F717" s="309"/>
      <c r="G717" s="309"/>
      <c r="H717" s="309"/>
      <c r="I717" s="309"/>
      <c r="J717" s="309"/>
      <c r="K717" s="309"/>
      <c r="L717" s="309"/>
      <c r="M717" s="309"/>
      <c r="N717" s="309"/>
      <c r="O717" s="309"/>
      <c r="P717" s="309"/>
      <c r="Q717" s="309"/>
      <c r="R717" s="309"/>
      <c r="S717" s="309"/>
      <c r="T717" s="309"/>
      <c r="U717" s="309"/>
      <c r="V717" s="309"/>
      <c r="W717" s="309"/>
      <c r="X717" s="309"/>
      <c r="Y717" s="309"/>
      <c r="Z717" s="309"/>
      <c r="AA717" s="309"/>
    </row>
    <row r="718" spans="2:27" ht="15.75" customHeight="1">
      <c r="B718" s="309"/>
      <c r="C718" s="309"/>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c r="Z718" s="309"/>
      <c r="AA718" s="309"/>
    </row>
    <row r="719" spans="2:27" ht="15.75" customHeight="1">
      <c r="B719" s="309"/>
      <c r="C719" s="309"/>
      <c r="D719" s="309"/>
      <c r="E719" s="309"/>
      <c r="F719" s="309"/>
      <c r="G719" s="309"/>
      <c r="H719" s="309"/>
      <c r="I719" s="309"/>
      <c r="J719" s="309"/>
      <c r="K719" s="309"/>
      <c r="L719" s="309"/>
      <c r="M719" s="309"/>
      <c r="N719" s="309"/>
      <c r="O719" s="309"/>
      <c r="P719" s="309"/>
      <c r="Q719" s="309"/>
      <c r="R719" s="309"/>
      <c r="S719" s="309"/>
      <c r="T719" s="309"/>
      <c r="U719" s="309"/>
      <c r="V719" s="309"/>
      <c r="W719" s="309"/>
      <c r="X719" s="309"/>
      <c r="Y719" s="309"/>
      <c r="Z719" s="309"/>
      <c r="AA719" s="309"/>
    </row>
    <row r="720" spans="2:27" ht="15.75" customHeight="1">
      <c r="B720" s="309"/>
      <c r="C720" s="309"/>
      <c r="D720" s="309"/>
      <c r="E720" s="309"/>
      <c r="F720" s="309"/>
      <c r="G720" s="309"/>
      <c r="H720" s="309"/>
      <c r="I720" s="309"/>
      <c r="J720" s="309"/>
      <c r="K720" s="309"/>
      <c r="L720" s="309"/>
      <c r="M720" s="309"/>
      <c r="N720" s="309"/>
      <c r="O720" s="309"/>
      <c r="P720" s="309"/>
      <c r="Q720" s="309"/>
      <c r="R720" s="309"/>
      <c r="S720" s="309"/>
      <c r="T720" s="309"/>
      <c r="U720" s="309"/>
      <c r="V720" s="309"/>
      <c r="W720" s="309"/>
      <c r="X720" s="309"/>
      <c r="Y720" s="309"/>
      <c r="Z720" s="309"/>
      <c r="AA720" s="309"/>
    </row>
    <row r="721" spans="2:27" ht="15.75" customHeight="1">
      <c r="B721" s="309"/>
      <c r="C721" s="309"/>
      <c r="D721" s="309"/>
      <c r="E721" s="309"/>
      <c r="F721" s="309"/>
      <c r="G721" s="309"/>
      <c r="H721" s="309"/>
      <c r="I721" s="309"/>
      <c r="J721" s="309"/>
      <c r="K721" s="309"/>
      <c r="L721" s="309"/>
      <c r="M721" s="309"/>
      <c r="N721" s="309"/>
      <c r="O721" s="309"/>
      <c r="P721" s="309"/>
      <c r="Q721" s="309"/>
      <c r="R721" s="309"/>
      <c r="S721" s="309"/>
      <c r="T721" s="309"/>
      <c r="U721" s="309"/>
      <c r="V721" s="309"/>
      <c r="W721" s="309"/>
      <c r="X721" s="309"/>
      <c r="Y721" s="309"/>
      <c r="Z721" s="309"/>
      <c r="AA721" s="309"/>
    </row>
    <row r="722" spans="2:27" ht="15.75" customHeight="1">
      <c r="B722" s="309"/>
      <c r="C722" s="309"/>
      <c r="D722" s="309"/>
      <c r="E722" s="309"/>
      <c r="F722" s="309"/>
      <c r="G722" s="309"/>
      <c r="H722" s="309"/>
      <c r="I722" s="309"/>
      <c r="J722" s="309"/>
      <c r="K722" s="309"/>
      <c r="L722" s="309"/>
      <c r="M722" s="309"/>
      <c r="N722" s="309"/>
      <c r="O722" s="309"/>
      <c r="P722" s="309"/>
      <c r="Q722" s="309"/>
      <c r="R722" s="309"/>
      <c r="S722" s="309"/>
      <c r="T722" s="309"/>
      <c r="U722" s="309"/>
      <c r="V722" s="309"/>
      <c r="W722" s="309"/>
      <c r="X722" s="309"/>
      <c r="Y722" s="309"/>
      <c r="Z722" s="309"/>
      <c r="AA722" s="309"/>
    </row>
    <row r="723" spans="2:27" ht="15.75" customHeight="1">
      <c r="B723" s="309"/>
      <c r="C723" s="309"/>
      <c r="D723" s="309"/>
      <c r="E723" s="309"/>
      <c r="F723" s="309"/>
      <c r="G723" s="309"/>
      <c r="H723" s="309"/>
      <c r="I723" s="309"/>
      <c r="J723" s="309"/>
      <c r="K723" s="309"/>
      <c r="L723" s="309"/>
      <c r="M723" s="309"/>
      <c r="N723" s="309"/>
      <c r="O723" s="309"/>
      <c r="P723" s="309"/>
      <c r="Q723" s="309"/>
      <c r="R723" s="309"/>
      <c r="S723" s="309"/>
      <c r="T723" s="309"/>
      <c r="U723" s="309"/>
      <c r="V723" s="309"/>
      <c r="W723" s="309"/>
      <c r="X723" s="309"/>
      <c r="Y723" s="309"/>
      <c r="Z723" s="309"/>
      <c r="AA723" s="309"/>
    </row>
    <row r="724" spans="2:27" ht="15.75" customHeight="1">
      <c r="B724" s="309"/>
      <c r="C724" s="309"/>
      <c r="D724" s="309"/>
      <c r="E724" s="309"/>
      <c r="F724" s="309"/>
      <c r="G724" s="309"/>
      <c r="H724" s="309"/>
      <c r="I724" s="309"/>
      <c r="J724" s="309"/>
      <c r="K724" s="309"/>
      <c r="L724" s="309"/>
      <c r="M724" s="309"/>
      <c r="N724" s="309"/>
      <c r="O724" s="309"/>
      <c r="P724" s="309"/>
      <c r="Q724" s="309"/>
      <c r="R724" s="309"/>
      <c r="S724" s="309"/>
      <c r="T724" s="309"/>
      <c r="U724" s="309"/>
      <c r="V724" s="309"/>
      <c r="W724" s="309"/>
      <c r="X724" s="309"/>
      <c r="Y724" s="309"/>
      <c r="Z724" s="309"/>
      <c r="AA724" s="309"/>
    </row>
    <row r="725" spans="2:27" ht="15.75" customHeight="1">
      <c r="B725" s="309"/>
      <c r="C725" s="309"/>
      <c r="D725" s="309"/>
      <c r="E725" s="309"/>
      <c r="F725" s="309"/>
      <c r="G725" s="309"/>
      <c r="H725" s="309"/>
      <c r="I725" s="309"/>
      <c r="J725" s="309"/>
      <c r="K725" s="309"/>
      <c r="L725" s="309"/>
      <c r="M725" s="309"/>
      <c r="N725" s="309"/>
      <c r="O725" s="309"/>
      <c r="P725" s="309"/>
      <c r="Q725" s="309"/>
      <c r="R725" s="309"/>
      <c r="S725" s="309"/>
      <c r="T725" s="309"/>
      <c r="U725" s="309"/>
      <c r="V725" s="309"/>
      <c r="W725" s="309"/>
      <c r="X725" s="309"/>
      <c r="Y725" s="309"/>
      <c r="Z725" s="309"/>
      <c r="AA725" s="309"/>
    </row>
    <row r="726" spans="2:27" ht="15.75" customHeight="1">
      <c r="B726" s="309"/>
      <c r="C726" s="309"/>
      <c r="D726" s="309"/>
      <c r="E726" s="309"/>
      <c r="F726" s="309"/>
      <c r="G726" s="309"/>
      <c r="H726" s="309"/>
      <c r="I726" s="309"/>
      <c r="J726" s="309"/>
      <c r="K726" s="309"/>
      <c r="L726" s="309"/>
      <c r="M726" s="309"/>
      <c r="N726" s="309"/>
      <c r="O726" s="309"/>
      <c r="P726" s="309"/>
      <c r="Q726" s="309"/>
      <c r="R726" s="309"/>
      <c r="S726" s="309"/>
      <c r="T726" s="309"/>
      <c r="U726" s="309"/>
      <c r="V726" s="309"/>
      <c r="W726" s="309"/>
      <c r="X726" s="309"/>
      <c r="Y726" s="309"/>
      <c r="Z726" s="309"/>
      <c r="AA726" s="309"/>
    </row>
    <row r="727" spans="2:27" ht="15.75" customHeight="1">
      <c r="B727" s="309"/>
      <c r="C727" s="309"/>
      <c r="D727" s="309"/>
      <c r="E727" s="309"/>
      <c r="F727" s="309"/>
      <c r="G727" s="309"/>
      <c r="H727" s="309"/>
      <c r="I727" s="309"/>
      <c r="J727" s="309"/>
      <c r="K727" s="309"/>
      <c r="L727" s="309"/>
      <c r="M727" s="309"/>
      <c r="N727" s="309"/>
      <c r="O727" s="309"/>
      <c r="P727" s="309"/>
      <c r="Q727" s="309"/>
      <c r="R727" s="309"/>
      <c r="S727" s="309"/>
      <c r="T727" s="309"/>
      <c r="U727" s="309"/>
      <c r="V727" s="309"/>
      <c r="W727" s="309"/>
      <c r="X727" s="309"/>
      <c r="Y727" s="309"/>
      <c r="Z727" s="309"/>
      <c r="AA727" s="309"/>
    </row>
    <row r="728" spans="2:27" ht="15.75" customHeight="1">
      <c r="B728" s="309"/>
      <c r="C728" s="309"/>
      <c r="D728" s="309"/>
      <c r="E728" s="309"/>
      <c r="F728" s="309"/>
      <c r="G728" s="309"/>
      <c r="H728" s="309"/>
      <c r="I728" s="309"/>
      <c r="J728" s="309"/>
      <c r="K728" s="309"/>
      <c r="L728" s="309"/>
      <c r="M728" s="309"/>
      <c r="N728" s="309"/>
      <c r="O728" s="309"/>
      <c r="P728" s="309"/>
      <c r="Q728" s="309"/>
      <c r="R728" s="309"/>
      <c r="S728" s="309"/>
      <c r="T728" s="309"/>
      <c r="U728" s="309"/>
      <c r="V728" s="309"/>
      <c r="W728" s="309"/>
      <c r="X728" s="309"/>
      <c r="Y728" s="309"/>
      <c r="Z728" s="309"/>
      <c r="AA728" s="309"/>
    </row>
    <row r="729" spans="2:27" ht="15.75" customHeight="1">
      <c r="B729" s="309"/>
      <c r="C729" s="309"/>
      <c r="D729" s="309"/>
      <c r="E729" s="309"/>
      <c r="F729" s="309"/>
      <c r="G729" s="309"/>
      <c r="H729" s="309"/>
      <c r="I729" s="309"/>
      <c r="J729" s="309"/>
      <c r="K729" s="309"/>
      <c r="L729" s="309"/>
      <c r="M729" s="309"/>
      <c r="N729" s="309"/>
      <c r="O729" s="309"/>
      <c r="P729" s="309"/>
      <c r="Q729" s="309"/>
      <c r="R729" s="309"/>
      <c r="S729" s="309"/>
      <c r="T729" s="309"/>
      <c r="U729" s="309"/>
      <c r="V729" s="309"/>
      <c r="W729" s="309"/>
      <c r="X729" s="309"/>
      <c r="Y729" s="309"/>
      <c r="Z729" s="309"/>
      <c r="AA729" s="309"/>
    </row>
    <row r="730" spans="2:27" ht="15.75" customHeight="1">
      <c r="B730" s="309"/>
      <c r="C730" s="309"/>
      <c r="D730" s="309"/>
      <c r="E730" s="309"/>
      <c r="F730" s="309"/>
      <c r="G730" s="309"/>
      <c r="H730" s="309"/>
      <c r="I730" s="309"/>
      <c r="J730" s="309"/>
      <c r="K730" s="309"/>
      <c r="L730" s="309"/>
      <c r="M730" s="309"/>
      <c r="N730" s="309"/>
      <c r="O730" s="309"/>
      <c r="P730" s="309"/>
      <c r="Q730" s="309"/>
      <c r="R730" s="309"/>
      <c r="S730" s="309"/>
      <c r="T730" s="309"/>
      <c r="U730" s="309"/>
      <c r="V730" s="309"/>
      <c r="W730" s="309"/>
      <c r="X730" s="309"/>
      <c r="Y730" s="309"/>
      <c r="Z730" s="309"/>
      <c r="AA730" s="309"/>
    </row>
    <row r="731" spans="2:27" ht="15.75" customHeight="1">
      <c r="B731" s="309"/>
      <c r="C731" s="309"/>
      <c r="D731" s="309"/>
      <c r="E731" s="309"/>
      <c r="F731" s="309"/>
      <c r="G731" s="309"/>
      <c r="H731" s="309"/>
      <c r="I731" s="309"/>
      <c r="J731" s="309"/>
      <c r="K731" s="309"/>
      <c r="L731" s="309"/>
      <c r="M731" s="309"/>
      <c r="N731" s="309"/>
      <c r="O731" s="309"/>
      <c r="P731" s="309"/>
      <c r="Q731" s="309"/>
      <c r="R731" s="309"/>
      <c r="S731" s="309"/>
      <c r="T731" s="309"/>
      <c r="U731" s="309"/>
      <c r="V731" s="309"/>
      <c r="W731" s="309"/>
      <c r="X731" s="309"/>
      <c r="Y731" s="309"/>
      <c r="Z731" s="309"/>
      <c r="AA731" s="309"/>
    </row>
    <row r="732" spans="2:27" ht="15.75" customHeight="1">
      <c r="B732" s="309"/>
      <c r="C732" s="309"/>
      <c r="D732" s="309"/>
      <c r="E732" s="309"/>
      <c r="F732" s="309"/>
      <c r="G732" s="309"/>
      <c r="H732" s="309"/>
      <c r="I732" s="309"/>
      <c r="J732" s="309"/>
      <c r="K732" s="309"/>
      <c r="L732" s="309"/>
      <c r="M732" s="309"/>
      <c r="N732" s="309"/>
      <c r="O732" s="309"/>
      <c r="P732" s="309"/>
      <c r="Q732" s="309"/>
      <c r="R732" s="309"/>
      <c r="S732" s="309"/>
      <c r="T732" s="309"/>
      <c r="U732" s="309"/>
      <c r="V732" s="309"/>
      <c r="W732" s="309"/>
      <c r="X732" s="309"/>
      <c r="Y732" s="309"/>
      <c r="Z732" s="309"/>
      <c r="AA732" s="309"/>
    </row>
    <row r="733" spans="2:27" ht="15.75" customHeight="1">
      <c r="B733" s="309"/>
      <c r="C733" s="309"/>
      <c r="D733" s="309"/>
      <c r="E733" s="309"/>
      <c r="F733" s="309"/>
      <c r="G733" s="309"/>
      <c r="H733" s="309"/>
      <c r="I733" s="309"/>
      <c r="J733" s="309"/>
      <c r="K733" s="309"/>
      <c r="L733" s="309"/>
      <c r="M733" s="309"/>
      <c r="N733" s="309"/>
      <c r="O733" s="309"/>
      <c r="P733" s="309"/>
      <c r="Q733" s="309"/>
      <c r="R733" s="309"/>
      <c r="S733" s="309"/>
      <c r="T733" s="309"/>
      <c r="U733" s="309"/>
      <c r="V733" s="309"/>
      <c r="W733" s="309"/>
      <c r="X733" s="309"/>
      <c r="Y733" s="309"/>
      <c r="Z733" s="309"/>
      <c r="AA733" s="309"/>
    </row>
    <row r="734" spans="2:27" ht="15.75" customHeight="1">
      <c r="B734" s="309"/>
      <c r="C734" s="309"/>
      <c r="D734" s="309"/>
      <c r="E734" s="309"/>
      <c r="F734" s="309"/>
      <c r="G734" s="309"/>
      <c r="H734" s="309"/>
      <c r="I734" s="309"/>
      <c r="J734" s="309"/>
      <c r="K734" s="309"/>
      <c r="L734" s="309"/>
      <c r="M734" s="309"/>
      <c r="N734" s="309"/>
      <c r="O734" s="309"/>
      <c r="P734" s="309"/>
      <c r="Q734" s="309"/>
      <c r="R734" s="309"/>
      <c r="S734" s="309"/>
      <c r="T734" s="309"/>
      <c r="U734" s="309"/>
      <c r="V734" s="309"/>
      <c r="W734" s="309"/>
      <c r="X734" s="309"/>
      <c r="Y734" s="309"/>
      <c r="Z734" s="309"/>
      <c r="AA734" s="309"/>
    </row>
    <row r="735" spans="2:27" ht="15.75" customHeight="1">
      <c r="B735" s="309"/>
      <c r="C735" s="309"/>
      <c r="D735" s="309"/>
      <c r="E735" s="309"/>
      <c r="F735" s="309"/>
      <c r="G735" s="309"/>
      <c r="H735" s="309"/>
      <c r="I735" s="309"/>
      <c r="J735" s="309"/>
      <c r="K735" s="309"/>
      <c r="L735" s="309"/>
      <c r="M735" s="309"/>
      <c r="N735" s="309"/>
      <c r="O735" s="309"/>
      <c r="P735" s="309"/>
      <c r="Q735" s="309"/>
      <c r="R735" s="309"/>
      <c r="S735" s="309"/>
      <c r="T735" s="309"/>
      <c r="U735" s="309"/>
      <c r="V735" s="309"/>
      <c r="W735" s="309"/>
      <c r="X735" s="309"/>
      <c r="Y735" s="309"/>
      <c r="Z735" s="309"/>
      <c r="AA735" s="309"/>
    </row>
    <row r="736" spans="2:27" ht="15.75" customHeight="1">
      <c r="B736" s="309"/>
      <c r="C736" s="309"/>
      <c r="D736" s="309"/>
      <c r="E736" s="309"/>
      <c r="F736" s="309"/>
      <c r="G736" s="309"/>
      <c r="H736" s="309"/>
      <c r="I736" s="309"/>
      <c r="J736" s="309"/>
      <c r="K736" s="309"/>
      <c r="L736" s="309"/>
      <c r="M736" s="309"/>
      <c r="N736" s="309"/>
      <c r="O736" s="309"/>
      <c r="P736" s="309"/>
      <c r="Q736" s="309"/>
      <c r="R736" s="309"/>
      <c r="S736" s="309"/>
      <c r="T736" s="309"/>
      <c r="U736" s="309"/>
      <c r="V736" s="309"/>
      <c r="W736" s="309"/>
      <c r="X736" s="309"/>
      <c r="Y736" s="309"/>
      <c r="Z736" s="309"/>
      <c r="AA736" s="309"/>
    </row>
    <row r="737" spans="2:27" ht="15.75" customHeight="1">
      <c r="B737" s="309"/>
      <c r="C737" s="309"/>
      <c r="D737" s="309"/>
      <c r="E737" s="309"/>
      <c r="F737" s="309"/>
      <c r="G737" s="309"/>
      <c r="H737" s="309"/>
      <c r="I737" s="309"/>
      <c r="J737" s="309"/>
      <c r="K737" s="309"/>
      <c r="L737" s="309"/>
      <c r="M737" s="309"/>
      <c r="N737" s="309"/>
      <c r="O737" s="309"/>
      <c r="P737" s="309"/>
      <c r="Q737" s="309"/>
      <c r="R737" s="309"/>
      <c r="S737" s="309"/>
      <c r="T737" s="309"/>
      <c r="U737" s="309"/>
      <c r="V737" s="309"/>
      <c r="W737" s="309"/>
      <c r="X737" s="309"/>
      <c r="Y737" s="309"/>
      <c r="Z737" s="309"/>
      <c r="AA737" s="309"/>
    </row>
    <row r="738" spans="2:27" ht="15.75" customHeight="1">
      <c r="B738" s="309"/>
      <c r="C738" s="309"/>
      <c r="D738" s="309"/>
      <c r="E738" s="309"/>
      <c r="F738" s="309"/>
      <c r="G738" s="309"/>
      <c r="H738" s="309"/>
      <c r="I738" s="309"/>
      <c r="J738" s="309"/>
      <c r="K738" s="309"/>
      <c r="L738" s="309"/>
      <c r="M738" s="309"/>
      <c r="N738" s="309"/>
      <c r="O738" s="309"/>
      <c r="P738" s="309"/>
      <c r="Q738" s="309"/>
      <c r="R738" s="309"/>
      <c r="S738" s="309"/>
      <c r="T738" s="309"/>
      <c r="U738" s="309"/>
      <c r="V738" s="309"/>
      <c r="W738" s="309"/>
      <c r="X738" s="309"/>
      <c r="Y738" s="309"/>
      <c r="Z738" s="309"/>
      <c r="AA738" s="309"/>
    </row>
    <row r="739" spans="2:27" ht="15.75" customHeight="1">
      <c r="B739" s="309"/>
      <c r="C739" s="309"/>
      <c r="D739" s="309"/>
      <c r="E739" s="309"/>
      <c r="F739" s="309"/>
      <c r="G739" s="309"/>
      <c r="H739" s="309"/>
      <c r="I739" s="309"/>
      <c r="J739" s="309"/>
      <c r="K739" s="309"/>
      <c r="L739" s="309"/>
      <c r="M739" s="309"/>
      <c r="N739" s="309"/>
      <c r="O739" s="309"/>
      <c r="P739" s="309"/>
      <c r="Q739" s="309"/>
      <c r="R739" s="309"/>
      <c r="S739" s="309"/>
      <c r="T739" s="309"/>
      <c r="U739" s="309"/>
      <c r="V739" s="309"/>
      <c r="W739" s="309"/>
      <c r="X739" s="309"/>
      <c r="Y739" s="309"/>
      <c r="Z739" s="309"/>
      <c r="AA739" s="309"/>
    </row>
    <row r="740" spans="2:27" ht="15.75" customHeight="1">
      <c r="B740" s="309"/>
      <c r="C740" s="309"/>
      <c r="D740" s="309"/>
      <c r="E740" s="309"/>
      <c r="F740" s="309"/>
      <c r="G740" s="309"/>
      <c r="H740" s="309"/>
      <c r="I740" s="309"/>
      <c r="J740" s="309"/>
      <c r="K740" s="309"/>
      <c r="L740" s="309"/>
      <c r="M740" s="309"/>
      <c r="N740" s="309"/>
      <c r="O740" s="309"/>
      <c r="P740" s="309"/>
      <c r="Q740" s="309"/>
      <c r="R740" s="309"/>
      <c r="S740" s="309"/>
      <c r="T740" s="309"/>
      <c r="U740" s="309"/>
      <c r="V740" s="309"/>
      <c r="W740" s="309"/>
      <c r="X740" s="309"/>
      <c r="Y740" s="309"/>
      <c r="Z740" s="309"/>
      <c r="AA740" s="309"/>
    </row>
    <row r="741" spans="2:27" ht="15.75" customHeight="1">
      <c r="B741" s="309"/>
      <c r="C741" s="309"/>
      <c r="D741" s="309"/>
      <c r="E741" s="309"/>
      <c r="F741" s="309"/>
      <c r="G741" s="309"/>
      <c r="H741" s="309"/>
      <c r="I741" s="309"/>
      <c r="J741" s="309"/>
      <c r="K741" s="309"/>
      <c r="L741" s="309"/>
      <c r="M741" s="309"/>
      <c r="N741" s="309"/>
      <c r="O741" s="309"/>
      <c r="P741" s="309"/>
      <c r="Q741" s="309"/>
      <c r="R741" s="309"/>
      <c r="S741" s="309"/>
      <c r="T741" s="309"/>
      <c r="U741" s="309"/>
      <c r="V741" s="309"/>
      <c r="W741" s="309"/>
      <c r="X741" s="309"/>
      <c r="Y741" s="309"/>
      <c r="Z741" s="309"/>
      <c r="AA741" s="309"/>
    </row>
    <row r="742" spans="2:27" ht="15.75" customHeight="1">
      <c r="B742" s="309"/>
      <c r="C742" s="309"/>
      <c r="D742" s="309"/>
      <c r="E742" s="309"/>
      <c r="F742" s="309"/>
      <c r="G742" s="309"/>
      <c r="H742" s="309"/>
      <c r="I742" s="309"/>
      <c r="J742" s="309"/>
      <c r="K742" s="309"/>
      <c r="L742" s="309"/>
      <c r="M742" s="309"/>
      <c r="N742" s="309"/>
      <c r="O742" s="309"/>
      <c r="P742" s="309"/>
      <c r="Q742" s="309"/>
      <c r="R742" s="309"/>
      <c r="S742" s="309"/>
      <c r="T742" s="309"/>
      <c r="U742" s="309"/>
      <c r="V742" s="309"/>
      <c r="W742" s="309"/>
      <c r="X742" s="309"/>
      <c r="Y742" s="309"/>
      <c r="Z742" s="309"/>
      <c r="AA742" s="309"/>
    </row>
    <row r="743" spans="2:27" ht="15.75" customHeight="1">
      <c r="B743" s="309"/>
      <c r="C743" s="309"/>
      <c r="D743" s="309"/>
      <c r="E743" s="309"/>
      <c r="F743" s="309"/>
      <c r="G743" s="309"/>
      <c r="H743" s="309"/>
      <c r="I743" s="309"/>
      <c r="J743" s="309"/>
      <c r="K743" s="309"/>
      <c r="L743" s="309"/>
      <c r="M743" s="309"/>
      <c r="N743" s="309"/>
      <c r="O743" s="309"/>
      <c r="P743" s="309"/>
      <c r="Q743" s="309"/>
      <c r="R743" s="309"/>
      <c r="S743" s="309"/>
      <c r="T743" s="309"/>
      <c r="U743" s="309"/>
      <c r="V743" s="309"/>
      <c r="W743" s="309"/>
      <c r="X743" s="309"/>
      <c r="Y743" s="309"/>
      <c r="Z743" s="309"/>
      <c r="AA743" s="309"/>
    </row>
    <row r="744" spans="2:27" ht="15.75" customHeight="1">
      <c r="B744" s="309"/>
      <c r="C744" s="309"/>
      <c r="D744" s="309"/>
      <c r="E744" s="309"/>
      <c r="F744" s="309"/>
      <c r="G744" s="309"/>
      <c r="H744" s="309"/>
      <c r="I744" s="309"/>
      <c r="J744" s="309"/>
      <c r="K744" s="309"/>
      <c r="L744" s="309"/>
      <c r="M744" s="309"/>
      <c r="N744" s="309"/>
      <c r="O744" s="309"/>
      <c r="P744" s="309"/>
      <c r="Q744" s="309"/>
      <c r="R744" s="309"/>
      <c r="S744" s="309"/>
      <c r="T744" s="309"/>
      <c r="U744" s="309"/>
      <c r="V744" s="309"/>
      <c r="W744" s="309"/>
      <c r="X744" s="309"/>
      <c r="Y744" s="309"/>
      <c r="Z744" s="309"/>
      <c r="AA744" s="309"/>
    </row>
    <row r="745" spans="2:27" ht="15.75" customHeight="1">
      <c r="B745" s="309"/>
      <c r="C745" s="309"/>
      <c r="D745" s="309"/>
      <c r="E745" s="309"/>
      <c r="F745" s="309"/>
      <c r="G745" s="309"/>
      <c r="H745" s="309"/>
      <c r="I745" s="309"/>
      <c r="J745" s="309"/>
      <c r="K745" s="309"/>
      <c r="L745" s="309"/>
      <c r="M745" s="309"/>
      <c r="N745" s="309"/>
      <c r="O745" s="309"/>
      <c r="P745" s="309"/>
      <c r="Q745" s="309"/>
      <c r="R745" s="309"/>
      <c r="S745" s="309"/>
      <c r="T745" s="309"/>
      <c r="U745" s="309"/>
      <c r="V745" s="309"/>
      <c r="W745" s="309"/>
      <c r="X745" s="309"/>
      <c r="Y745" s="309"/>
      <c r="Z745" s="309"/>
      <c r="AA745" s="309"/>
    </row>
    <row r="746" spans="2:27" ht="15.75" customHeight="1">
      <c r="B746" s="309"/>
      <c r="C746" s="309"/>
      <c r="D746" s="309"/>
      <c r="E746" s="309"/>
      <c r="F746" s="309"/>
      <c r="G746" s="309"/>
      <c r="H746" s="309"/>
      <c r="I746" s="309"/>
      <c r="J746" s="309"/>
      <c r="K746" s="309"/>
      <c r="L746" s="309"/>
      <c r="M746" s="309"/>
      <c r="N746" s="309"/>
      <c r="O746" s="309"/>
      <c r="P746" s="309"/>
      <c r="Q746" s="309"/>
      <c r="R746" s="309"/>
      <c r="S746" s="309"/>
      <c r="T746" s="309"/>
      <c r="U746" s="309"/>
      <c r="V746" s="309"/>
      <c r="W746" s="309"/>
      <c r="X746" s="309"/>
      <c r="Y746" s="309"/>
      <c r="Z746" s="309"/>
      <c r="AA746" s="309"/>
    </row>
    <row r="747" spans="2:27" ht="15.75" customHeight="1">
      <c r="B747" s="309"/>
      <c r="C747" s="309"/>
      <c r="D747" s="309"/>
      <c r="E747" s="309"/>
      <c r="F747" s="309"/>
      <c r="G747" s="309"/>
      <c r="H747" s="309"/>
      <c r="I747" s="309"/>
      <c r="J747" s="309"/>
      <c r="K747" s="309"/>
      <c r="L747" s="309"/>
      <c r="M747" s="309"/>
      <c r="N747" s="309"/>
      <c r="O747" s="309"/>
      <c r="P747" s="309"/>
      <c r="Q747" s="309"/>
      <c r="R747" s="309"/>
      <c r="S747" s="309"/>
      <c r="T747" s="309"/>
      <c r="U747" s="309"/>
      <c r="V747" s="309"/>
      <c r="W747" s="309"/>
      <c r="X747" s="309"/>
      <c r="Y747" s="309"/>
      <c r="Z747" s="309"/>
      <c r="AA747" s="309"/>
    </row>
    <row r="748" spans="2:27" ht="15.75" customHeight="1">
      <c r="B748" s="309"/>
      <c r="C748" s="309"/>
      <c r="D748" s="309"/>
      <c r="E748" s="309"/>
      <c r="F748" s="309"/>
      <c r="G748" s="309"/>
      <c r="H748" s="309"/>
      <c r="I748" s="309"/>
      <c r="J748" s="309"/>
      <c r="K748" s="309"/>
      <c r="L748" s="309"/>
      <c r="M748" s="309"/>
      <c r="N748" s="309"/>
      <c r="O748" s="309"/>
      <c r="P748" s="309"/>
      <c r="Q748" s="309"/>
      <c r="R748" s="309"/>
      <c r="S748" s="309"/>
      <c r="T748" s="309"/>
      <c r="U748" s="309"/>
      <c r="V748" s="309"/>
      <c r="W748" s="309"/>
      <c r="X748" s="309"/>
      <c r="Y748" s="309"/>
      <c r="Z748" s="309"/>
      <c r="AA748" s="309"/>
    </row>
    <row r="749" spans="2:27" ht="15.75" customHeight="1">
      <c r="B749" s="309"/>
      <c r="C749" s="309"/>
      <c r="D749" s="309"/>
      <c r="E749" s="309"/>
      <c r="F749" s="309"/>
      <c r="G749" s="309"/>
      <c r="H749" s="309"/>
      <c r="I749" s="309"/>
      <c r="J749" s="309"/>
      <c r="K749" s="309"/>
      <c r="L749" s="309"/>
      <c r="M749" s="309"/>
      <c r="N749" s="309"/>
      <c r="O749" s="309"/>
      <c r="P749" s="309"/>
      <c r="Q749" s="309"/>
      <c r="R749" s="309"/>
      <c r="S749" s="309"/>
      <c r="T749" s="309"/>
      <c r="U749" s="309"/>
      <c r="V749" s="309"/>
      <c r="W749" s="309"/>
      <c r="X749" s="309"/>
      <c r="Y749" s="309"/>
      <c r="Z749" s="309"/>
      <c r="AA749" s="309"/>
    </row>
    <row r="750" spans="2:27" ht="15.75" customHeight="1">
      <c r="B750" s="309"/>
      <c r="C750" s="309"/>
      <c r="D750" s="309"/>
      <c r="E750" s="309"/>
      <c r="F750" s="309"/>
      <c r="G750" s="309"/>
      <c r="H750" s="309"/>
      <c r="I750" s="309"/>
      <c r="J750" s="309"/>
      <c r="K750" s="309"/>
      <c r="L750" s="309"/>
      <c r="M750" s="309"/>
      <c r="N750" s="309"/>
      <c r="O750" s="309"/>
      <c r="P750" s="309"/>
      <c r="Q750" s="309"/>
      <c r="R750" s="309"/>
      <c r="S750" s="309"/>
      <c r="T750" s="309"/>
      <c r="U750" s="309"/>
      <c r="V750" s="309"/>
      <c r="W750" s="309"/>
      <c r="X750" s="309"/>
      <c r="Y750" s="309"/>
      <c r="Z750" s="309"/>
      <c r="AA750" s="309"/>
    </row>
    <row r="751" spans="2:27" ht="15.75" customHeight="1">
      <c r="B751" s="309"/>
      <c r="C751" s="309"/>
      <c r="D751" s="309"/>
      <c r="E751" s="309"/>
      <c r="F751" s="309"/>
      <c r="G751" s="309"/>
      <c r="H751" s="309"/>
      <c r="I751" s="309"/>
      <c r="J751" s="309"/>
      <c r="K751" s="309"/>
      <c r="L751" s="309"/>
      <c r="M751" s="309"/>
      <c r="N751" s="309"/>
      <c r="O751" s="309"/>
      <c r="P751" s="309"/>
      <c r="Q751" s="309"/>
      <c r="R751" s="309"/>
      <c r="S751" s="309"/>
      <c r="T751" s="309"/>
      <c r="U751" s="309"/>
      <c r="V751" s="309"/>
      <c r="W751" s="309"/>
      <c r="X751" s="309"/>
      <c r="Y751" s="309"/>
      <c r="Z751" s="309"/>
      <c r="AA751" s="309"/>
    </row>
    <row r="752" spans="2:27" ht="15.75" customHeight="1">
      <c r="B752" s="309"/>
      <c r="C752" s="309"/>
      <c r="D752" s="309"/>
      <c r="E752" s="309"/>
      <c r="F752" s="309"/>
      <c r="G752" s="309"/>
      <c r="H752" s="309"/>
      <c r="I752" s="309"/>
      <c r="J752" s="309"/>
      <c r="K752" s="309"/>
      <c r="L752" s="309"/>
      <c r="M752" s="309"/>
      <c r="N752" s="309"/>
      <c r="O752" s="309"/>
      <c r="P752" s="309"/>
      <c r="Q752" s="309"/>
      <c r="R752" s="309"/>
      <c r="S752" s="309"/>
      <c r="T752" s="309"/>
      <c r="U752" s="309"/>
      <c r="V752" s="309"/>
      <c r="W752" s="309"/>
      <c r="X752" s="309"/>
      <c r="Y752" s="309"/>
      <c r="Z752" s="309"/>
      <c r="AA752" s="309"/>
    </row>
    <row r="753" spans="2:27" ht="15.75" customHeight="1">
      <c r="B753" s="309"/>
      <c r="C753" s="309"/>
      <c r="D753" s="309"/>
      <c r="E753" s="309"/>
      <c r="F753" s="309"/>
      <c r="G753" s="309"/>
      <c r="H753" s="309"/>
      <c r="I753" s="309"/>
      <c r="J753" s="309"/>
      <c r="K753" s="309"/>
      <c r="L753" s="309"/>
      <c r="M753" s="309"/>
      <c r="N753" s="309"/>
      <c r="O753" s="309"/>
      <c r="P753" s="309"/>
      <c r="Q753" s="309"/>
      <c r="R753" s="309"/>
      <c r="S753" s="309"/>
      <c r="T753" s="309"/>
      <c r="U753" s="309"/>
      <c r="V753" s="309"/>
      <c r="W753" s="309"/>
      <c r="X753" s="309"/>
      <c r="Y753" s="309"/>
      <c r="Z753" s="309"/>
      <c r="AA753" s="309"/>
    </row>
    <row r="754" spans="2:27" ht="15.75" customHeight="1">
      <c r="B754" s="309"/>
      <c r="C754" s="309"/>
      <c r="D754" s="309"/>
      <c r="E754" s="309"/>
      <c r="F754" s="309"/>
      <c r="G754" s="309"/>
      <c r="H754" s="309"/>
      <c r="I754" s="309"/>
      <c r="J754" s="309"/>
      <c r="K754" s="309"/>
      <c r="L754" s="309"/>
      <c r="M754" s="309"/>
      <c r="N754" s="309"/>
      <c r="O754" s="309"/>
      <c r="P754" s="309"/>
      <c r="Q754" s="309"/>
      <c r="R754" s="309"/>
      <c r="S754" s="309"/>
      <c r="T754" s="309"/>
      <c r="U754" s="309"/>
      <c r="V754" s="309"/>
      <c r="W754" s="309"/>
      <c r="X754" s="309"/>
      <c r="Y754" s="309"/>
      <c r="Z754" s="309"/>
      <c r="AA754" s="309"/>
    </row>
    <row r="755" spans="2:27" ht="15.75" customHeight="1">
      <c r="B755" s="309"/>
      <c r="C755" s="309"/>
      <c r="D755" s="309"/>
      <c r="E755" s="309"/>
      <c r="F755" s="309"/>
      <c r="G755" s="309"/>
      <c r="H755" s="309"/>
      <c r="I755" s="309"/>
      <c r="J755" s="309"/>
      <c r="K755" s="309"/>
      <c r="L755" s="309"/>
      <c r="M755" s="309"/>
      <c r="N755" s="309"/>
      <c r="O755" s="309"/>
      <c r="P755" s="309"/>
      <c r="Q755" s="309"/>
      <c r="R755" s="309"/>
      <c r="S755" s="309"/>
      <c r="T755" s="309"/>
      <c r="U755" s="309"/>
      <c r="V755" s="309"/>
      <c r="W755" s="309"/>
      <c r="X755" s="309"/>
      <c r="Y755" s="309"/>
      <c r="Z755" s="309"/>
      <c r="AA755" s="309"/>
    </row>
    <row r="756" spans="2:27" ht="15.75" customHeight="1">
      <c r="B756" s="309"/>
      <c r="C756" s="309"/>
      <c r="D756" s="309"/>
      <c r="E756" s="309"/>
      <c r="F756" s="309"/>
      <c r="G756" s="309"/>
      <c r="H756" s="309"/>
      <c r="I756" s="309"/>
      <c r="J756" s="309"/>
      <c r="K756" s="309"/>
      <c r="L756" s="309"/>
      <c r="M756" s="309"/>
      <c r="N756" s="309"/>
      <c r="O756" s="309"/>
      <c r="P756" s="309"/>
      <c r="Q756" s="309"/>
      <c r="R756" s="309"/>
      <c r="S756" s="309"/>
      <c r="T756" s="309"/>
      <c r="U756" s="309"/>
      <c r="V756" s="309"/>
      <c r="W756" s="309"/>
      <c r="X756" s="309"/>
      <c r="Y756" s="309"/>
      <c r="Z756" s="309"/>
      <c r="AA756" s="309"/>
    </row>
    <row r="757" spans="2:27" ht="15.75" customHeight="1">
      <c r="B757" s="309"/>
      <c r="C757" s="309"/>
      <c r="D757" s="309"/>
      <c r="E757" s="309"/>
      <c r="F757" s="309"/>
      <c r="G757" s="309"/>
      <c r="H757" s="309"/>
      <c r="I757" s="309"/>
      <c r="J757" s="309"/>
      <c r="K757" s="309"/>
      <c r="L757" s="309"/>
      <c r="M757" s="309"/>
      <c r="N757" s="309"/>
      <c r="O757" s="309"/>
      <c r="P757" s="309"/>
      <c r="Q757" s="309"/>
      <c r="R757" s="309"/>
      <c r="S757" s="309"/>
      <c r="T757" s="309"/>
      <c r="U757" s="309"/>
      <c r="V757" s="309"/>
      <c r="W757" s="309"/>
      <c r="X757" s="309"/>
      <c r="Y757" s="309"/>
      <c r="Z757" s="309"/>
      <c r="AA757" s="309"/>
    </row>
    <row r="758" spans="2:27" ht="15.75" customHeight="1">
      <c r="B758" s="309"/>
      <c r="C758" s="309"/>
      <c r="D758" s="309"/>
      <c r="E758" s="309"/>
      <c r="F758" s="309"/>
      <c r="G758" s="309"/>
      <c r="H758" s="309"/>
      <c r="I758" s="309"/>
      <c r="J758" s="309"/>
      <c r="K758" s="309"/>
      <c r="L758" s="309"/>
      <c r="M758" s="309"/>
      <c r="N758" s="309"/>
      <c r="O758" s="309"/>
      <c r="P758" s="309"/>
      <c r="Q758" s="309"/>
      <c r="R758" s="309"/>
      <c r="S758" s="309"/>
      <c r="T758" s="309"/>
      <c r="U758" s="309"/>
      <c r="V758" s="309"/>
      <c r="W758" s="309"/>
      <c r="X758" s="309"/>
      <c r="Y758" s="309"/>
      <c r="Z758" s="309"/>
      <c r="AA758" s="309"/>
    </row>
    <row r="759" spans="2:27" ht="15.75" customHeight="1">
      <c r="B759" s="309"/>
      <c r="C759" s="309"/>
      <c r="D759" s="309"/>
      <c r="E759" s="309"/>
      <c r="F759" s="309"/>
      <c r="G759" s="309"/>
      <c r="H759" s="309"/>
      <c r="I759" s="309"/>
      <c r="J759" s="309"/>
      <c r="K759" s="309"/>
      <c r="L759" s="309"/>
      <c r="M759" s="309"/>
      <c r="N759" s="309"/>
      <c r="O759" s="309"/>
      <c r="P759" s="309"/>
      <c r="Q759" s="309"/>
      <c r="R759" s="309"/>
      <c r="S759" s="309"/>
      <c r="T759" s="309"/>
      <c r="U759" s="309"/>
      <c r="V759" s="309"/>
      <c r="W759" s="309"/>
      <c r="X759" s="309"/>
      <c r="Y759" s="309"/>
      <c r="Z759" s="309"/>
      <c r="AA759" s="309"/>
    </row>
    <row r="760" spans="2:27" ht="15.75" customHeight="1">
      <c r="B760" s="309"/>
      <c r="C760" s="309"/>
      <c r="D760" s="309"/>
      <c r="E760" s="309"/>
      <c r="F760" s="309"/>
      <c r="G760" s="309"/>
      <c r="H760" s="309"/>
      <c r="I760" s="309"/>
      <c r="J760" s="309"/>
      <c r="K760" s="309"/>
      <c r="L760" s="309"/>
      <c r="M760" s="309"/>
      <c r="N760" s="309"/>
      <c r="O760" s="309"/>
      <c r="P760" s="309"/>
      <c r="Q760" s="309"/>
      <c r="R760" s="309"/>
      <c r="S760" s="309"/>
      <c r="T760" s="309"/>
      <c r="U760" s="309"/>
      <c r="V760" s="309"/>
      <c r="W760" s="309"/>
      <c r="X760" s="309"/>
      <c r="Y760" s="309"/>
      <c r="Z760" s="309"/>
      <c r="AA760" s="309"/>
    </row>
    <row r="761" spans="2:27" ht="15.75" customHeight="1">
      <c r="B761" s="309"/>
      <c r="C761" s="309"/>
      <c r="D761" s="309"/>
      <c r="E761" s="309"/>
      <c r="F761" s="309"/>
      <c r="G761" s="309"/>
      <c r="H761" s="309"/>
      <c r="I761" s="309"/>
      <c r="J761" s="309"/>
      <c r="K761" s="309"/>
      <c r="L761" s="309"/>
      <c r="M761" s="309"/>
      <c r="N761" s="309"/>
      <c r="O761" s="309"/>
      <c r="P761" s="309"/>
      <c r="Q761" s="309"/>
      <c r="R761" s="309"/>
      <c r="S761" s="309"/>
      <c r="T761" s="309"/>
      <c r="U761" s="309"/>
      <c r="V761" s="309"/>
      <c r="W761" s="309"/>
      <c r="X761" s="309"/>
      <c r="Y761" s="309"/>
      <c r="Z761" s="309"/>
      <c r="AA761" s="309"/>
    </row>
    <row r="762" spans="2:27" ht="15.75" customHeight="1">
      <c r="B762" s="309"/>
      <c r="C762" s="309"/>
      <c r="D762" s="309"/>
      <c r="E762" s="309"/>
      <c r="F762" s="309"/>
      <c r="G762" s="309"/>
      <c r="H762" s="309"/>
      <c r="I762" s="309"/>
      <c r="J762" s="309"/>
      <c r="K762" s="309"/>
      <c r="L762" s="309"/>
      <c r="M762" s="309"/>
      <c r="N762" s="309"/>
      <c r="O762" s="309"/>
      <c r="P762" s="309"/>
      <c r="Q762" s="309"/>
      <c r="R762" s="309"/>
      <c r="S762" s="309"/>
      <c r="T762" s="309"/>
      <c r="U762" s="309"/>
      <c r="V762" s="309"/>
      <c r="W762" s="309"/>
      <c r="X762" s="309"/>
      <c r="Y762" s="309"/>
      <c r="Z762" s="309"/>
      <c r="AA762" s="309"/>
    </row>
    <row r="763" spans="2:27" ht="15.75" customHeight="1">
      <c r="B763" s="309"/>
      <c r="C763" s="309"/>
      <c r="D763" s="309"/>
      <c r="E763" s="309"/>
      <c r="F763" s="309"/>
      <c r="G763" s="309"/>
      <c r="H763" s="309"/>
      <c r="I763" s="309"/>
      <c r="J763" s="309"/>
      <c r="K763" s="309"/>
      <c r="L763" s="309"/>
      <c r="M763" s="309"/>
      <c r="N763" s="309"/>
      <c r="O763" s="309"/>
      <c r="P763" s="309"/>
      <c r="Q763" s="309"/>
      <c r="R763" s="309"/>
      <c r="S763" s="309"/>
      <c r="T763" s="309"/>
      <c r="U763" s="309"/>
      <c r="V763" s="309"/>
      <c r="W763" s="309"/>
      <c r="X763" s="309"/>
      <c r="Y763" s="309"/>
      <c r="Z763" s="309"/>
      <c r="AA763" s="309"/>
    </row>
    <row r="764" spans="2:27" ht="15.75" customHeight="1">
      <c r="B764" s="309"/>
      <c r="C764" s="309"/>
      <c r="D764" s="309"/>
      <c r="E764" s="309"/>
      <c r="F764" s="309"/>
      <c r="G764" s="309"/>
      <c r="H764" s="309"/>
      <c r="I764" s="309"/>
      <c r="J764" s="309"/>
      <c r="K764" s="309"/>
      <c r="L764" s="309"/>
      <c r="M764" s="309"/>
      <c r="N764" s="309"/>
      <c r="O764" s="309"/>
      <c r="P764" s="309"/>
      <c r="Q764" s="309"/>
      <c r="R764" s="309"/>
      <c r="S764" s="309"/>
      <c r="T764" s="309"/>
      <c r="U764" s="309"/>
      <c r="V764" s="309"/>
      <c r="W764" s="309"/>
      <c r="X764" s="309"/>
      <c r="Y764" s="309"/>
      <c r="Z764" s="309"/>
      <c r="AA764" s="309"/>
    </row>
    <row r="765" spans="2:27" ht="15.75" customHeight="1">
      <c r="B765" s="309"/>
      <c r="C765" s="309"/>
      <c r="D765" s="309"/>
      <c r="E765" s="309"/>
      <c r="F765" s="309"/>
      <c r="G765" s="309"/>
      <c r="H765" s="309"/>
      <c r="I765" s="309"/>
      <c r="J765" s="309"/>
      <c r="K765" s="309"/>
      <c r="L765" s="309"/>
      <c r="M765" s="309"/>
      <c r="N765" s="309"/>
      <c r="O765" s="309"/>
      <c r="P765" s="309"/>
      <c r="Q765" s="309"/>
      <c r="R765" s="309"/>
      <c r="S765" s="309"/>
      <c r="T765" s="309"/>
      <c r="U765" s="309"/>
      <c r="V765" s="309"/>
      <c r="W765" s="309"/>
      <c r="X765" s="309"/>
      <c r="Y765" s="309"/>
      <c r="Z765" s="309"/>
      <c r="AA765" s="309"/>
    </row>
    <row r="766" spans="2:27" ht="15.75" customHeight="1">
      <c r="B766" s="309"/>
      <c r="C766" s="309"/>
      <c r="D766" s="309"/>
      <c r="E766" s="309"/>
      <c r="F766" s="309"/>
      <c r="G766" s="309"/>
      <c r="H766" s="309"/>
      <c r="I766" s="309"/>
      <c r="J766" s="309"/>
      <c r="K766" s="309"/>
      <c r="L766" s="309"/>
      <c r="M766" s="309"/>
      <c r="N766" s="309"/>
      <c r="O766" s="309"/>
      <c r="P766" s="309"/>
      <c r="Q766" s="309"/>
      <c r="R766" s="309"/>
      <c r="S766" s="309"/>
      <c r="T766" s="309"/>
      <c r="U766" s="309"/>
      <c r="V766" s="309"/>
      <c r="W766" s="309"/>
      <c r="X766" s="309"/>
      <c r="Y766" s="309"/>
      <c r="Z766" s="309"/>
      <c r="AA766" s="309"/>
    </row>
    <row r="767" spans="2:27" ht="15.75" customHeight="1">
      <c r="B767" s="309"/>
      <c r="C767" s="309"/>
      <c r="D767" s="309"/>
      <c r="E767" s="309"/>
      <c r="F767" s="309"/>
      <c r="G767" s="309"/>
      <c r="H767" s="309"/>
      <c r="I767" s="309"/>
      <c r="J767" s="309"/>
      <c r="K767" s="309"/>
      <c r="L767" s="309"/>
      <c r="M767" s="309"/>
      <c r="N767" s="309"/>
      <c r="O767" s="309"/>
      <c r="P767" s="309"/>
      <c r="Q767" s="309"/>
      <c r="R767" s="309"/>
      <c r="S767" s="309"/>
      <c r="T767" s="309"/>
      <c r="U767" s="309"/>
      <c r="V767" s="309"/>
      <c r="W767" s="309"/>
      <c r="X767" s="309"/>
      <c r="Y767" s="309"/>
      <c r="Z767" s="309"/>
      <c r="AA767" s="309"/>
    </row>
    <row r="768" spans="2:27" ht="15.75" customHeight="1">
      <c r="B768" s="309"/>
      <c r="C768" s="309"/>
      <c r="D768" s="309"/>
      <c r="E768" s="309"/>
      <c r="F768" s="309"/>
      <c r="G768" s="309"/>
      <c r="H768" s="309"/>
      <c r="I768" s="309"/>
      <c r="J768" s="309"/>
      <c r="K768" s="309"/>
      <c r="L768" s="309"/>
      <c r="M768" s="309"/>
      <c r="N768" s="309"/>
      <c r="O768" s="309"/>
      <c r="P768" s="309"/>
      <c r="Q768" s="309"/>
      <c r="R768" s="309"/>
      <c r="S768" s="309"/>
      <c r="T768" s="309"/>
      <c r="U768" s="309"/>
      <c r="V768" s="309"/>
      <c r="W768" s="309"/>
      <c r="X768" s="309"/>
      <c r="Y768" s="309"/>
      <c r="Z768" s="309"/>
      <c r="AA768" s="309"/>
    </row>
    <row r="769" spans="2:27" ht="15.75" customHeight="1">
      <c r="B769" s="309"/>
      <c r="C769" s="309"/>
      <c r="D769" s="309"/>
      <c r="E769" s="309"/>
      <c r="F769" s="309"/>
      <c r="G769" s="309"/>
      <c r="H769" s="309"/>
      <c r="I769" s="309"/>
      <c r="J769" s="309"/>
      <c r="K769" s="309"/>
      <c r="L769" s="309"/>
      <c r="M769" s="309"/>
      <c r="N769" s="309"/>
      <c r="O769" s="309"/>
      <c r="P769" s="309"/>
      <c r="Q769" s="309"/>
      <c r="R769" s="309"/>
      <c r="S769" s="309"/>
      <c r="T769" s="309"/>
      <c r="U769" s="309"/>
      <c r="V769" s="309"/>
      <c r="W769" s="309"/>
      <c r="X769" s="309"/>
      <c r="Y769" s="309"/>
      <c r="Z769" s="309"/>
      <c r="AA769" s="309"/>
    </row>
    <row r="770" spans="2:27" ht="15.75" customHeight="1">
      <c r="B770" s="309"/>
      <c r="C770" s="309"/>
      <c r="D770" s="309"/>
      <c r="E770" s="309"/>
      <c r="F770" s="309"/>
      <c r="G770" s="309"/>
      <c r="H770" s="309"/>
      <c r="I770" s="309"/>
      <c r="J770" s="309"/>
      <c r="K770" s="309"/>
      <c r="L770" s="309"/>
      <c r="M770" s="309"/>
      <c r="N770" s="309"/>
      <c r="O770" s="309"/>
      <c r="P770" s="309"/>
      <c r="Q770" s="309"/>
      <c r="R770" s="309"/>
      <c r="S770" s="309"/>
      <c r="T770" s="309"/>
      <c r="U770" s="309"/>
      <c r="V770" s="309"/>
      <c r="W770" s="309"/>
      <c r="X770" s="309"/>
      <c r="Y770" s="309"/>
      <c r="Z770" s="309"/>
      <c r="AA770" s="309"/>
    </row>
    <row r="771" spans="2:27" ht="15.75" customHeight="1">
      <c r="B771" s="309"/>
      <c r="C771" s="309"/>
      <c r="D771" s="309"/>
      <c r="E771" s="309"/>
      <c r="F771" s="309"/>
      <c r="G771" s="309"/>
      <c r="H771" s="309"/>
      <c r="I771" s="309"/>
      <c r="J771" s="309"/>
      <c r="K771" s="309"/>
      <c r="L771" s="309"/>
      <c r="M771" s="309"/>
      <c r="N771" s="309"/>
      <c r="O771" s="309"/>
      <c r="P771" s="309"/>
      <c r="Q771" s="309"/>
      <c r="R771" s="309"/>
      <c r="S771" s="309"/>
      <c r="T771" s="309"/>
      <c r="U771" s="309"/>
      <c r="V771" s="309"/>
      <c r="W771" s="309"/>
      <c r="X771" s="309"/>
      <c r="Y771" s="309"/>
      <c r="Z771" s="309"/>
      <c r="AA771" s="309"/>
    </row>
    <row r="772" spans="2:27" ht="15.75" customHeight="1">
      <c r="B772" s="309"/>
      <c r="C772" s="309"/>
      <c r="D772" s="309"/>
      <c r="E772" s="309"/>
      <c r="F772" s="309"/>
      <c r="G772" s="309"/>
      <c r="H772" s="309"/>
      <c r="I772" s="309"/>
      <c r="J772" s="309"/>
      <c r="K772" s="309"/>
      <c r="L772" s="309"/>
      <c r="M772" s="309"/>
      <c r="N772" s="309"/>
      <c r="O772" s="309"/>
      <c r="P772" s="309"/>
      <c r="Q772" s="309"/>
      <c r="R772" s="309"/>
      <c r="S772" s="309"/>
      <c r="T772" s="309"/>
      <c r="U772" s="309"/>
      <c r="V772" s="309"/>
      <c r="W772" s="309"/>
      <c r="X772" s="309"/>
      <c r="Y772" s="309"/>
      <c r="Z772" s="309"/>
      <c r="AA772" s="309"/>
    </row>
    <row r="773" spans="2:27" ht="15.75" customHeight="1">
      <c r="B773" s="309"/>
      <c r="C773" s="309"/>
      <c r="D773" s="309"/>
      <c r="E773" s="309"/>
      <c r="F773" s="309"/>
      <c r="G773" s="309"/>
      <c r="H773" s="309"/>
      <c r="I773" s="309"/>
      <c r="J773" s="309"/>
      <c r="K773" s="309"/>
      <c r="L773" s="309"/>
      <c r="M773" s="309"/>
      <c r="N773" s="309"/>
      <c r="O773" s="309"/>
      <c r="P773" s="309"/>
      <c r="Q773" s="309"/>
      <c r="R773" s="309"/>
      <c r="S773" s="309"/>
      <c r="T773" s="309"/>
      <c r="U773" s="309"/>
      <c r="V773" s="309"/>
      <c r="W773" s="309"/>
      <c r="X773" s="309"/>
      <c r="Y773" s="309"/>
      <c r="Z773" s="309"/>
      <c r="AA773" s="309"/>
    </row>
    <row r="774" spans="2:27" ht="15.75" customHeight="1">
      <c r="B774" s="309"/>
      <c r="C774" s="309"/>
      <c r="D774" s="309"/>
      <c r="E774" s="309"/>
      <c r="F774" s="309"/>
      <c r="G774" s="309"/>
      <c r="H774" s="309"/>
      <c r="I774" s="309"/>
      <c r="J774" s="309"/>
      <c r="K774" s="309"/>
      <c r="L774" s="309"/>
      <c r="M774" s="309"/>
      <c r="N774" s="309"/>
      <c r="O774" s="309"/>
      <c r="P774" s="309"/>
      <c r="Q774" s="309"/>
      <c r="R774" s="309"/>
      <c r="S774" s="309"/>
      <c r="T774" s="309"/>
      <c r="U774" s="309"/>
      <c r="V774" s="309"/>
      <c r="W774" s="309"/>
      <c r="X774" s="309"/>
      <c r="Y774" s="309"/>
      <c r="Z774" s="309"/>
      <c r="AA774" s="309"/>
    </row>
    <row r="775" spans="2:27" ht="15.75" customHeight="1">
      <c r="B775" s="309"/>
      <c r="C775" s="309"/>
      <c r="D775" s="309"/>
      <c r="E775" s="309"/>
      <c r="F775" s="309"/>
      <c r="G775" s="309"/>
      <c r="H775" s="309"/>
      <c r="I775" s="309"/>
      <c r="J775" s="309"/>
      <c r="K775" s="309"/>
      <c r="L775" s="309"/>
      <c r="M775" s="309"/>
      <c r="N775" s="309"/>
      <c r="O775" s="309"/>
      <c r="P775" s="309"/>
      <c r="Q775" s="309"/>
      <c r="R775" s="309"/>
      <c r="S775" s="309"/>
      <c r="T775" s="309"/>
      <c r="U775" s="309"/>
      <c r="V775" s="309"/>
      <c r="W775" s="309"/>
      <c r="X775" s="309"/>
      <c r="Y775" s="309"/>
      <c r="Z775" s="309"/>
      <c r="AA775" s="309"/>
    </row>
    <row r="776" spans="2:27" ht="15.75" customHeight="1">
      <c r="B776" s="309"/>
      <c r="C776" s="309"/>
      <c r="D776" s="309"/>
      <c r="E776" s="309"/>
      <c r="F776" s="309"/>
      <c r="G776" s="309"/>
      <c r="H776" s="309"/>
      <c r="I776" s="309"/>
      <c r="J776" s="309"/>
      <c r="K776" s="309"/>
      <c r="L776" s="309"/>
      <c r="M776" s="309"/>
      <c r="N776" s="309"/>
      <c r="O776" s="309"/>
      <c r="P776" s="309"/>
      <c r="Q776" s="309"/>
      <c r="R776" s="309"/>
      <c r="S776" s="309"/>
      <c r="T776" s="309"/>
      <c r="U776" s="309"/>
      <c r="V776" s="309"/>
      <c r="W776" s="309"/>
      <c r="X776" s="309"/>
      <c r="Y776" s="309"/>
      <c r="Z776" s="309"/>
      <c r="AA776" s="309"/>
    </row>
    <row r="777" spans="2:27" ht="15.75" customHeight="1">
      <c r="B777" s="309"/>
      <c r="C777" s="309"/>
      <c r="D777" s="309"/>
      <c r="E777" s="309"/>
      <c r="F777" s="309"/>
      <c r="G777" s="309"/>
      <c r="H777" s="309"/>
      <c r="I777" s="309"/>
      <c r="J777" s="309"/>
      <c r="K777" s="309"/>
      <c r="L777" s="309"/>
      <c r="M777" s="309"/>
      <c r="N777" s="309"/>
      <c r="O777" s="309"/>
      <c r="P777" s="309"/>
      <c r="Q777" s="309"/>
      <c r="R777" s="309"/>
      <c r="S777" s="309"/>
      <c r="T777" s="309"/>
      <c r="U777" s="309"/>
      <c r="V777" s="309"/>
      <c r="W777" s="309"/>
      <c r="X777" s="309"/>
      <c r="Y777" s="309"/>
      <c r="Z777" s="309"/>
      <c r="AA777" s="309"/>
    </row>
    <row r="778" spans="2:27" ht="15.75" customHeight="1">
      <c r="B778" s="309"/>
      <c r="C778" s="309"/>
      <c r="D778" s="309"/>
      <c r="E778" s="309"/>
      <c r="F778" s="309"/>
      <c r="G778" s="309"/>
      <c r="H778" s="309"/>
      <c r="I778" s="309"/>
      <c r="J778" s="309"/>
      <c r="K778" s="309"/>
      <c r="L778" s="309"/>
      <c r="M778" s="309"/>
      <c r="N778" s="309"/>
      <c r="O778" s="309"/>
      <c r="P778" s="309"/>
      <c r="Q778" s="309"/>
      <c r="R778" s="309"/>
      <c r="S778" s="309"/>
      <c r="T778" s="309"/>
      <c r="U778" s="309"/>
      <c r="V778" s="309"/>
      <c r="W778" s="309"/>
      <c r="X778" s="309"/>
      <c r="Y778" s="309"/>
      <c r="Z778" s="309"/>
      <c r="AA778" s="309"/>
    </row>
    <row r="779" spans="2:27" ht="15.75" customHeight="1">
      <c r="B779" s="309"/>
      <c r="C779" s="309"/>
      <c r="D779" s="309"/>
      <c r="E779" s="309"/>
      <c r="F779" s="309"/>
      <c r="G779" s="309"/>
      <c r="H779" s="309"/>
      <c r="I779" s="309"/>
      <c r="J779" s="309"/>
      <c r="K779" s="309"/>
      <c r="L779" s="309"/>
      <c r="M779" s="309"/>
      <c r="N779" s="309"/>
      <c r="O779" s="309"/>
      <c r="P779" s="309"/>
      <c r="Q779" s="309"/>
      <c r="R779" s="309"/>
      <c r="S779" s="309"/>
      <c r="T779" s="309"/>
      <c r="U779" s="309"/>
      <c r="V779" s="309"/>
      <c r="W779" s="309"/>
      <c r="X779" s="309"/>
      <c r="Y779" s="309"/>
      <c r="Z779" s="309"/>
      <c r="AA779" s="309"/>
    </row>
    <row r="780" spans="2:27" ht="15.75" customHeight="1">
      <c r="B780" s="309"/>
      <c r="C780" s="309"/>
      <c r="D780" s="309"/>
      <c r="E780" s="309"/>
      <c r="F780" s="309"/>
      <c r="G780" s="309"/>
      <c r="H780" s="309"/>
      <c r="I780" s="309"/>
      <c r="J780" s="309"/>
      <c r="K780" s="309"/>
      <c r="L780" s="309"/>
      <c r="M780" s="309"/>
      <c r="N780" s="309"/>
      <c r="O780" s="309"/>
      <c r="P780" s="309"/>
      <c r="Q780" s="309"/>
      <c r="R780" s="309"/>
      <c r="S780" s="309"/>
      <c r="T780" s="309"/>
      <c r="U780" s="309"/>
      <c r="V780" s="309"/>
      <c r="W780" s="309"/>
      <c r="X780" s="309"/>
      <c r="Y780" s="309"/>
      <c r="Z780" s="309"/>
      <c r="AA780" s="309"/>
    </row>
    <row r="781" spans="2:27" ht="15.75" customHeight="1">
      <c r="B781" s="309"/>
      <c r="C781" s="309"/>
      <c r="D781" s="309"/>
      <c r="E781" s="309"/>
      <c r="F781" s="309"/>
      <c r="G781" s="309"/>
      <c r="H781" s="309"/>
      <c r="I781" s="309"/>
      <c r="J781" s="309"/>
      <c r="K781" s="309"/>
      <c r="L781" s="309"/>
      <c r="M781" s="309"/>
      <c r="N781" s="309"/>
      <c r="O781" s="309"/>
      <c r="P781" s="309"/>
      <c r="Q781" s="309"/>
      <c r="R781" s="309"/>
      <c r="S781" s="309"/>
      <c r="T781" s="309"/>
      <c r="U781" s="309"/>
      <c r="V781" s="309"/>
      <c r="W781" s="309"/>
      <c r="X781" s="309"/>
      <c r="Y781" s="309"/>
      <c r="Z781" s="309"/>
      <c r="AA781" s="309"/>
    </row>
    <row r="782" spans="2:27" ht="15.75" customHeight="1">
      <c r="B782" s="309"/>
      <c r="C782" s="309"/>
      <c r="D782" s="309"/>
      <c r="E782" s="309"/>
      <c r="F782" s="309"/>
      <c r="G782" s="309"/>
      <c r="H782" s="309"/>
      <c r="I782" s="309"/>
      <c r="J782" s="309"/>
      <c r="K782" s="309"/>
      <c r="L782" s="309"/>
      <c r="M782" s="309"/>
      <c r="N782" s="309"/>
      <c r="O782" s="309"/>
      <c r="P782" s="309"/>
      <c r="Q782" s="309"/>
      <c r="R782" s="309"/>
      <c r="S782" s="309"/>
      <c r="T782" s="309"/>
      <c r="U782" s="309"/>
      <c r="V782" s="309"/>
      <c r="W782" s="309"/>
      <c r="X782" s="309"/>
      <c r="Y782" s="309"/>
      <c r="Z782" s="309"/>
      <c r="AA782" s="309"/>
    </row>
    <row r="783" spans="2:27" ht="15.75" customHeight="1">
      <c r="B783" s="309"/>
      <c r="C783" s="309"/>
      <c r="D783" s="309"/>
      <c r="E783" s="309"/>
      <c r="F783" s="309"/>
      <c r="G783" s="309"/>
      <c r="H783" s="309"/>
      <c r="I783" s="309"/>
      <c r="J783" s="309"/>
      <c r="K783" s="309"/>
      <c r="L783" s="309"/>
      <c r="M783" s="309"/>
      <c r="N783" s="309"/>
      <c r="O783" s="309"/>
      <c r="P783" s="309"/>
      <c r="Q783" s="309"/>
      <c r="R783" s="309"/>
      <c r="S783" s="309"/>
      <c r="T783" s="309"/>
      <c r="U783" s="309"/>
      <c r="V783" s="309"/>
      <c r="W783" s="309"/>
      <c r="X783" s="309"/>
      <c r="Y783" s="309"/>
      <c r="Z783" s="309"/>
      <c r="AA783" s="309"/>
    </row>
    <row r="784" spans="2:27" ht="15.75" customHeight="1">
      <c r="B784" s="309"/>
      <c r="C784" s="309"/>
      <c r="D784" s="309"/>
      <c r="E784" s="309"/>
      <c r="F784" s="309"/>
      <c r="G784" s="309"/>
      <c r="H784" s="309"/>
      <c r="I784" s="309"/>
      <c r="J784" s="309"/>
      <c r="K784" s="309"/>
      <c r="L784" s="309"/>
      <c r="M784" s="309"/>
      <c r="N784" s="309"/>
      <c r="O784" s="309"/>
      <c r="P784" s="309"/>
      <c r="Q784" s="309"/>
      <c r="R784" s="309"/>
      <c r="S784" s="309"/>
      <c r="T784" s="309"/>
      <c r="U784" s="309"/>
      <c r="V784" s="309"/>
      <c r="W784" s="309"/>
      <c r="X784" s="309"/>
      <c r="Y784" s="309"/>
      <c r="Z784" s="309"/>
      <c r="AA784" s="309"/>
    </row>
    <row r="785" spans="2:27" ht="15.75" customHeight="1">
      <c r="B785" s="309"/>
      <c r="C785" s="309"/>
      <c r="D785" s="309"/>
      <c r="E785" s="309"/>
      <c r="F785" s="309"/>
      <c r="G785" s="309"/>
      <c r="H785" s="309"/>
      <c r="I785" s="309"/>
      <c r="J785" s="309"/>
      <c r="K785" s="309"/>
      <c r="L785" s="309"/>
      <c r="M785" s="309"/>
      <c r="N785" s="309"/>
      <c r="O785" s="309"/>
      <c r="P785" s="309"/>
      <c r="Q785" s="309"/>
      <c r="R785" s="309"/>
      <c r="S785" s="309"/>
      <c r="T785" s="309"/>
      <c r="U785" s="309"/>
      <c r="V785" s="309"/>
      <c r="W785" s="309"/>
      <c r="X785" s="309"/>
      <c r="Y785" s="309"/>
      <c r="Z785" s="309"/>
      <c r="AA785" s="309"/>
    </row>
    <row r="786" spans="2:27" ht="15.75" customHeight="1">
      <c r="B786" s="309"/>
      <c r="C786" s="309"/>
      <c r="D786" s="309"/>
      <c r="E786" s="309"/>
      <c r="F786" s="309"/>
      <c r="G786" s="309"/>
      <c r="H786" s="309"/>
      <c r="I786" s="309"/>
      <c r="J786" s="309"/>
      <c r="K786" s="309"/>
      <c r="L786" s="309"/>
      <c r="M786" s="309"/>
      <c r="N786" s="309"/>
      <c r="O786" s="309"/>
      <c r="P786" s="309"/>
      <c r="Q786" s="309"/>
      <c r="R786" s="309"/>
      <c r="S786" s="309"/>
      <c r="T786" s="309"/>
      <c r="U786" s="309"/>
      <c r="V786" s="309"/>
      <c r="W786" s="309"/>
      <c r="X786" s="309"/>
      <c r="Y786" s="309"/>
      <c r="Z786" s="309"/>
      <c r="AA786" s="309"/>
    </row>
    <row r="787" spans="2:27" ht="15.75" customHeight="1">
      <c r="B787" s="309"/>
      <c r="C787" s="309"/>
      <c r="D787" s="309"/>
      <c r="E787" s="309"/>
      <c r="F787" s="309"/>
      <c r="G787" s="309"/>
      <c r="H787" s="309"/>
      <c r="I787" s="309"/>
      <c r="J787" s="309"/>
      <c r="K787" s="309"/>
      <c r="L787" s="309"/>
      <c r="M787" s="309"/>
      <c r="N787" s="309"/>
      <c r="O787" s="309"/>
      <c r="P787" s="309"/>
      <c r="Q787" s="309"/>
      <c r="R787" s="309"/>
      <c r="S787" s="309"/>
      <c r="T787" s="309"/>
      <c r="U787" s="309"/>
      <c r="V787" s="309"/>
      <c r="W787" s="309"/>
      <c r="X787" s="309"/>
      <c r="Y787" s="309"/>
      <c r="Z787" s="309"/>
      <c r="AA787" s="309"/>
    </row>
    <row r="788" spans="2:27" ht="15.75" customHeight="1">
      <c r="B788" s="309"/>
      <c r="C788" s="309"/>
      <c r="D788" s="309"/>
      <c r="E788" s="309"/>
      <c r="F788" s="309"/>
      <c r="G788" s="309"/>
      <c r="H788" s="309"/>
      <c r="I788" s="309"/>
      <c r="J788" s="309"/>
      <c r="K788" s="309"/>
      <c r="L788" s="309"/>
      <c r="M788" s="309"/>
      <c r="N788" s="309"/>
      <c r="O788" s="309"/>
      <c r="P788" s="309"/>
      <c r="Q788" s="309"/>
      <c r="R788" s="309"/>
      <c r="S788" s="309"/>
      <c r="T788" s="309"/>
      <c r="U788" s="309"/>
      <c r="V788" s="309"/>
      <c r="W788" s="309"/>
      <c r="X788" s="309"/>
      <c r="Y788" s="309"/>
      <c r="Z788" s="309"/>
      <c r="AA788" s="309"/>
    </row>
    <row r="789" spans="2:27" ht="15.75" customHeight="1">
      <c r="B789" s="309"/>
      <c r="C789" s="309"/>
      <c r="D789" s="309"/>
      <c r="E789" s="309"/>
      <c r="F789" s="309"/>
      <c r="G789" s="309"/>
      <c r="H789" s="309"/>
      <c r="I789" s="309"/>
      <c r="J789" s="309"/>
      <c r="K789" s="309"/>
      <c r="L789" s="309"/>
      <c r="M789" s="309"/>
      <c r="N789" s="309"/>
      <c r="O789" s="309"/>
      <c r="P789" s="309"/>
      <c r="Q789" s="309"/>
      <c r="R789" s="309"/>
      <c r="S789" s="309"/>
      <c r="T789" s="309"/>
      <c r="U789" s="309"/>
      <c r="V789" s="309"/>
      <c r="W789" s="309"/>
      <c r="X789" s="309"/>
      <c r="Y789" s="309"/>
      <c r="Z789" s="309"/>
      <c r="AA789" s="309"/>
    </row>
    <row r="790" spans="2:27" ht="15.75" customHeight="1">
      <c r="B790" s="309"/>
      <c r="C790" s="309"/>
      <c r="D790" s="309"/>
      <c r="E790" s="309"/>
      <c r="F790" s="309"/>
      <c r="G790" s="309"/>
      <c r="H790" s="309"/>
      <c r="I790" s="309"/>
      <c r="J790" s="309"/>
      <c r="K790" s="309"/>
      <c r="L790" s="309"/>
      <c r="M790" s="309"/>
      <c r="N790" s="309"/>
      <c r="O790" s="309"/>
      <c r="P790" s="309"/>
      <c r="Q790" s="309"/>
      <c r="R790" s="309"/>
      <c r="S790" s="309"/>
      <c r="T790" s="309"/>
      <c r="U790" s="309"/>
      <c r="V790" s="309"/>
      <c r="W790" s="309"/>
      <c r="X790" s="309"/>
      <c r="Y790" s="309"/>
      <c r="Z790" s="309"/>
      <c r="AA790" s="309"/>
    </row>
    <row r="791" spans="2:27" ht="15.75" customHeight="1">
      <c r="B791" s="309"/>
      <c r="C791" s="309"/>
      <c r="D791" s="309"/>
      <c r="E791" s="309"/>
      <c r="F791" s="309"/>
      <c r="G791" s="309"/>
      <c r="H791" s="309"/>
      <c r="I791" s="309"/>
      <c r="J791" s="309"/>
      <c r="K791" s="309"/>
      <c r="L791" s="309"/>
      <c r="M791" s="309"/>
      <c r="N791" s="309"/>
      <c r="O791" s="309"/>
      <c r="P791" s="309"/>
      <c r="Q791" s="309"/>
      <c r="R791" s="309"/>
      <c r="S791" s="309"/>
      <c r="T791" s="309"/>
      <c r="U791" s="309"/>
      <c r="V791" s="309"/>
      <c r="W791" s="309"/>
      <c r="X791" s="309"/>
      <c r="Y791" s="309"/>
      <c r="Z791" s="309"/>
      <c r="AA791" s="309"/>
    </row>
    <row r="792" spans="2:27" ht="15.75" customHeight="1">
      <c r="B792" s="309"/>
      <c r="C792" s="309"/>
      <c r="D792" s="309"/>
      <c r="E792" s="309"/>
      <c r="F792" s="309"/>
      <c r="G792" s="309"/>
      <c r="H792" s="309"/>
      <c r="I792" s="309"/>
      <c r="J792" s="309"/>
      <c r="K792" s="309"/>
      <c r="L792" s="309"/>
      <c r="M792" s="309"/>
      <c r="N792" s="309"/>
      <c r="O792" s="309"/>
      <c r="P792" s="309"/>
      <c r="Q792" s="309"/>
      <c r="R792" s="309"/>
      <c r="S792" s="309"/>
      <c r="T792" s="309"/>
      <c r="U792" s="309"/>
      <c r="V792" s="309"/>
      <c r="W792" s="309"/>
      <c r="X792" s="309"/>
      <c r="Y792" s="309"/>
      <c r="Z792" s="309"/>
      <c r="AA792" s="309"/>
    </row>
    <row r="793" spans="2:27" ht="15.75" customHeight="1">
      <c r="B793" s="309"/>
      <c r="C793" s="309"/>
      <c r="D793" s="309"/>
      <c r="E793" s="309"/>
      <c r="F793" s="309"/>
      <c r="G793" s="309"/>
      <c r="H793" s="309"/>
      <c r="I793" s="309"/>
      <c r="J793" s="309"/>
      <c r="K793" s="309"/>
      <c r="L793" s="309"/>
      <c r="M793" s="309"/>
      <c r="N793" s="309"/>
      <c r="O793" s="309"/>
      <c r="P793" s="309"/>
      <c r="Q793" s="309"/>
      <c r="R793" s="309"/>
      <c r="S793" s="309"/>
      <c r="T793" s="309"/>
      <c r="U793" s="309"/>
      <c r="V793" s="309"/>
      <c r="W793" s="309"/>
      <c r="X793" s="309"/>
      <c r="Y793" s="309"/>
      <c r="Z793" s="309"/>
      <c r="AA793" s="309"/>
    </row>
    <row r="794" spans="2:27" ht="15.75" customHeight="1">
      <c r="B794" s="309"/>
      <c r="C794" s="309"/>
      <c r="D794" s="309"/>
      <c r="E794" s="309"/>
      <c r="F794" s="309"/>
      <c r="G794" s="309"/>
      <c r="H794" s="309"/>
      <c r="I794" s="309"/>
      <c r="J794" s="309"/>
      <c r="K794" s="309"/>
      <c r="L794" s="309"/>
      <c r="M794" s="309"/>
      <c r="N794" s="309"/>
      <c r="O794" s="309"/>
      <c r="P794" s="309"/>
      <c r="Q794" s="309"/>
      <c r="R794" s="309"/>
      <c r="S794" s="309"/>
      <c r="T794" s="309"/>
      <c r="U794" s="309"/>
      <c r="V794" s="309"/>
      <c r="W794" s="309"/>
      <c r="X794" s="309"/>
      <c r="Y794" s="309"/>
      <c r="Z794" s="309"/>
      <c r="AA794" s="309"/>
    </row>
    <row r="795" spans="2:27" ht="15.75" customHeight="1">
      <c r="B795" s="309"/>
      <c r="C795" s="309"/>
      <c r="D795" s="309"/>
      <c r="E795" s="309"/>
      <c r="F795" s="309"/>
      <c r="G795" s="309"/>
      <c r="H795" s="309"/>
      <c r="I795" s="309"/>
      <c r="J795" s="309"/>
      <c r="K795" s="309"/>
      <c r="L795" s="309"/>
      <c r="M795" s="309"/>
      <c r="N795" s="309"/>
      <c r="O795" s="309"/>
      <c r="P795" s="309"/>
      <c r="Q795" s="309"/>
      <c r="R795" s="309"/>
      <c r="S795" s="309"/>
      <c r="T795" s="309"/>
      <c r="U795" s="309"/>
      <c r="V795" s="309"/>
      <c r="W795" s="309"/>
      <c r="X795" s="309"/>
      <c r="Y795" s="309"/>
      <c r="Z795" s="309"/>
      <c r="AA795" s="309"/>
    </row>
    <row r="796" spans="2:27" ht="15.75" customHeight="1">
      <c r="B796" s="309"/>
      <c r="C796" s="309"/>
      <c r="D796" s="309"/>
      <c r="E796" s="309"/>
      <c r="F796" s="309"/>
      <c r="G796" s="309"/>
      <c r="H796" s="309"/>
      <c r="I796" s="309"/>
      <c r="J796" s="309"/>
      <c r="K796" s="309"/>
      <c r="L796" s="309"/>
      <c r="M796" s="309"/>
      <c r="N796" s="309"/>
      <c r="O796" s="309"/>
      <c r="P796" s="309"/>
      <c r="Q796" s="309"/>
      <c r="R796" s="309"/>
      <c r="S796" s="309"/>
      <c r="T796" s="309"/>
      <c r="U796" s="309"/>
      <c r="V796" s="309"/>
      <c r="W796" s="309"/>
      <c r="X796" s="309"/>
      <c r="Y796" s="309"/>
      <c r="Z796" s="309"/>
      <c r="AA796" s="309"/>
    </row>
    <row r="797" spans="2:27" ht="15.75" customHeight="1">
      <c r="B797" s="309"/>
      <c r="C797" s="309"/>
      <c r="D797" s="309"/>
      <c r="E797" s="309"/>
      <c r="F797" s="309"/>
      <c r="G797" s="309"/>
      <c r="H797" s="309"/>
      <c r="I797" s="309"/>
      <c r="J797" s="309"/>
      <c r="K797" s="309"/>
      <c r="L797" s="309"/>
      <c r="M797" s="309"/>
      <c r="N797" s="309"/>
      <c r="O797" s="309"/>
      <c r="P797" s="309"/>
      <c r="Q797" s="309"/>
      <c r="R797" s="309"/>
      <c r="S797" s="309"/>
      <c r="T797" s="309"/>
      <c r="U797" s="309"/>
      <c r="V797" s="309"/>
      <c r="W797" s="309"/>
      <c r="X797" s="309"/>
      <c r="Y797" s="309"/>
      <c r="Z797" s="309"/>
      <c r="AA797" s="309"/>
    </row>
    <row r="798" spans="2:27" ht="15.75" customHeight="1">
      <c r="B798" s="309"/>
      <c r="C798" s="309"/>
      <c r="D798" s="309"/>
      <c r="E798" s="309"/>
      <c r="F798" s="309"/>
      <c r="G798" s="309"/>
      <c r="H798" s="309"/>
      <c r="I798" s="309"/>
      <c r="J798" s="309"/>
      <c r="K798" s="309"/>
      <c r="L798" s="309"/>
      <c r="M798" s="309"/>
      <c r="N798" s="309"/>
      <c r="O798" s="309"/>
      <c r="P798" s="309"/>
      <c r="Q798" s="309"/>
      <c r="R798" s="309"/>
      <c r="S798" s="309"/>
      <c r="T798" s="309"/>
      <c r="U798" s="309"/>
      <c r="V798" s="309"/>
      <c r="W798" s="309"/>
      <c r="X798" s="309"/>
      <c r="Y798" s="309"/>
      <c r="Z798" s="309"/>
      <c r="AA798" s="309"/>
    </row>
    <row r="799" spans="2:27" ht="15.75" customHeight="1">
      <c r="B799" s="309"/>
      <c r="C799" s="309"/>
      <c r="D799" s="309"/>
      <c r="E799" s="309"/>
      <c r="F799" s="309"/>
      <c r="G799" s="309"/>
      <c r="H799" s="309"/>
      <c r="I799" s="309"/>
      <c r="J799" s="309"/>
      <c r="K799" s="309"/>
      <c r="L799" s="309"/>
      <c r="M799" s="309"/>
      <c r="N799" s="309"/>
      <c r="O799" s="309"/>
      <c r="P799" s="309"/>
      <c r="Q799" s="309"/>
      <c r="R799" s="309"/>
      <c r="S799" s="309"/>
      <c r="T799" s="309"/>
      <c r="U799" s="309"/>
      <c r="V799" s="309"/>
      <c r="W799" s="309"/>
      <c r="X799" s="309"/>
      <c r="Y799" s="309"/>
      <c r="Z799" s="309"/>
      <c r="AA799" s="309"/>
    </row>
    <row r="800" spans="2:27" ht="15.75" customHeight="1">
      <c r="B800" s="309"/>
      <c r="C800" s="309"/>
      <c r="D800" s="309"/>
      <c r="E800" s="309"/>
      <c r="F800" s="309"/>
      <c r="G800" s="309"/>
      <c r="H800" s="309"/>
      <c r="I800" s="309"/>
      <c r="J800" s="309"/>
      <c r="K800" s="309"/>
      <c r="L800" s="309"/>
      <c r="M800" s="309"/>
      <c r="N800" s="309"/>
      <c r="O800" s="309"/>
      <c r="P800" s="309"/>
      <c r="Q800" s="309"/>
      <c r="R800" s="309"/>
      <c r="S800" s="309"/>
      <c r="T800" s="309"/>
      <c r="U800" s="309"/>
      <c r="V800" s="309"/>
      <c r="W800" s="309"/>
      <c r="X800" s="309"/>
      <c r="Y800" s="309"/>
      <c r="Z800" s="309"/>
      <c r="AA800" s="309"/>
    </row>
    <row r="801" spans="2:27" ht="15.75" customHeight="1">
      <c r="B801" s="309"/>
      <c r="C801" s="309"/>
      <c r="D801" s="309"/>
      <c r="E801" s="309"/>
      <c r="F801" s="309"/>
      <c r="G801" s="309"/>
      <c r="H801" s="309"/>
      <c r="I801" s="309"/>
      <c r="J801" s="309"/>
      <c r="K801" s="309"/>
      <c r="L801" s="309"/>
      <c r="M801" s="309"/>
      <c r="N801" s="309"/>
      <c r="O801" s="309"/>
      <c r="P801" s="309"/>
      <c r="Q801" s="309"/>
      <c r="R801" s="309"/>
      <c r="S801" s="309"/>
      <c r="T801" s="309"/>
      <c r="U801" s="309"/>
      <c r="V801" s="309"/>
      <c r="W801" s="309"/>
      <c r="X801" s="309"/>
      <c r="Y801" s="309"/>
      <c r="Z801" s="309"/>
      <c r="AA801" s="309"/>
    </row>
    <row r="802" spans="2:27" ht="15.75" customHeight="1">
      <c r="B802" s="309"/>
      <c r="C802" s="309"/>
      <c r="D802" s="309"/>
      <c r="E802" s="309"/>
      <c r="F802" s="309"/>
      <c r="G802" s="309"/>
      <c r="H802" s="309"/>
      <c r="I802" s="309"/>
      <c r="J802" s="309"/>
      <c r="K802" s="309"/>
      <c r="L802" s="309"/>
      <c r="M802" s="309"/>
      <c r="N802" s="309"/>
      <c r="O802" s="309"/>
      <c r="P802" s="309"/>
      <c r="Q802" s="309"/>
      <c r="R802" s="309"/>
      <c r="S802" s="309"/>
      <c r="T802" s="309"/>
      <c r="U802" s="309"/>
      <c r="V802" s="309"/>
      <c r="W802" s="309"/>
      <c r="X802" s="309"/>
      <c r="Y802" s="309"/>
      <c r="Z802" s="309"/>
      <c r="AA802" s="309"/>
    </row>
    <row r="803" spans="2:27" ht="15.75" customHeight="1">
      <c r="B803" s="309"/>
      <c r="C803" s="309"/>
      <c r="D803" s="309"/>
      <c r="E803" s="309"/>
      <c r="F803" s="309"/>
      <c r="G803" s="309"/>
      <c r="H803" s="309"/>
      <c r="I803" s="309"/>
      <c r="J803" s="309"/>
      <c r="K803" s="309"/>
      <c r="L803" s="309"/>
      <c r="M803" s="309"/>
      <c r="N803" s="309"/>
      <c r="O803" s="309"/>
      <c r="P803" s="309"/>
      <c r="Q803" s="309"/>
      <c r="R803" s="309"/>
      <c r="S803" s="309"/>
      <c r="T803" s="309"/>
      <c r="U803" s="309"/>
      <c r="V803" s="309"/>
      <c r="W803" s="309"/>
      <c r="X803" s="309"/>
      <c r="Y803" s="309"/>
      <c r="Z803" s="309"/>
      <c r="AA803" s="309"/>
    </row>
    <row r="804" spans="2:27" ht="15.75" customHeight="1">
      <c r="B804" s="309"/>
      <c r="C804" s="309"/>
      <c r="D804" s="309"/>
      <c r="E804" s="309"/>
      <c r="F804" s="309"/>
      <c r="G804" s="309"/>
      <c r="H804" s="309"/>
      <c r="I804" s="309"/>
      <c r="J804" s="309"/>
      <c r="K804" s="309"/>
      <c r="L804" s="309"/>
      <c r="M804" s="309"/>
      <c r="N804" s="309"/>
      <c r="O804" s="309"/>
      <c r="P804" s="309"/>
      <c r="Q804" s="309"/>
      <c r="R804" s="309"/>
      <c r="S804" s="309"/>
      <c r="T804" s="309"/>
      <c r="U804" s="309"/>
      <c r="V804" s="309"/>
      <c r="W804" s="309"/>
      <c r="X804" s="309"/>
      <c r="Y804" s="309"/>
      <c r="Z804" s="309"/>
      <c r="AA804" s="309"/>
    </row>
    <row r="805" spans="2:27" ht="15.75" customHeight="1">
      <c r="B805" s="309"/>
      <c r="C805" s="309"/>
      <c r="D805" s="309"/>
      <c r="E805" s="309"/>
      <c r="F805" s="309"/>
      <c r="G805" s="309"/>
      <c r="H805" s="309"/>
      <c r="I805" s="309"/>
      <c r="J805" s="309"/>
      <c r="K805" s="309"/>
      <c r="L805" s="309"/>
      <c r="M805" s="309"/>
      <c r="N805" s="309"/>
      <c r="O805" s="309"/>
      <c r="P805" s="309"/>
      <c r="Q805" s="309"/>
      <c r="R805" s="309"/>
      <c r="S805" s="309"/>
      <c r="T805" s="309"/>
      <c r="U805" s="309"/>
      <c r="V805" s="309"/>
      <c r="W805" s="309"/>
      <c r="X805" s="309"/>
      <c r="Y805" s="309"/>
      <c r="Z805" s="309"/>
      <c r="AA805" s="309"/>
    </row>
    <row r="806" spans="2:27" ht="15.75" customHeight="1">
      <c r="B806" s="309"/>
      <c r="C806" s="309"/>
      <c r="D806" s="309"/>
      <c r="E806" s="309"/>
      <c r="F806" s="309"/>
      <c r="G806" s="309"/>
      <c r="H806" s="309"/>
      <c r="I806" s="309"/>
      <c r="J806" s="309"/>
      <c r="K806" s="309"/>
      <c r="L806" s="309"/>
      <c r="M806" s="309"/>
      <c r="N806" s="309"/>
      <c r="O806" s="309"/>
      <c r="P806" s="309"/>
      <c r="Q806" s="309"/>
      <c r="R806" s="309"/>
      <c r="S806" s="309"/>
      <c r="T806" s="309"/>
      <c r="U806" s="309"/>
      <c r="V806" s="309"/>
      <c r="W806" s="309"/>
      <c r="X806" s="309"/>
      <c r="Y806" s="309"/>
      <c r="Z806" s="309"/>
      <c r="AA806" s="309"/>
    </row>
    <row r="807" spans="2:27" ht="15.75" customHeight="1">
      <c r="B807" s="309"/>
      <c r="C807" s="309"/>
      <c r="D807" s="309"/>
      <c r="E807" s="309"/>
      <c r="F807" s="309"/>
      <c r="G807" s="309"/>
      <c r="H807" s="309"/>
      <c r="I807" s="309"/>
      <c r="J807" s="309"/>
      <c r="K807" s="309"/>
      <c r="L807" s="309"/>
      <c r="M807" s="309"/>
      <c r="N807" s="309"/>
      <c r="O807" s="309"/>
      <c r="P807" s="309"/>
      <c r="Q807" s="309"/>
      <c r="R807" s="309"/>
      <c r="S807" s="309"/>
      <c r="T807" s="309"/>
      <c r="U807" s="309"/>
      <c r="V807" s="309"/>
      <c r="W807" s="309"/>
      <c r="X807" s="309"/>
      <c r="Y807" s="309"/>
      <c r="Z807" s="309"/>
      <c r="AA807" s="309"/>
    </row>
    <row r="808" spans="2:27" ht="15.75" customHeight="1">
      <c r="B808" s="309"/>
      <c r="C808" s="309"/>
      <c r="D808" s="309"/>
      <c r="E808" s="309"/>
      <c r="F808" s="309"/>
      <c r="G808" s="309"/>
      <c r="H808" s="309"/>
      <c r="I808" s="309"/>
      <c r="J808" s="309"/>
      <c r="K808" s="309"/>
      <c r="L808" s="309"/>
      <c r="M808" s="309"/>
      <c r="N808" s="309"/>
      <c r="O808" s="309"/>
      <c r="P808" s="309"/>
      <c r="Q808" s="309"/>
      <c r="R808" s="309"/>
      <c r="S808" s="309"/>
      <c r="T808" s="309"/>
      <c r="U808" s="309"/>
      <c r="V808" s="309"/>
      <c r="W808" s="309"/>
      <c r="X808" s="309"/>
      <c r="Y808" s="309"/>
      <c r="Z808" s="309"/>
      <c r="AA808" s="309"/>
    </row>
    <row r="809" spans="2:27" ht="15.75" customHeight="1">
      <c r="B809" s="309"/>
      <c r="C809" s="309"/>
      <c r="D809" s="309"/>
      <c r="E809" s="309"/>
      <c r="F809" s="309"/>
      <c r="G809" s="309"/>
      <c r="H809" s="309"/>
      <c r="I809" s="309"/>
      <c r="J809" s="309"/>
      <c r="K809" s="309"/>
      <c r="L809" s="309"/>
      <c r="M809" s="309"/>
      <c r="N809" s="309"/>
      <c r="O809" s="309"/>
      <c r="P809" s="309"/>
      <c r="Q809" s="309"/>
      <c r="R809" s="309"/>
      <c r="S809" s="309"/>
      <c r="T809" s="309"/>
      <c r="U809" s="309"/>
      <c r="V809" s="309"/>
      <c r="W809" s="309"/>
      <c r="X809" s="309"/>
      <c r="Y809" s="309"/>
      <c r="Z809" s="309"/>
      <c r="AA809" s="309"/>
    </row>
    <row r="810" spans="2:27" ht="15.75" customHeight="1">
      <c r="B810" s="309"/>
      <c r="C810" s="309"/>
      <c r="D810" s="309"/>
      <c r="E810" s="309"/>
      <c r="F810" s="309"/>
      <c r="G810" s="309"/>
      <c r="H810" s="309"/>
      <c r="I810" s="309"/>
      <c r="J810" s="309"/>
      <c r="K810" s="309"/>
      <c r="L810" s="309"/>
      <c r="M810" s="309"/>
      <c r="N810" s="309"/>
      <c r="O810" s="309"/>
      <c r="P810" s="309"/>
      <c r="Q810" s="309"/>
      <c r="R810" s="309"/>
      <c r="S810" s="309"/>
      <c r="T810" s="309"/>
      <c r="U810" s="309"/>
      <c r="V810" s="309"/>
      <c r="W810" s="309"/>
      <c r="X810" s="309"/>
      <c r="Y810" s="309"/>
      <c r="Z810" s="309"/>
      <c r="AA810" s="309"/>
    </row>
    <row r="811" spans="2:27" ht="15.75" customHeight="1">
      <c r="B811" s="309"/>
      <c r="C811" s="309"/>
      <c r="D811" s="309"/>
      <c r="E811" s="309"/>
      <c r="F811" s="309"/>
      <c r="G811" s="309"/>
      <c r="H811" s="309"/>
      <c r="I811" s="309"/>
      <c r="J811" s="309"/>
      <c r="K811" s="309"/>
      <c r="L811" s="309"/>
      <c r="M811" s="309"/>
      <c r="N811" s="309"/>
      <c r="O811" s="309"/>
      <c r="P811" s="309"/>
      <c r="Q811" s="309"/>
      <c r="R811" s="309"/>
      <c r="S811" s="309"/>
      <c r="T811" s="309"/>
      <c r="U811" s="309"/>
      <c r="V811" s="309"/>
      <c r="W811" s="309"/>
      <c r="X811" s="309"/>
      <c r="Y811" s="309"/>
      <c r="Z811" s="309"/>
      <c r="AA811" s="309"/>
    </row>
    <row r="812" spans="2:27" ht="15.75" customHeight="1">
      <c r="B812" s="309"/>
      <c r="C812" s="309"/>
      <c r="D812" s="309"/>
      <c r="E812" s="309"/>
      <c r="F812" s="309"/>
      <c r="G812" s="309"/>
      <c r="H812" s="309"/>
      <c r="I812" s="309"/>
      <c r="J812" s="309"/>
      <c r="K812" s="309"/>
      <c r="L812" s="309"/>
      <c r="M812" s="309"/>
      <c r="N812" s="309"/>
      <c r="O812" s="309"/>
      <c r="P812" s="309"/>
      <c r="Q812" s="309"/>
      <c r="R812" s="309"/>
      <c r="S812" s="309"/>
      <c r="T812" s="309"/>
      <c r="U812" s="309"/>
      <c r="V812" s="309"/>
      <c r="W812" s="309"/>
      <c r="X812" s="309"/>
      <c r="Y812" s="309"/>
      <c r="Z812" s="309"/>
      <c r="AA812" s="309"/>
    </row>
    <row r="813" spans="2:27" ht="15.75" customHeight="1">
      <c r="B813" s="309"/>
      <c r="C813" s="309"/>
      <c r="D813" s="309"/>
      <c r="E813" s="309"/>
      <c r="F813" s="309"/>
      <c r="G813" s="309"/>
      <c r="H813" s="309"/>
      <c r="I813" s="309"/>
      <c r="J813" s="309"/>
      <c r="K813" s="309"/>
      <c r="L813" s="309"/>
      <c r="M813" s="309"/>
      <c r="N813" s="309"/>
      <c r="O813" s="309"/>
      <c r="P813" s="309"/>
      <c r="Q813" s="309"/>
      <c r="R813" s="309"/>
      <c r="S813" s="309"/>
      <c r="T813" s="309"/>
      <c r="U813" s="309"/>
      <c r="V813" s="309"/>
      <c r="W813" s="309"/>
      <c r="X813" s="309"/>
      <c r="Y813" s="309"/>
      <c r="Z813" s="309"/>
      <c r="AA813" s="309"/>
    </row>
    <row r="814" spans="2:27" ht="15.75" customHeight="1">
      <c r="B814" s="309"/>
      <c r="C814" s="309"/>
      <c r="D814" s="309"/>
      <c r="E814" s="309"/>
      <c r="F814" s="309"/>
      <c r="G814" s="309"/>
      <c r="H814" s="309"/>
      <c r="I814" s="309"/>
      <c r="J814" s="309"/>
      <c r="K814" s="309"/>
      <c r="L814" s="309"/>
      <c r="M814" s="309"/>
      <c r="N814" s="309"/>
      <c r="O814" s="309"/>
      <c r="P814" s="309"/>
      <c r="Q814" s="309"/>
      <c r="R814" s="309"/>
      <c r="S814" s="309"/>
      <c r="T814" s="309"/>
      <c r="U814" s="309"/>
      <c r="V814" s="309"/>
      <c r="W814" s="309"/>
      <c r="X814" s="309"/>
      <c r="Y814" s="309"/>
      <c r="Z814" s="309"/>
      <c r="AA814" s="309"/>
    </row>
    <row r="815" spans="2:27" ht="15.75" customHeight="1">
      <c r="B815" s="309"/>
      <c r="C815" s="309"/>
      <c r="D815" s="309"/>
      <c r="E815" s="309"/>
      <c r="F815" s="309"/>
      <c r="G815" s="309"/>
      <c r="H815" s="309"/>
      <c r="I815" s="309"/>
      <c r="J815" s="309"/>
      <c r="K815" s="309"/>
      <c r="L815" s="309"/>
      <c r="M815" s="309"/>
      <c r="N815" s="309"/>
      <c r="O815" s="309"/>
      <c r="P815" s="309"/>
      <c r="Q815" s="309"/>
      <c r="R815" s="309"/>
      <c r="S815" s="309"/>
      <c r="T815" s="309"/>
      <c r="U815" s="309"/>
      <c r="V815" s="309"/>
      <c r="W815" s="309"/>
      <c r="X815" s="309"/>
      <c r="Y815" s="309"/>
      <c r="Z815" s="309"/>
      <c r="AA815" s="309"/>
    </row>
    <row r="816" spans="2:27" ht="15.75" customHeight="1">
      <c r="B816" s="309"/>
      <c r="C816" s="309"/>
      <c r="D816" s="309"/>
      <c r="E816" s="309"/>
      <c r="F816" s="309"/>
      <c r="G816" s="309"/>
      <c r="H816" s="309"/>
      <c r="I816" s="309"/>
      <c r="J816" s="309"/>
      <c r="K816" s="309"/>
      <c r="L816" s="309"/>
      <c r="M816" s="309"/>
      <c r="N816" s="309"/>
      <c r="O816" s="309"/>
      <c r="P816" s="309"/>
      <c r="Q816" s="309"/>
      <c r="R816" s="309"/>
      <c r="S816" s="309"/>
      <c r="T816" s="309"/>
      <c r="U816" s="309"/>
      <c r="V816" s="309"/>
      <c r="W816" s="309"/>
      <c r="X816" s="309"/>
      <c r="Y816" s="309"/>
      <c r="Z816" s="309"/>
      <c r="AA816" s="309"/>
    </row>
    <row r="817" spans="2:27" ht="15.75" customHeight="1">
      <c r="B817" s="309"/>
      <c r="C817" s="309"/>
      <c r="D817" s="309"/>
      <c r="E817" s="309"/>
      <c r="F817" s="309"/>
      <c r="G817" s="309"/>
      <c r="H817" s="309"/>
      <c r="I817" s="309"/>
      <c r="J817" s="309"/>
      <c r="K817" s="309"/>
      <c r="L817" s="309"/>
      <c r="M817" s="309"/>
      <c r="N817" s="309"/>
      <c r="O817" s="309"/>
      <c r="P817" s="309"/>
      <c r="Q817" s="309"/>
      <c r="R817" s="309"/>
      <c r="S817" s="309"/>
      <c r="T817" s="309"/>
      <c r="U817" s="309"/>
      <c r="V817" s="309"/>
      <c r="W817" s="309"/>
      <c r="X817" s="309"/>
      <c r="Y817" s="309"/>
      <c r="Z817" s="309"/>
      <c r="AA817" s="309"/>
    </row>
    <row r="818" spans="2:27" ht="15.75" customHeight="1">
      <c r="B818" s="309"/>
      <c r="C818" s="309"/>
      <c r="D818" s="309"/>
      <c r="E818" s="309"/>
      <c r="F818" s="309"/>
      <c r="G818" s="309"/>
      <c r="H818" s="309"/>
      <c r="I818" s="309"/>
      <c r="J818" s="309"/>
      <c r="K818" s="309"/>
      <c r="L818" s="309"/>
      <c r="M818" s="309"/>
      <c r="N818" s="309"/>
      <c r="O818" s="309"/>
      <c r="P818" s="309"/>
      <c r="Q818" s="309"/>
      <c r="R818" s="309"/>
      <c r="S818" s="309"/>
      <c r="T818" s="309"/>
      <c r="U818" s="309"/>
      <c r="V818" s="309"/>
      <c r="W818" s="309"/>
      <c r="X818" s="309"/>
      <c r="Y818" s="309"/>
      <c r="Z818" s="309"/>
      <c r="AA818" s="309"/>
    </row>
    <row r="819" spans="2:27" ht="15.75" customHeight="1">
      <c r="B819" s="309"/>
      <c r="C819" s="309"/>
      <c r="D819" s="309"/>
      <c r="E819" s="309"/>
      <c r="F819" s="309"/>
      <c r="G819" s="309"/>
      <c r="H819" s="309"/>
      <c r="I819" s="309"/>
      <c r="J819" s="309"/>
      <c r="K819" s="309"/>
      <c r="L819" s="309"/>
      <c r="M819" s="309"/>
      <c r="N819" s="309"/>
      <c r="O819" s="309"/>
      <c r="P819" s="309"/>
      <c r="Q819" s="309"/>
      <c r="R819" s="309"/>
      <c r="S819" s="309"/>
      <c r="T819" s="309"/>
      <c r="U819" s="309"/>
      <c r="V819" s="309"/>
      <c r="W819" s="309"/>
      <c r="X819" s="309"/>
      <c r="Y819" s="309"/>
      <c r="Z819" s="309"/>
      <c r="AA819" s="309"/>
    </row>
    <row r="820" spans="2:27" ht="15.75" customHeight="1">
      <c r="B820" s="309"/>
      <c r="C820" s="309"/>
      <c r="D820" s="309"/>
      <c r="E820" s="309"/>
      <c r="F820" s="309"/>
      <c r="G820" s="309"/>
      <c r="H820" s="309"/>
      <c r="I820" s="309"/>
      <c r="J820" s="309"/>
      <c r="K820" s="309"/>
      <c r="L820" s="309"/>
      <c r="M820" s="309"/>
      <c r="N820" s="309"/>
      <c r="O820" s="309"/>
      <c r="P820" s="309"/>
      <c r="Q820" s="309"/>
      <c r="R820" s="309"/>
      <c r="S820" s="309"/>
      <c r="T820" s="309"/>
      <c r="U820" s="309"/>
      <c r="V820" s="309"/>
      <c r="W820" s="309"/>
      <c r="X820" s="309"/>
      <c r="Y820" s="309"/>
      <c r="Z820" s="309"/>
      <c r="AA820" s="309"/>
    </row>
    <row r="821" spans="2:27" ht="15.75" customHeight="1">
      <c r="B821" s="309"/>
      <c r="C821" s="309"/>
      <c r="D821" s="309"/>
      <c r="E821" s="309"/>
      <c r="F821" s="309"/>
      <c r="G821" s="309"/>
      <c r="H821" s="309"/>
      <c r="I821" s="309"/>
      <c r="J821" s="309"/>
      <c r="K821" s="309"/>
      <c r="L821" s="309"/>
      <c r="M821" s="309"/>
      <c r="N821" s="309"/>
      <c r="O821" s="309"/>
      <c r="P821" s="309"/>
      <c r="Q821" s="309"/>
      <c r="R821" s="309"/>
      <c r="S821" s="309"/>
      <c r="T821" s="309"/>
      <c r="U821" s="309"/>
      <c r="V821" s="309"/>
      <c r="W821" s="309"/>
      <c r="X821" s="309"/>
      <c r="Y821" s="309"/>
      <c r="Z821" s="309"/>
      <c r="AA821" s="309"/>
    </row>
    <row r="822" spans="2:27" ht="15.75" customHeight="1">
      <c r="B822" s="309"/>
      <c r="C822" s="309"/>
      <c r="D822" s="309"/>
      <c r="E822" s="309"/>
      <c r="F822" s="309"/>
      <c r="G822" s="309"/>
      <c r="H822" s="309"/>
      <c r="I822" s="309"/>
      <c r="J822" s="309"/>
      <c r="K822" s="309"/>
      <c r="L822" s="309"/>
      <c r="M822" s="309"/>
      <c r="N822" s="309"/>
      <c r="O822" s="309"/>
      <c r="P822" s="309"/>
      <c r="Q822" s="309"/>
      <c r="R822" s="309"/>
      <c r="S822" s="309"/>
      <c r="T822" s="309"/>
      <c r="U822" s="309"/>
      <c r="V822" s="309"/>
      <c r="W822" s="309"/>
      <c r="X822" s="309"/>
      <c r="Y822" s="309"/>
      <c r="Z822" s="309"/>
      <c r="AA822" s="309"/>
    </row>
    <row r="823" spans="2:27" ht="15.75" customHeight="1">
      <c r="B823" s="309"/>
      <c r="C823" s="309"/>
      <c r="D823" s="309"/>
      <c r="E823" s="309"/>
      <c r="F823" s="309"/>
      <c r="G823" s="309"/>
      <c r="H823" s="309"/>
      <c r="I823" s="309"/>
      <c r="J823" s="309"/>
      <c r="K823" s="309"/>
      <c r="L823" s="309"/>
      <c r="M823" s="309"/>
      <c r="N823" s="309"/>
      <c r="O823" s="309"/>
      <c r="P823" s="309"/>
      <c r="Q823" s="309"/>
      <c r="R823" s="309"/>
      <c r="S823" s="309"/>
      <c r="T823" s="309"/>
      <c r="U823" s="309"/>
      <c r="V823" s="309"/>
      <c r="W823" s="309"/>
      <c r="X823" s="309"/>
      <c r="Y823" s="309"/>
      <c r="Z823" s="309"/>
      <c r="AA823" s="309"/>
    </row>
    <row r="824" spans="2:27" ht="15.75" customHeight="1">
      <c r="B824" s="309"/>
      <c r="C824" s="309"/>
      <c r="D824" s="309"/>
      <c r="E824" s="309"/>
      <c r="F824" s="309"/>
      <c r="G824" s="309"/>
      <c r="H824" s="309"/>
      <c r="I824" s="309"/>
      <c r="J824" s="309"/>
      <c r="K824" s="309"/>
      <c r="L824" s="309"/>
      <c r="M824" s="309"/>
      <c r="N824" s="309"/>
      <c r="O824" s="309"/>
      <c r="P824" s="309"/>
      <c r="Q824" s="309"/>
      <c r="R824" s="309"/>
      <c r="S824" s="309"/>
      <c r="T824" s="309"/>
      <c r="U824" s="309"/>
      <c r="V824" s="309"/>
      <c r="W824" s="309"/>
      <c r="X824" s="309"/>
      <c r="Y824" s="309"/>
      <c r="Z824" s="309"/>
      <c r="AA824" s="309"/>
    </row>
    <row r="825" spans="2:27" ht="15.75" customHeight="1">
      <c r="B825" s="309"/>
      <c r="C825" s="309"/>
      <c r="D825" s="309"/>
      <c r="E825" s="309"/>
      <c r="F825" s="309"/>
      <c r="G825" s="309"/>
      <c r="H825" s="309"/>
      <c r="I825" s="309"/>
      <c r="J825" s="309"/>
      <c r="K825" s="309"/>
      <c r="L825" s="309"/>
      <c r="M825" s="309"/>
      <c r="N825" s="309"/>
      <c r="O825" s="309"/>
      <c r="P825" s="309"/>
      <c r="Q825" s="309"/>
      <c r="R825" s="309"/>
      <c r="S825" s="309"/>
      <c r="T825" s="309"/>
      <c r="U825" s="309"/>
      <c r="V825" s="309"/>
      <c r="W825" s="309"/>
      <c r="X825" s="309"/>
      <c r="Y825" s="309"/>
      <c r="Z825" s="309"/>
      <c r="AA825" s="309"/>
    </row>
    <row r="826" spans="2:27" ht="15.75" customHeight="1">
      <c r="B826" s="309"/>
      <c r="C826" s="309"/>
      <c r="D826" s="309"/>
      <c r="E826" s="309"/>
      <c r="F826" s="309"/>
      <c r="G826" s="309"/>
      <c r="H826" s="309"/>
      <c r="I826" s="309"/>
      <c r="J826" s="309"/>
      <c r="K826" s="309"/>
      <c r="L826" s="309"/>
      <c r="M826" s="309"/>
      <c r="N826" s="309"/>
      <c r="O826" s="309"/>
      <c r="P826" s="309"/>
      <c r="Q826" s="309"/>
      <c r="R826" s="309"/>
      <c r="S826" s="309"/>
      <c r="T826" s="309"/>
      <c r="U826" s="309"/>
      <c r="V826" s="309"/>
      <c r="W826" s="309"/>
      <c r="X826" s="309"/>
      <c r="Y826" s="309"/>
      <c r="Z826" s="309"/>
      <c r="AA826" s="309"/>
    </row>
    <row r="827" spans="2:27" ht="15.75" customHeight="1">
      <c r="B827" s="309"/>
      <c r="C827" s="309"/>
      <c r="D827" s="309"/>
      <c r="E827" s="309"/>
      <c r="F827" s="309"/>
      <c r="G827" s="309"/>
      <c r="H827" s="309"/>
      <c r="I827" s="309"/>
      <c r="J827" s="309"/>
      <c r="K827" s="309"/>
      <c r="L827" s="309"/>
      <c r="M827" s="309"/>
      <c r="N827" s="309"/>
      <c r="O827" s="309"/>
      <c r="P827" s="309"/>
      <c r="Q827" s="309"/>
      <c r="R827" s="309"/>
      <c r="S827" s="309"/>
      <c r="T827" s="309"/>
      <c r="U827" s="309"/>
      <c r="V827" s="309"/>
      <c r="W827" s="309"/>
      <c r="X827" s="309"/>
      <c r="Y827" s="309"/>
      <c r="Z827" s="309"/>
      <c r="AA827" s="309"/>
    </row>
    <row r="828" spans="2:27" ht="15.75" customHeight="1">
      <c r="B828" s="309"/>
      <c r="C828" s="309"/>
      <c r="D828" s="309"/>
      <c r="E828" s="309"/>
      <c r="F828" s="309"/>
      <c r="G828" s="309"/>
      <c r="H828" s="309"/>
      <c r="I828" s="309"/>
      <c r="J828" s="309"/>
      <c r="K828" s="309"/>
      <c r="L828" s="309"/>
      <c r="M828" s="309"/>
      <c r="N828" s="309"/>
      <c r="O828" s="309"/>
      <c r="P828" s="309"/>
      <c r="Q828" s="309"/>
      <c r="R828" s="309"/>
      <c r="S828" s="309"/>
      <c r="T828" s="309"/>
      <c r="U828" s="309"/>
      <c r="V828" s="309"/>
      <c r="W828" s="309"/>
      <c r="X828" s="309"/>
      <c r="Y828" s="309"/>
      <c r="Z828" s="309"/>
      <c r="AA828" s="309"/>
    </row>
    <row r="829" spans="2:27" ht="15.75" customHeight="1">
      <c r="B829" s="309"/>
      <c r="C829" s="309"/>
      <c r="D829" s="309"/>
      <c r="E829" s="309"/>
      <c r="F829" s="309"/>
      <c r="G829" s="309"/>
      <c r="H829" s="309"/>
      <c r="I829" s="309"/>
      <c r="J829" s="309"/>
      <c r="K829" s="309"/>
      <c r="L829" s="309"/>
      <c r="M829" s="309"/>
      <c r="N829" s="309"/>
      <c r="O829" s="309"/>
      <c r="P829" s="309"/>
      <c r="Q829" s="309"/>
      <c r="R829" s="309"/>
      <c r="S829" s="309"/>
      <c r="T829" s="309"/>
      <c r="U829" s="309"/>
      <c r="V829" s="309"/>
      <c r="W829" s="309"/>
      <c r="X829" s="309"/>
      <c r="Y829" s="309"/>
      <c r="Z829" s="309"/>
      <c r="AA829" s="309"/>
    </row>
    <row r="830" spans="2:27" ht="15.75" customHeight="1">
      <c r="B830" s="309"/>
      <c r="C830" s="309"/>
      <c r="D830" s="309"/>
      <c r="E830" s="309"/>
      <c r="F830" s="309"/>
      <c r="G830" s="309"/>
      <c r="H830" s="309"/>
      <c r="I830" s="309"/>
      <c r="J830" s="309"/>
      <c r="K830" s="309"/>
      <c r="L830" s="309"/>
      <c r="M830" s="309"/>
      <c r="N830" s="309"/>
      <c r="O830" s="309"/>
      <c r="P830" s="309"/>
      <c r="Q830" s="309"/>
      <c r="R830" s="309"/>
      <c r="S830" s="309"/>
      <c r="T830" s="309"/>
      <c r="U830" s="309"/>
      <c r="V830" s="309"/>
      <c r="W830" s="309"/>
      <c r="X830" s="309"/>
      <c r="Y830" s="309"/>
      <c r="Z830" s="309"/>
      <c r="AA830" s="309"/>
    </row>
    <row r="831" spans="2:27" ht="15.75" customHeight="1">
      <c r="B831" s="309"/>
      <c r="C831" s="309"/>
      <c r="D831" s="309"/>
      <c r="E831" s="309"/>
      <c r="F831" s="309"/>
      <c r="G831" s="309"/>
      <c r="H831" s="309"/>
      <c r="I831" s="309"/>
      <c r="J831" s="309"/>
      <c r="K831" s="309"/>
      <c r="L831" s="309"/>
      <c r="M831" s="309"/>
      <c r="N831" s="309"/>
      <c r="O831" s="309"/>
      <c r="P831" s="309"/>
      <c r="Q831" s="309"/>
      <c r="R831" s="309"/>
      <c r="S831" s="309"/>
      <c r="T831" s="309"/>
      <c r="U831" s="309"/>
      <c r="V831" s="309"/>
      <c r="W831" s="309"/>
      <c r="X831" s="309"/>
      <c r="Y831" s="309"/>
      <c r="Z831" s="309"/>
      <c r="AA831" s="309"/>
    </row>
    <row r="832" spans="2:27" ht="15.75" customHeight="1">
      <c r="B832" s="309"/>
      <c r="C832" s="309"/>
      <c r="D832" s="309"/>
      <c r="E832" s="309"/>
      <c r="F832" s="309"/>
      <c r="G832" s="309"/>
      <c r="H832" s="309"/>
      <c r="I832" s="309"/>
      <c r="J832" s="309"/>
      <c r="K832" s="309"/>
      <c r="L832" s="309"/>
      <c r="M832" s="309"/>
      <c r="N832" s="309"/>
      <c r="O832" s="309"/>
      <c r="P832" s="309"/>
      <c r="Q832" s="309"/>
      <c r="R832" s="309"/>
      <c r="S832" s="309"/>
      <c r="T832" s="309"/>
      <c r="U832" s="309"/>
      <c r="V832" s="309"/>
      <c r="W832" s="309"/>
      <c r="X832" s="309"/>
      <c r="Y832" s="309"/>
      <c r="Z832" s="309"/>
      <c r="AA832" s="309"/>
    </row>
    <row r="833" spans="2:27" ht="15.75" customHeight="1">
      <c r="B833" s="309"/>
      <c r="C833" s="309"/>
      <c r="D833" s="309"/>
      <c r="E833" s="309"/>
      <c r="F833" s="309"/>
      <c r="G833" s="309"/>
      <c r="H833" s="309"/>
      <c r="I833" s="309"/>
      <c r="J833" s="309"/>
      <c r="K833" s="309"/>
      <c r="L833" s="309"/>
      <c r="M833" s="309"/>
      <c r="N833" s="309"/>
      <c r="O833" s="309"/>
      <c r="P833" s="309"/>
      <c r="Q833" s="309"/>
      <c r="R833" s="309"/>
      <c r="S833" s="309"/>
      <c r="T833" s="309"/>
      <c r="U833" s="309"/>
      <c r="V833" s="309"/>
      <c r="W833" s="309"/>
      <c r="X833" s="309"/>
      <c r="Y833" s="309"/>
      <c r="Z833" s="309"/>
      <c r="AA833" s="309"/>
    </row>
    <row r="834" spans="2:27" ht="15.75" customHeight="1">
      <c r="B834" s="309"/>
      <c r="C834" s="309"/>
      <c r="D834" s="309"/>
      <c r="E834" s="309"/>
      <c r="F834" s="309"/>
      <c r="G834" s="309"/>
      <c r="H834" s="309"/>
      <c r="I834" s="309"/>
      <c r="J834" s="309"/>
      <c r="K834" s="309"/>
      <c r="L834" s="309"/>
      <c r="M834" s="309"/>
      <c r="N834" s="309"/>
      <c r="O834" s="309"/>
      <c r="P834" s="309"/>
      <c r="Q834" s="309"/>
      <c r="R834" s="309"/>
      <c r="S834" s="309"/>
      <c r="T834" s="309"/>
      <c r="U834" s="309"/>
      <c r="V834" s="309"/>
      <c r="W834" s="309"/>
      <c r="X834" s="309"/>
      <c r="Y834" s="309"/>
      <c r="Z834" s="309"/>
      <c r="AA834" s="309"/>
    </row>
    <row r="835" spans="2:27" ht="15.75" customHeight="1">
      <c r="B835" s="309"/>
      <c r="C835" s="309"/>
      <c r="D835" s="309"/>
      <c r="E835" s="309"/>
      <c r="F835" s="309"/>
      <c r="G835" s="309"/>
      <c r="H835" s="309"/>
      <c r="I835" s="309"/>
      <c r="J835" s="309"/>
      <c r="K835" s="309"/>
      <c r="L835" s="309"/>
      <c r="M835" s="309"/>
      <c r="N835" s="309"/>
      <c r="O835" s="309"/>
      <c r="P835" s="309"/>
      <c r="Q835" s="309"/>
      <c r="R835" s="309"/>
      <c r="S835" s="309"/>
      <c r="T835" s="309"/>
      <c r="U835" s="309"/>
      <c r="V835" s="309"/>
      <c r="W835" s="309"/>
      <c r="X835" s="309"/>
      <c r="Y835" s="309"/>
      <c r="Z835" s="309"/>
      <c r="AA835" s="309"/>
    </row>
    <row r="836" spans="2:27" ht="15.75" customHeight="1">
      <c r="B836" s="309"/>
      <c r="C836" s="309"/>
      <c r="D836" s="309"/>
      <c r="E836" s="309"/>
      <c r="F836" s="309"/>
      <c r="G836" s="309"/>
      <c r="H836" s="309"/>
      <c r="I836" s="309"/>
      <c r="J836" s="309"/>
      <c r="K836" s="309"/>
      <c r="L836" s="309"/>
      <c r="M836" s="309"/>
      <c r="N836" s="309"/>
      <c r="O836" s="309"/>
      <c r="P836" s="309"/>
      <c r="Q836" s="309"/>
      <c r="R836" s="309"/>
      <c r="S836" s="309"/>
      <c r="T836" s="309"/>
      <c r="U836" s="309"/>
      <c r="V836" s="309"/>
      <c r="W836" s="309"/>
      <c r="X836" s="309"/>
      <c r="Y836" s="309"/>
      <c r="Z836" s="309"/>
      <c r="AA836" s="309"/>
    </row>
    <row r="837" spans="2:27" ht="15.75" customHeight="1">
      <c r="B837" s="309"/>
      <c r="C837" s="309"/>
      <c r="D837" s="309"/>
      <c r="E837" s="309"/>
      <c r="F837" s="309"/>
      <c r="G837" s="309"/>
      <c r="H837" s="309"/>
      <c r="I837" s="309"/>
      <c r="J837" s="309"/>
      <c r="K837" s="309"/>
      <c r="L837" s="309"/>
      <c r="M837" s="309"/>
      <c r="N837" s="309"/>
      <c r="O837" s="309"/>
      <c r="P837" s="309"/>
      <c r="Q837" s="309"/>
      <c r="R837" s="309"/>
      <c r="S837" s="309"/>
      <c r="T837" s="309"/>
      <c r="U837" s="309"/>
      <c r="V837" s="309"/>
      <c r="W837" s="309"/>
      <c r="X837" s="309"/>
      <c r="Y837" s="309"/>
      <c r="Z837" s="309"/>
      <c r="AA837" s="309"/>
    </row>
    <row r="838" spans="2:27" ht="15.75" customHeight="1">
      <c r="B838" s="309"/>
      <c r="C838" s="309"/>
      <c r="D838" s="309"/>
      <c r="E838" s="309"/>
      <c r="F838" s="309"/>
      <c r="G838" s="309"/>
      <c r="H838" s="309"/>
      <c r="I838" s="309"/>
      <c r="J838" s="309"/>
      <c r="K838" s="309"/>
      <c r="L838" s="309"/>
      <c r="M838" s="309"/>
      <c r="N838" s="309"/>
      <c r="O838" s="309"/>
      <c r="P838" s="309"/>
      <c r="Q838" s="309"/>
      <c r="R838" s="309"/>
      <c r="S838" s="309"/>
      <c r="T838" s="309"/>
      <c r="U838" s="309"/>
      <c r="V838" s="309"/>
      <c r="W838" s="309"/>
      <c r="X838" s="309"/>
      <c r="Y838" s="309"/>
      <c r="Z838" s="309"/>
      <c r="AA838" s="309"/>
    </row>
    <row r="839" spans="2:27" ht="15.75" customHeight="1">
      <c r="B839" s="309"/>
      <c r="C839" s="309"/>
      <c r="D839" s="309"/>
      <c r="E839" s="309"/>
      <c r="F839" s="309"/>
      <c r="G839" s="309"/>
      <c r="H839" s="309"/>
      <c r="I839" s="309"/>
      <c r="J839" s="309"/>
      <c r="K839" s="309"/>
      <c r="L839" s="309"/>
      <c r="M839" s="309"/>
      <c r="N839" s="309"/>
      <c r="O839" s="309"/>
      <c r="P839" s="309"/>
      <c r="Q839" s="309"/>
      <c r="R839" s="309"/>
      <c r="S839" s="309"/>
      <c r="T839" s="309"/>
      <c r="U839" s="309"/>
      <c r="V839" s="309"/>
      <c r="W839" s="309"/>
      <c r="X839" s="309"/>
      <c r="Y839" s="309"/>
      <c r="Z839" s="309"/>
      <c r="AA839" s="309"/>
    </row>
    <row r="840" spans="2:27" ht="15.75" customHeight="1">
      <c r="B840" s="309"/>
      <c r="C840" s="309"/>
      <c r="D840" s="309"/>
      <c r="E840" s="309"/>
      <c r="F840" s="309"/>
      <c r="G840" s="309"/>
      <c r="H840" s="309"/>
      <c r="I840" s="309"/>
      <c r="J840" s="309"/>
      <c r="K840" s="309"/>
      <c r="L840" s="309"/>
      <c r="M840" s="309"/>
      <c r="N840" s="309"/>
      <c r="O840" s="309"/>
      <c r="P840" s="309"/>
      <c r="Q840" s="309"/>
      <c r="R840" s="309"/>
      <c r="S840" s="309"/>
      <c r="T840" s="309"/>
      <c r="U840" s="309"/>
      <c r="V840" s="309"/>
      <c r="W840" s="309"/>
      <c r="X840" s="309"/>
      <c r="Y840" s="309"/>
      <c r="Z840" s="309"/>
      <c r="AA840" s="309"/>
    </row>
    <row r="841" spans="2:27" ht="15.75" customHeight="1">
      <c r="B841" s="309"/>
      <c r="C841" s="309"/>
      <c r="D841" s="309"/>
      <c r="E841" s="309"/>
      <c r="F841" s="309"/>
      <c r="G841" s="309"/>
      <c r="H841" s="309"/>
      <c r="I841" s="309"/>
      <c r="J841" s="309"/>
      <c r="K841" s="309"/>
      <c r="L841" s="309"/>
      <c r="M841" s="309"/>
      <c r="N841" s="309"/>
      <c r="O841" s="309"/>
      <c r="P841" s="309"/>
      <c r="Q841" s="309"/>
      <c r="R841" s="309"/>
      <c r="S841" s="309"/>
      <c r="T841" s="309"/>
      <c r="U841" s="309"/>
      <c r="V841" s="309"/>
      <c r="W841" s="309"/>
      <c r="X841" s="309"/>
      <c r="Y841" s="309"/>
      <c r="Z841" s="309"/>
      <c r="AA841" s="309"/>
    </row>
    <row r="842" spans="2:27" ht="15.75" customHeight="1">
      <c r="B842" s="309"/>
      <c r="C842" s="309"/>
      <c r="D842" s="309"/>
      <c r="E842" s="309"/>
      <c r="F842" s="309"/>
      <c r="G842" s="309"/>
      <c r="H842" s="309"/>
      <c r="I842" s="309"/>
      <c r="J842" s="309"/>
      <c r="K842" s="309"/>
      <c r="L842" s="309"/>
      <c r="M842" s="309"/>
      <c r="N842" s="309"/>
      <c r="O842" s="309"/>
      <c r="P842" s="309"/>
      <c r="Q842" s="309"/>
      <c r="R842" s="309"/>
      <c r="S842" s="309"/>
      <c r="T842" s="309"/>
      <c r="U842" s="309"/>
      <c r="V842" s="309"/>
      <c r="W842" s="309"/>
      <c r="X842" s="309"/>
      <c r="Y842" s="309"/>
      <c r="Z842" s="309"/>
      <c r="AA842" s="309"/>
    </row>
    <row r="843" spans="2:27" ht="15.75" customHeight="1">
      <c r="B843" s="309"/>
      <c r="C843" s="309"/>
      <c r="D843" s="309"/>
      <c r="E843" s="309"/>
      <c r="F843" s="309"/>
      <c r="G843" s="309"/>
      <c r="H843" s="309"/>
      <c r="I843" s="309"/>
      <c r="J843" s="309"/>
      <c r="K843" s="309"/>
      <c r="L843" s="309"/>
      <c r="M843" s="309"/>
      <c r="N843" s="309"/>
      <c r="O843" s="309"/>
      <c r="P843" s="309"/>
      <c r="Q843" s="309"/>
      <c r="R843" s="309"/>
      <c r="S843" s="309"/>
      <c r="T843" s="309"/>
      <c r="U843" s="309"/>
      <c r="V843" s="309"/>
      <c r="W843" s="309"/>
      <c r="X843" s="309"/>
      <c r="Y843" s="309"/>
      <c r="Z843" s="309"/>
      <c r="AA843" s="309"/>
    </row>
    <row r="844" spans="2:27" ht="15.75" customHeight="1">
      <c r="B844" s="309"/>
      <c r="C844" s="309"/>
      <c r="D844" s="309"/>
      <c r="E844" s="309"/>
      <c r="F844" s="309"/>
      <c r="G844" s="309"/>
      <c r="H844" s="309"/>
      <c r="I844" s="309"/>
      <c r="J844" s="309"/>
      <c r="K844" s="309"/>
      <c r="L844" s="309"/>
      <c r="M844" s="309"/>
      <c r="N844" s="309"/>
      <c r="O844" s="309"/>
      <c r="P844" s="309"/>
      <c r="Q844" s="309"/>
      <c r="R844" s="309"/>
      <c r="S844" s="309"/>
      <c r="T844" s="309"/>
      <c r="U844" s="309"/>
      <c r="V844" s="309"/>
      <c r="W844" s="309"/>
      <c r="X844" s="309"/>
      <c r="Y844" s="309"/>
      <c r="Z844" s="309"/>
      <c r="AA844" s="309"/>
    </row>
    <row r="845" spans="2:27" ht="15.75" customHeight="1">
      <c r="B845" s="309"/>
      <c r="C845" s="309"/>
      <c r="D845" s="309"/>
      <c r="E845" s="309"/>
      <c r="F845" s="309"/>
      <c r="G845" s="309"/>
      <c r="H845" s="309"/>
      <c r="I845" s="309"/>
      <c r="J845" s="309"/>
      <c r="K845" s="309"/>
      <c r="L845" s="309"/>
      <c r="M845" s="309"/>
      <c r="N845" s="309"/>
      <c r="O845" s="309"/>
      <c r="P845" s="309"/>
      <c r="Q845" s="309"/>
      <c r="R845" s="309"/>
      <c r="S845" s="309"/>
      <c r="T845" s="309"/>
      <c r="U845" s="309"/>
      <c r="V845" s="309"/>
      <c r="W845" s="309"/>
      <c r="X845" s="309"/>
      <c r="Y845" s="309"/>
      <c r="Z845" s="309"/>
      <c r="AA845" s="309"/>
    </row>
    <row r="846" spans="2:27" ht="15.75" customHeight="1">
      <c r="B846" s="309"/>
      <c r="C846" s="309"/>
      <c r="D846" s="309"/>
      <c r="E846" s="309"/>
      <c r="F846" s="309"/>
      <c r="G846" s="309"/>
      <c r="H846" s="309"/>
      <c r="I846" s="309"/>
      <c r="J846" s="309"/>
      <c r="K846" s="309"/>
      <c r="L846" s="309"/>
      <c r="M846" s="309"/>
      <c r="N846" s="309"/>
      <c r="O846" s="309"/>
      <c r="P846" s="309"/>
      <c r="Q846" s="309"/>
      <c r="R846" s="309"/>
      <c r="S846" s="309"/>
      <c r="T846" s="309"/>
      <c r="U846" s="309"/>
      <c r="V846" s="309"/>
      <c r="W846" s="309"/>
      <c r="X846" s="309"/>
      <c r="Y846" s="309"/>
      <c r="Z846" s="309"/>
      <c r="AA846" s="309"/>
    </row>
    <row r="847" spans="2:27" ht="15.75" customHeight="1">
      <c r="B847" s="309"/>
      <c r="C847" s="309"/>
      <c r="D847" s="309"/>
      <c r="E847" s="309"/>
      <c r="F847" s="309"/>
      <c r="G847" s="309"/>
      <c r="H847" s="309"/>
      <c r="I847" s="309"/>
      <c r="J847" s="309"/>
      <c r="K847" s="309"/>
      <c r="L847" s="309"/>
      <c r="M847" s="309"/>
      <c r="N847" s="309"/>
      <c r="O847" s="309"/>
      <c r="P847" s="309"/>
      <c r="Q847" s="309"/>
      <c r="R847" s="309"/>
      <c r="S847" s="309"/>
      <c r="T847" s="309"/>
      <c r="U847" s="309"/>
      <c r="V847" s="309"/>
      <c r="W847" s="309"/>
      <c r="X847" s="309"/>
      <c r="Y847" s="309"/>
      <c r="Z847" s="309"/>
      <c r="AA847" s="309"/>
    </row>
    <row r="848" spans="2:27" ht="15.75" customHeight="1">
      <c r="B848" s="309"/>
      <c r="C848" s="309"/>
      <c r="D848" s="309"/>
      <c r="E848" s="309"/>
      <c r="F848" s="309"/>
      <c r="G848" s="309"/>
      <c r="H848" s="309"/>
      <c r="I848" s="309"/>
      <c r="J848" s="309"/>
      <c r="K848" s="309"/>
      <c r="L848" s="309"/>
      <c r="M848" s="309"/>
      <c r="N848" s="309"/>
      <c r="O848" s="309"/>
      <c r="P848" s="309"/>
      <c r="Q848" s="309"/>
      <c r="R848" s="309"/>
      <c r="S848" s="309"/>
      <c r="T848" s="309"/>
      <c r="U848" s="309"/>
      <c r="V848" s="309"/>
      <c r="W848" s="309"/>
      <c r="X848" s="309"/>
      <c r="Y848" s="309"/>
      <c r="Z848" s="309"/>
      <c r="AA848" s="309"/>
    </row>
    <row r="849" spans="2:27" ht="15.75" customHeight="1">
      <c r="B849" s="309"/>
      <c r="C849" s="309"/>
      <c r="D849" s="309"/>
      <c r="E849" s="309"/>
      <c r="F849" s="309"/>
      <c r="G849" s="309"/>
      <c r="H849" s="309"/>
      <c r="I849" s="309"/>
      <c r="J849" s="309"/>
      <c r="K849" s="309"/>
      <c r="L849" s="309"/>
      <c r="M849" s="309"/>
      <c r="N849" s="309"/>
      <c r="O849" s="309"/>
      <c r="P849" s="309"/>
      <c r="Q849" s="309"/>
      <c r="R849" s="309"/>
      <c r="S849" s="309"/>
      <c r="T849" s="309"/>
      <c r="U849" s="309"/>
      <c r="V849" s="309"/>
      <c r="W849" s="309"/>
      <c r="X849" s="309"/>
      <c r="Y849" s="309"/>
      <c r="Z849" s="309"/>
      <c r="AA849" s="309"/>
    </row>
    <row r="850" spans="2:27" ht="15.75" customHeight="1">
      <c r="B850" s="309"/>
      <c r="C850" s="309"/>
      <c r="D850" s="309"/>
      <c r="E850" s="309"/>
      <c r="F850" s="309"/>
      <c r="G850" s="309"/>
      <c r="H850" s="309"/>
      <c r="I850" s="309"/>
      <c r="J850" s="309"/>
      <c r="K850" s="309"/>
      <c r="L850" s="309"/>
      <c r="M850" s="309"/>
      <c r="N850" s="309"/>
      <c r="O850" s="309"/>
      <c r="P850" s="309"/>
      <c r="Q850" s="309"/>
      <c r="R850" s="309"/>
      <c r="S850" s="309"/>
      <c r="T850" s="309"/>
      <c r="U850" s="309"/>
      <c r="V850" s="309"/>
      <c r="W850" s="309"/>
      <c r="X850" s="309"/>
      <c r="Y850" s="309"/>
      <c r="Z850" s="309"/>
      <c r="AA850" s="309"/>
    </row>
    <row r="851" spans="2:27" ht="15.75" customHeight="1">
      <c r="B851" s="309"/>
      <c r="C851" s="309"/>
      <c r="D851" s="309"/>
      <c r="E851" s="309"/>
      <c r="F851" s="309"/>
      <c r="G851" s="309"/>
      <c r="H851" s="309"/>
      <c r="I851" s="309"/>
      <c r="J851" s="309"/>
      <c r="K851" s="309"/>
      <c r="L851" s="309"/>
      <c r="M851" s="309"/>
      <c r="N851" s="309"/>
      <c r="O851" s="309"/>
      <c r="P851" s="309"/>
      <c r="Q851" s="309"/>
      <c r="R851" s="309"/>
      <c r="S851" s="309"/>
      <c r="T851" s="309"/>
      <c r="U851" s="309"/>
      <c r="V851" s="309"/>
      <c r="W851" s="309"/>
      <c r="X851" s="309"/>
      <c r="Y851" s="309"/>
      <c r="Z851" s="309"/>
      <c r="AA851" s="309"/>
    </row>
    <row r="852" spans="2:27" ht="15.75" customHeight="1">
      <c r="B852" s="309"/>
      <c r="C852" s="309"/>
      <c r="D852" s="309"/>
      <c r="E852" s="309"/>
      <c r="F852" s="309"/>
      <c r="G852" s="309"/>
      <c r="H852" s="309"/>
      <c r="I852" s="309"/>
      <c r="J852" s="309"/>
      <c r="K852" s="309"/>
      <c r="L852" s="309"/>
      <c r="M852" s="309"/>
      <c r="N852" s="309"/>
      <c r="O852" s="309"/>
      <c r="P852" s="309"/>
      <c r="Q852" s="309"/>
      <c r="R852" s="309"/>
      <c r="S852" s="309"/>
      <c r="T852" s="309"/>
      <c r="U852" s="309"/>
      <c r="V852" s="309"/>
      <c r="W852" s="309"/>
      <c r="X852" s="309"/>
      <c r="Y852" s="309"/>
      <c r="Z852" s="309"/>
      <c r="AA852" s="309"/>
    </row>
    <row r="853" spans="2:27" ht="15.75" customHeight="1">
      <c r="B853" s="309"/>
      <c r="C853" s="309"/>
      <c r="D853" s="309"/>
      <c r="E853" s="309"/>
      <c r="F853" s="309"/>
      <c r="G853" s="309"/>
      <c r="H853" s="309"/>
      <c r="I853" s="309"/>
      <c r="J853" s="309"/>
      <c r="K853" s="309"/>
      <c r="L853" s="309"/>
      <c r="M853" s="309"/>
      <c r="N853" s="309"/>
      <c r="O853" s="309"/>
      <c r="P853" s="309"/>
      <c r="Q853" s="309"/>
      <c r="R853" s="309"/>
      <c r="S853" s="309"/>
      <c r="T853" s="309"/>
      <c r="U853" s="309"/>
      <c r="V853" s="309"/>
      <c r="W853" s="309"/>
      <c r="X853" s="309"/>
      <c r="Y853" s="309"/>
      <c r="Z853" s="309"/>
      <c r="AA853" s="309"/>
    </row>
    <row r="854" spans="2:27" ht="15.75" customHeight="1">
      <c r="B854" s="309"/>
      <c r="C854" s="309"/>
      <c r="D854" s="309"/>
      <c r="E854" s="309"/>
      <c r="F854" s="309"/>
      <c r="G854" s="309"/>
      <c r="H854" s="309"/>
      <c r="I854" s="309"/>
      <c r="J854" s="309"/>
      <c r="K854" s="309"/>
      <c r="L854" s="309"/>
      <c r="M854" s="309"/>
      <c r="N854" s="309"/>
      <c r="O854" s="309"/>
      <c r="P854" s="309"/>
      <c r="Q854" s="309"/>
      <c r="R854" s="309"/>
      <c r="S854" s="309"/>
      <c r="T854" s="309"/>
      <c r="U854" s="309"/>
      <c r="V854" s="309"/>
      <c r="W854" s="309"/>
      <c r="X854" s="309"/>
      <c r="Y854" s="309"/>
      <c r="Z854" s="309"/>
      <c r="AA854" s="309"/>
    </row>
    <row r="855" spans="2:27" ht="15.75" customHeight="1">
      <c r="B855" s="309"/>
      <c r="C855" s="309"/>
      <c r="D855" s="309"/>
      <c r="E855" s="309"/>
      <c r="F855" s="309"/>
      <c r="G855" s="309"/>
      <c r="H855" s="309"/>
      <c r="I855" s="309"/>
      <c r="J855" s="309"/>
      <c r="K855" s="309"/>
      <c r="L855" s="309"/>
      <c r="M855" s="309"/>
      <c r="N855" s="309"/>
      <c r="O855" s="309"/>
      <c r="P855" s="309"/>
      <c r="Q855" s="309"/>
      <c r="R855" s="309"/>
      <c r="S855" s="309"/>
      <c r="T855" s="309"/>
      <c r="U855" s="309"/>
      <c r="V855" s="309"/>
      <c r="W855" s="309"/>
      <c r="X855" s="309"/>
      <c r="Y855" s="309"/>
      <c r="Z855" s="309"/>
      <c r="AA855" s="309"/>
    </row>
    <row r="856" spans="2:27" ht="15.75" customHeight="1">
      <c r="B856" s="309"/>
      <c r="C856" s="309"/>
      <c r="D856" s="309"/>
      <c r="E856" s="309"/>
      <c r="F856" s="309"/>
      <c r="G856" s="309"/>
      <c r="H856" s="309"/>
      <c r="I856" s="309"/>
      <c r="J856" s="309"/>
      <c r="K856" s="309"/>
      <c r="L856" s="309"/>
      <c r="M856" s="309"/>
      <c r="N856" s="309"/>
      <c r="O856" s="309"/>
      <c r="P856" s="309"/>
      <c r="Q856" s="309"/>
      <c r="R856" s="309"/>
      <c r="S856" s="309"/>
      <c r="T856" s="309"/>
      <c r="U856" s="309"/>
      <c r="V856" s="309"/>
      <c r="W856" s="309"/>
      <c r="X856" s="309"/>
      <c r="Y856" s="309"/>
      <c r="Z856" s="309"/>
      <c r="AA856" s="309"/>
    </row>
    <row r="857" spans="2:27" ht="15.75" customHeight="1">
      <c r="B857" s="309"/>
      <c r="C857" s="309"/>
      <c r="D857" s="309"/>
      <c r="E857" s="309"/>
      <c r="F857" s="309"/>
      <c r="G857" s="309"/>
      <c r="H857" s="309"/>
      <c r="I857" s="309"/>
      <c r="J857" s="309"/>
      <c r="K857" s="309"/>
      <c r="L857" s="309"/>
      <c r="M857" s="309"/>
      <c r="N857" s="309"/>
      <c r="O857" s="309"/>
      <c r="P857" s="309"/>
      <c r="Q857" s="309"/>
      <c r="R857" s="309"/>
      <c r="S857" s="309"/>
      <c r="T857" s="309"/>
      <c r="U857" s="309"/>
      <c r="V857" s="309"/>
      <c r="W857" s="309"/>
      <c r="X857" s="309"/>
      <c r="Y857" s="309"/>
      <c r="Z857" s="309"/>
      <c r="AA857" s="309"/>
    </row>
    <row r="858" spans="2:27" ht="15.75" customHeight="1">
      <c r="B858" s="309"/>
      <c r="C858" s="309"/>
      <c r="D858" s="309"/>
      <c r="E858" s="309"/>
      <c r="F858" s="309"/>
      <c r="G858" s="309"/>
      <c r="H858" s="309"/>
      <c r="I858" s="309"/>
      <c r="J858" s="309"/>
      <c r="K858" s="309"/>
      <c r="L858" s="309"/>
      <c r="M858" s="309"/>
      <c r="N858" s="309"/>
      <c r="O858" s="309"/>
      <c r="P858" s="309"/>
      <c r="Q858" s="309"/>
      <c r="R858" s="309"/>
      <c r="S858" s="309"/>
      <c r="T858" s="309"/>
      <c r="U858" s="309"/>
      <c r="V858" s="309"/>
      <c r="W858" s="309"/>
      <c r="X858" s="309"/>
      <c r="Y858" s="309"/>
      <c r="Z858" s="309"/>
      <c r="AA858" s="309"/>
    </row>
    <row r="859" spans="2:27" ht="15.75" customHeight="1">
      <c r="B859" s="309"/>
      <c r="C859" s="309"/>
      <c r="D859" s="309"/>
      <c r="E859" s="309"/>
      <c r="F859" s="309"/>
      <c r="G859" s="309"/>
      <c r="H859" s="309"/>
      <c r="I859" s="309"/>
      <c r="J859" s="309"/>
      <c r="K859" s="309"/>
      <c r="L859" s="309"/>
      <c r="M859" s="309"/>
      <c r="N859" s="309"/>
      <c r="O859" s="309"/>
      <c r="P859" s="309"/>
      <c r="Q859" s="309"/>
      <c r="R859" s="309"/>
      <c r="S859" s="309"/>
      <c r="T859" s="309"/>
      <c r="U859" s="309"/>
      <c r="V859" s="309"/>
      <c r="W859" s="309"/>
      <c r="X859" s="309"/>
      <c r="Y859" s="309"/>
      <c r="Z859" s="309"/>
      <c r="AA859" s="309"/>
    </row>
    <row r="860" spans="2:27" ht="15.75" customHeight="1">
      <c r="B860" s="309"/>
      <c r="C860" s="309"/>
      <c r="D860" s="309"/>
      <c r="E860" s="309"/>
      <c r="F860" s="309"/>
      <c r="G860" s="309"/>
      <c r="H860" s="309"/>
      <c r="I860" s="309"/>
      <c r="J860" s="309"/>
      <c r="K860" s="309"/>
      <c r="L860" s="309"/>
      <c r="M860" s="309"/>
      <c r="N860" s="309"/>
      <c r="O860" s="309"/>
      <c r="P860" s="309"/>
      <c r="Q860" s="309"/>
      <c r="R860" s="309"/>
      <c r="S860" s="309"/>
      <c r="T860" s="309"/>
      <c r="U860" s="309"/>
      <c r="V860" s="309"/>
      <c r="W860" s="309"/>
      <c r="X860" s="309"/>
      <c r="Y860" s="309"/>
      <c r="Z860" s="309"/>
      <c r="AA860" s="309"/>
    </row>
    <row r="861" spans="2:27" ht="15.75" customHeight="1">
      <c r="B861" s="309"/>
      <c r="C861" s="309"/>
      <c r="D861" s="309"/>
      <c r="E861" s="309"/>
      <c r="F861" s="309"/>
      <c r="G861" s="309"/>
      <c r="H861" s="309"/>
      <c r="I861" s="309"/>
      <c r="J861" s="309"/>
      <c r="K861" s="309"/>
      <c r="L861" s="309"/>
      <c r="M861" s="309"/>
      <c r="N861" s="309"/>
      <c r="O861" s="309"/>
      <c r="P861" s="309"/>
      <c r="Q861" s="309"/>
      <c r="R861" s="309"/>
      <c r="S861" s="309"/>
      <c r="T861" s="309"/>
      <c r="U861" s="309"/>
      <c r="V861" s="309"/>
      <c r="W861" s="309"/>
      <c r="X861" s="309"/>
      <c r="Y861" s="309"/>
      <c r="Z861" s="309"/>
      <c r="AA861" s="309"/>
    </row>
    <row r="862" spans="2:27" ht="15.75" customHeight="1">
      <c r="B862" s="309"/>
      <c r="C862" s="309"/>
      <c r="D862" s="309"/>
      <c r="E862" s="309"/>
      <c r="F862" s="309"/>
      <c r="G862" s="309"/>
      <c r="H862" s="309"/>
      <c r="I862" s="309"/>
      <c r="J862" s="309"/>
      <c r="K862" s="309"/>
      <c r="L862" s="309"/>
      <c r="M862" s="309"/>
      <c r="N862" s="309"/>
      <c r="O862" s="309"/>
      <c r="P862" s="309"/>
      <c r="Q862" s="309"/>
      <c r="R862" s="309"/>
      <c r="S862" s="309"/>
      <c r="T862" s="309"/>
      <c r="U862" s="309"/>
      <c r="V862" s="309"/>
      <c r="W862" s="309"/>
      <c r="X862" s="309"/>
      <c r="Y862" s="309"/>
      <c r="Z862" s="309"/>
      <c r="AA862" s="309"/>
    </row>
    <row r="863" spans="2:27" ht="15.75" customHeight="1">
      <c r="B863" s="309"/>
      <c r="C863" s="309"/>
      <c r="D863" s="309"/>
      <c r="E863" s="309"/>
      <c r="F863" s="309"/>
      <c r="G863" s="309"/>
      <c r="H863" s="309"/>
      <c r="I863" s="309"/>
      <c r="J863" s="309"/>
      <c r="K863" s="309"/>
      <c r="L863" s="309"/>
      <c r="M863" s="309"/>
      <c r="N863" s="309"/>
      <c r="O863" s="309"/>
      <c r="P863" s="309"/>
      <c r="Q863" s="309"/>
      <c r="R863" s="309"/>
      <c r="S863" s="309"/>
      <c r="T863" s="309"/>
      <c r="U863" s="309"/>
      <c r="V863" s="309"/>
      <c r="W863" s="309"/>
      <c r="X863" s="309"/>
      <c r="Y863" s="309"/>
      <c r="Z863" s="309"/>
      <c r="AA863" s="309"/>
    </row>
    <row r="864" spans="2:27" ht="15.75" customHeight="1">
      <c r="B864" s="309"/>
      <c r="C864" s="309"/>
      <c r="D864" s="309"/>
      <c r="E864" s="309"/>
      <c r="F864" s="309"/>
      <c r="G864" s="309"/>
      <c r="H864" s="309"/>
      <c r="I864" s="309"/>
      <c r="J864" s="309"/>
      <c r="K864" s="309"/>
      <c r="L864" s="309"/>
      <c r="M864" s="309"/>
      <c r="N864" s="309"/>
      <c r="O864" s="309"/>
      <c r="P864" s="309"/>
      <c r="Q864" s="309"/>
      <c r="R864" s="309"/>
      <c r="S864" s="309"/>
      <c r="T864" s="309"/>
      <c r="U864" s="309"/>
      <c r="V864" s="309"/>
      <c r="W864" s="309"/>
      <c r="X864" s="309"/>
      <c r="Y864" s="309"/>
      <c r="Z864" s="309"/>
      <c r="AA864" s="309"/>
    </row>
    <row r="865" spans="2:27" ht="15.75" customHeight="1">
      <c r="B865" s="309"/>
      <c r="C865" s="309"/>
      <c r="D865" s="309"/>
      <c r="E865" s="309"/>
      <c r="F865" s="309"/>
      <c r="G865" s="309"/>
      <c r="H865" s="309"/>
      <c r="I865" s="309"/>
      <c r="J865" s="309"/>
      <c r="K865" s="309"/>
      <c r="L865" s="309"/>
      <c r="M865" s="309"/>
      <c r="N865" s="309"/>
      <c r="O865" s="309"/>
      <c r="P865" s="309"/>
      <c r="Q865" s="309"/>
      <c r="R865" s="309"/>
      <c r="S865" s="309"/>
      <c r="T865" s="309"/>
      <c r="U865" s="309"/>
      <c r="V865" s="309"/>
      <c r="W865" s="309"/>
      <c r="X865" s="309"/>
      <c r="Y865" s="309"/>
      <c r="Z865" s="309"/>
      <c r="AA865" s="309"/>
    </row>
    <row r="866" spans="2:27" ht="15.75" customHeight="1">
      <c r="B866" s="309"/>
      <c r="C866" s="309"/>
      <c r="D866" s="309"/>
      <c r="E866" s="309"/>
      <c r="F866" s="309"/>
      <c r="G866" s="309"/>
      <c r="H866" s="309"/>
      <c r="I866" s="309"/>
      <c r="J866" s="309"/>
      <c r="K866" s="309"/>
      <c r="L866" s="309"/>
      <c r="M866" s="309"/>
      <c r="N866" s="309"/>
      <c r="O866" s="309"/>
      <c r="P866" s="309"/>
      <c r="Q866" s="309"/>
      <c r="R866" s="309"/>
      <c r="S866" s="309"/>
      <c r="T866" s="309"/>
      <c r="U866" s="309"/>
      <c r="V866" s="309"/>
      <c r="W866" s="309"/>
      <c r="X866" s="309"/>
      <c r="Y866" s="309"/>
      <c r="Z866" s="309"/>
      <c r="AA866" s="309"/>
    </row>
    <row r="867" spans="2:27" ht="15.75" customHeight="1">
      <c r="B867" s="309"/>
      <c r="C867" s="309"/>
      <c r="D867" s="309"/>
      <c r="E867" s="309"/>
      <c r="F867" s="309"/>
      <c r="G867" s="309"/>
      <c r="H867" s="309"/>
      <c r="I867" s="309"/>
      <c r="J867" s="309"/>
      <c r="K867" s="309"/>
      <c r="L867" s="309"/>
      <c r="M867" s="309"/>
      <c r="N867" s="309"/>
      <c r="O867" s="309"/>
      <c r="P867" s="309"/>
      <c r="Q867" s="309"/>
      <c r="R867" s="309"/>
      <c r="S867" s="309"/>
      <c r="T867" s="309"/>
      <c r="U867" s="309"/>
      <c r="V867" s="309"/>
      <c r="W867" s="309"/>
      <c r="X867" s="309"/>
      <c r="Y867" s="309"/>
      <c r="Z867" s="309"/>
      <c r="AA867" s="309"/>
    </row>
    <row r="868" spans="2:27" ht="15.75" customHeight="1">
      <c r="B868" s="309"/>
      <c r="C868" s="309"/>
      <c r="D868" s="309"/>
      <c r="E868" s="309"/>
      <c r="F868" s="309"/>
      <c r="G868" s="309"/>
      <c r="H868" s="309"/>
      <c r="I868" s="309"/>
      <c r="J868" s="309"/>
      <c r="K868" s="309"/>
      <c r="L868" s="309"/>
      <c r="M868" s="309"/>
      <c r="N868" s="309"/>
      <c r="O868" s="309"/>
      <c r="P868" s="309"/>
      <c r="Q868" s="309"/>
      <c r="R868" s="309"/>
      <c r="S868" s="309"/>
      <c r="T868" s="309"/>
      <c r="U868" s="309"/>
      <c r="V868" s="309"/>
      <c r="W868" s="309"/>
      <c r="X868" s="309"/>
      <c r="Y868" s="309"/>
      <c r="Z868" s="309"/>
      <c r="AA868" s="309"/>
    </row>
    <row r="869" spans="2:27" ht="15.75" customHeight="1">
      <c r="B869" s="309"/>
      <c r="C869" s="309"/>
      <c r="D869" s="309"/>
      <c r="E869" s="309"/>
      <c r="F869" s="309"/>
      <c r="G869" s="309"/>
      <c r="H869" s="309"/>
      <c r="I869" s="309"/>
      <c r="J869" s="309"/>
      <c r="K869" s="309"/>
      <c r="L869" s="309"/>
      <c r="M869" s="309"/>
      <c r="N869" s="309"/>
      <c r="O869" s="309"/>
      <c r="P869" s="309"/>
      <c r="Q869" s="309"/>
      <c r="R869" s="309"/>
      <c r="S869" s="309"/>
      <c r="T869" s="309"/>
      <c r="U869" s="309"/>
      <c r="V869" s="309"/>
      <c r="W869" s="309"/>
      <c r="X869" s="309"/>
      <c r="Y869" s="309"/>
      <c r="Z869" s="309"/>
      <c r="AA869" s="309"/>
    </row>
    <row r="870" spans="2:27" ht="15.75" customHeight="1">
      <c r="B870" s="309"/>
      <c r="C870" s="309"/>
      <c r="D870" s="309"/>
      <c r="E870" s="309"/>
      <c r="F870" s="309"/>
      <c r="G870" s="309"/>
      <c r="H870" s="309"/>
      <c r="I870" s="309"/>
      <c r="J870" s="309"/>
      <c r="K870" s="309"/>
      <c r="L870" s="309"/>
      <c r="M870" s="309"/>
      <c r="N870" s="309"/>
      <c r="O870" s="309"/>
      <c r="P870" s="309"/>
      <c r="Q870" s="309"/>
      <c r="R870" s="309"/>
      <c r="S870" s="309"/>
      <c r="T870" s="309"/>
      <c r="U870" s="309"/>
      <c r="V870" s="309"/>
      <c r="W870" s="309"/>
      <c r="X870" s="309"/>
      <c r="Y870" s="309"/>
      <c r="Z870" s="309"/>
      <c r="AA870" s="309"/>
    </row>
    <row r="871" spans="2:27" ht="15.75" customHeight="1">
      <c r="B871" s="309"/>
      <c r="C871" s="309"/>
      <c r="D871" s="309"/>
      <c r="E871" s="309"/>
      <c r="F871" s="309"/>
      <c r="G871" s="309"/>
      <c r="H871" s="309"/>
      <c r="I871" s="309"/>
      <c r="J871" s="309"/>
      <c r="K871" s="309"/>
      <c r="L871" s="309"/>
      <c r="M871" s="309"/>
      <c r="N871" s="309"/>
      <c r="O871" s="309"/>
      <c r="P871" s="309"/>
      <c r="Q871" s="309"/>
      <c r="R871" s="309"/>
      <c r="S871" s="309"/>
      <c r="T871" s="309"/>
      <c r="U871" s="309"/>
      <c r="V871" s="309"/>
      <c r="W871" s="309"/>
      <c r="X871" s="309"/>
      <c r="Y871" s="309"/>
      <c r="Z871" s="309"/>
      <c r="AA871" s="309"/>
    </row>
    <row r="872" spans="2:27" ht="15.75" customHeight="1">
      <c r="B872" s="309"/>
      <c r="C872" s="309"/>
      <c r="D872" s="309"/>
      <c r="E872" s="309"/>
      <c r="F872" s="309"/>
      <c r="G872" s="309"/>
      <c r="H872" s="309"/>
      <c r="I872" s="309"/>
      <c r="J872" s="309"/>
      <c r="K872" s="309"/>
      <c r="L872" s="309"/>
      <c r="M872" s="309"/>
      <c r="N872" s="309"/>
      <c r="O872" s="309"/>
      <c r="P872" s="309"/>
      <c r="Q872" s="309"/>
      <c r="R872" s="309"/>
      <c r="S872" s="309"/>
      <c r="T872" s="309"/>
      <c r="U872" s="309"/>
      <c r="V872" s="309"/>
      <c r="W872" s="309"/>
      <c r="X872" s="309"/>
      <c r="Y872" s="309"/>
      <c r="Z872" s="309"/>
      <c r="AA872" s="309"/>
    </row>
    <row r="873" spans="2:27" ht="15.75" customHeight="1">
      <c r="B873" s="309"/>
      <c r="C873" s="309"/>
      <c r="D873" s="309"/>
      <c r="E873" s="309"/>
      <c r="F873" s="309"/>
      <c r="G873" s="309"/>
      <c r="H873" s="309"/>
      <c r="I873" s="309"/>
      <c r="J873" s="309"/>
      <c r="K873" s="309"/>
      <c r="L873" s="309"/>
      <c r="M873" s="309"/>
      <c r="N873" s="309"/>
      <c r="O873" s="309"/>
      <c r="P873" s="309"/>
      <c r="Q873" s="309"/>
      <c r="R873" s="309"/>
      <c r="S873" s="309"/>
      <c r="T873" s="309"/>
      <c r="U873" s="309"/>
      <c r="V873" s="309"/>
      <c r="W873" s="309"/>
      <c r="X873" s="309"/>
      <c r="Y873" s="309"/>
      <c r="Z873" s="309"/>
      <c r="AA873" s="309"/>
    </row>
    <row r="874" spans="2:27" ht="15.75" customHeight="1">
      <c r="B874" s="309"/>
      <c r="C874" s="309"/>
      <c r="D874" s="309"/>
      <c r="E874" s="309"/>
      <c r="F874" s="309"/>
      <c r="G874" s="309"/>
      <c r="H874" s="309"/>
      <c r="I874" s="309"/>
      <c r="J874" s="309"/>
      <c r="K874" s="309"/>
      <c r="L874" s="309"/>
      <c r="M874" s="309"/>
      <c r="N874" s="309"/>
      <c r="O874" s="309"/>
      <c r="P874" s="309"/>
      <c r="Q874" s="309"/>
      <c r="R874" s="309"/>
      <c r="S874" s="309"/>
      <c r="T874" s="309"/>
      <c r="U874" s="309"/>
      <c r="V874" s="309"/>
      <c r="W874" s="309"/>
      <c r="X874" s="309"/>
      <c r="Y874" s="309"/>
      <c r="Z874" s="309"/>
      <c r="AA874" s="309"/>
    </row>
    <row r="875" spans="2:27" ht="15.75" customHeight="1">
      <c r="B875" s="309"/>
      <c r="C875" s="309"/>
      <c r="D875" s="309"/>
      <c r="E875" s="309"/>
      <c r="F875" s="309"/>
      <c r="G875" s="309"/>
      <c r="H875" s="309"/>
      <c r="I875" s="309"/>
      <c r="J875" s="309"/>
      <c r="K875" s="309"/>
      <c r="L875" s="309"/>
      <c r="M875" s="309"/>
      <c r="N875" s="309"/>
      <c r="O875" s="309"/>
      <c r="P875" s="309"/>
      <c r="Q875" s="309"/>
      <c r="R875" s="309"/>
      <c r="S875" s="309"/>
      <c r="T875" s="309"/>
      <c r="U875" s="309"/>
      <c r="V875" s="309"/>
      <c r="W875" s="309"/>
      <c r="X875" s="309"/>
      <c r="Y875" s="309"/>
      <c r="Z875" s="309"/>
      <c r="AA875" s="309"/>
    </row>
    <row r="876" spans="2:27" ht="15.75" customHeight="1">
      <c r="B876" s="309"/>
      <c r="C876" s="309"/>
      <c r="D876" s="309"/>
      <c r="E876" s="309"/>
      <c r="F876" s="309"/>
      <c r="G876" s="309"/>
      <c r="H876" s="309"/>
      <c r="I876" s="309"/>
      <c r="J876" s="309"/>
      <c r="K876" s="309"/>
      <c r="L876" s="309"/>
      <c r="M876" s="309"/>
      <c r="N876" s="309"/>
      <c r="O876" s="309"/>
      <c r="P876" s="309"/>
      <c r="Q876" s="309"/>
      <c r="R876" s="309"/>
      <c r="S876" s="309"/>
      <c r="T876" s="309"/>
      <c r="U876" s="309"/>
      <c r="V876" s="309"/>
      <c r="W876" s="309"/>
      <c r="X876" s="309"/>
      <c r="Y876" s="309"/>
      <c r="Z876" s="309"/>
      <c r="AA876" s="309"/>
    </row>
    <row r="877" spans="2:27" ht="15.75" customHeight="1">
      <c r="B877" s="309"/>
      <c r="C877" s="309"/>
      <c r="D877" s="309"/>
      <c r="E877" s="309"/>
      <c r="F877" s="309"/>
      <c r="G877" s="309"/>
      <c r="H877" s="309"/>
      <c r="I877" s="309"/>
      <c r="J877" s="309"/>
      <c r="K877" s="309"/>
      <c r="L877" s="309"/>
      <c r="M877" s="309"/>
      <c r="N877" s="309"/>
      <c r="O877" s="309"/>
      <c r="P877" s="309"/>
      <c r="Q877" s="309"/>
      <c r="R877" s="309"/>
      <c r="S877" s="309"/>
      <c r="T877" s="309"/>
      <c r="U877" s="309"/>
      <c r="V877" s="309"/>
      <c r="W877" s="309"/>
      <c r="X877" s="309"/>
      <c r="Y877" s="309"/>
      <c r="Z877" s="309"/>
      <c r="AA877" s="309"/>
    </row>
    <row r="878" spans="2:27" ht="15.75" customHeight="1">
      <c r="B878" s="309"/>
      <c r="C878" s="309"/>
      <c r="D878" s="309"/>
      <c r="E878" s="309"/>
      <c r="F878" s="309"/>
      <c r="G878" s="309"/>
      <c r="H878" s="309"/>
      <c r="I878" s="309"/>
      <c r="J878" s="309"/>
      <c r="K878" s="309"/>
      <c r="L878" s="309"/>
      <c r="M878" s="309"/>
      <c r="N878" s="309"/>
      <c r="O878" s="309"/>
      <c r="P878" s="309"/>
      <c r="Q878" s="309"/>
      <c r="R878" s="309"/>
      <c r="S878" s="309"/>
      <c r="T878" s="309"/>
      <c r="U878" s="309"/>
      <c r="V878" s="309"/>
      <c r="W878" s="309"/>
      <c r="X878" s="309"/>
      <c r="Y878" s="309"/>
      <c r="Z878" s="309"/>
      <c r="AA878" s="309"/>
    </row>
    <row r="879" spans="2:27" ht="15.75" customHeight="1">
      <c r="B879" s="309"/>
      <c r="C879" s="309"/>
      <c r="D879" s="309"/>
      <c r="E879" s="309"/>
      <c r="F879" s="309"/>
      <c r="G879" s="309"/>
      <c r="H879" s="309"/>
      <c r="I879" s="309"/>
      <c r="J879" s="309"/>
      <c r="K879" s="309"/>
      <c r="L879" s="309"/>
      <c r="M879" s="309"/>
      <c r="N879" s="309"/>
      <c r="O879" s="309"/>
      <c r="P879" s="309"/>
      <c r="Q879" s="309"/>
      <c r="R879" s="309"/>
      <c r="S879" s="309"/>
      <c r="T879" s="309"/>
      <c r="U879" s="309"/>
      <c r="V879" s="309"/>
      <c r="W879" s="309"/>
      <c r="X879" s="309"/>
      <c r="Y879" s="309"/>
      <c r="Z879" s="309"/>
      <c r="AA879" s="309"/>
    </row>
    <row r="880" spans="2:27" ht="15.75" customHeight="1">
      <c r="B880" s="309"/>
      <c r="C880" s="309"/>
      <c r="D880" s="309"/>
      <c r="E880" s="309"/>
      <c r="F880" s="309"/>
      <c r="G880" s="309"/>
      <c r="H880" s="309"/>
      <c r="I880" s="309"/>
      <c r="J880" s="309"/>
      <c r="K880" s="309"/>
      <c r="L880" s="309"/>
      <c r="M880" s="309"/>
      <c r="N880" s="309"/>
      <c r="O880" s="309"/>
      <c r="P880" s="309"/>
      <c r="Q880" s="309"/>
      <c r="R880" s="309"/>
      <c r="S880" s="309"/>
      <c r="T880" s="309"/>
      <c r="U880" s="309"/>
      <c r="V880" s="309"/>
      <c r="W880" s="309"/>
      <c r="X880" s="309"/>
      <c r="Y880" s="309"/>
      <c r="Z880" s="309"/>
      <c r="AA880" s="309"/>
    </row>
    <row r="881" spans="2:27" ht="15.75" customHeight="1">
      <c r="B881" s="309"/>
      <c r="C881" s="309"/>
      <c r="D881" s="309"/>
      <c r="E881" s="309"/>
      <c r="F881" s="309"/>
      <c r="G881" s="309"/>
      <c r="H881" s="309"/>
      <c r="I881" s="309"/>
      <c r="J881" s="309"/>
      <c r="K881" s="309"/>
      <c r="L881" s="309"/>
      <c r="M881" s="309"/>
      <c r="N881" s="309"/>
      <c r="O881" s="309"/>
      <c r="P881" s="309"/>
      <c r="Q881" s="309"/>
      <c r="R881" s="309"/>
      <c r="S881" s="309"/>
      <c r="T881" s="309"/>
      <c r="U881" s="309"/>
      <c r="V881" s="309"/>
      <c r="W881" s="309"/>
      <c r="X881" s="309"/>
      <c r="Y881" s="309"/>
      <c r="Z881" s="309"/>
      <c r="AA881" s="309"/>
    </row>
    <row r="882" spans="2:27" ht="15.75" customHeight="1">
      <c r="B882" s="309"/>
      <c r="C882" s="309"/>
      <c r="D882" s="309"/>
      <c r="E882" s="309"/>
      <c r="F882" s="309"/>
      <c r="G882" s="309"/>
      <c r="H882" s="309"/>
      <c r="I882" s="309"/>
      <c r="J882" s="309"/>
      <c r="K882" s="309"/>
      <c r="L882" s="309"/>
      <c r="M882" s="309"/>
      <c r="N882" s="309"/>
      <c r="O882" s="309"/>
      <c r="P882" s="309"/>
      <c r="Q882" s="309"/>
      <c r="R882" s="309"/>
      <c r="S882" s="309"/>
      <c r="T882" s="309"/>
      <c r="U882" s="309"/>
      <c r="V882" s="309"/>
      <c r="W882" s="309"/>
      <c r="X882" s="309"/>
      <c r="Y882" s="309"/>
      <c r="Z882" s="309"/>
      <c r="AA882" s="309"/>
    </row>
    <row r="883" spans="2:27" ht="15.75" customHeight="1">
      <c r="B883" s="309"/>
      <c r="C883" s="309"/>
      <c r="D883" s="309"/>
      <c r="E883" s="309"/>
      <c r="F883" s="309"/>
      <c r="G883" s="309"/>
      <c r="H883" s="309"/>
      <c r="I883" s="309"/>
      <c r="J883" s="309"/>
      <c r="K883" s="309"/>
      <c r="L883" s="309"/>
      <c r="M883" s="309"/>
      <c r="N883" s="309"/>
      <c r="O883" s="309"/>
      <c r="P883" s="309"/>
      <c r="Q883" s="309"/>
      <c r="R883" s="309"/>
      <c r="S883" s="309"/>
      <c r="T883" s="309"/>
      <c r="U883" s="309"/>
      <c r="V883" s="309"/>
      <c r="W883" s="309"/>
      <c r="X883" s="309"/>
      <c r="Y883" s="309"/>
      <c r="Z883" s="309"/>
      <c r="AA883" s="309"/>
    </row>
    <row r="884" spans="2:27" ht="15.75" customHeight="1">
      <c r="B884" s="309"/>
      <c r="C884" s="309"/>
      <c r="D884" s="309"/>
      <c r="E884" s="309"/>
      <c r="F884" s="309"/>
      <c r="G884" s="309"/>
      <c r="H884" s="309"/>
      <c r="I884" s="309"/>
      <c r="J884" s="309"/>
      <c r="K884" s="309"/>
      <c r="L884" s="309"/>
      <c r="M884" s="309"/>
      <c r="N884" s="309"/>
      <c r="O884" s="309"/>
      <c r="P884" s="309"/>
      <c r="Q884" s="309"/>
      <c r="R884" s="309"/>
      <c r="S884" s="309"/>
      <c r="T884" s="309"/>
      <c r="U884" s="309"/>
      <c r="V884" s="309"/>
      <c r="W884" s="309"/>
      <c r="X884" s="309"/>
      <c r="Y884" s="309"/>
      <c r="Z884" s="309"/>
      <c r="AA884" s="309"/>
    </row>
    <row r="885" spans="2:27" ht="15.75" customHeight="1">
      <c r="B885" s="309"/>
      <c r="C885" s="309"/>
      <c r="D885" s="309"/>
      <c r="E885" s="309"/>
      <c r="F885" s="309"/>
      <c r="G885" s="309"/>
      <c r="H885" s="309"/>
      <c r="I885" s="309"/>
      <c r="J885" s="309"/>
      <c r="K885" s="309"/>
      <c r="L885" s="309"/>
      <c r="M885" s="309"/>
      <c r="N885" s="309"/>
      <c r="O885" s="309"/>
      <c r="P885" s="309"/>
      <c r="Q885" s="309"/>
      <c r="R885" s="309"/>
      <c r="S885" s="309"/>
      <c r="T885" s="309"/>
      <c r="U885" s="309"/>
      <c r="V885" s="309"/>
      <c r="W885" s="309"/>
      <c r="X885" s="309"/>
      <c r="Y885" s="309"/>
      <c r="Z885" s="309"/>
      <c r="AA885" s="309"/>
    </row>
    <row r="886" spans="2:27" ht="15.75" customHeight="1">
      <c r="B886" s="309"/>
      <c r="C886" s="309"/>
      <c r="D886" s="309"/>
      <c r="E886" s="309"/>
      <c r="F886" s="309"/>
      <c r="G886" s="309"/>
      <c r="H886" s="309"/>
      <c r="I886" s="309"/>
      <c r="J886" s="309"/>
      <c r="K886" s="309"/>
      <c r="L886" s="309"/>
      <c r="M886" s="309"/>
      <c r="N886" s="309"/>
      <c r="O886" s="309"/>
      <c r="P886" s="309"/>
      <c r="Q886" s="309"/>
      <c r="R886" s="309"/>
      <c r="S886" s="309"/>
      <c r="T886" s="309"/>
      <c r="U886" s="309"/>
      <c r="V886" s="309"/>
      <c r="W886" s="309"/>
      <c r="X886" s="309"/>
      <c r="Y886" s="309"/>
      <c r="Z886" s="309"/>
      <c r="AA886" s="309"/>
    </row>
    <row r="887" spans="2:27" ht="15.75" customHeight="1">
      <c r="B887" s="309"/>
      <c r="C887" s="309"/>
      <c r="D887" s="309"/>
      <c r="E887" s="309"/>
      <c r="F887" s="309"/>
      <c r="G887" s="309"/>
      <c r="H887" s="309"/>
      <c r="I887" s="309"/>
      <c r="J887" s="309"/>
      <c r="K887" s="309"/>
      <c r="L887" s="309"/>
      <c r="M887" s="309"/>
      <c r="N887" s="309"/>
      <c r="O887" s="309"/>
      <c r="P887" s="309"/>
      <c r="Q887" s="309"/>
      <c r="R887" s="309"/>
      <c r="S887" s="309"/>
      <c r="T887" s="309"/>
      <c r="U887" s="309"/>
      <c r="V887" s="309"/>
      <c r="W887" s="309"/>
      <c r="X887" s="309"/>
      <c r="Y887" s="309"/>
      <c r="Z887" s="309"/>
      <c r="AA887" s="309"/>
    </row>
    <row r="888" spans="2:27" ht="15.75" customHeight="1">
      <c r="B888" s="309"/>
      <c r="C888" s="309"/>
      <c r="D888" s="309"/>
      <c r="E888" s="309"/>
      <c r="F888" s="309"/>
      <c r="G888" s="309"/>
      <c r="H888" s="309"/>
      <c r="I888" s="309"/>
      <c r="J888" s="309"/>
      <c r="K888" s="309"/>
      <c r="L888" s="309"/>
      <c r="M888" s="309"/>
      <c r="N888" s="309"/>
      <c r="O888" s="309"/>
      <c r="P888" s="309"/>
      <c r="Q888" s="309"/>
      <c r="R888" s="309"/>
      <c r="S888" s="309"/>
      <c r="T888" s="309"/>
      <c r="U888" s="309"/>
      <c r="V888" s="309"/>
      <c r="W888" s="309"/>
      <c r="X888" s="309"/>
      <c r="Y888" s="309"/>
      <c r="Z888" s="309"/>
      <c r="AA888" s="309"/>
    </row>
    <row r="889" spans="2:27" ht="15.75" customHeight="1">
      <c r="B889" s="309"/>
      <c r="C889" s="309"/>
      <c r="D889" s="309"/>
      <c r="E889" s="309"/>
      <c r="F889" s="309"/>
      <c r="G889" s="309"/>
      <c r="H889" s="309"/>
      <c r="I889" s="309"/>
      <c r="J889" s="309"/>
      <c r="K889" s="309"/>
      <c r="L889" s="309"/>
      <c r="M889" s="309"/>
      <c r="N889" s="309"/>
      <c r="O889" s="309"/>
      <c r="P889" s="309"/>
      <c r="Q889" s="309"/>
      <c r="R889" s="309"/>
      <c r="S889" s="309"/>
      <c r="T889" s="309"/>
      <c r="U889" s="309"/>
      <c r="V889" s="309"/>
      <c r="W889" s="309"/>
      <c r="X889" s="309"/>
      <c r="Y889" s="309"/>
      <c r="Z889" s="309"/>
      <c r="AA889" s="309"/>
    </row>
    <row r="890" spans="2:27" ht="15.75" customHeight="1">
      <c r="B890" s="309"/>
      <c r="C890" s="309"/>
      <c r="D890" s="309"/>
      <c r="E890" s="309"/>
      <c r="F890" s="309"/>
      <c r="G890" s="309"/>
      <c r="H890" s="309"/>
      <c r="I890" s="309"/>
      <c r="J890" s="309"/>
      <c r="K890" s="309"/>
      <c r="L890" s="309"/>
      <c r="M890" s="309"/>
      <c r="N890" s="309"/>
      <c r="O890" s="309"/>
      <c r="P890" s="309"/>
      <c r="Q890" s="309"/>
      <c r="R890" s="309"/>
      <c r="S890" s="309"/>
      <c r="T890" s="309"/>
      <c r="U890" s="309"/>
      <c r="V890" s="309"/>
      <c r="W890" s="309"/>
      <c r="X890" s="309"/>
      <c r="Y890" s="309"/>
      <c r="Z890" s="309"/>
      <c r="AA890" s="309"/>
    </row>
    <row r="891" spans="2:27" ht="15.75" customHeight="1">
      <c r="B891" s="309"/>
      <c r="C891" s="309"/>
      <c r="D891" s="309"/>
      <c r="E891" s="309"/>
      <c r="F891" s="309"/>
      <c r="G891" s="309"/>
      <c r="H891" s="309"/>
      <c r="I891" s="309"/>
      <c r="J891" s="309"/>
      <c r="K891" s="309"/>
      <c r="L891" s="309"/>
      <c r="M891" s="309"/>
      <c r="N891" s="309"/>
      <c r="O891" s="309"/>
      <c r="P891" s="309"/>
      <c r="Q891" s="309"/>
      <c r="R891" s="309"/>
      <c r="S891" s="309"/>
      <c r="T891" s="309"/>
      <c r="U891" s="309"/>
      <c r="V891" s="309"/>
      <c r="W891" s="309"/>
      <c r="X891" s="309"/>
      <c r="Y891" s="309"/>
      <c r="Z891" s="309"/>
      <c r="AA891" s="309"/>
    </row>
    <row r="892" spans="2:27" ht="15.75" customHeight="1">
      <c r="B892" s="309"/>
      <c r="C892" s="309"/>
      <c r="D892" s="309"/>
      <c r="E892" s="309"/>
      <c r="F892" s="309"/>
      <c r="G892" s="309"/>
      <c r="H892" s="309"/>
      <c r="I892" s="309"/>
      <c r="J892" s="309"/>
      <c r="K892" s="309"/>
      <c r="L892" s="309"/>
      <c r="M892" s="309"/>
      <c r="N892" s="309"/>
      <c r="O892" s="309"/>
      <c r="P892" s="309"/>
      <c r="Q892" s="309"/>
      <c r="R892" s="309"/>
      <c r="S892" s="309"/>
      <c r="T892" s="309"/>
      <c r="U892" s="309"/>
      <c r="V892" s="309"/>
      <c r="W892" s="309"/>
      <c r="X892" s="309"/>
      <c r="Y892" s="309"/>
      <c r="Z892" s="309"/>
      <c r="AA892" s="309"/>
    </row>
    <row r="893" spans="2:27" ht="15.75" customHeight="1">
      <c r="B893" s="309"/>
      <c r="C893" s="309"/>
      <c r="D893" s="309"/>
      <c r="E893" s="309"/>
      <c r="F893" s="309"/>
      <c r="G893" s="309"/>
      <c r="H893" s="309"/>
      <c r="I893" s="309"/>
      <c r="J893" s="309"/>
      <c r="K893" s="309"/>
      <c r="L893" s="309"/>
      <c r="M893" s="309"/>
      <c r="N893" s="309"/>
      <c r="O893" s="309"/>
      <c r="P893" s="309"/>
      <c r="Q893" s="309"/>
      <c r="R893" s="309"/>
      <c r="S893" s="309"/>
      <c r="T893" s="309"/>
      <c r="U893" s="309"/>
      <c r="V893" s="309"/>
      <c r="W893" s="309"/>
      <c r="X893" s="309"/>
      <c r="Y893" s="309"/>
      <c r="Z893" s="309"/>
      <c r="AA893" s="309"/>
    </row>
    <row r="894" spans="2:27" ht="15.75" customHeight="1">
      <c r="B894" s="309"/>
      <c r="C894" s="309"/>
      <c r="D894" s="309"/>
      <c r="E894" s="309"/>
      <c r="F894" s="309"/>
      <c r="G894" s="309"/>
      <c r="H894" s="309"/>
      <c r="I894" s="309"/>
      <c r="J894" s="309"/>
      <c r="K894" s="309"/>
      <c r="L894" s="309"/>
      <c r="M894" s="309"/>
      <c r="N894" s="309"/>
      <c r="O894" s="309"/>
      <c r="P894" s="309"/>
      <c r="Q894" s="309"/>
      <c r="R894" s="309"/>
      <c r="S894" s="309"/>
      <c r="T894" s="309"/>
      <c r="U894" s="309"/>
      <c r="V894" s="309"/>
      <c r="W894" s="309"/>
      <c r="X894" s="309"/>
      <c r="Y894" s="309"/>
      <c r="Z894" s="309"/>
      <c r="AA894" s="309"/>
    </row>
    <row r="895" spans="2:27" ht="15.75" customHeight="1">
      <c r="B895" s="309"/>
      <c r="C895" s="309"/>
      <c r="D895" s="309"/>
      <c r="E895" s="309"/>
      <c r="F895" s="309"/>
      <c r="G895" s="309"/>
      <c r="H895" s="309"/>
      <c r="I895" s="309"/>
      <c r="J895" s="309"/>
      <c r="K895" s="309"/>
      <c r="L895" s="309"/>
      <c r="M895" s="309"/>
      <c r="N895" s="309"/>
      <c r="O895" s="309"/>
      <c r="P895" s="309"/>
      <c r="Q895" s="309"/>
      <c r="R895" s="309"/>
      <c r="S895" s="309"/>
      <c r="T895" s="309"/>
      <c r="U895" s="309"/>
      <c r="V895" s="309"/>
      <c r="W895" s="309"/>
      <c r="X895" s="309"/>
      <c r="Y895" s="309"/>
      <c r="Z895" s="309"/>
      <c r="AA895" s="309"/>
    </row>
    <row r="896" spans="2:27" ht="15.75" customHeight="1">
      <c r="B896" s="309"/>
      <c r="C896" s="309"/>
      <c r="D896" s="309"/>
      <c r="E896" s="309"/>
      <c r="F896" s="309"/>
      <c r="G896" s="309"/>
      <c r="H896" s="309"/>
      <c r="I896" s="309"/>
      <c r="J896" s="309"/>
      <c r="K896" s="309"/>
      <c r="L896" s="309"/>
      <c r="M896" s="309"/>
      <c r="N896" s="309"/>
      <c r="O896" s="309"/>
      <c r="P896" s="309"/>
      <c r="Q896" s="309"/>
      <c r="R896" s="309"/>
      <c r="S896" s="309"/>
      <c r="T896" s="309"/>
      <c r="U896" s="309"/>
      <c r="V896" s="309"/>
      <c r="W896" s="309"/>
      <c r="X896" s="309"/>
      <c r="Y896" s="309"/>
      <c r="Z896" s="309"/>
      <c r="AA896" s="309"/>
    </row>
    <row r="897" spans="2:27" ht="15.75" customHeight="1">
      <c r="B897" s="309"/>
      <c r="C897" s="309"/>
      <c r="D897" s="309"/>
      <c r="E897" s="309"/>
      <c r="F897" s="309"/>
      <c r="G897" s="309"/>
      <c r="H897" s="309"/>
      <c r="I897" s="309"/>
      <c r="J897" s="309"/>
      <c r="K897" s="309"/>
      <c r="L897" s="309"/>
      <c r="M897" s="309"/>
      <c r="N897" s="309"/>
      <c r="O897" s="309"/>
      <c r="P897" s="309"/>
      <c r="Q897" s="309"/>
      <c r="R897" s="309"/>
      <c r="S897" s="309"/>
      <c r="T897" s="309"/>
      <c r="U897" s="309"/>
      <c r="V897" s="309"/>
      <c r="W897" s="309"/>
      <c r="X897" s="309"/>
      <c r="Y897" s="309"/>
      <c r="Z897" s="309"/>
      <c r="AA897" s="309"/>
    </row>
    <row r="898" spans="2:27" ht="15.75" customHeight="1">
      <c r="B898" s="309"/>
      <c r="C898" s="309"/>
      <c r="D898" s="309"/>
      <c r="E898" s="309"/>
      <c r="F898" s="309"/>
      <c r="G898" s="309"/>
      <c r="H898" s="309"/>
      <c r="I898" s="309"/>
      <c r="J898" s="309"/>
      <c r="K898" s="309"/>
      <c r="L898" s="309"/>
      <c r="M898" s="309"/>
      <c r="N898" s="309"/>
      <c r="O898" s="309"/>
      <c r="P898" s="309"/>
      <c r="Q898" s="309"/>
      <c r="R898" s="309"/>
      <c r="S898" s="309"/>
      <c r="T898" s="309"/>
      <c r="U898" s="309"/>
      <c r="V898" s="309"/>
      <c r="W898" s="309"/>
      <c r="X898" s="309"/>
      <c r="Y898" s="309"/>
      <c r="Z898" s="309"/>
      <c r="AA898" s="309"/>
    </row>
    <row r="899" spans="2:27" ht="15.75" customHeight="1">
      <c r="B899" s="309"/>
      <c r="C899" s="309"/>
      <c r="D899" s="309"/>
      <c r="E899" s="309"/>
      <c r="F899" s="309"/>
      <c r="G899" s="309"/>
      <c r="H899" s="309"/>
      <c r="I899" s="309"/>
      <c r="J899" s="309"/>
      <c r="K899" s="309"/>
      <c r="L899" s="309"/>
      <c r="M899" s="309"/>
      <c r="N899" s="309"/>
      <c r="O899" s="309"/>
      <c r="P899" s="309"/>
      <c r="Q899" s="309"/>
      <c r="R899" s="309"/>
      <c r="S899" s="309"/>
      <c r="T899" s="309"/>
      <c r="U899" s="309"/>
      <c r="V899" s="309"/>
      <c r="W899" s="309"/>
      <c r="X899" s="309"/>
      <c r="Y899" s="309"/>
      <c r="Z899" s="309"/>
      <c r="AA899" s="309"/>
    </row>
    <row r="900" spans="2:27" ht="15.75" customHeight="1">
      <c r="B900" s="309"/>
      <c r="C900" s="309"/>
      <c r="D900" s="309"/>
      <c r="E900" s="309"/>
      <c r="F900" s="309"/>
      <c r="G900" s="309"/>
      <c r="H900" s="309"/>
      <c r="I900" s="309"/>
      <c r="J900" s="309"/>
      <c r="K900" s="309"/>
      <c r="L900" s="309"/>
      <c r="M900" s="309"/>
      <c r="N900" s="309"/>
      <c r="O900" s="309"/>
      <c r="P900" s="309"/>
      <c r="Q900" s="309"/>
      <c r="R900" s="309"/>
      <c r="S900" s="309"/>
      <c r="T900" s="309"/>
      <c r="U900" s="309"/>
      <c r="V900" s="309"/>
      <c r="W900" s="309"/>
      <c r="X900" s="309"/>
      <c r="Y900" s="309"/>
      <c r="Z900" s="309"/>
      <c r="AA900" s="309"/>
    </row>
    <row r="901" spans="2:27" ht="15.75" customHeight="1">
      <c r="B901" s="309"/>
      <c r="C901" s="309"/>
      <c r="D901" s="309"/>
      <c r="E901" s="309"/>
      <c r="F901" s="309"/>
      <c r="G901" s="309"/>
      <c r="H901" s="309"/>
      <c r="I901" s="309"/>
      <c r="J901" s="309"/>
      <c r="K901" s="309"/>
      <c r="L901" s="309"/>
      <c r="M901" s="309"/>
      <c r="N901" s="309"/>
      <c r="O901" s="309"/>
      <c r="P901" s="309"/>
      <c r="Q901" s="309"/>
      <c r="R901" s="309"/>
      <c r="S901" s="309"/>
      <c r="T901" s="309"/>
      <c r="U901" s="309"/>
      <c r="V901" s="309"/>
      <c r="W901" s="309"/>
      <c r="X901" s="309"/>
      <c r="Y901" s="309"/>
      <c r="Z901" s="309"/>
      <c r="AA901" s="309"/>
    </row>
    <row r="902" spans="2:27" ht="15.75" customHeight="1">
      <c r="B902" s="309"/>
      <c r="C902" s="309"/>
      <c r="D902" s="309"/>
      <c r="E902" s="309"/>
      <c r="F902" s="309"/>
      <c r="G902" s="309"/>
      <c r="H902" s="309"/>
      <c r="I902" s="309"/>
      <c r="J902" s="309"/>
      <c r="K902" s="309"/>
      <c r="L902" s="309"/>
      <c r="M902" s="309"/>
      <c r="N902" s="309"/>
      <c r="O902" s="309"/>
      <c r="P902" s="309"/>
      <c r="Q902" s="309"/>
      <c r="R902" s="309"/>
      <c r="S902" s="309"/>
      <c r="T902" s="309"/>
      <c r="U902" s="309"/>
      <c r="V902" s="309"/>
      <c r="W902" s="309"/>
      <c r="X902" s="309"/>
      <c r="Y902" s="309"/>
      <c r="Z902" s="309"/>
      <c r="AA902" s="309"/>
    </row>
    <row r="903" spans="2:27" ht="15.75" customHeight="1">
      <c r="B903" s="309"/>
      <c r="C903" s="309"/>
      <c r="D903" s="309"/>
      <c r="E903" s="309"/>
      <c r="F903" s="309"/>
      <c r="G903" s="309"/>
      <c r="H903" s="309"/>
      <c r="I903" s="309"/>
      <c r="J903" s="309"/>
      <c r="K903" s="309"/>
      <c r="L903" s="309"/>
      <c r="M903" s="309"/>
      <c r="N903" s="309"/>
      <c r="O903" s="309"/>
      <c r="P903" s="309"/>
      <c r="Q903" s="309"/>
      <c r="R903" s="309"/>
      <c r="S903" s="309"/>
      <c r="T903" s="309"/>
      <c r="U903" s="309"/>
      <c r="V903" s="309"/>
      <c r="W903" s="309"/>
      <c r="X903" s="309"/>
      <c r="Y903" s="309"/>
      <c r="Z903" s="309"/>
      <c r="AA903" s="309"/>
    </row>
    <row r="904" spans="2:27" ht="15.75" customHeight="1">
      <c r="B904" s="309"/>
      <c r="C904" s="309"/>
      <c r="D904" s="309"/>
      <c r="E904" s="309"/>
      <c r="F904" s="309"/>
      <c r="G904" s="309"/>
      <c r="H904" s="309"/>
      <c r="I904" s="309"/>
      <c r="J904" s="309"/>
      <c r="K904" s="309"/>
      <c r="L904" s="309"/>
      <c r="M904" s="309"/>
      <c r="N904" s="309"/>
      <c r="O904" s="309"/>
      <c r="P904" s="309"/>
      <c r="Q904" s="309"/>
      <c r="R904" s="309"/>
      <c r="S904" s="309"/>
      <c r="T904" s="309"/>
      <c r="U904" s="309"/>
      <c r="V904" s="309"/>
      <c r="W904" s="309"/>
      <c r="X904" s="309"/>
      <c r="Y904" s="309"/>
      <c r="Z904" s="309"/>
      <c r="AA904" s="309"/>
    </row>
    <row r="905" spans="2:27" ht="15.75" customHeight="1">
      <c r="B905" s="309"/>
      <c r="C905" s="309"/>
      <c r="D905" s="309"/>
      <c r="E905" s="309"/>
      <c r="F905" s="309"/>
      <c r="G905" s="309"/>
      <c r="H905" s="309"/>
      <c r="I905" s="309"/>
      <c r="J905" s="309"/>
      <c r="K905" s="309"/>
      <c r="L905" s="309"/>
      <c r="M905" s="309"/>
      <c r="N905" s="309"/>
      <c r="O905" s="309"/>
      <c r="P905" s="309"/>
      <c r="Q905" s="309"/>
      <c r="R905" s="309"/>
      <c r="S905" s="309"/>
      <c r="T905" s="309"/>
      <c r="U905" s="309"/>
      <c r="V905" s="309"/>
      <c r="W905" s="309"/>
      <c r="X905" s="309"/>
      <c r="Y905" s="309"/>
      <c r="Z905" s="309"/>
      <c r="AA905" s="309"/>
    </row>
    <row r="906" spans="2:27" ht="15.75" customHeight="1">
      <c r="B906" s="309"/>
      <c r="C906" s="309"/>
      <c r="D906" s="309"/>
      <c r="E906" s="309"/>
      <c r="F906" s="309"/>
      <c r="G906" s="309"/>
      <c r="H906" s="309"/>
      <c r="I906" s="309"/>
      <c r="J906" s="309"/>
      <c r="K906" s="309"/>
      <c r="L906" s="309"/>
      <c r="M906" s="309"/>
      <c r="N906" s="309"/>
      <c r="O906" s="309"/>
      <c r="P906" s="309"/>
      <c r="Q906" s="309"/>
      <c r="R906" s="309"/>
      <c r="S906" s="309"/>
      <c r="T906" s="309"/>
      <c r="U906" s="309"/>
      <c r="V906" s="309"/>
      <c r="W906" s="309"/>
      <c r="X906" s="309"/>
      <c r="Y906" s="309"/>
      <c r="Z906" s="309"/>
      <c r="AA906" s="309"/>
    </row>
    <row r="907" spans="2:27" ht="15.75" customHeight="1">
      <c r="B907" s="309"/>
      <c r="C907" s="309"/>
      <c r="D907" s="309"/>
      <c r="E907" s="309"/>
      <c r="F907" s="309"/>
      <c r="G907" s="309"/>
      <c r="H907" s="309"/>
      <c r="I907" s="309"/>
      <c r="J907" s="309"/>
      <c r="K907" s="309"/>
      <c r="L907" s="309"/>
      <c r="M907" s="309"/>
      <c r="N907" s="309"/>
      <c r="O907" s="309"/>
      <c r="P907" s="309"/>
      <c r="Q907" s="309"/>
      <c r="R907" s="309"/>
      <c r="S907" s="309"/>
      <c r="T907" s="309"/>
      <c r="U907" s="309"/>
      <c r="V907" s="309"/>
      <c r="W907" s="309"/>
      <c r="X907" s="309"/>
      <c r="Y907" s="309"/>
      <c r="Z907" s="309"/>
      <c r="AA907" s="309"/>
    </row>
    <row r="908" spans="2:27" ht="15.75" customHeight="1">
      <c r="B908" s="309"/>
      <c r="C908" s="309"/>
      <c r="D908" s="309"/>
      <c r="E908" s="309"/>
      <c r="F908" s="309"/>
      <c r="G908" s="309"/>
      <c r="H908" s="309"/>
      <c r="I908" s="309"/>
      <c r="J908" s="309"/>
      <c r="K908" s="309"/>
      <c r="L908" s="309"/>
      <c r="M908" s="309"/>
      <c r="N908" s="309"/>
      <c r="O908" s="309"/>
      <c r="P908" s="309"/>
      <c r="Q908" s="309"/>
      <c r="R908" s="309"/>
      <c r="S908" s="309"/>
      <c r="T908" s="309"/>
      <c r="U908" s="309"/>
      <c r="V908" s="309"/>
      <c r="W908" s="309"/>
      <c r="X908" s="309"/>
      <c r="Y908" s="309"/>
      <c r="Z908" s="309"/>
      <c r="AA908" s="309"/>
    </row>
    <row r="909" spans="2:27" ht="15.75" customHeight="1">
      <c r="B909" s="309"/>
      <c r="C909" s="309"/>
      <c r="D909" s="309"/>
      <c r="E909" s="309"/>
      <c r="F909" s="309"/>
      <c r="G909" s="309"/>
      <c r="H909" s="309"/>
      <c r="I909" s="309"/>
      <c r="J909" s="309"/>
      <c r="K909" s="309"/>
      <c r="L909" s="309"/>
      <c r="M909" s="309"/>
      <c r="N909" s="309"/>
      <c r="O909" s="309"/>
      <c r="P909" s="309"/>
      <c r="Q909" s="309"/>
      <c r="R909" s="309"/>
      <c r="S909" s="309"/>
      <c r="T909" s="309"/>
      <c r="U909" s="309"/>
      <c r="V909" s="309"/>
      <c r="W909" s="309"/>
      <c r="X909" s="309"/>
      <c r="Y909" s="309"/>
      <c r="Z909" s="309"/>
      <c r="AA909" s="309"/>
    </row>
    <row r="910" spans="2:27" ht="15.75" customHeight="1">
      <c r="B910" s="309"/>
      <c r="C910" s="309"/>
      <c r="D910" s="309"/>
      <c r="E910" s="309"/>
      <c r="F910" s="309"/>
      <c r="G910" s="309"/>
      <c r="H910" s="309"/>
      <c r="I910" s="309"/>
      <c r="J910" s="309"/>
      <c r="K910" s="309"/>
      <c r="L910" s="309"/>
      <c r="M910" s="309"/>
      <c r="N910" s="309"/>
      <c r="O910" s="309"/>
      <c r="P910" s="309"/>
      <c r="Q910" s="309"/>
      <c r="R910" s="309"/>
      <c r="S910" s="309"/>
      <c r="T910" s="309"/>
      <c r="U910" s="309"/>
      <c r="V910" s="309"/>
      <c r="W910" s="309"/>
      <c r="X910" s="309"/>
      <c r="Y910" s="309"/>
      <c r="Z910" s="309"/>
      <c r="AA910" s="309"/>
    </row>
    <row r="911" spans="2:27" ht="15.75" customHeight="1">
      <c r="B911" s="309"/>
      <c r="C911" s="309"/>
      <c r="D911" s="309"/>
      <c r="E911" s="309"/>
      <c r="F911" s="309"/>
      <c r="G911" s="309"/>
      <c r="H911" s="309"/>
      <c r="I911" s="309"/>
      <c r="J911" s="309"/>
      <c r="K911" s="309"/>
      <c r="L911" s="309"/>
      <c r="M911" s="309"/>
      <c r="N911" s="309"/>
      <c r="O911" s="309"/>
      <c r="P911" s="309"/>
      <c r="Q911" s="309"/>
      <c r="R911" s="309"/>
      <c r="S911" s="309"/>
      <c r="T911" s="309"/>
      <c r="U911" s="309"/>
      <c r="V911" s="309"/>
      <c r="W911" s="309"/>
      <c r="X911" s="309"/>
      <c r="Y911" s="309"/>
      <c r="Z911" s="309"/>
      <c r="AA911" s="309"/>
    </row>
    <row r="912" spans="2:27" ht="15.75" customHeight="1">
      <c r="B912" s="309"/>
      <c r="C912" s="309"/>
      <c r="D912" s="309"/>
      <c r="E912" s="309"/>
      <c r="F912" s="309"/>
      <c r="G912" s="309"/>
      <c r="H912" s="309"/>
      <c r="I912" s="309"/>
      <c r="J912" s="309"/>
      <c r="K912" s="309"/>
      <c r="L912" s="309"/>
      <c r="M912" s="309"/>
      <c r="N912" s="309"/>
      <c r="O912" s="309"/>
      <c r="P912" s="309"/>
      <c r="Q912" s="309"/>
      <c r="R912" s="309"/>
      <c r="S912" s="309"/>
      <c r="T912" s="309"/>
      <c r="U912" s="309"/>
      <c r="V912" s="309"/>
      <c r="W912" s="309"/>
      <c r="X912" s="309"/>
      <c r="Y912" s="309"/>
      <c r="Z912" s="309"/>
      <c r="AA912" s="309"/>
    </row>
    <row r="913" spans="2:27" ht="15.75" customHeight="1">
      <c r="B913" s="309"/>
      <c r="C913" s="309"/>
      <c r="D913" s="309"/>
      <c r="E913" s="309"/>
      <c r="F913" s="309"/>
      <c r="G913" s="309"/>
      <c r="H913" s="309"/>
      <c r="I913" s="309"/>
      <c r="J913" s="309"/>
      <c r="K913" s="309"/>
      <c r="L913" s="309"/>
      <c r="M913" s="309"/>
      <c r="N913" s="309"/>
      <c r="O913" s="309"/>
      <c r="P913" s="309"/>
      <c r="Q913" s="309"/>
      <c r="R913" s="309"/>
      <c r="S913" s="309"/>
      <c r="T913" s="309"/>
      <c r="U913" s="309"/>
      <c r="V913" s="309"/>
      <c r="W913" s="309"/>
      <c r="X913" s="309"/>
      <c r="Y913" s="309"/>
      <c r="Z913" s="309"/>
      <c r="AA913" s="309"/>
    </row>
    <row r="914" spans="2:27" ht="15.75" customHeight="1">
      <c r="B914" s="309"/>
      <c r="C914" s="309"/>
      <c r="D914" s="309"/>
      <c r="E914" s="309"/>
      <c r="F914" s="309"/>
      <c r="G914" s="309"/>
      <c r="H914" s="309"/>
      <c r="I914" s="309"/>
      <c r="J914" s="309"/>
      <c r="K914" s="309"/>
      <c r="L914" s="309"/>
      <c r="M914" s="309"/>
      <c r="N914" s="309"/>
      <c r="O914" s="309"/>
      <c r="P914" s="309"/>
      <c r="Q914" s="309"/>
      <c r="R914" s="309"/>
      <c r="S914" s="309"/>
      <c r="T914" s="309"/>
      <c r="U914" s="309"/>
      <c r="V914" s="309"/>
      <c r="W914" s="309"/>
      <c r="X914" s="309"/>
      <c r="Y914" s="309"/>
      <c r="Z914" s="309"/>
      <c r="AA914" s="309"/>
    </row>
    <row r="915" spans="2:27" ht="15.75" customHeight="1">
      <c r="B915" s="309"/>
      <c r="C915" s="309"/>
      <c r="D915" s="309"/>
      <c r="E915" s="309"/>
      <c r="F915" s="309"/>
      <c r="G915" s="309"/>
      <c r="H915" s="309"/>
      <c r="I915" s="309"/>
      <c r="J915" s="309"/>
      <c r="K915" s="309"/>
      <c r="L915" s="309"/>
      <c r="M915" s="309"/>
      <c r="N915" s="309"/>
      <c r="O915" s="309"/>
      <c r="P915" s="309"/>
      <c r="Q915" s="309"/>
      <c r="R915" s="309"/>
      <c r="S915" s="309"/>
      <c r="T915" s="309"/>
      <c r="U915" s="309"/>
      <c r="V915" s="309"/>
      <c r="W915" s="309"/>
      <c r="X915" s="309"/>
      <c r="Y915" s="309"/>
      <c r="Z915" s="309"/>
      <c r="AA915" s="309"/>
    </row>
    <row r="916" spans="2:27" ht="15.75" customHeight="1">
      <c r="B916" s="309"/>
      <c r="C916" s="309"/>
      <c r="D916" s="309"/>
      <c r="E916" s="309"/>
      <c r="F916" s="309"/>
      <c r="G916" s="309"/>
      <c r="H916" s="309"/>
      <c r="I916" s="309"/>
      <c r="J916" s="309"/>
      <c r="K916" s="309"/>
      <c r="L916" s="309"/>
      <c r="M916" s="309"/>
      <c r="N916" s="309"/>
      <c r="O916" s="309"/>
      <c r="P916" s="309"/>
      <c r="Q916" s="309"/>
      <c r="R916" s="309"/>
      <c r="S916" s="309"/>
      <c r="T916" s="309"/>
      <c r="U916" s="309"/>
      <c r="V916" s="309"/>
      <c r="W916" s="309"/>
      <c r="X916" s="309"/>
      <c r="Y916" s="309"/>
      <c r="Z916" s="309"/>
      <c r="AA916" s="309"/>
    </row>
    <row r="917" spans="2:27" ht="15.75" customHeight="1">
      <c r="B917" s="309"/>
      <c r="C917" s="309"/>
      <c r="D917" s="309"/>
      <c r="E917" s="309"/>
      <c r="F917" s="309"/>
      <c r="G917" s="309"/>
      <c r="H917" s="309"/>
      <c r="I917" s="309"/>
      <c r="J917" s="309"/>
      <c r="K917" s="309"/>
      <c r="L917" s="309"/>
      <c r="M917" s="309"/>
      <c r="N917" s="309"/>
      <c r="O917" s="309"/>
      <c r="P917" s="309"/>
      <c r="Q917" s="309"/>
      <c r="R917" s="309"/>
      <c r="S917" s="309"/>
      <c r="T917" s="309"/>
      <c r="U917" s="309"/>
      <c r="V917" s="309"/>
      <c r="W917" s="309"/>
      <c r="X917" s="309"/>
      <c r="Y917" s="309"/>
      <c r="Z917" s="309"/>
      <c r="AA917" s="309"/>
    </row>
    <row r="918" spans="2:27" ht="15.75" customHeight="1">
      <c r="B918" s="309"/>
      <c r="C918" s="309"/>
      <c r="D918" s="309"/>
      <c r="E918" s="309"/>
      <c r="F918" s="309"/>
      <c r="G918" s="309"/>
      <c r="H918" s="309"/>
      <c r="I918" s="309"/>
      <c r="J918" s="309"/>
      <c r="K918" s="309"/>
      <c r="L918" s="309"/>
      <c r="M918" s="309"/>
      <c r="N918" s="309"/>
      <c r="O918" s="309"/>
      <c r="P918" s="309"/>
      <c r="Q918" s="309"/>
      <c r="R918" s="309"/>
      <c r="S918" s="309"/>
      <c r="T918" s="309"/>
      <c r="U918" s="309"/>
      <c r="V918" s="309"/>
      <c r="W918" s="309"/>
      <c r="X918" s="309"/>
      <c r="Y918" s="309"/>
      <c r="Z918" s="309"/>
      <c r="AA918" s="309"/>
    </row>
    <row r="919" spans="2:27" ht="15.75" customHeight="1">
      <c r="B919" s="309"/>
      <c r="C919" s="309"/>
      <c r="D919" s="309"/>
      <c r="E919" s="309"/>
      <c r="F919" s="309"/>
      <c r="G919" s="309"/>
      <c r="H919" s="309"/>
      <c r="I919" s="309"/>
      <c r="J919" s="309"/>
      <c r="K919" s="309"/>
      <c r="L919" s="309"/>
      <c r="M919" s="309"/>
      <c r="N919" s="309"/>
      <c r="O919" s="309"/>
      <c r="P919" s="309"/>
      <c r="Q919" s="309"/>
      <c r="R919" s="309"/>
      <c r="S919" s="309"/>
      <c r="T919" s="309"/>
      <c r="U919" s="309"/>
      <c r="V919" s="309"/>
      <c r="W919" s="309"/>
      <c r="X919" s="309"/>
      <c r="Y919" s="309"/>
      <c r="Z919" s="309"/>
      <c r="AA919" s="309"/>
    </row>
    <row r="920" spans="2:27" ht="15.75" customHeight="1">
      <c r="B920" s="309"/>
      <c r="C920" s="309"/>
      <c r="D920" s="309"/>
      <c r="E920" s="309"/>
      <c r="F920" s="309"/>
      <c r="G920" s="309"/>
      <c r="H920" s="309"/>
      <c r="I920" s="309"/>
      <c r="J920" s="309"/>
      <c r="K920" s="309"/>
      <c r="L920" s="309"/>
      <c r="M920" s="309"/>
      <c r="N920" s="309"/>
      <c r="O920" s="309"/>
      <c r="P920" s="309"/>
      <c r="Q920" s="309"/>
      <c r="R920" s="309"/>
      <c r="S920" s="309"/>
      <c r="T920" s="309"/>
      <c r="U920" s="309"/>
      <c r="V920" s="309"/>
      <c r="W920" s="309"/>
      <c r="X920" s="309"/>
      <c r="Y920" s="309"/>
      <c r="Z920" s="309"/>
      <c r="AA920" s="309"/>
    </row>
    <row r="921" spans="2:27" ht="15.75" customHeight="1">
      <c r="B921" s="309"/>
      <c r="C921" s="309"/>
      <c r="D921" s="309"/>
      <c r="E921" s="309"/>
      <c r="F921" s="309"/>
      <c r="G921" s="309"/>
      <c r="H921" s="309"/>
      <c r="I921" s="309"/>
      <c r="J921" s="309"/>
      <c r="K921" s="309"/>
      <c r="L921" s="309"/>
      <c r="M921" s="309"/>
      <c r="N921" s="309"/>
      <c r="O921" s="309"/>
      <c r="P921" s="309"/>
      <c r="Q921" s="309"/>
      <c r="R921" s="309"/>
      <c r="S921" s="309"/>
      <c r="T921" s="309"/>
      <c r="U921" s="309"/>
      <c r="V921" s="309"/>
      <c r="W921" s="309"/>
      <c r="X921" s="309"/>
      <c r="Y921" s="309"/>
      <c r="Z921" s="309"/>
      <c r="AA921" s="309"/>
    </row>
    <row r="922" spans="2:27" ht="15.75" customHeight="1">
      <c r="B922" s="309"/>
      <c r="C922" s="309"/>
      <c r="D922" s="309"/>
      <c r="E922" s="309"/>
      <c r="F922" s="309"/>
      <c r="G922" s="309"/>
      <c r="H922" s="309"/>
      <c r="I922" s="309"/>
      <c r="J922" s="309"/>
      <c r="K922" s="309"/>
      <c r="L922" s="309"/>
      <c r="M922" s="309"/>
      <c r="N922" s="309"/>
      <c r="O922" s="309"/>
      <c r="P922" s="309"/>
      <c r="Q922" s="309"/>
      <c r="R922" s="309"/>
      <c r="S922" s="309"/>
      <c r="T922" s="309"/>
      <c r="U922" s="309"/>
      <c r="V922" s="309"/>
      <c r="W922" s="309"/>
      <c r="X922" s="309"/>
      <c r="Y922" s="309"/>
      <c r="Z922" s="309"/>
      <c r="AA922" s="309"/>
    </row>
    <row r="923" spans="2:27" ht="15.75" customHeight="1">
      <c r="B923" s="309"/>
      <c r="C923" s="309"/>
      <c r="D923" s="309"/>
      <c r="E923" s="309"/>
      <c r="F923" s="309"/>
      <c r="G923" s="309"/>
      <c r="H923" s="309"/>
      <c r="I923" s="309"/>
      <c r="J923" s="309"/>
      <c r="K923" s="309"/>
      <c r="L923" s="309"/>
      <c r="M923" s="309"/>
      <c r="N923" s="309"/>
      <c r="O923" s="309"/>
      <c r="P923" s="309"/>
      <c r="Q923" s="309"/>
      <c r="R923" s="309"/>
      <c r="S923" s="309"/>
      <c r="T923" s="309"/>
      <c r="U923" s="309"/>
      <c r="V923" s="309"/>
      <c r="W923" s="309"/>
      <c r="X923" s="309"/>
      <c r="Y923" s="309"/>
      <c r="Z923" s="309"/>
      <c r="AA923" s="309"/>
    </row>
    <row r="924" spans="2:27" ht="15.75" customHeight="1">
      <c r="B924" s="309"/>
      <c r="C924" s="309"/>
      <c r="D924" s="309"/>
      <c r="E924" s="309"/>
      <c r="F924" s="309"/>
      <c r="G924" s="309"/>
      <c r="H924" s="309"/>
      <c r="I924" s="309"/>
      <c r="J924" s="309"/>
      <c r="K924" s="309"/>
      <c r="L924" s="309"/>
      <c r="M924" s="309"/>
      <c r="N924" s="309"/>
      <c r="O924" s="309"/>
      <c r="P924" s="309"/>
      <c r="Q924" s="309"/>
      <c r="R924" s="309"/>
      <c r="S924" s="309"/>
      <c r="T924" s="309"/>
      <c r="U924" s="309"/>
      <c r="V924" s="309"/>
      <c r="W924" s="309"/>
      <c r="X924" s="309"/>
      <c r="Y924" s="309"/>
      <c r="Z924" s="309"/>
      <c r="AA924" s="309"/>
    </row>
    <row r="925" spans="2:27" ht="15.75" customHeight="1">
      <c r="B925" s="309"/>
      <c r="C925" s="309"/>
      <c r="D925" s="309"/>
      <c r="E925" s="309"/>
      <c r="F925" s="309"/>
      <c r="G925" s="309"/>
      <c r="H925" s="309"/>
      <c r="I925" s="309"/>
      <c r="J925" s="309"/>
      <c r="K925" s="309"/>
      <c r="L925" s="309"/>
      <c r="M925" s="309"/>
      <c r="N925" s="309"/>
      <c r="O925" s="309"/>
      <c r="P925" s="309"/>
      <c r="Q925" s="309"/>
      <c r="R925" s="309"/>
      <c r="S925" s="309"/>
      <c r="T925" s="309"/>
      <c r="U925" s="309"/>
      <c r="V925" s="309"/>
      <c r="W925" s="309"/>
      <c r="X925" s="309"/>
      <c r="Y925" s="309"/>
      <c r="Z925" s="309"/>
      <c r="AA925" s="309"/>
    </row>
    <row r="926" spans="2:27" ht="15.75" customHeight="1">
      <c r="B926" s="309"/>
      <c r="C926" s="309"/>
      <c r="D926" s="309"/>
      <c r="E926" s="309"/>
      <c r="F926" s="309"/>
      <c r="G926" s="309"/>
      <c r="H926" s="309"/>
      <c r="I926" s="309"/>
      <c r="J926" s="309"/>
      <c r="K926" s="309"/>
      <c r="L926" s="309"/>
      <c r="M926" s="309"/>
      <c r="N926" s="309"/>
      <c r="O926" s="309"/>
      <c r="P926" s="309"/>
      <c r="Q926" s="309"/>
      <c r="R926" s="309"/>
      <c r="S926" s="309"/>
      <c r="T926" s="309"/>
      <c r="U926" s="309"/>
      <c r="V926" s="309"/>
      <c r="W926" s="309"/>
      <c r="X926" s="309"/>
      <c r="Y926" s="309"/>
      <c r="Z926" s="309"/>
      <c r="AA926" s="309"/>
    </row>
    <row r="927" spans="2:27" ht="15.75" customHeight="1">
      <c r="B927" s="309"/>
      <c r="C927" s="309"/>
      <c r="D927" s="309"/>
      <c r="E927" s="309"/>
      <c r="F927" s="309"/>
      <c r="G927" s="309"/>
      <c r="H927" s="309"/>
      <c r="I927" s="309"/>
      <c r="J927" s="309"/>
      <c r="K927" s="309"/>
      <c r="L927" s="309"/>
      <c r="M927" s="309"/>
      <c r="N927" s="309"/>
      <c r="O927" s="309"/>
      <c r="P927" s="309"/>
      <c r="Q927" s="309"/>
      <c r="R927" s="309"/>
      <c r="S927" s="309"/>
      <c r="T927" s="309"/>
      <c r="U927" s="309"/>
      <c r="V927" s="309"/>
      <c r="W927" s="309"/>
      <c r="X927" s="309"/>
      <c r="Y927" s="309"/>
      <c r="Z927" s="309"/>
      <c r="AA927" s="309"/>
    </row>
    <row r="928" spans="2:27" ht="15.75" customHeight="1">
      <c r="B928" s="309"/>
      <c r="C928" s="309"/>
      <c r="D928" s="309"/>
      <c r="E928" s="309"/>
      <c r="F928" s="309"/>
      <c r="G928" s="309"/>
      <c r="H928" s="309"/>
      <c r="I928" s="309"/>
      <c r="J928" s="309"/>
      <c r="K928" s="309"/>
      <c r="L928" s="309"/>
      <c r="M928" s="309"/>
      <c r="N928" s="309"/>
      <c r="O928" s="309"/>
      <c r="P928" s="309"/>
      <c r="Q928" s="309"/>
      <c r="R928" s="309"/>
      <c r="S928" s="309"/>
      <c r="T928" s="309"/>
      <c r="U928" s="309"/>
      <c r="V928" s="309"/>
      <c r="W928" s="309"/>
      <c r="X928" s="309"/>
      <c r="Y928" s="309"/>
      <c r="Z928" s="309"/>
      <c r="AA928" s="309"/>
    </row>
    <row r="929" spans="2:27" ht="15.75" customHeight="1">
      <c r="B929" s="309"/>
      <c r="C929" s="309"/>
      <c r="D929" s="309"/>
      <c r="E929" s="309"/>
      <c r="F929" s="309"/>
      <c r="G929" s="309"/>
      <c r="H929" s="309"/>
      <c r="I929" s="309"/>
      <c r="J929" s="309"/>
      <c r="K929" s="309"/>
      <c r="L929" s="309"/>
      <c r="M929" s="309"/>
      <c r="N929" s="309"/>
      <c r="O929" s="309"/>
      <c r="P929" s="309"/>
      <c r="Q929" s="309"/>
      <c r="R929" s="309"/>
      <c r="S929" s="309"/>
      <c r="T929" s="309"/>
      <c r="U929" s="309"/>
      <c r="V929" s="309"/>
      <c r="W929" s="309"/>
      <c r="X929" s="309"/>
      <c r="Y929" s="309"/>
      <c r="Z929" s="309"/>
      <c r="AA929" s="309"/>
    </row>
    <row r="930" spans="2:27" ht="15.75" customHeight="1">
      <c r="B930" s="309"/>
      <c r="C930" s="309"/>
      <c r="D930" s="309"/>
      <c r="E930" s="309"/>
      <c r="F930" s="309"/>
      <c r="G930" s="309"/>
      <c r="H930" s="309"/>
      <c r="I930" s="309"/>
      <c r="J930" s="309"/>
      <c r="K930" s="309"/>
      <c r="L930" s="309"/>
      <c r="M930" s="309"/>
      <c r="N930" s="309"/>
      <c r="O930" s="309"/>
      <c r="P930" s="309"/>
      <c r="Q930" s="309"/>
      <c r="R930" s="309"/>
      <c r="S930" s="309"/>
      <c r="T930" s="309"/>
      <c r="U930" s="309"/>
      <c r="V930" s="309"/>
      <c r="W930" s="309"/>
      <c r="X930" s="309"/>
      <c r="Y930" s="309"/>
      <c r="Z930" s="309"/>
      <c r="AA930" s="309"/>
    </row>
    <row r="931" spans="2:27" ht="15.75" customHeight="1">
      <c r="B931" s="309"/>
      <c r="C931" s="309"/>
      <c r="D931" s="309"/>
      <c r="E931" s="309"/>
      <c r="F931" s="309"/>
      <c r="G931" s="309"/>
      <c r="H931" s="309"/>
      <c r="I931" s="309"/>
      <c r="J931" s="309"/>
      <c r="K931" s="309"/>
      <c r="L931" s="309"/>
      <c r="M931" s="309"/>
      <c r="N931" s="309"/>
      <c r="O931" s="309"/>
      <c r="P931" s="309"/>
      <c r="Q931" s="309"/>
      <c r="R931" s="309"/>
      <c r="S931" s="309"/>
      <c r="T931" s="309"/>
      <c r="U931" s="309"/>
      <c r="V931" s="309"/>
      <c r="W931" s="309"/>
      <c r="X931" s="309"/>
      <c r="Y931" s="309"/>
      <c r="Z931" s="309"/>
      <c r="AA931" s="309"/>
    </row>
    <row r="932" spans="2:27" ht="15.75" customHeight="1">
      <c r="B932" s="309"/>
      <c r="C932" s="309"/>
      <c r="D932" s="309"/>
      <c r="E932" s="309"/>
      <c r="F932" s="309"/>
      <c r="G932" s="309"/>
      <c r="H932" s="309"/>
      <c r="I932" s="309"/>
      <c r="J932" s="309"/>
      <c r="K932" s="309"/>
      <c r="L932" s="309"/>
      <c r="M932" s="309"/>
      <c r="N932" s="309"/>
      <c r="O932" s="309"/>
      <c r="P932" s="309"/>
      <c r="Q932" s="309"/>
      <c r="R932" s="309"/>
      <c r="S932" s="309"/>
      <c r="T932" s="309"/>
      <c r="U932" s="309"/>
      <c r="V932" s="309"/>
      <c r="W932" s="309"/>
      <c r="X932" s="309"/>
      <c r="Y932" s="309"/>
      <c r="Z932" s="309"/>
      <c r="AA932" s="309"/>
    </row>
    <row r="933" spans="2:27" ht="15.75" customHeight="1">
      <c r="B933" s="309"/>
      <c r="C933" s="309"/>
      <c r="D933" s="309"/>
      <c r="E933" s="309"/>
      <c r="F933" s="309"/>
      <c r="G933" s="309"/>
      <c r="H933" s="309"/>
      <c r="I933" s="309"/>
      <c r="J933" s="309"/>
      <c r="K933" s="309"/>
      <c r="L933" s="309"/>
      <c r="M933" s="309"/>
      <c r="N933" s="309"/>
      <c r="O933" s="309"/>
      <c r="P933" s="309"/>
      <c r="Q933" s="309"/>
      <c r="R933" s="309"/>
      <c r="S933" s="309"/>
      <c r="T933" s="309"/>
      <c r="U933" s="309"/>
      <c r="V933" s="309"/>
      <c r="W933" s="309"/>
      <c r="X933" s="309"/>
      <c r="Y933" s="309"/>
      <c r="Z933" s="309"/>
      <c r="AA933" s="309"/>
    </row>
    <row r="934" spans="2:27" ht="15.75" customHeight="1">
      <c r="B934" s="309"/>
      <c r="C934" s="309"/>
      <c r="D934" s="309"/>
      <c r="E934" s="309"/>
      <c r="F934" s="309"/>
      <c r="G934" s="309"/>
      <c r="H934" s="309"/>
      <c r="I934" s="309"/>
      <c r="J934" s="309"/>
      <c r="K934" s="309"/>
      <c r="L934" s="309"/>
      <c r="M934" s="309"/>
      <c r="N934" s="309"/>
      <c r="O934" s="309"/>
      <c r="P934" s="309"/>
      <c r="Q934" s="309"/>
      <c r="R934" s="309"/>
      <c r="S934" s="309"/>
      <c r="T934" s="309"/>
      <c r="U934" s="309"/>
      <c r="V934" s="309"/>
      <c r="W934" s="309"/>
      <c r="X934" s="309"/>
      <c r="Y934" s="309"/>
      <c r="Z934" s="309"/>
      <c r="AA934" s="309"/>
    </row>
    <row r="935" spans="2:27" ht="15.75" customHeight="1">
      <c r="B935" s="309"/>
      <c r="C935" s="309"/>
      <c r="D935" s="309"/>
      <c r="E935" s="309"/>
      <c r="F935" s="309"/>
      <c r="G935" s="309"/>
      <c r="H935" s="309"/>
      <c r="I935" s="309"/>
      <c r="J935" s="309"/>
      <c r="K935" s="309"/>
      <c r="L935" s="309"/>
      <c r="M935" s="309"/>
      <c r="N935" s="309"/>
      <c r="O935" s="309"/>
      <c r="P935" s="309"/>
      <c r="Q935" s="309"/>
      <c r="R935" s="309"/>
      <c r="S935" s="309"/>
      <c r="T935" s="309"/>
      <c r="U935" s="309"/>
      <c r="V935" s="309"/>
      <c r="W935" s="309"/>
      <c r="X935" s="309"/>
      <c r="Y935" s="309"/>
      <c r="Z935" s="309"/>
      <c r="AA935" s="309"/>
    </row>
    <row r="936" spans="2:27" ht="15.75" customHeight="1">
      <c r="B936" s="309"/>
      <c r="C936" s="309"/>
      <c r="D936" s="309"/>
      <c r="E936" s="309"/>
      <c r="F936" s="309"/>
      <c r="G936" s="309"/>
      <c r="H936" s="309"/>
      <c r="I936" s="309"/>
      <c r="J936" s="309"/>
      <c r="K936" s="309"/>
      <c r="L936" s="309"/>
      <c r="M936" s="309"/>
      <c r="N936" s="309"/>
      <c r="O936" s="309"/>
      <c r="P936" s="309"/>
      <c r="Q936" s="309"/>
      <c r="R936" s="309"/>
      <c r="S936" s="309"/>
      <c r="T936" s="309"/>
      <c r="U936" s="309"/>
      <c r="V936" s="309"/>
      <c r="W936" s="309"/>
      <c r="X936" s="309"/>
      <c r="Y936" s="309"/>
      <c r="Z936" s="309"/>
      <c r="AA936" s="309"/>
    </row>
    <row r="937" spans="2:27" ht="15.75" customHeight="1">
      <c r="B937" s="309"/>
      <c r="C937" s="309"/>
      <c r="D937" s="309"/>
      <c r="E937" s="309"/>
      <c r="F937" s="309"/>
      <c r="G937" s="309"/>
      <c r="H937" s="309"/>
      <c r="I937" s="309"/>
      <c r="J937" s="309"/>
      <c r="K937" s="309"/>
      <c r="L937" s="309"/>
      <c r="M937" s="309"/>
      <c r="N937" s="309"/>
      <c r="O937" s="309"/>
      <c r="P937" s="309"/>
      <c r="Q937" s="309"/>
      <c r="R937" s="309"/>
      <c r="S937" s="309"/>
      <c r="T937" s="309"/>
      <c r="U937" s="309"/>
      <c r="V937" s="309"/>
      <c r="W937" s="309"/>
      <c r="X937" s="309"/>
      <c r="Y937" s="309"/>
      <c r="Z937" s="309"/>
      <c r="AA937" s="309"/>
    </row>
    <row r="938" spans="2:27" ht="15.75" customHeight="1">
      <c r="B938" s="309"/>
      <c r="C938" s="309"/>
      <c r="D938" s="309"/>
      <c r="E938" s="309"/>
      <c r="F938" s="309"/>
      <c r="G938" s="309"/>
      <c r="H938" s="309"/>
      <c r="I938" s="309"/>
      <c r="J938" s="309"/>
      <c r="K938" s="309"/>
      <c r="L938" s="309"/>
      <c r="M938" s="309"/>
      <c r="N938" s="309"/>
      <c r="O938" s="309"/>
      <c r="P938" s="309"/>
      <c r="Q938" s="309"/>
      <c r="R938" s="309"/>
      <c r="S938" s="309"/>
      <c r="T938" s="309"/>
      <c r="U938" s="309"/>
      <c r="V938" s="309"/>
      <c r="W938" s="309"/>
      <c r="X938" s="309"/>
      <c r="Y938" s="309"/>
      <c r="Z938" s="309"/>
      <c r="AA938" s="309"/>
    </row>
    <row r="939" spans="2:27" ht="15.75" customHeight="1">
      <c r="B939" s="309"/>
      <c r="C939" s="309"/>
      <c r="D939" s="309"/>
      <c r="E939" s="309"/>
      <c r="F939" s="309"/>
      <c r="G939" s="309"/>
      <c r="H939" s="309"/>
      <c r="I939" s="309"/>
      <c r="J939" s="309"/>
      <c r="K939" s="309"/>
      <c r="L939" s="309"/>
      <c r="M939" s="309"/>
      <c r="N939" s="309"/>
      <c r="O939" s="309"/>
      <c r="P939" s="309"/>
      <c r="Q939" s="309"/>
      <c r="R939" s="309"/>
      <c r="S939" s="309"/>
      <c r="T939" s="309"/>
      <c r="U939" s="309"/>
      <c r="V939" s="309"/>
      <c r="W939" s="309"/>
      <c r="X939" s="309"/>
      <c r="Y939" s="309"/>
      <c r="Z939" s="309"/>
      <c r="AA939" s="309"/>
    </row>
    <row r="940" spans="2:27" ht="15.75" customHeight="1">
      <c r="B940" s="309"/>
      <c r="C940" s="309"/>
      <c r="D940" s="309"/>
      <c r="E940" s="309"/>
      <c r="F940" s="309"/>
      <c r="G940" s="309"/>
      <c r="H940" s="309"/>
      <c r="I940" s="309"/>
      <c r="J940" s="309"/>
      <c r="K940" s="309"/>
      <c r="L940" s="309"/>
      <c r="M940" s="309"/>
      <c r="N940" s="309"/>
      <c r="O940" s="309"/>
      <c r="P940" s="309"/>
      <c r="Q940" s="309"/>
      <c r="R940" s="309"/>
      <c r="S940" s="309"/>
      <c r="T940" s="309"/>
      <c r="U940" s="309"/>
      <c r="V940" s="309"/>
      <c r="W940" s="309"/>
      <c r="X940" s="309"/>
      <c r="Y940" s="309"/>
      <c r="Z940" s="309"/>
      <c r="AA940" s="309"/>
    </row>
    <row r="941" spans="2:27" ht="15.75" customHeight="1">
      <c r="B941" s="309"/>
      <c r="C941" s="309"/>
      <c r="D941" s="309"/>
      <c r="E941" s="309"/>
      <c r="F941" s="309"/>
      <c r="G941" s="309"/>
      <c r="H941" s="309"/>
      <c r="I941" s="309"/>
      <c r="J941" s="309"/>
      <c r="K941" s="309"/>
      <c r="L941" s="309"/>
      <c r="M941" s="309"/>
      <c r="N941" s="309"/>
      <c r="O941" s="309"/>
      <c r="P941" s="309"/>
      <c r="Q941" s="309"/>
      <c r="R941" s="309"/>
      <c r="S941" s="309"/>
      <c r="T941" s="309"/>
      <c r="U941" s="309"/>
      <c r="V941" s="309"/>
      <c r="W941" s="309"/>
      <c r="X941" s="309"/>
      <c r="Y941" s="309"/>
      <c r="Z941" s="309"/>
      <c r="AA941" s="309"/>
    </row>
    <row r="942" spans="2:27" ht="15.75" customHeight="1">
      <c r="B942" s="309"/>
      <c r="C942" s="309"/>
      <c r="D942" s="309"/>
      <c r="E942" s="309"/>
      <c r="F942" s="309"/>
      <c r="G942" s="309"/>
      <c r="H942" s="309"/>
      <c r="I942" s="309"/>
      <c r="J942" s="309"/>
      <c r="K942" s="309"/>
      <c r="L942" s="309"/>
      <c r="M942" s="309"/>
      <c r="N942" s="309"/>
      <c r="O942" s="309"/>
      <c r="P942" s="309"/>
      <c r="Q942" s="309"/>
      <c r="R942" s="309"/>
      <c r="S942" s="309"/>
      <c r="T942" s="309"/>
      <c r="U942" s="309"/>
      <c r="V942" s="309"/>
      <c r="W942" s="309"/>
      <c r="X942" s="309"/>
      <c r="Y942" s="309"/>
      <c r="Z942" s="309"/>
      <c r="AA942" s="309"/>
    </row>
    <row r="943" spans="2:27" ht="15.75" customHeight="1">
      <c r="B943" s="309"/>
      <c r="C943" s="309"/>
      <c r="D943" s="309"/>
      <c r="E943" s="309"/>
      <c r="F943" s="309"/>
      <c r="G943" s="309"/>
      <c r="H943" s="309"/>
      <c r="I943" s="309"/>
      <c r="J943" s="309"/>
      <c r="K943" s="309"/>
      <c r="L943" s="309"/>
      <c r="M943" s="309"/>
      <c r="N943" s="309"/>
      <c r="O943" s="309"/>
      <c r="P943" s="309"/>
      <c r="Q943" s="309"/>
      <c r="R943" s="309"/>
      <c r="S943" s="309"/>
      <c r="T943" s="309"/>
      <c r="U943" s="309"/>
      <c r="V943" s="309"/>
      <c r="W943" s="309"/>
      <c r="X943" s="309"/>
      <c r="Y943" s="309"/>
      <c r="Z943" s="309"/>
      <c r="AA943" s="309"/>
    </row>
    <row r="944" spans="2:27" ht="15.75" customHeight="1">
      <c r="B944" s="309"/>
      <c r="C944" s="309"/>
      <c r="D944" s="309"/>
      <c r="E944" s="309"/>
      <c r="F944" s="309"/>
      <c r="G944" s="309"/>
      <c r="H944" s="309"/>
      <c r="I944" s="309"/>
      <c r="J944" s="309"/>
      <c r="K944" s="309"/>
      <c r="L944" s="309"/>
      <c r="M944" s="309"/>
      <c r="N944" s="309"/>
      <c r="O944" s="309"/>
      <c r="P944" s="309"/>
      <c r="Q944" s="309"/>
      <c r="R944" s="309"/>
      <c r="S944" s="309"/>
      <c r="T944" s="309"/>
      <c r="U944" s="309"/>
      <c r="V944" s="309"/>
      <c r="W944" s="309"/>
      <c r="X944" s="309"/>
      <c r="Y944" s="309"/>
      <c r="Z944" s="309"/>
      <c r="AA944" s="309"/>
    </row>
    <row r="945" spans="2:27" ht="15.75" customHeight="1">
      <c r="B945" s="309"/>
      <c r="C945" s="309"/>
      <c r="D945" s="309"/>
      <c r="E945" s="309"/>
      <c r="F945" s="309"/>
      <c r="G945" s="309"/>
      <c r="H945" s="309"/>
      <c r="I945" s="309"/>
      <c r="J945" s="309"/>
      <c r="K945" s="309"/>
      <c r="L945" s="309"/>
      <c r="M945" s="309"/>
      <c r="N945" s="309"/>
      <c r="O945" s="309"/>
      <c r="P945" s="309"/>
      <c r="Q945" s="309"/>
      <c r="R945" s="309"/>
      <c r="S945" s="309"/>
      <c r="T945" s="309"/>
      <c r="U945" s="309"/>
      <c r="V945" s="309"/>
      <c r="W945" s="309"/>
      <c r="X945" s="309"/>
      <c r="Y945" s="309"/>
      <c r="Z945" s="309"/>
      <c r="AA945" s="309"/>
    </row>
    <row r="946" spans="2:27" ht="15.75" customHeight="1">
      <c r="B946" s="309"/>
      <c r="C946" s="309"/>
      <c r="D946" s="309"/>
      <c r="E946" s="309"/>
      <c r="F946" s="309"/>
      <c r="G946" s="309"/>
      <c r="H946" s="309"/>
      <c r="I946" s="309"/>
      <c r="J946" s="309"/>
      <c r="K946" s="309"/>
      <c r="L946" s="309"/>
      <c r="M946" s="309"/>
      <c r="N946" s="309"/>
      <c r="O946" s="309"/>
      <c r="P946" s="309"/>
      <c r="Q946" s="309"/>
      <c r="R946" s="309"/>
      <c r="S946" s="309"/>
      <c r="T946" s="309"/>
      <c r="U946" s="309"/>
      <c r="V946" s="309"/>
      <c r="W946" s="309"/>
      <c r="X946" s="309"/>
      <c r="Y946" s="309"/>
      <c r="Z946" s="309"/>
      <c r="AA946" s="309"/>
    </row>
    <row r="947" spans="2:27" ht="15.75" customHeight="1">
      <c r="B947" s="309"/>
      <c r="C947" s="309"/>
      <c r="D947" s="309"/>
      <c r="E947" s="309"/>
      <c r="F947" s="309"/>
      <c r="G947" s="309"/>
      <c r="H947" s="309"/>
      <c r="I947" s="309"/>
      <c r="J947" s="309"/>
      <c r="K947" s="309"/>
      <c r="L947" s="309"/>
      <c r="M947" s="309"/>
      <c r="N947" s="309"/>
      <c r="O947" s="309"/>
      <c r="P947" s="309"/>
      <c r="Q947" s="309"/>
      <c r="R947" s="309"/>
      <c r="S947" s="309"/>
      <c r="T947" s="309"/>
      <c r="U947" s="309"/>
      <c r="V947" s="309"/>
      <c r="W947" s="309"/>
      <c r="X947" s="309"/>
      <c r="Y947" s="309"/>
      <c r="Z947" s="309"/>
      <c r="AA947" s="309"/>
    </row>
    <row r="948" spans="2:27" ht="15.75" customHeight="1">
      <c r="B948" s="309"/>
      <c r="C948" s="309"/>
      <c r="D948" s="309"/>
      <c r="E948" s="309"/>
      <c r="F948" s="309"/>
      <c r="G948" s="309"/>
      <c r="H948" s="309"/>
      <c r="I948" s="309"/>
      <c r="J948" s="309"/>
      <c r="K948" s="309"/>
      <c r="L948" s="309"/>
      <c r="M948" s="309"/>
      <c r="N948" s="309"/>
      <c r="O948" s="309"/>
      <c r="P948" s="309"/>
      <c r="Q948" s="309"/>
      <c r="R948" s="309"/>
      <c r="S948" s="309"/>
      <c r="T948" s="309"/>
      <c r="U948" s="309"/>
      <c r="V948" s="309"/>
      <c r="W948" s="309"/>
      <c r="X948" s="309"/>
      <c r="Y948" s="309"/>
      <c r="Z948" s="309"/>
      <c r="AA948" s="309"/>
    </row>
    <row r="949" spans="2:27" ht="15.75" customHeight="1">
      <c r="B949" s="309"/>
      <c r="C949" s="309"/>
      <c r="D949" s="309"/>
      <c r="E949" s="309"/>
      <c r="F949" s="309"/>
      <c r="G949" s="309"/>
      <c r="H949" s="309"/>
      <c r="I949" s="309"/>
      <c r="J949" s="309"/>
      <c r="K949" s="309"/>
      <c r="L949" s="309"/>
      <c r="M949" s="309"/>
      <c r="N949" s="309"/>
      <c r="O949" s="309"/>
      <c r="P949" s="309"/>
      <c r="Q949" s="309"/>
      <c r="R949" s="309"/>
      <c r="S949" s="309"/>
      <c r="T949" s="309"/>
      <c r="U949" s="309"/>
      <c r="V949" s="309"/>
      <c r="W949" s="309"/>
      <c r="X949" s="309"/>
      <c r="Y949" s="309"/>
      <c r="Z949" s="309"/>
      <c r="AA949" s="309"/>
    </row>
    <row r="950" spans="2:27" ht="15.75" customHeight="1">
      <c r="B950" s="309"/>
      <c r="C950" s="309"/>
      <c r="D950" s="309"/>
      <c r="E950" s="309"/>
      <c r="F950" s="309"/>
      <c r="G950" s="309"/>
      <c r="H950" s="309"/>
      <c r="I950" s="309"/>
      <c r="J950" s="309"/>
      <c r="K950" s="309"/>
      <c r="L950" s="309"/>
      <c r="M950" s="309"/>
      <c r="N950" s="309"/>
      <c r="O950" s="309"/>
      <c r="P950" s="309"/>
      <c r="Q950" s="309"/>
      <c r="R950" s="309"/>
      <c r="S950" s="309"/>
      <c r="T950" s="309"/>
      <c r="U950" s="309"/>
      <c r="V950" s="309"/>
      <c r="W950" s="309"/>
      <c r="X950" s="309"/>
      <c r="Y950" s="309"/>
      <c r="Z950" s="309"/>
      <c r="AA950" s="309"/>
    </row>
    <row r="951" spans="2:27" ht="15.75" customHeight="1">
      <c r="B951" s="309"/>
      <c r="C951" s="309"/>
      <c r="D951" s="309"/>
      <c r="E951" s="309"/>
      <c r="F951" s="309"/>
      <c r="G951" s="309"/>
      <c r="H951" s="309"/>
      <c r="I951" s="309"/>
      <c r="J951" s="309"/>
      <c r="K951" s="309"/>
      <c r="L951" s="309"/>
      <c r="M951" s="309"/>
      <c r="N951" s="309"/>
      <c r="O951" s="309"/>
      <c r="P951" s="309"/>
      <c r="Q951" s="309"/>
      <c r="R951" s="309"/>
      <c r="S951" s="309"/>
      <c r="T951" s="309"/>
      <c r="U951" s="309"/>
      <c r="V951" s="309"/>
      <c r="W951" s="309"/>
      <c r="X951" s="309"/>
      <c r="Y951" s="309"/>
      <c r="Z951" s="309"/>
      <c r="AA951" s="309"/>
    </row>
    <row r="952" spans="2:27" ht="15.75" customHeight="1">
      <c r="B952" s="309"/>
      <c r="C952" s="309"/>
      <c r="D952" s="309"/>
      <c r="E952" s="309"/>
      <c r="F952" s="309"/>
      <c r="G952" s="309"/>
      <c r="H952" s="309"/>
      <c r="I952" s="309"/>
      <c r="J952" s="309"/>
      <c r="K952" s="309"/>
      <c r="L952" s="309"/>
      <c r="M952" s="309"/>
      <c r="N952" s="309"/>
      <c r="O952" s="309"/>
      <c r="P952" s="309"/>
      <c r="Q952" s="309"/>
      <c r="R952" s="309"/>
      <c r="S952" s="309"/>
      <c r="T952" s="309"/>
      <c r="U952" s="309"/>
      <c r="V952" s="309"/>
      <c r="W952" s="309"/>
      <c r="X952" s="309"/>
      <c r="Y952" s="309"/>
      <c r="Z952" s="309"/>
      <c r="AA952" s="309"/>
    </row>
    <row r="953" spans="2:27" ht="15.75" customHeight="1">
      <c r="B953" s="309"/>
      <c r="C953" s="309"/>
      <c r="D953" s="309"/>
      <c r="E953" s="309"/>
      <c r="F953" s="309"/>
      <c r="G953" s="309"/>
      <c r="H953" s="309"/>
      <c r="I953" s="309"/>
      <c r="J953" s="309"/>
      <c r="K953" s="309"/>
      <c r="L953" s="309"/>
      <c r="M953" s="309"/>
      <c r="N953" s="309"/>
      <c r="O953" s="309"/>
      <c r="P953" s="309"/>
      <c r="Q953" s="309"/>
      <c r="R953" s="309"/>
      <c r="S953" s="309"/>
      <c r="T953" s="309"/>
      <c r="U953" s="309"/>
      <c r="V953" s="309"/>
      <c r="W953" s="309"/>
      <c r="X953" s="309"/>
      <c r="Y953" s="309"/>
      <c r="Z953" s="309"/>
      <c r="AA953" s="309"/>
    </row>
    <row r="954" spans="2:27" ht="15.75" customHeight="1">
      <c r="B954" s="309"/>
      <c r="C954" s="309"/>
      <c r="D954" s="309"/>
      <c r="E954" s="309"/>
      <c r="F954" s="309"/>
      <c r="G954" s="309"/>
      <c r="H954" s="309"/>
      <c r="I954" s="309"/>
      <c r="J954" s="309"/>
      <c r="K954" s="309"/>
      <c r="L954" s="309"/>
      <c r="M954" s="309"/>
      <c r="N954" s="309"/>
      <c r="O954" s="309"/>
      <c r="P954" s="309"/>
      <c r="Q954" s="309"/>
      <c r="R954" s="309"/>
      <c r="S954" s="309"/>
      <c r="T954" s="309"/>
      <c r="U954" s="309"/>
      <c r="V954" s="309"/>
      <c r="W954" s="309"/>
      <c r="X954" s="309"/>
      <c r="Y954" s="309"/>
      <c r="Z954" s="309"/>
      <c r="AA954" s="309"/>
    </row>
    <row r="955" spans="2:27" ht="15.75" customHeight="1">
      <c r="B955" s="309"/>
      <c r="C955" s="309"/>
      <c r="D955" s="309"/>
      <c r="E955" s="309"/>
      <c r="F955" s="309"/>
      <c r="G955" s="309"/>
      <c r="H955" s="309"/>
      <c r="I955" s="309"/>
      <c r="J955" s="309"/>
      <c r="K955" s="309"/>
      <c r="L955" s="309"/>
      <c r="M955" s="309"/>
      <c r="N955" s="309"/>
      <c r="O955" s="309"/>
      <c r="P955" s="309"/>
      <c r="Q955" s="309"/>
      <c r="R955" s="309"/>
      <c r="S955" s="309"/>
      <c r="T955" s="309"/>
      <c r="U955" s="309"/>
      <c r="V955" s="309"/>
      <c r="W955" s="309"/>
      <c r="X955" s="309"/>
      <c r="Y955" s="309"/>
      <c r="Z955" s="309"/>
      <c r="AA955" s="309"/>
    </row>
    <row r="956" spans="2:27" ht="15.75" customHeight="1">
      <c r="B956" s="309"/>
      <c r="C956" s="309"/>
      <c r="D956" s="309"/>
      <c r="E956" s="309"/>
      <c r="F956" s="309"/>
      <c r="G956" s="309"/>
      <c r="H956" s="309"/>
      <c r="I956" s="309"/>
      <c r="J956" s="309"/>
      <c r="K956" s="309"/>
      <c r="L956" s="309"/>
      <c r="M956" s="309"/>
      <c r="N956" s="309"/>
      <c r="O956" s="309"/>
      <c r="P956" s="309"/>
      <c r="Q956" s="309"/>
      <c r="R956" s="309"/>
      <c r="S956" s="309"/>
      <c r="T956" s="309"/>
      <c r="U956" s="309"/>
      <c r="V956" s="309"/>
      <c r="W956" s="309"/>
      <c r="X956" s="309"/>
      <c r="Y956" s="309"/>
      <c r="Z956" s="309"/>
      <c r="AA956" s="309"/>
    </row>
    <row r="957" spans="2:27" ht="15.75" customHeight="1">
      <c r="B957" s="309"/>
      <c r="C957" s="309"/>
      <c r="D957" s="309"/>
      <c r="E957" s="309"/>
      <c r="F957" s="309"/>
      <c r="G957" s="309"/>
      <c r="H957" s="309"/>
      <c r="I957" s="309"/>
      <c r="J957" s="309"/>
      <c r="K957" s="309"/>
      <c r="L957" s="309"/>
      <c r="M957" s="309"/>
      <c r="N957" s="309"/>
      <c r="O957" s="309"/>
      <c r="P957" s="309"/>
      <c r="Q957" s="309"/>
      <c r="R957" s="309"/>
      <c r="S957" s="309"/>
      <c r="T957" s="309"/>
      <c r="U957" s="309"/>
      <c r="V957" s="309"/>
      <c r="W957" s="309"/>
      <c r="X957" s="309"/>
      <c r="Y957" s="309"/>
      <c r="Z957" s="309"/>
      <c r="AA957" s="309"/>
    </row>
    <row r="958" spans="2:27" ht="15.75" customHeight="1">
      <c r="B958" s="309"/>
      <c r="C958" s="309"/>
      <c r="D958" s="309"/>
      <c r="E958" s="309"/>
      <c r="F958" s="309"/>
      <c r="G958" s="309"/>
      <c r="H958" s="309"/>
      <c r="I958" s="309"/>
      <c r="J958" s="309"/>
      <c r="K958" s="309"/>
      <c r="L958" s="309"/>
      <c r="M958" s="309"/>
      <c r="N958" s="309"/>
      <c r="O958" s="309"/>
      <c r="P958" s="309"/>
      <c r="Q958" s="309"/>
      <c r="R958" s="309"/>
      <c r="S958" s="309"/>
      <c r="T958" s="309"/>
      <c r="U958" s="309"/>
      <c r="V958" s="309"/>
      <c r="W958" s="309"/>
      <c r="X958" s="309"/>
      <c r="Y958" s="309"/>
      <c r="Z958" s="309"/>
      <c r="AA958" s="309"/>
    </row>
    <row r="959" spans="2:27" ht="15.75" customHeight="1">
      <c r="B959" s="309"/>
      <c r="C959" s="309"/>
      <c r="D959" s="309"/>
      <c r="E959" s="309"/>
      <c r="F959" s="309"/>
      <c r="G959" s="309"/>
      <c r="H959" s="309"/>
      <c r="I959" s="309"/>
      <c r="J959" s="309"/>
      <c r="K959" s="309"/>
      <c r="L959" s="309"/>
      <c r="M959" s="309"/>
      <c r="N959" s="309"/>
      <c r="O959" s="309"/>
      <c r="P959" s="309"/>
      <c r="Q959" s="309"/>
      <c r="R959" s="309"/>
      <c r="S959" s="309"/>
      <c r="T959" s="309"/>
      <c r="U959" s="309"/>
      <c r="V959" s="309"/>
      <c r="W959" s="309"/>
      <c r="X959" s="309"/>
      <c r="Y959" s="309"/>
      <c r="Z959" s="309"/>
      <c r="AA959" s="309"/>
    </row>
    <row r="960" spans="2:27" ht="15.75" customHeight="1">
      <c r="B960" s="309"/>
      <c r="C960" s="309"/>
      <c r="D960" s="309"/>
      <c r="E960" s="309"/>
      <c r="F960" s="309"/>
      <c r="G960" s="309"/>
      <c r="H960" s="309"/>
      <c r="I960" s="309"/>
      <c r="J960" s="309"/>
      <c r="K960" s="309"/>
      <c r="L960" s="309"/>
      <c r="M960" s="309"/>
      <c r="N960" s="309"/>
      <c r="O960" s="309"/>
      <c r="P960" s="309"/>
      <c r="Q960" s="309"/>
      <c r="R960" s="309"/>
      <c r="S960" s="309"/>
      <c r="T960" s="309"/>
      <c r="U960" s="309"/>
      <c r="V960" s="309"/>
      <c r="W960" s="309"/>
      <c r="X960" s="309"/>
      <c r="Y960" s="309"/>
      <c r="Z960" s="309"/>
      <c r="AA960" s="309"/>
    </row>
    <row r="961" spans="2:27" ht="15.75" customHeight="1">
      <c r="B961" s="309"/>
      <c r="C961" s="309"/>
      <c r="D961" s="309"/>
      <c r="E961" s="309"/>
      <c r="F961" s="309"/>
      <c r="G961" s="309"/>
      <c r="H961" s="309"/>
      <c r="I961" s="309"/>
      <c r="J961" s="309"/>
      <c r="K961" s="309"/>
      <c r="L961" s="309"/>
      <c r="M961" s="309"/>
      <c r="N961" s="309"/>
      <c r="O961" s="309"/>
      <c r="P961" s="309"/>
      <c r="Q961" s="309"/>
      <c r="R961" s="309"/>
      <c r="S961" s="309"/>
      <c r="T961" s="309"/>
      <c r="U961" s="309"/>
      <c r="V961" s="309"/>
      <c r="W961" s="309"/>
      <c r="X961" s="309"/>
      <c r="Y961" s="309"/>
      <c r="Z961" s="309"/>
      <c r="AA961" s="309"/>
    </row>
    <row r="962" spans="2:27" ht="15.75" customHeight="1">
      <c r="B962" s="309"/>
      <c r="C962" s="309"/>
      <c r="D962" s="309"/>
      <c r="E962" s="309"/>
      <c r="F962" s="309"/>
      <c r="G962" s="309"/>
      <c r="H962" s="309"/>
      <c r="I962" s="309"/>
      <c r="J962" s="309"/>
      <c r="K962" s="309"/>
      <c r="L962" s="309"/>
      <c r="M962" s="309"/>
      <c r="N962" s="309"/>
      <c r="O962" s="309"/>
      <c r="P962" s="309"/>
      <c r="Q962" s="309"/>
      <c r="R962" s="309"/>
      <c r="S962" s="309"/>
      <c r="T962" s="309"/>
      <c r="U962" s="309"/>
      <c r="V962" s="309"/>
      <c r="W962" s="309"/>
      <c r="X962" s="309"/>
      <c r="Y962" s="309"/>
      <c r="Z962" s="309"/>
      <c r="AA962" s="309"/>
    </row>
    <row r="963" spans="2:27" ht="15.75" customHeight="1">
      <c r="B963" s="309"/>
      <c r="C963" s="309"/>
      <c r="D963" s="309"/>
      <c r="E963" s="309"/>
      <c r="F963" s="309"/>
      <c r="G963" s="309"/>
      <c r="H963" s="309"/>
      <c r="I963" s="309"/>
      <c r="J963" s="309"/>
      <c r="K963" s="309"/>
      <c r="L963" s="309"/>
      <c r="M963" s="309"/>
      <c r="N963" s="309"/>
      <c r="O963" s="309"/>
      <c r="P963" s="309"/>
      <c r="Q963" s="309"/>
      <c r="R963" s="309"/>
      <c r="S963" s="309"/>
      <c r="T963" s="309"/>
      <c r="U963" s="309"/>
      <c r="V963" s="309"/>
      <c r="W963" s="309"/>
      <c r="X963" s="309"/>
      <c r="Y963" s="309"/>
      <c r="Z963" s="309"/>
      <c r="AA963" s="309"/>
    </row>
    <row r="964" spans="2:27" ht="15.75" customHeight="1">
      <c r="B964" s="309"/>
      <c r="C964" s="309"/>
      <c r="D964" s="309"/>
      <c r="E964" s="309"/>
      <c r="F964" s="309"/>
      <c r="G964" s="309"/>
      <c r="H964" s="309"/>
      <c r="I964" s="309"/>
      <c r="J964" s="309"/>
      <c r="K964" s="309"/>
      <c r="L964" s="309"/>
      <c r="M964" s="309"/>
      <c r="N964" s="309"/>
      <c r="O964" s="309"/>
      <c r="P964" s="309"/>
      <c r="Q964" s="309"/>
      <c r="R964" s="309"/>
      <c r="S964" s="309"/>
      <c r="T964" s="309"/>
      <c r="U964" s="309"/>
      <c r="V964" s="309"/>
      <c r="W964" s="309"/>
      <c r="X964" s="309"/>
      <c r="Y964" s="309"/>
      <c r="Z964" s="309"/>
      <c r="AA964" s="309"/>
    </row>
    <row r="965" spans="2:27" ht="15.75" customHeight="1">
      <c r="B965" s="309"/>
      <c r="C965" s="309"/>
      <c r="D965" s="309"/>
      <c r="E965" s="309"/>
      <c r="F965" s="309"/>
      <c r="G965" s="309"/>
      <c r="H965" s="309"/>
      <c r="I965" s="309"/>
      <c r="J965" s="309"/>
      <c r="K965" s="309"/>
      <c r="L965" s="309"/>
      <c r="M965" s="309"/>
      <c r="N965" s="309"/>
      <c r="O965" s="309"/>
      <c r="P965" s="309"/>
      <c r="Q965" s="309"/>
      <c r="R965" s="309"/>
      <c r="S965" s="309"/>
      <c r="T965" s="309"/>
      <c r="U965" s="309"/>
      <c r="V965" s="309"/>
      <c r="W965" s="309"/>
      <c r="X965" s="309"/>
      <c r="Y965" s="309"/>
      <c r="Z965" s="309"/>
      <c r="AA965" s="309"/>
    </row>
    <row r="966" spans="2:27" ht="15.75" customHeight="1">
      <c r="B966" s="309"/>
      <c r="C966" s="309"/>
      <c r="D966" s="309"/>
      <c r="E966" s="309"/>
      <c r="F966" s="309"/>
      <c r="G966" s="309"/>
      <c r="H966" s="309"/>
      <c r="I966" s="309"/>
      <c r="J966" s="309"/>
      <c r="K966" s="309"/>
      <c r="L966" s="309"/>
      <c r="M966" s="309"/>
      <c r="N966" s="309"/>
      <c r="O966" s="309"/>
      <c r="P966" s="309"/>
      <c r="Q966" s="309"/>
      <c r="R966" s="309"/>
      <c r="S966" s="309"/>
      <c r="T966" s="309"/>
      <c r="U966" s="309"/>
      <c r="V966" s="309"/>
      <c r="W966" s="309"/>
      <c r="X966" s="309"/>
      <c r="Y966" s="309"/>
      <c r="Z966" s="309"/>
      <c r="AA966" s="309"/>
    </row>
    <row r="967" spans="2:27" ht="15.75" customHeight="1">
      <c r="B967" s="309"/>
      <c r="C967" s="309"/>
      <c r="D967" s="309"/>
      <c r="E967" s="309"/>
      <c r="F967" s="309"/>
      <c r="G967" s="309"/>
      <c r="H967" s="309"/>
      <c r="I967" s="309"/>
      <c r="J967" s="309"/>
      <c r="K967" s="309"/>
      <c r="L967" s="309"/>
      <c r="M967" s="309"/>
      <c r="N967" s="309"/>
      <c r="O967" s="309"/>
      <c r="P967" s="309"/>
      <c r="Q967" s="309"/>
      <c r="R967" s="309"/>
      <c r="S967" s="309"/>
      <c r="T967" s="309"/>
      <c r="U967" s="309"/>
      <c r="V967" s="309"/>
      <c r="W967" s="309"/>
      <c r="X967" s="309"/>
      <c r="Y967" s="309"/>
      <c r="Z967" s="309"/>
      <c r="AA967" s="309"/>
    </row>
    <row r="968" spans="2:27" ht="15.75" customHeight="1">
      <c r="B968" s="309"/>
      <c r="C968" s="309"/>
      <c r="D968" s="309"/>
      <c r="E968" s="309"/>
      <c r="F968" s="309"/>
      <c r="G968" s="309"/>
      <c r="H968" s="309"/>
      <c r="I968" s="309"/>
      <c r="J968" s="309"/>
      <c r="K968" s="309"/>
      <c r="L968" s="309"/>
      <c r="M968" s="309"/>
      <c r="N968" s="309"/>
      <c r="O968" s="309"/>
      <c r="P968" s="309"/>
      <c r="Q968" s="309"/>
      <c r="R968" s="309"/>
      <c r="S968" s="309"/>
      <c r="T968" s="309"/>
      <c r="U968" s="309"/>
      <c r="V968" s="309"/>
      <c r="W968" s="309"/>
      <c r="X968" s="309"/>
      <c r="Y968" s="309"/>
      <c r="Z968" s="309"/>
      <c r="AA968" s="309"/>
    </row>
    <row r="969" spans="2:27" ht="15.75" customHeight="1">
      <c r="B969" s="309"/>
      <c r="C969" s="309"/>
      <c r="D969" s="309"/>
      <c r="E969" s="309"/>
      <c r="F969" s="309"/>
      <c r="G969" s="309"/>
      <c r="H969" s="309"/>
      <c r="I969" s="309"/>
      <c r="J969" s="309"/>
      <c r="K969" s="309"/>
      <c r="L969" s="309"/>
      <c r="M969" s="309"/>
      <c r="N969" s="309"/>
      <c r="O969" s="309"/>
      <c r="P969" s="309"/>
      <c r="Q969" s="309"/>
      <c r="R969" s="309"/>
      <c r="S969" s="309"/>
      <c r="T969" s="309"/>
      <c r="U969" s="309"/>
      <c r="V969" s="309"/>
      <c r="W969" s="309"/>
      <c r="X969" s="309"/>
      <c r="Y969" s="309"/>
      <c r="Z969" s="309"/>
      <c r="AA969" s="309"/>
    </row>
    <row r="970" spans="2:27" ht="15.75" customHeight="1">
      <c r="B970" s="309"/>
      <c r="C970" s="309"/>
      <c r="D970" s="309"/>
      <c r="E970" s="309"/>
      <c r="F970" s="309"/>
      <c r="G970" s="309"/>
      <c r="H970" s="309"/>
      <c r="I970" s="309"/>
      <c r="J970" s="309"/>
      <c r="K970" s="309"/>
      <c r="L970" s="309"/>
      <c r="M970" s="309"/>
      <c r="N970" s="309"/>
      <c r="O970" s="309"/>
      <c r="P970" s="309"/>
      <c r="Q970" s="309"/>
      <c r="R970" s="309"/>
      <c r="S970" s="309"/>
      <c r="T970" s="309"/>
      <c r="U970" s="309"/>
      <c r="V970" s="309"/>
      <c r="W970" s="309"/>
      <c r="X970" s="309"/>
      <c r="Y970" s="309"/>
      <c r="Z970" s="309"/>
      <c r="AA970" s="309"/>
    </row>
    <row r="971" spans="2:27" ht="15.75" customHeight="1">
      <c r="B971" s="309"/>
      <c r="C971" s="309"/>
      <c r="D971" s="309"/>
      <c r="E971" s="309"/>
      <c r="F971" s="309"/>
      <c r="G971" s="309"/>
      <c r="H971" s="309"/>
      <c r="I971" s="309"/>
      <c r="J971" s="309"/>
      <c r="K971" s="309"/>
      <c r="L971" s="309"/>
      <c r="M971" s="309"/>
      <c r="N971" s="309"/>
      <c r="O971" s="309"/>
      <c r="P971" s="309"/>
      <c r="Q971" s="309"/>
      <c r="R971" s="309"/>
      <c r="S971" s="309"/>
      <c r="T971" s="309"/>
      <c r="U971" s="309"/>
      <c r="V971" s="309"/>
      <c r="W971" s="309"/>
      <c r="X971" s="309"/>
      <c r="Y971" s="309"/>
      <c r="Z971" s="309"/>
      <c r="AA971" s="309"/>
    </row>
    <row r="972" spans="2:27" ht="15.75" customHeight="1">
      <c r="B972" s="309"/>
      <c r="C972" s="309"/>
      <c r="D972" s="309"/>
      <c r="E972" s="309"/>
      <c r="F972" s="309"/>
      <c r="G972" s="309"/>
      <c r="H972" s="309"/>
      <c r="I972" s="309"/>
      <c r="J972" s="309"/>
      <c r="K972" s="309"/>
      <c r="L972" s="309"/>
      <c r="M972" s="309"/>
      <c r="N972" s="309"/>
      <c r="O972" s="309"/>
      <c r="P972" s="309"/>
      <c r="Q972" s="309"/>
      <c r="R972" s="309"/>
      <c r="S972" s="309"/>
      <c r="T972" s="309"/>
      <c r="U972" s="309"/>
      <c r="V972" s="309"/>
      <c r="W972" s="309"/>
      <c r="X972" s="309"/>
      <c r="Y972" s="309"/>
      <c r="Z972" s="309"/>
      <c r="AA972" s="309"/>
    </row>
    <row r="973" spans="2:27" ht="15.75" customHeight="1">
      <c r="B973" s="309"/>
      <c r="C973" s="309"/>
      <c r="D973" s="309"/>
      <c r="E973" s="309"/>
      <c r="F973" s="309"/>
      <c r="G973" s="309"/>
      <c r="H973" s="309"/>
      <c r="I973" s="309"/>
      <c r="J973" s="309"/>
      <c r="K973" s="309"/>
      <c r="L973" s="309"/>
      <c r="M973" s="309"/>
      <c r="N973" s="309"/>
      <c r="O973" s="309"/>
      <c r="P973" s="309"/>
      <c r="Q973" s="309"/>
      <c r="R973" s="309"/>
      <c r="S973" s="309"/>
      <c r="T973" s="309"/>
      <c r="U973" s="309"/>
      <c r="V973" s="309"/>
      <c r="W973" s="309"/>
      <c r="X973" s="309"/>
      <c r="Y973" s="309"/>
      <c r="Z973" s="309"/>
      <c r="AA973" s="309"/>
    </row>
    <row r="974" spans="2:27" ht="15.75" customHeight="1">
      <c r="B974" s="309"/>
      <c r="C974" s="309"/>
      <c r="D974" s="309"/>
      <c r="E974" s="309"/>
      <c r="F974" s="309"/>
      <c r="G974" s="309"/>
      <c r="H974" s="309"/>
      <c r="I974" s="309"/>
      <c r="J974" s="309"/>
      <c r="K974" s="309"/>
      <c r="L974" s="309"/>
      <c r="M974" s="309"/>
      <c r="N974" s="309"/>
      <c r="O974" s="309"/>
      <c r="P974" s="309"/>
      <c r="Q974" s="309"/>
      <c r="R974" s="309"/>
      <c r="S974" s="309"/>
      <c r="T974" s="309"/>
      <c r="U974" s="309"/>
      <c r="V974" s="309"/>
      <c r="W974" s="309"/>
      <c r="X974" s="309"/>
      <c r="Y974" s="309"/>
      <c r="Z974" s="309"/>
      <c r="AA974" s="309"/>
    </row>
    <row r="975" spans="2:27" ht="15.75" customHeight="1">
      <c r="B975" s="309"/>
      <c r="C975" s="309"/>
      <c r="D975" s="309"/>
      <c r="E975" s="309"/>
      <c r="F975" s="309"/>
      <c r="G975" s="309"/>
      <c r="H975" s="309"/>
      <c r="I975" s="309"/>
      <c r="J975" s="309"/>
      <c r="K975" s="309"/>
      <c r="L975" s="309"/>
      <c r="M975" s="309"/>
      <c r="N975" s="309"/>
      <c r="O975" s="309"/>
      <c r="P975" s="309"/>
      <c r="Q975" s="309"/>
      <c r="R975" s="309"/>
      <c r="S975" s="309"/>
      <c r="T975" s="309"/>
      <c r="U975" s="309"/>
      <c r="V975" s="309"/>
      <c r="W975" s="309"/>
      <c r="X975" s="309"/>
      <c r="Y975" s="309"/>
      <c r="Z975" s="309"/>
      <c r="AA975" s="309"/>
    </row>
    <row r="976" spans="2:27" ht="15.75" customHeight="1">
      <c r="B976" s="309"/>
      <c r="C976" s="309"/>
      <c r="D976" s="309"/>
      <c r="E976" s="309"/>
      <c r="F976" s="309"/>
      <c r="G976" s="309"/>
      <c r="H976" s="309"/>
      <c r="I976" s="309"/>
      <c r="J976" s="309"/>
      <c r="K976" s="309"/>
      <c r="L976" s="309"/>
      <c r="M976" s="309"/>
      <c r="N976" s="309"/>
      <c r="O976" s="309"/>
      <c r="P976" s="309"/>
      <c r="Q976" s="309"/>
      <c r="R976" s="309"/>
      <c r="S976" s="309"/>
      <c r="T976" s="309"/>
      <c r="U976" s="309"/>
      <c r="V976" s="309"/>
      <c r="W976" s="309"/>
      <c r="X976" s="309"/>
      <c r="Y976" s="309"/>
      <c r="Z976" s="309"/>
      <c r="AA976" s="309"/>
    </row>
    <row r="977" spans="2:27" ht="15.75" customHeight="1">
      <c r="B977" s="309"/>
      <c r="C977" s="309"/>
      <c r="D977" s="309"/>
      <c r="E977" s="309"/>
      <c r="F977" s="309"/>
      <c r="G977" s="309"/>
      <c r="H977" s="309"/>
      <c r="I977" s="309"/>
      <c r="J977" s="309"/>
      <c r="K977" s="309"/>
      <c r="L977" s="309"/>
      <c r="M977" s="309"/>
      <c r="N977" s="309"/>
      <c r="O977" s="309"/>
      <c r="P977" s="309"/>
      <c r="Q977" s="309"/>
      <c r="R977" s="309"/>
      <c r="S977" s="309"/>
      <c r="T977" s="309"/>
      <c r="U977" s="309"/>
      <c r="V977" s="309"/>
      <c r="W977" s="309"/>
      <c r="X977" s="309"/>
      <c r="Y977" s="309"/>
      <c r="Z977" s="309"/>
      <c r="AA977" s="309"/>
    </row>
    <row r="978" spans="2:27" ht="15.75" customHeight="1">
      <c r="B978" s="309"/>
      <c r="C978" s="309"/>
      <c r="D978" s="309"/>
      <c r="E978" s="309"/>
      <c r="F978" s="309"/>
      <c r="G978" s="309"/>
      <c r="H978" s="309"/>
      <c r="I978" s="309"/>
      <c r="J978" s="309"/>
      <c r="K978" s="309"/>
      <c r="L978" s="309"/>
      <c r="M978" s="309"/>
      <c r="N978" s="309"/>
      <c r="O978" s="309"/>
      <c r="P978" s="309"/>
      <c r="Q978" s="309"/>
      <c r="R978" s="309"/>
      <c r="S978" s="309"/>
      <c r="T978" s="309"/>
      <c r="U978" s="309"/>
      <c r="V978" s="309"/>
      <c r="W978" s="309"/>
      <c r="X978" s="309"/>
      <c r="Y978" s="309"/>
      <c r="Z978" s="309"/>
      <c r="AA978" s="309"/>
    </row>
    <row r="979" spans="2:27" ht="15.75" customHeight="1">
      <c r="B979" s="309"/>
      <c r="C979" s="309"/>
      <c r="D979" s="309"/>
      <c r="E979" s="309"/>
      <c r="F979" s="309"/>
      <c r="G979" s="309"/>
      <c r="H979" s="309"/>
      <c r="I979" s="309"/>
      <c r="J979" s="309"/>
      <c r="K979" s="309"/>
      <c r="L979" s="309"/>
      <c r="M979" s="309"/>
      <c r="N979" s="309"/>
      <c r="O979" s="309"/>
      <c r="P979" s="309"/>
      <c r="Q979" s="309"/>
      <c r="R979" s="309"/>
      <c r="S979" s="309"/>
      <c r="T979" s="309"/>
      <c r="U979" s="309"/>
      <c r="V979" s="309"/>
      <c r="W979" s="309"/>
      <c r="X979" s="309"/>
      <c r="Y979" s="309"/>
      <c r="Z979" s="309"/>
      <c r="AA979" s="309"/>
    </row>
    <row r="980" spans="2:27" ht="15.75" customHeight="1">
      <c r="B980" s="309"/>
      <c r="C980" s="309"/>
      <c r="D980" s="309"/>
      <c r="E980" s="309"/>
      <c r="F980" s="309"/>
      <c r="G980" s="309"/>
      <c r="H980" s="309"/>
      <c r="I980" s="309"/>
      <c r="J980" s="309"/>
      <c r="K980" s="309"/>
      <c r="L980" s="309"/>
      <c r="M980" s="309"/>
      <c r="N980" s="309"/>
      <c r="O980" s="309"/>
      <c r="P980" s="309"/>
      <c r="Q980" s="309"/>
      <c r="R980" s="309"/>
      <c r="S980" s="309"/>
      <c r="T980" s="309"/>
      <c r="U980" s="309"/>
      <c r="V980" s="309"/>
      <c r="W980" s="309"/>
      <c r="X980" s="309"/>
      <c r="Y980" s="309"/>
      <c r="Z980" s="309"/>
      <c r="AA980" s="309"/>
    </row>
    <row r="981" spans="2:27" ht="15.75" customHeight="1">
      <c r="B981" s="309"/>
      <c r="C981" s="309"/>
      <c r="D981" s="309"/>
      <c r="E981" s="309"/>
      <c r="F981" s="309"/>
      <c r="G981" s="309"/>
      <c r="H981" s="309"/>
      <c r="I981" s="309"/>
      <c r="J981" s="309"/>
      <c r="K981" s="309"/>
      <c r="L981" s="309"/>
      <c r="M981" s="309"/>
      <c r="N981" s="309"/>
      <c r="O981" s="309"/>
      <c r="P981" s="309"/>
      <c r="Q981" s="309"/>
      <c r="R981" s="309"/>
      <c r="S981" s="309"/>
      <c r="T981" s="309"/>
      <c r="U981" s="309"/>
      <c r="V981" s="309"/>
      <c r="W981" s="309"/>
      <c r="X981" s="309"/>
      <c r="Y981" s="309"/>
      <c r="Z981" s="309"/>
      <c r="AA981" s="309"/>
    </row>
    <row r="982" spans="2:27" ht="15.75" customHeight="1">
      <c r="B982" s="309"/>
      <c r="C982" s="309"/>
      <c r="D982" s="309"/>
      <c r="E982" s="309"/>
      <c r="F982" s="309"/>
      <c r="G982" s="309"/>
      <c r="H982" s="309"/>
      <c r="I982" s="309"/>
      <c r="J982" s="309"/>
      <c r="K982" s="309"/>
      <c r="L982" s="309"/>
      <c r="M982" s="309"/>
      <c r="N982" s="309"/>
      <c r="O982" s="309"/>
      <c r="P982" s="309"/>
      <c r="Q982" s="309"/>
      <c r="R982" s="309"/>
      <c r="S982" s="309"/>
      <c r="T982" s="309"/>
      <c r="U982" s="309"/>
      <c r="V982" s="309"/>
      <c r="W982" s="309"/>
      <c r="X982" s="309"/>
      <c r="Y982" s="309"/>
      <c r="Z982" s="309"/>
      <c r="AA982" s="309"/>
    </row>
    <row r="983" spans="2:27" ht="15.75" customHeight="1">
      <c r="B983" s="309"/>
      <c r="C983" s="309"/>
      <c r="D983" s="309"/>
      <c r="E983" s="309"/>
      <c r="F983" s="309"/>
      <c r="G983" s="309"/>
      <c r="H983" s="309"/>
      <c r="I983" s="309"/>
      <c r="J983" s="309"/>
      <c r="K983" s="309"/>
      <c r="L983" s="309"/>
      <c r="M983" s="309"/>
      <c r="N983" s="309"/>
      <c r="O983" s="309"/>
      <c r="P983" s="309"/>
      <c r="Q983" s="309"/>
      <c r="R983" s="309"/>
      <c r="S983" s="309"/>
      <c r="T983" s="309"/>
      <c r="U983" s="309"/>
      <c r="V983" s="309"/>
      <c r="W983" s="309"/>
      <c r="X983" s="309"/>
      <c r="Y983" s="309"/>
      <c r="Z983" s="309"/>
      <c r="AA983" s="309"/>
    </row>
    <row r="984" spans="2:27" ht="15.75" customHeight="1">
      <c r="B984" s="309"/>
      <c r="C984" s="309"/>
      <c r="D984" s="309"/>
      <c r="E984" s="309"/>
      <c r="F984" s="309"/>
      <c r="G984" s="309"/>
      <c r="H984" s="309"/>
      <c r="I984" s="309"/>
      <c r="J984" s="309"/>
      <c r="K984" s="309"/>
      <c r="L984" s="309"/>
      <c r="M984" s="309"/>
      <c r="N984" s="309"/>
      <c r="O984" s="309"/>
      <c r="P984" s="309"/>
      <c r="Q984" s="309"/>
      <c r="R984" s="309"/>
      <c r="S984" s="309"/>
      <c r="T984" s="309"/>
      <c r="U984" s="309"/>
      <c r="V984" s="309"/>
      <c r="W984" s="309"/>
      <c r="X984" s="309"/>
      <c r="Y984" s="309"/>
      <c r="Z984" s="309"/>
      <c r="AA984" s="309"/>
    </row>
    <row r="985" spans="2:27" ht="15.75" customHeight="1">
      <c r="B985" s="309"/>
      <c r="C985" s="309"/>
      <c r="D985" s="309"/>
      <c r="E985" s="309"/>
      <c r="F985" s="309"/>
      <c r="G985" s="309"/>
      <c r="H985" s="309"/>
      <c r="I985" s="309"/>
      <c r="J985" s="309"/>
      <c r="K985" s="309"/>
      <c r="L985" s="309"/>
      <c r="M985" s="309"/>
      <c r="N985" s="309"/>
      <c r="O985" s="309"/>
      <c r="P985" s="309"/>
      <c r="Q985" s="309"/>
      <c r="R985" s="309"/>
      <c r="S985" s="309"/>
      <c r="T985" s="309"/>
      <c r="U985" s="309"/>
      <c r="V985" s="309"/>
      <c r="W985" s="309"/>
      <c r="X985" s="309"/>
      <c r="Y985" s="309"/>
      <c r="Z985" s="309"/>
      <c r="AA985" s="309"/>
    </row>
    <row r="986" spans="2:27" ht="15.75" customHeight="1">
      <c r="B986" s="309"/>
      <c r="C986" s="309"/>
      <c r="D986" s="309"/>
      <c r="E986" s="309"/>
      <c r="F986" s="309"/>
      <c r="G986" s="309"/>
      <c r="H986" s="309"/>
      <c r="I986" s="309"/>
      <c r="J986" s="309"/>
      <c r="K986" s="309"/>
      <c r="L986" s="309"/>
      <c r="M986" s="309"/>
      <c r="N986" s="309"/>
      <c r="O986" s="309"/>
      <c r="P986" s="309"/>
      <c r="Q986" s="309"/>
      <c r="R986" s="309"/>
      <c r="S986" s="309"/>
      <c r="T986" s="309"/>
      <c r="U986" s="309"/>
      <c r="V986" s="309"/>
      <c r="W986" s="309"/>
      <c r="X986" s="309"/>
      <c r="Y986" s="309"/>
      <c r="Z986" s="309"/>
      <c r="AA986" s="309"/>
    </row>
    <row r="987" spans="2:27" ht="15.75" customHeight="1">
      <c r="B987" s="309"/>
      <c r="C987" s="309"/>
      <c r="D987" s="309"/>
      <c r="E987" s="309"/>
      <c r="F987" s="309"/>
      <c r="G987" s="309"/>
      <c r="H987" s="309"/>
      <c r="I987" s="309"/>
      <c r="J987" s="309"/>
      <c r="K987" s="309"/>
      <c r="L987" s="309"/>
      <c r="M987" s="309"/>
      <c r="N987" s="309"/>
      <c r="O987" s="309"/>
      <c r="P987" s="309"/>
      <c r="Q987" s="309"/>
      <c r="R987" s="309"/>
      <c r="S987" s="309"/>
      <c r="T987" s="309"/>
      <c r="U987" s="309"/>
      <c r="V987" s="309"/>
      <c r="W987" s="309"/>
      <c r="X987" s="309"/>
      <c r="Y987" s="309"/>
      <c r="Z987" s="309"/>
      <c r="AA987" s="309"/>
    </row>
    <row r="988" spans="2:27" ht="15.75" customHeight="1">
      <c r="B988" s="309"/>
      <c r="C988" s="309"/>
      <c r="D988" s="309"/>
      <c r="E988" s="309"/>
      <c r="F988" s="309"/>
      <c r="G988" s="309"/>
      <c r="H988" s="309"/>
      <c r="I988" s="309"/>
      <c r="J988" s="309"/>
      <c r="K988" s="309"/>
      <c r="L988" s="309"/>
      <c r="M988" s="309"/>
      <c r="N988" s="309"/>
      <c r="O988" s="309"/>
      <c r="P988" s="309"/>
      <c r="Q988" s="309"/>
      <c r="R988" s="309"/>
      <c r="S988" s="309"/>
      <c r="T988" s="309"/>
      <c r="U988" s="309"/>
      <c r="V988" s="309"/>
      <c r="W988" s="309"/>
      <c r="X988" s="309"/>
      <c r="Y988" s="309"/>
      <c r="Z988" s="309"/>
      <c r="AA988" s="309"/>
    </row>
    <row r="989" spans="2:27" ht="15.75" customHeight="1">
      <c r="B989" s="309"/>
      <c r="C989" s="309"/>
      <c r="D989" s="309"/>
      <c r="E989" s="309"/>
      <c r="F989" s="309"/>
      <c r="G989" s="309"/>
      <c r="H989" s="309"/>
      <c r="I989" s="309"/>
      <c r="J989" s="309"/>
      <c r="K989" s="309"/>
      <c r="L989" s="309"/>
      <c r="M989" s="309"/>
      <c r="N989" s="309"/>
      <c r="O989" s="309"/>
      <c r="P989" s="309"/>
      <c r="Q989" s="309"/>
      <c r="R989" s="309"/>
      <c r="S989" s="309"/>
      <c r="T989" s="309"/>
      <c r="U989" s="309"/>
      <c r="V989" s="309"/>
      <c r="W989" s="309"/>
      <c r="X989" s="309"/>
      <c r="Y989" s="309"/>
      <c r="Z989" s="309"/>
      <c r="AA989" s="309"/>
    </row>
    <row r="990" spans="2:27" ht="15.75" customHeight="1">
      <c r="B990" s="309"/>
      <c r="C990" s="309"/>
      <c r="D990" s="309"/>
      <c r="E990" s="309"/>
      <c r="F990" s="309"/>
      <c r="G990" s="309"/>
      <c r="H990" s="309"/>
      <c r="I990" s="309"/>
      <c r="J990" s="309"/>
      <c r="K990" s="309"/>
      <c r="L990" s="309"/>
      <c r="M990" s="309"/>
      <c r="N990" s="309"/>
      <c r="O990" s="309"/>
      <c r="P990" s="309"/>
      <c r="Q990" s="309"/>
      <c r="R990" s="309"/>
      <c r="S990" s="309"/>
      <c r="T990" s="309"/>
      <c r="U990" s="309"/>
      <c r="V990" s="309"/>
      <c r="W990" s="309"/>
      <c r="X990" s="309"/>
      <c r="Y990" s="309"/>
      <c r="Z990" s="309"/>
      <c r="AA990" s="309"/>
    </row>
    <row r="991" spans="2:27" ht="15.75" customHeight="1">
      <c r="B991" s="309"/>
      <c r="C991" s="309"/>
      <c r="D991" s="309"/>
      <c r="E991" s="309"/>
      <c r="F991" s="309"/>
      <c r="G991" s="309"/>
      <c r="H991" s="309"/>
      <c r="I991" s="309"/>
      <c r="J991" s="309"/>
      <c r="K991" s="309"/>
      <c r="L991" s="309"/>
      <c r="M991" s="309"/>
      <c r="N991" s="309"/>
      <c r="O991" s="309"/>
      <c r="P991" s="309"/>
      <c r="Q991" s="309"/>
      <c r="R991" s="309"/>
      <c r="S991" s="309"/>
      <c r="T991" s="309"/>
      <c r="U991" s="309"/>
      <c r="V991" s="309"/>
      <c r="W991" s="309"/>
      <c r="X991" s="309"/>
      <c r="Y991" s="309"/>
      <c r="Z991" s="309"/>
      <c r="AA991" s="309"/>
    </row>
    <row r="992" spans="2:27" ht="15.75" customHeight="1">
      <c r="B992" s="309"/>
      <c r="C992" s="309"/>
      <c r="D992" s="309"/>
      <c r="E992" s="309"/>
      <c r="F992" s="309"/>
      <c r="G992" s="309"/>
      <c r="H992" s="309"/>
      <c r="I992" s="309"/>
      <c r="J992" s="309"/>
      <c r="K992" s="309"/>
      <c r="L992" s="309"/>
      <c r="M992" s="309"/>
      <c r="N992" s="309"/>
      <c r="O992" s="309"/>
      <c r="P992" s="309"/>
      <c r="Q992" s="309"/>
      <c r="R992" s="309"/>
      <c r="S992" s="309"/>
      <c r="T992" s="309"/>
      <c r="U992" s="309"/>
      <c r="V992" s="309"/>
      <c r="W992" s="309"/>
      <c r="X992" s="309"/>
      <c r="Y992" s="309"/>
      <c r="Z992" s="309"/>
      <c r="AA992" s="309"/>
    </row>
    <row r="993" spans="2:27" ht="15.75" customHeight="1">
      <c r="B993" s="309"/>
      <c r="C993" s="309"/>
      <c r="D993" s="309"/>
      <c r="E993" s="309"/>
      <c r="F993" s="309"/>
      <c r="G993" s="309"/>
      <c r="H993" s="309"/>
      <c r="I993" s="309"/>
      <c r="J993" s="309"/>
      <c r="K993" s="309"/>
      <c r="L993" s="309"/>
      <c r="M993" s="309"/>
      <c r="N993" s="309"/>
      <c r="O993" s="309"/>
      <c r="P993" s="309"/>
      <c r="Q993" s="309"/>
      <c r="R993" s="309"/>
      <c r="S993" s="309"/>
      <c r="T993" s="309"/>
      <c r="U993" s="309"/>
      <c r="V993" s="309"/>
      <c r="W993" s="309"/>
      <c r="X993" s="309"/>
      <c r="Y993" s="309"/>
      <c r="Z993" s="309"/>
      <c r="AA993" s="309"/>
    </row>
    <row r="994" spans="2:27" ht="15.75" customHeight="1">
      <c r="B994" s="309"/>
      <c r="C994" s="309"/>
      <c r="D994" s="309"/>
      <c r="E994" s="309"/>
      <c r="F994" s="309"/>
      <c r="G994" s="309"/>
      <c r="H994" s="309"/>
      <c r="I994" s="309"/>
      <c r="J994" s="309"/>
      <c r="K994" s="309"/>
      <c r="L994" s="309"/>
      <c r="M994" s="309"/>
      <c r="N994" s="309"/>
      <c r="O994" s="309"/>
      <c r="P994" s="309"/>
      <c r="Q994" s="309"/>
      <c r="R994" s="309"/>
      <c r="S994" s="309"/>
      <c r="T994" s="309"/>
      <c r="U994" s="309"/>
      <c r="V994" s="309"/>
      <c r="W994" s="309"/>
      <c r="X994" s="309"/>
      <c r="Y994" s="309"/>
      <c r="Z994" s="309"/>
      <c r="AA994" s="309"/>
    </row>
    <row r="995" spans="2:27" ht="15.75" customHeight="1">
      <c r="B995" s="309"/>
      <c r="C995" s="309"/>
      <c r="D995" s="309"/>
      <c r="E995" s="309"/>
      <c r="F995" s="309"/>
      <c r="G995" s="309"/>
      <c r="H995" s="309"/>
      <c r="I995" s="309"/>
      <c r="J995" s="309"/>
      <c r="K995" s="309"/>
      <c r="L995" s="309"/>
      <c r="M995" s="309"/>
      <c r="N995" s="309"/>
      <c r="O995" s="309"/>
      <c r="P995" s="309"/>
      <c r="Q995" s="309"/>
      <c r="R995" s="309"/>
      <c r="S995" s="309"/>
      <c r="T995" s="309"/>
      <c r="U995" s="309"/>
      <c r="V995" s="309"/>
      <c r="W995" s="309"/>
      <c r="X995" s="309"/>
      <c r="Y995" s="309"/>
      <c r="Z995" s="309"/>
      <c r="AA995" s="309"/>
    </row>
    <row r="996" spans="2:27" ht="15.75" customHeight="1">
      <c r="B996" s="309"/>
      <c r="C996" s="309"/>
      <c r="D996" s="309"/>
      <c r="E996" s="309"/>
      <c r="F996" s="309"/>
      <c r="G996" s="309"/>
      <c r="H996" s="309"/>
      <c r="I996" s="309"/>
      <c r="J996" s="309"/>
      <c r="K996" s="309"/>
      <c r="L996" s="309"/>
      <c r="M996" s="309"/>
      <c r="N996" s="309"/>
      <c r="O996" s="309"/>
      <c r="P996" s="309"/>
      <c r="Q996" s="309"/>
      <c r="R996" s="309"/>
      <c r="S996" s="309"/>
      <c r="T996" s="309"/>
      <c r="U996" s="309"/>
      <c r="V996" s="309"/>
      <c r="W996" s="309"/>
      <c r="X996" s="309"/>
      <c r="Y996" s="309"/>
      <c r="Z996" s="309"/>
      <c r="AA996" s="309"/>
    </row>
    <row r="997" spans="2:27" ht="15.75" customHeight="1">
      <c r="B997" s="309"/>
      <c r="C997" s="309"/>
      <c r="D997" s="309"/>
      <c r="E997" s="309"/>
      <c r="F997" s="309"/>
      <c r="G997" s="309"/>
      <c r="H997" s="309"/>
      <c r="I997" s="309"/>
      <c r="J997" s="309"/>
      <c r="K997" s="309"/>
      <c r="L997" s="309"/>
      <c r="M997" s="309"/>
      <c r="N997" s="309"/>
      <c r="O997" s="309"/>
      <c r="P997" s="309"/>
      <c r="Q997" s="309"/>
      <c r="R997" s="309"/>
      <c r="S997" s="309"/>
      <c r="T997" s="309"/>
      <c r="U997" s="309"/>
      <c r="V997" s="309"/>
      <c r="W997" s="309"/>
      <c r="X997" s="309"/>
      <c r="Y997" s="309"/>
      <c r="Z997" s="309"/>
      <c r="AA997" s="309"/>
    </row>
    <row r="998" spans="2:27" ht="15.75" customHeight="1">
      <c r="B998" s="309"/>
      <c r="C998" s="309"/>
      <c r="D998" s="309"/>
      <c r="E998" s="309"/>
      <c r="F998" s="309"/>
      <c r="G998" s="309"/>
      <c r="H998" s="309"/>
      <c r="I998" s="309"/>
      <c r="J998" s="309"/>
      <c r="K998" s="309"/>
      <c r="L998" s="309"/>
      <c r="M998" s="309"/>
      <c r="N998" s="309"/>
      <c r="O998" s="309"/>
      <c r="P998" s="309"/>
      <c r="Q998" s="309"/>
      <c r="R998" s="309"/>
      <c r="S998" s="309"/>
      <c r="T998" s="309"/>
      <c r="U998" s="309"/>
      <c r="V998" s="309"/>
      <c r="W998" s="309"/>
      <c r="X998" s="309"/>
      <c r="Y998" s="309"/>
      <c r="Z998" s="309"/>
      <c r="AA998" s="309"/>
    </row>
    <row r="999" spans="2:27" ht="15.75" customHeight="1">
      <c r="B999" s="309"/>
      <c r="C999" s="309"/>
      <c r="D999" s="309"/>
      <c r="E999" s="309"/>
      <c r="F999" s="309"/>
      <c r="G999" s="309"/>
      <c r="H999" s="309"/>
      <c r="I999" s="309"/>
      <c r="J999" s="309"/>
      <c r="K999" s="309"/>
      <c r="L999" s="309"/>
      <c r="M999" s="309"/>
      <c r="N999" s="309"/>
      <c r="O999" s="309"/>
      <c r="P999" s="309"/>
      <c r="Q999" s="309"/>
      <c r="R999" s="309"/>
      <c r="S999" s="309"/>
      <c r="T999" s="309"/>
      <c r="U999" s="309"/>
      <c r="V999" s="309"/>
      <c r="W999" s="309"/>
      <c r="X999" s="309"/>
      <c r="Y999" s="309"/>
      <c r="Z999" s="309"/>
      <c r="AA999" s="309"/>
    </row>
    <row r="1000" spans="2:27" ht="15.75" customHeight="1">
      <c r="B1000" s="309"/>
      <c r="C1000" s="309"/>
      <c r="D1000" s="309"/>
      <c r="E1000" s="309"/>
      <c r="F1000" s="309"/>
      <c r="G1000" s="309"/>
      <c r="H1000" s="309"/>
      <c r="I1000" s="309"/>
      <c r="J1000" s="309"/>
      <c r="K1000" s="309"/>
      <c r="L1000" s="309"/>
      <c r="M1000" s="309"/>
      <c r="N1000" s="309"/>
      <c r="O1000" s="309"/>
      <c r="P1000" s="309"/>
      <c r="Q1000" s="309"/>
      <c r="R1000" s="309"/>
      <c r="S1000" s="309"/>
      <c r="T1000" s="309"/>
      <c r="U1000" s="309"/>
      <c r="V1000" s="309"/>
      <c r="W1000" s="309"/>
      <c r="X1000" s="309"/>
      <c r="Y1000" s="309"/>
      <c r="Z1000" s="309"/>
      <c r="AA1000" s="309"/>
    </row>
    <row r="1001" spans="2:27" ht="15.75" customHeight="1">
      <c r="B1001" s="309"/>
      <c r="C1001" s="309"/>
      <c r="D1001" s="309"/>
      <c r="E1001" s="309"/>
      <c r="F1001" s="309"/>
      <c r="G1001" s="309"/>
      <c r="H1001" s="309"/>
      <c r="I1001" s="309"/>
      <c r="J1001" s="309"/>
      <c r="K1001" s="309"/>
      <c r="L1001" s="309"/>
      <c r="M1001" s="309"/>
      <c r="N1001" s="309"/>
      <c r="O1001" s="309"/>
      <c r="P1001" s="309"/>
      <c r="Q1001" s="309"/>
      <c r="R1001" s="309"/>
      <c r="S1001" s="309"/>
      <c r="T1001" s="309"/>
      <c r="U1001" s="309"/>
      <c r="V1001" s="309"/>
      <c r="W1001" s="309"/>
      <c r="X1001" s="309"/>
      <c r="Y1001" s="309"/>
      <c r="Z1001" s="309"/>
      <c r="AA1001" s="309"/>
    </row>
    <row r="1002" spans="2:27" ht="15.75" customHeight="1">
      <c r="B1002" s="309"/>
      <c r="C1002" s="309"/>
      <c r="D1002" s="309"/>
      <c r="E1002" s="309"/>
      <c r="F1002" s="309"/>
      <c r="G1002" s="309"/>
      <c r="H1002" s="309"/>
      <c r="I1002" s="309"/>
      <c r="J1002" s="309"/>
      <c r="K1002" s="309"/>
      <c r="L1002" s="309"/>
      <c r="M1002" s="309"/>
      <c r="N1002" s="309"/>
      <c r="O1002" s="309"/>
      <c r="P1002" s="309"/>
      <c r="Q1002" s="309"/>
      <c r="R1002" s="309"/>
      <c r="S1002" s="309"/>
      <c r="T1002" s="309"/>
      <c r="U1002" s="309"/>
      <c r="V1002" s="309"/>
      <c r="W1002" s="309"/>
      <c r="X1002" s="309"/>
      <c r="Y1002" s="309"/>
      <c r="Z1002" s="309"/>
      <c r="AA1002" s="309"/>
    </row>
    <row r="1003" spans="2:27" ht="15.75" customHeight="1">
      <c r="B1003" s="309"/>
      <c r="C1003" s="309"/>
      <c r="D1003" s="309"/>
      <c r="E1003" s="309"/>
      <c r="F1003" s="309"/>
      <c r="G1003" s="309"/>
      <c r="H1003" s="309"/>
      <c r="I1003" s="309"/>
      <c r="J1003" s="309"/>
      <c r="K1003" s="309"/>
      <c r="L1003" s="309"/>
      <c r="M1003" s="309"/>
      <c r="N1003" s="309"/>
      <c r="O1003" s="309"/>
      <c r="P1003" s="309"/>
      <c r="Q1003" s="309"/>
      <c r="R1003" s="309"/>
      <c r="S1003" s="309"/>
      <c r="T1003" s="309"/>
      <c r="U1003" s="309"/>
      <c r="V1003" s="309"/>
      <c r="W1003" s="309"/>
      <c r="X1003" s="309"/>
      <c r="Y1003" s="309"/>
      <c r="Z1003" s="309"/>
      <c r="AA1003" s="309"/>
    </row>
    <row r="1004" spans="2:27" ht="15.75" customHeight="1">
      <c r="B1004" s="309"/>
      <c r="C1004" s="309"/>
      <c r="D1004" s="309"/>
      <c r="E1004" s="309"/>
      <c r="F1004" s="309"/>
      <c r="G1004" s="309"/>
      <c r="H1004" s="309"/>
      <c r="I1004" s="309"/>
      <c r="J1004" s="309"/>
      <c r="K1004" s="309"/>
      <c r="L1004" s="309"/>
      <c r="M1004" s="309"/>
      <c r="N1004" s="309"/>
      <c r="O1004" s="309"/>
      <c r="P1004" s="309"/>
      <c r="Q1004" s="309"/>
      <c r="R1004" s="309"/>
      <c r="S1004" s="309"/>
      <c r="T1004" s="309"/>
      <c r="U1004" s="309"/>
      <c r="V1004" s="309"/>
      <c r="W1004" s="309"/>
      <c r="X1004" s="309"/>
      <c r="Y1004" s="309"/>
      <c r="Z1004" s="309"/>
      <c r="AA1004" s="309"/>
    </row>
    <row r="1005" spans="2:27" ht="15.75" customHeight="1">
      <c r="B1005" s="309"/>
      <c r="C1005" s="309"/>
      <c r="D1005" s="309"/>
      <c r="E1005" s="309"/>
      <c r="F1005" s="309"/>
      <c r="G1005" s="309"/>
      <c r="H1005" s="309"/>
      <c r="I1005" s="309"/>
      <c r="J1005" s="309"/>
      <c r="K1005" s="309"/>
      <c r="L1005" s="309"/>
      <c r="M1005" s="309"/>
      <c r="N1005" s="309"/>
      <c r="O1005" s="309"/>
      <c r="P1005" s="309"/>
      <c r="Q1005" s="309"/>
      <c r="R1005" s="309"/>
      <c r="S1005" s="309"/>
      <c r="T1005" s="309"/>
      <c r="U1005" s="309"/>
      <c r="V1005" s="309"/>
      <c r="W1005" s="309"/>
      <c r="X1005" s="309"/>
      <c r="Y1005" s="309"/>
      <c r="Z1005" s="309"/>
      <c r="AA1005" s="309"/>
    </row>
    <row r="1006" spans="2:27" ht="15.75" customHeight="1">
      <c r="B1006" s="309"/>
      <c r="C1006" s="309"/>
      <c r="D1006" s="309"/>
      <c r="E1006" s="309"/>
      <c r="F1006" s="309"/>
      <c r="G1006" s="309"/>
      <c r="H1006" s="309"/>
      <c r="I1006" s="309"/>
      <c r="J1006" s="309"/>
      <c r="K1006" s="309"/>
      <c r="L1006" s="309"/>
      <c r="M1006" s="309"/>
      <c r="N1006" s="309"/>
      <c r="O1006" s="309"/>
      <c r="P1006" s="309"/>
      <c r="Q1006" s="309"/>
      <c r="R1006" s="309"/>
      <c r="S1006" s="309"/>
      <c r="T1006" s="309"/>
      <c r="U1006" s="309"/>
      <c r="V1006" s="309"/>
      <c r="W1006" s="309"/>
      <c r="X1006" s="309"/>
      <c r="Y1006" s="309"/>
      <c r="Z1006" s="309"/>
      <c r="AA1006" s="309"/>
    </row>
    <row r="1007" spans="2:27" ht="15.75" customHeight="1">
      <c r="B1007" s="309"/>
      <c r="C1007" s="309"/>
      <c r="D1007" s="309"/>
      <c r="E1007" s="309"/>
      <c r="F1007" s="309"/>
      <c r="G1007" s="309"/>
      <c r="H1007" s="309"/>
      <c r="I1007" s="309"/>
      <c r="J1007" s="309"/>
      <c r="K1007" s="309"/>
      <c r="L1007" s="309"/>
      <c r="M1007" s="309"/>
      <c r="N1007" s="309"/>
      <c r="O1007" s="309"/>
      <c r="P1007" s="309"/>
      <c r="Q1007" s="309"/>
      <c r="R1007" s="309"/>
      <c r="S1007" s="309"/>
      <c r="T1007" s="309"/>
      <c r="U1007" s="309"/>
      <c r="V1007" s="309"/>
      <c r="W1007" s="309"/>
      <c r="X1007" s="309"/>
      <c r="Y1007" s="309"/>
      <c r="Z1007" s="309"/>
      <c r="AA1007" s="309"/>
    </row>
    <row r="1008" spans="2:27" ht="15.75" customHeight="1">
      <c r="B1008" s="309"/>
      <c r="C1008" s="309"/>
      <c r="D1008" s="309"/>
      <c r="E1008" s="309"/>
      <c r="F1008" s="309"/>
      <c r="G1008" s="309"/>
      <c r="H1008" s="309"/>
      <c r="I1008" s="309"/>
      <c r="J1008" s="309"/>
      <c r="K1008" s="309"/>
      <c r="L1008" s="309"/>
      <c r="M1008" s="309"/>
      <c r="N1008" s="309"/>
      <c r="O1008" s="309"/>
      <c r="P1008" s="309"/>
      <c r="Q1008" s="309"/>
      <c r="R1008" s="309"/>
      <c r="S1008" s="309"/>
      <c r="T1008" s="309"/>
      <c r="U1008" s="309"/>
      <c r="V1008" s="309"/>
      <c r="W1008" s="309"/>
      <c r="X1008" s="309"/>
      <c r="Y1008" s="309"/>
      <c r="Z1008" s="309"/>
      <c r="AA1008" s="309"/>
    </row>
    <row r="1009" spans="2:27" ht="15.75" customHeight="1">
      <c r="B1009" s="309"/>
      <c r="C1009" s="309"/>
      <c r="D1009" s="309"/>
      <c r="E1009" s="309"/>
      <c r="F1009" s="309"/>
      <c r="G1009" s="309"/>
      <c r="H1009" s="309"/>
      <c r="I1009" s="309"/>
      <c r="J1009" s="309"/>
      <c r="K1009" s="309"/>
      <c r="L1009" s="309"/>
      <c r="M1009" s="309"/>
      <c r="N1009" s="309"/>
      <c r="O1009" s="309"/>
      <c r="P1009" s="309"/>
      <c r="Q1009" s="309"/>
      <c r="R1009" s="309"/>
      <c r="S1009" s="309"/>
      <c r="T1009" s="309"/>
      <c r="U1009" s="309"/>
      <c r="V1009" s="309"/>
      <c r="W1009" s="309"/>
      <c r="X1009" s="309"/>
      <c r="Y1009" s="309"/>
      <c r="Z1009" s="309"/>
      <c r="AA1009" s="309"/>
    </row>
    <row r="1010" spans="2:27" ht="15.75" customHeight="1">
      <c r="B1010" s="309"/>
      <c r="C1010" s="309"/>
      <c r="D1010" s="309"/>
      <c r="E1010" s="309"/>
      <c r="F1010" s="309"/>
      <c r="G1010" s="309"/>
      <c r="H1010" s="309"/>
      <c r="I1010" s="309"/>
      <c r="J1010" s="309"/>
      <c r="K1010" s="309"/>
      <c r="L1010" s="309"/>
      <c r="M1010" s="309"/>
      <c r="N1010" s="309"/>
      <c r="O1010" s="309"/>
      <c r="P1010" s="309"/>
      <c r="Q1010" s="309"/>
      <c r="R1010" s="309"/>
      <c r="S1010" s="309"/>
      <c r="T1010" s="309"/>
      <c r="U1010" s="309"/>
      <c r="V1010" s="309"/>
      <c r="W1010" s="309"/>
      <c r="X1010" s="309"/>
      <c r="Y1010" s="309"/>
      <c r="Z1010" s="309"/>
      <c r="AA1010" s="309"/>
    </row>
    <row r="1011" spans="2:27" ht="15.75" customHeight="1">
      <c r="B1011" s="309"/>
      <c r="C1011" s="309"/>
      <c r="D1011" s="309"/>
      <c r="E1011" s="309"/>
      <c r="F1011" s="309"/>
      <c r="G1011" s="309"/>
      <c r="H1011" s="309"/>
      <c r="I1011" s="309"/>
      <c r="J1011" s="309"/>
      <c r="K1011" s="309"/>
      <c r="L1011" s="309"/>
      <c r="M1011" s="309"/>
      <c r="N1011" s="309"/>
      <c r="O1011" s="309"/>
      <c r="P1011" s="309"/>
      <c r="Q1011" s="309"/>
      <c r="R1011" s="309"/>
      <c r="S1011" s="309"/>
      <c r="T1011" s="309"/>
      <c r="U1011" s="309"/>
      <c r="V1011" s="309"/>
      <c r="W1011" s="309"/>
      <c r="X1011" s="309"/>
      <c r="Y1011" s="309"/>
      <c r="Z1011" s="309"/>
      <c r="AA1011" s="309"/>
    </row>
    <row r="1012" spans="2:27" ht="15.75" customHeight="1">
      <c r="B1012" s="309"/>
      <c r="C1012" s="309"/>
      <c r="D1012" s="309"/>
      <c r="E1012" s="309"/>
      <c r="F1012" s="309"/>
      <c r="G1012" s="309"/>
      <c r="H1012" s="309"/>
      <c r="I1012" s="309"/>
      <c r="J1012" s="309"/>
      <c r="K1012" s="309"/>
      <c r="L1012" s="309"/>
      <c r="M1012" s="309"/>
      <c r="N1012" s="309"/>
      <c r="O1012" s="309"/>
      <c r="P1012" s="309"/>
      <c r="Q1012" s="309"/>
      <c r="R1012" s="309"/>
      <c r="S1012" s="309"/>
      <c r="T1012" s="309"/>
      <c r="U1012" s="309"/>
      <c r="V1012" s="309"/>
      <c r="W1012" s="309"/>
      <c r="X1012" s="309"/>
      <c r="Y1012" s="309"/>
      <c r="Z1012" s="309"/>
      <c r="AA1012" s="309"/>
    </row>
    <row r="1013" spans="2:27" ht="15.75" customHeight="1">
      <c r="B1013" s="309"/>
      <c r="C1013" s="309"/>
      <c r="D1013" s="309"/>
      <c r="E1013" s="309"/>
      <c r="F1013" s="309"/>
      <c r="G1013" s="309"/>
      <c r="H1013" s="309"/>
      <c r="I1013" s="309"/>
      <c r="J1013" s="309"/>
      <c r="K1013" s="309"/>
      <c r="L1013" s="309"/>
      <c r="M1013" s="309"/>
      <c r="N1013" s="309"/>
      <c r="O1013" s="309"/>
      <c r="P1013" s="309"/>
      <c r="Q1013" s="309"/>
      <c r="R1013" s="309"/>
      <c r="S1013" s="309"/>
      <c r="T1013" s="309"/>
      <c r="U1013" s="309"/>
      <c r="V1013" s="309"/>
      <c r="W1013" s="309"/>
      <c r="X1013" s="309"/>
      <c r="Y1013" s="309"/>
      <c r="Z1013" s="309"/>
      <c r="AA1013" s="309"/>
    </row>
    <row r="1014" spans="2:27" ht="15.75" customHeight="1">
      <c r="B1014" s="309"/>
      <c r="C1014" s="309"/>
      <c r="D1014" s="309"/>
      <c r="E1014" s="309"/>
      <c r="F1014" s="309"/>
      <c r="G1014" s="309"/>
      <c r="H1014" s="309"/>
      <c r="I1014" s="309"/>
      <c r="J1014" s="309"/>
      <c r="K1014" s="309"/>
      <c r="L1014" s="309"/>
      <c r="M1014" s="309"/>
      <c r="N1014" s="309"/>
      <c r="O1014" s="309"/>
      <c r="P1014" s="309"/>
      <c r="Q1014" s="309"/>
      <c r="R1014" s="309"/>
      <c r="S1014" s="309"/>
      <c r="T1014" s="309"/>
      <c r="U1014" s="309"/>
      <c r="V1014" s="309"/>
      <c r="W1014" s="309"/>
      <c r="X1014" s="309"/>
      <c r="Y1014" s="309"/>
      <c r="Z1014" s="309"/>
      <c r="AA1014" s="309"/>
    </row>
    <row r="1015" spans="2:27" ht="15.75" customHeight="1">
      <c r="B1015" s="309"/>
      <c r="C1015" s="309"/>
      <c r="D1015" s="309"/>
      <c r="E1015" s="309"/>
      <c r="F1015" s="309"/>
      <c r="G1015" s="309"/>
      <c r="H1015" s="309"/>
      <c r="I1015" s="309"/>
      <c r="J1015" s="309"/>
      <c r="K1015" s="309"/>
      <c r="L1015" s="309"/>
      <c r="M1015" s="309"/>
      <c r="N1015" s="309"/>
      <c r="O1015" s="309"/>
      <c r="P1015" s="309"/>
      <c r="Q1015" s="309"/>
      <c r="R1015" s="309"/>
      <c r="S1015" s="309"/>
      <c r="T1015" s="309"/>
      <c r="U1015" s="309"/>
      <c r="V1015" s="309"/>
      <c r="W1015" s="309"/>
      <c r="X1015" s="309"/>
      <c r="Y1015" s="309"/>
      <c r="Z1015" s="309"/>
      <c r="AA1015" s="309"/>
    </row>
    <row r="1016" spans="2:27" ht="15.75" customHeight="1">
      <c r="B1016" s="309"/>
      <c r="C1016" s="309"/>
      <c r="D1016" s="309"/>
      <c r="E1016" s="309"/>
      <c r="F1016" s="309"/>
      <c r="G1016" s="309"/>
      <c r="H1016" s="309"/>
      <c r="I1016" s="309"/>
      <c r="J1016" s="309"/>
      <c r="K1016" s="309"/>
      <c r="L1016" s="309"/>
      <c r="M1016" s="309"/>
      <c r="N1016" s="309"/>
      <c r="O1016" s="309"/>
      <c r="P1016" s="309"/>
      <c r="Q1016" s="309"/>
      <c r="R1016" s="309"/>
      <c r="S1016" s="309"/>
      <c r="T1016" s="309"/>
      <c r="U1016" s="309"/>
      <c r="V1016" s="309"/>
      <c r="W1016" s="309"/>
      <c r="X1016" s="309"/>
      <c r="Y1016" s="309"/>
      <c r="Z1016" s="309"/>
      <c r="AA1016" s="309"/>
    </row>
    <row r="1017" spans="2:27" ht="15.75" customHeight="1">
      <c r="B1017" s="309"/>
      <c r="C1017" s="309"/>
      <c r="D1017" s="309"/>
      <c r="E1017" s="309"/>
      <c r="F1017" s="309"/>
      <c r="G1017" s="309"/>
      <c r="H1017" s="309"/>
      <c r="I1017" s="309"/>
      <c r="J1017" s="309"/>
      <c r="K1017" s="309"/>
      <c r="L1017" s="309"/>
      <c r="M1017" s="309"/>
      <c r="N1017" s="309"/>
      <c r="O1017" s="309"/>
      <c r="P1017" s="309"/>
      <c r="Q1017" s="309"/>
      <c r="R1017" s="309"/>
      <c r="S1017" s="309"/>
      <c r="T1017" s="309"/>
      <c r="U1017" s="309"/>
      <c r="V1017" s="309"/>
      <c r="W1017" s="309"/>
      <c r="X1017" s="309"/>
      <c r="Y1017" s="309"/>
      <c r="Z1017" s="309"/>
      <c r="AA1017" s="309"/>
    </row>
    <row r="1018" spans="2:27" ht="15.75" customHeight="1">
      <c r="B1018" s="309"/>
      <c r="C1018" s="309"/>
      <c r="D1018" s="309"/>
      <c r="E1018" s="309"/>
      <c r="F1018" s="309"/>
      <c r="G1018" s="309"/>
      <c r="H1018" s="309"/>
      <c r="I1018" s="309"/>
      <c r="J1018" s="309"/>
      <c r="K1018" s="309"/>
      <c r="L1018" s="309"/>
      <c r="M1018" s="309"/>
      <c r="N1018" s="309"/>
      <c r="O1018" s="309"/>
      <c r="P1018" s="309"/>
      <c r="Q1018" s="309"/>
      <c r="R1018" s="309"/>
      <c r="S1018" s="309"/>
      <c r="T1018" s="309"/>
      <c r="U1018" s="309"/>
      <c r="V1018" s="309"/>
      <c r="W1018" s="309"/>
      <c r="X1018" s="309"/>
      <c r="Y1018" s="309"/>
      <c r="Z1018" s="309"/>
      <c r="AA1018" s="309"/>
    </row>
    <row r="1019" spans="2:27" ht="15.75" customHeight="1">
      <c r="B1019" s="309"/>
      <c r="C1019" s="309"/>
      <c r="D1019" s="309"/>
      <c r="E1019" s="309"/>
      <c r="F1019" s="309"/>
      <c r="G1019" s="309"/>
      <c r="H1019" s="309"/>
      <c r="I1019" s="309"/>
      <c r="J1019" s="309"/>
      <c r="K1019" s="309"/>
      <c r="L1019" s="309"/>
      <c r="M1019" s="309"/>
      <c r="N1019" s="309"/>
      <c r="O1019" s="309"/>
      <c r="P1019" s="309"/>
      <c r="Q1019" s="309"/>
      <c r="R1019" s="309"/>
      <c r="S1019" s="309"/>
      <c r="T1019" s="309"/>
      <c r="U1019" s="309"/>
      <c r="V1019" s="309"/>
      <c r="W1019" s="309"/>
      <c r="X1019" s="309"/>
      <c r="Y1019" s="309"/>
      <c r="Z1019" s="309"/>
      <c r="AA1019" s="309"/>
    </row>
    <row r="1020" spans="2:27" ht="15.75" customHeight="1">
      <c r="B1020" s="309"/>
      <c r="C1020" s="309"/>
      <c r="D1020" s="309"/>
      <c r="E1020" s="309"/>
      <c r="F1020" s="309"/>
      <c r="G1020" s="309"/>
      <c r="H1020" s="309"/>
      <c r="I1020" s="309"/>
      <c r="J1020" s="309"/>
      <c r="K1020" s="309"/>
      <c r="L1020" s="309"/>
      <c r="M1020" s="309"/>
      <c r="N1020" s="309"/>
      <c r="O1020" s="309"/>
      <c r="P1020" s="309"/>
      <c r="Q1020" s="309"/>
      <c r="R1020" s="309"/>
      <c r="S1020" s="309"/>
      <c r="T1020" s="309"/>
      <c r="U1020" s="309"/>
      <c r="V1020" s="309"/>
      <c r="W1020" s="309"/>
      <c r="X1020" s="309"/>
      <c r="Y1020" s="309"/>
      <c r="Z1020" s="309"/>
      <c r="AA1020" s="309"/>
    </row>
    <row r="1021" spans="2:27" ht="15.75" customHeight="1">
      <c r="B1021" s="309"/>
      <c r="C1021" s="309"/>
      <c r="D1021" s="309"/>
      <c r="E1021" s="309"/>
      <c r="F1021" s="309"/>
      <c r="G1021" s="309"/>
      <c r="H1021" s="309"/>
      <c r="I1021" s="309"/>
      <c r="J1021" s="309"/>
      <c r="K1021" s="309"/>
      <c r="L1021" s="309"/>
      <c r="M1021" s="309"/>
      <c r="N1021" s="309"/>
      <c r="O1021" s="309"/>
      <c r="P1021" s="309"/>
      <c r="Q1021" s="309"/>
      <c r="R1021" s="309"/>
      <c r="S1021" s="309"/>
      <c r="T1021" s="309"/>
      <c r="U1021" s="309"/>
      <c r="V1021" s="309"/>
      <c r="W1021" s="309"/>
      <c r="X1021" s="309"/>
      <c r="Y1021" s="309"/>
      <c r="Z1021" s="309"/>
      <c r="AA1021" s="309"/>
    </row>
    <row r="1022" spans="2:27" ht="15.75" customHeight="1">
      <c r="B1022" s="309"/>
      <c r="C1022" s="309"/>
      <c r="D1022" s="309"/>
      <c r="E1022" s="309"/>
      <c r="F1022" s="309"/>
      <c r="G1022" s="309"/>
      <c r="H1022" s="309"/>
      <c r="I1022" s="309"/>
      <c r="J1022" s="309"/>
      <c r="K1022" s="309"/>
      <c r="L1022" s="309"/>
      <c r="M1022" s="309"/>
      <c r="N1022" s="309"/>
      <c r="O1022" s="309"/>
      <c r="P1022" s="309"/>
      <c r="Q1022" s="309"/>
      <c r="R1022" s="309"/>
      <c r="S1022" s="309"/>
      <c r="T1022" s="309"/>
      <c r="U1022" s="309"/>
      <c r="V1022" s="309"/>
      <c r="W1022" s="309"/>
      <c r="X1022" s="309"/>
      <c r="Y1022" s="309"/>
      <c r="Z1022" s="309"/>
      <c r="AA1022" s="309"/>
    </row>
    <row r="1023" spans="2:27" ht="15.75" customHeight="1">
      <c r="B1023" s="309"/>
      <c r="C1023" s="309"/>
      <c r="D1023" s="309"/>
      <c r="E1023" s="309"/>
      <c r="F1023" s="309"/>
      <c r="G1023" s="309"/>
      <c r="H1023" s="309"/>
      <c r="I1023" s="309"/>
      <c r="J1023" s="309"/>
      <c r="K1023" s="309"/>
      <c r="L1023" s="309"/>
      <c r="M1023" s="309"/>
      <c r="N1023" s="309"/>
      <c r="O1023" s="309"/>
      <c r="P1023" s="309"/>
      <c r="Q1023" s="309"/>
      <c r="R1023" s="309"/>
      <c r="S1023" s="309"/>
      <c r="T1023" s="309"/>
      <c r="U1023" s="309"/>
      <c r="V1023" s="309"/>
      <c r="W1023" s="309"/>
      <c r="X1023" s="309"/>
      <c r="Y1023" s="309"/>
      <c r="Z1023" s="309"/>
      <c r="AA1023" s="309"/>
    </row>
    <row r="1024" spans="2:27" ht="15.75" customHeight="1">
      <c r="B1024" s="309"/>
      <c r="C1024" s="309"/>
      <c r="D1024" s="309"/>
      <c r="E1024" s="309"/>
      <c r="F1024" s="309"/>
      <c r="G1024" s="309"/>
      <c r="H1024" s="309"/>
      <c r="I1024" s="309"/>
      <c r="J1024" s="309"/>
      <c r="K1024" s="309"/>
      <c r="L1024" s="309"/>
      <c r="M1024" s="309"/>
      <c r="N1024" s="309"/>
      <c r="O1024" s="309"/>
      <c r="P1024" s="309"/>
      <c r="Q1024" s="309"/>
      <c r="R1024" s="309"/>
      <c r="S1024" s="309"/>
      <c r="T1024" s="309"/>
      <c r="U1024" s="309"/>
      <c r="V1024" s="309"/>
      <c r="W1024" s="309"/>
      <c r="X1024" s="309"/>
      <c r="Y1024" s="309"/>
      <c r="Z1024" s="309"/>
      <c r="AA1024" s="309"/>
    </row>
    <row r="1025" spans="2:27" ht="15.75" customHeight="1">
      <c r="B1025" s="309"/>
      <c r="C1025" s="309"/>
      <c r="D1025" s="309"/>
      <c r="E1025" s="309"/>
      <c r="F1025" s="309"/>
      <c r="G1025" s="309"/>
      <c r="H1025" s="309"/>
      <c r="I1025" s="309"/>
      <c r="J1025" s="309"/>
      <c r="K1025" s="309"/>
      <c r="L1025" s="309"/>
      <c r="M1025" s="309"/>
      <c r="N1025" s="309"/>
      <c r="O1025" s="309"/>
      <c r="P1025" s="309"/>
      <c r="Q1025" s="309"/>
      <c r="R1025" s="309"/>
      <c r="S1025" s="309"/>
      <c r="T1025" s="309"/>
      <c r="U1025" s="309"/>
      <c r="V1025" s="309"/>
      <c r="W1025" s="309"/>
      <c r="X1025" s="309"/>
      <c r="Y1025" s="309"/>
      <c r="Z1025" s="309"/>
      <c r="AA1025" s="309"/>
    </row>
    <row r="1026" spans="2:27" ht="15.75" customHeight="1">
      <c r="B1026" s="309"/>
      <c r="C1026" s="309"/>
      <c r="D1026" s="309"/>
      <c r="E1026" s="309"/>
      <c r="F1026" s="309"/>
      <c r="G1026" s="309"/>
      <c r="H1026" s="309"/>
      <c r="I1026" s="309"/>
      <c r="J1026" s="309"/>
      <c r="K1026" s="309"/>
      <c r="L1026" s="309"/>
      <c r="M1026" s="309"/>
      <c r="N1026" s="309"/>
      <c r="O1026" s="309"/>
      <c r="P1026" s="309"/>
      <c r="Q1026" s="309"/>
      <c r="R1026" s="309"/>
      <c r="S1026" s="309"/>
      <c r="T1026" s="309"/>
      <c r="U1026" s="309"/>
      <c r="V1026" s="309"/>
      <c r="W1026" s="309"/>
      <c r="X1026" s="309"/>
      <c r="Y1026" s="309"/>
      <c r="Z1026" s="309"/>
      <c r="AA1026" s="309"/>
    </row>
    <row r="1027" spans="2:27" ht="15.75" customHeight="1">
      <c r="B1027" s="309"/>
      <c r="C1027" s="309"/>
      <c r="D1027" s="309"/>
      <c r="E1027" s="309"/>
      <c r="F1027" s="309"/>
      <c r="G1027" s="309"/>
      <c r="H1027" s="309"/>
      <c r="I1027" s="309"/>
      <c r="J1027" s="309"/>
      <c r="K1027" s="309"/>
      <c r="L1027" s="309"/>
      <c r="M1027" s="309"/>
      <c r="N1027" s="309"/>
      <c r="O1027" s="309"/>
      <c r="P1027" s="309"/>
      <c r="Q1027" s="309"/>
      <c r="R1027" s="309"/>
      <c r="S1027" s="309"/>
      <c r="T1027" s="309"/>
      <c r="U1027" s="309"/>
      <c r="V1027" s="309"/>
      <c r="W1027" s="309"/>
      <c r="X1027" s="309"/>
      <c r="Y1027" s="309"/>
      <c r="Z1027" s="309"/>
      <c r="AA1027" s="309"/>
    </row>
    <row r="1028" spans="2:27" ht="15.75" customHeight="1">
      <c r="B1028" s="309"/>
      <c r="C1028" s="309"/>
      <c r="D1028" s="309"/>
      <c r="E1028" s="309"/>
      <c r="F1028" s="309"/>
      <c r="G1028" s="309"/>
      <c r="H1028" s="309"/>
      <c r="I1028" s="309"/>
      <c r="J1028" s="309"/>
      <c r="K1028" s="309"/>
      <c r="L1028" s="309"/>
      <c r="M1028" s="309"/>
      <c r="N1028" s="309"/>
      <c r="O1028" s="309"/>
      <c r="P1028" s="309"/>
      <c r="Q1028" s="309"/>
      <c r="R1028" s="309"/>
      <c r="S1028" s="309"/>
      <c r="T1028" s="309"/>
      <c r="U1028" s="309"/>
      <c r="V1028" s="309"/>
      <c r="W1028" s="309"/>
      <c r="X1028" s="309"/>
      <c r="Y1028" s="309"/>
      <c r="Z1028" s="309"/>
      <c r="AA1028" s="309"/>
    </row>
    <row r="1029" spans="2:27" ht="15.75" customHeight="1">
      <c r="B1029" s="309"/>
      <c r="C1029" s="309"/>
      <c r="D1029" s="309"/>
      <c r="E1029" s="309"/>
      <c r="F1029" s="309"/>
      <c r="G1029" s="309"/>
      <c r="H1029" s="309"/>
      <c r="I1029" s="309"/>
      <c r="J1029" s="309"/>
      <c r="K1029" s="309"/>
      <c r="L1029" s="309"/>
      <c r="M1029" s="309"/>
      <c r="N1029" s="309"/>
      <c r="O1029" s="309"/>
      <c r="P1029" s="309"/>
      <c r="Q1029" s="309"/>
      <c r="R1029" s="309"/>
      <c r="S1029" s="309"/>
      <c r="T1029" s="309"/>
      <c r="U1029" s="309"/>
      <c r="V1029" s="309"/>
      <c r="W1029" s="309"/>
      <c r="X1029" s="309"/>
      <c r="Y1029" s="309"/>
      <c r="Z1029" s="309"/>
      <c r="AA1029" s="309"/>
    </row>
    <row r="1030" spans="2:27" ht="15.75" customHeight="1">
      <c r="B1030" s="309"/>
      <c r="C1030" s="309"/>
      <c r="D1030" s="309"/>
      <c r="E1030" s="309"/>
      <c r="F1030" s="309"/>
      <c r="G1030" s="309"/>
      <c r="H1030" s="309"/>
      <c r="I1030" s="309"/>
      <c r="J1030" s="309"/>
      <c r="K1030" s="309"/>
      <c r="L1030" s="309"/>
      <c r="M1030" s="309"/>
      <c r="N1030" s="309"/>
      <c r="O1030" s="309"/>
      <c r="P1030" s="309"/>
      <c r="Q1030" s="309"/>
      <c r="R1030" s="309"/>
      <c r="S1030" s="309"/>
      <c r="T1030" s="309"/>
      <c r="U1030" s="309"/>
      <c r="V1030" s="309"/>
      <c r="W1030" s="309"/>
      <c r="X1030" s="309"/>
      <c r="Y1030" s="309"/>
      <c r="Z1030" s="309"/>
      <c r="AA1030" s="309"/>
    </row>
    <row r="1031" spans="2:27" ht="15.75" customHeight="1">
      <c r="B1031" s="309"/>
      <c r="C1031" s="309"/>
      <c r="D1031" s="309"/>
      <c r="E1031" s="309"/>
      <c r="F1031" s="309"/>
      <c r="G1031" s="309"/>
      <c r="H1031" s="309"/>
      <c r="I1031" s="309"/>
      <c r="J1031" s="309"/>
      <c r="K1031" s="309"/>
      <c r="L1031" s="309"/>
      <c r="M1031" s="309"/>
      <c r="N1031" s="309"/>
      <c r="O1031" s="309"/>
      <c r="P1031" s="309"/>
      <c r="Q1031" s="309"/>
      <c r="R1031" s="309"/>
      <c r="S1031" s="309"/>
      <c r="T1031" s="309"/>
      <c r="U1031" s="309"/>
      <c r="V1031" s="309"/>
      <c r="W1031" s="309"/>
      <c r="X1031" s="309"/>
      <c r="Y1031" s="309"/>
      <c r="Z1031" s="309"/>
      <c r="AA1031" s="309"/>
    </row>
    <row r="1032" spans="2:27" ht="15.75" customHeight="1">
      <c r="B1032" s="309"/>
      <c r="C1032" s="309"/>
      <c r="D1032" s="309"/>
      <c r="E1032" s="309"/>
      <c r="F1032" s="309"/>
      <c r="G1032" s="309"/>
      <c r="H1032" s="309"/>
      <c r="I1032" s="309"/>
      <c r="J1032" s="309"/>
      <c r="K1032" s="309"/>
      <c r="L1032" s="309"/>
      <c r="M1032" s="309"/>
      <c r="N1032" s="309"/>
      <c r="O1032" s="309"/>
      <c r="P1032" s="309"/>
      <c r="Q1032" s="309"/>
      <c r="R1032" s="309"/>
      <c r="S1032" s="309"/>
      <c r="T1032" s="309"/>
      <c r="U1032" s="309"/>
      <c r="V1032" s="309"/>
      <c r="W1032" s="309"/>
      <c r="X1032" s="309"/>
      <c r="Y1032" s="309"/>
      <c r="Z1032" s="309"/>
      <c r="AA1032" s="309"/>
    </row>
    <row r="1033" spans="2:27" ht="15.75" customHeight="1">
      <c r="B1033" s="309"/>
      <c r="C1033" s="309"/>
      <c r="D1033" s="309"/>
      <c r="E1033" s="309"/>
      <c r="F1033" s="309"/>
      <c r="G1033" s="309"/>
      <c r="H1033" s="309"/>
      <c r="I1033" s="309"/>
      <c r="J1033" s="309"/>
      <c r="K1033" s="309"/>
      <c r="L1033" s="309"/>
      <c r="M1033" s="309"/>
      <c r="N1033" s="309"/>
      <c r="O1033" s="309"/>
      <c r="P1033" s="309"/>
      <c r="Q1033" s="309"/>
      <c r="R1033" s="309"/>
      <c r="S1033" s="309"/>
      <c r="T1033" s="309"/>
      <c r="U1033" s="309"/>
      <c r="V1033" s="309"/>
      <c r="W1033" s="309"/>
      <c r="X1033" s="309"/>
      <c r="Y1033" s="309"/>
      <c r="Z1033" s="309"/>
      <c r="AA1033" s="309"/>
    </row>
    <row r="1034" spans="2:27" ht="15.75" customHeight="1">
      <c r="B1034" s="309"/>
      <c r="C1034" s="309"/>
      <c r="D1034" s="309"/>
      <c r="E1034" s="309"/>
      <c r="F1034" s="309"/>
      <c r="G1034" s="309"/>
      <c r="H1034" s="309"/>
      <c r="I1034" s="309"/>
      <c r="J1034" s="309"/>
      <c r="K1034" s="309"/>
      <c r="L1034" s="309"/>
      <c r="M1034" s="309"/>
      <c r="N1034" s="309"/>
      <c r="O1034" s="309"/>
      <c r="P1034" s="309"/>
      <c r="Q1034" s="309"/>
      <c r="R1034" s="309"/>
      <c r="S1034" s="309"/>
      <c r="T1034" s="309"/>
      <c r="U1034" s="309"/>
      <c r="V1034" s="309"/>
      <c r="W1034" s="309"/>
      <c r="X1034" s="309"/>
      <c r="Y1034" s="309"/>
      <c r="Z1034" s="309"/>
      <c r="AA1034" s="309"/>
    </row>
    <row r="1035" spans="2:27" ht="15.75" customHeight="1">
      <c r="B1035" s="309"/>
      <c r="C1035" s="309"/>
      <c r="D1035" s="309"/>
      <c r="E1035" s="309"/>
      <c r="F1035" s="309"/>
      <c r="G1035" s="309"/>
      <c r="H1035" s="309"/>
      <c r="I1035" s="309"/>
      <c r="J1035" s="309"/>
      <c r="K1035" s="309"/>
      <c r="L1035" s="309"/>
      <c r="M1035" s="309"/>
      <c r="N1035" s="309"/>
      <c r="O1035" s="309"/>
      <c r="P1035" s="309"/>
      <c r="Q1035" s="309"/>
      <c r="R1035" s="309"/>
      <c r="S1035" s="309"/>
      <c r="T1035" s="309"/>
      <c r="U1035" s="309"/>
      <c r="V1035" s="309"/>
      <c r="W1035" s="309"/>
      <c r="X1035" s="309"/>
      <c r="Y1035" s="309"/>
      <c r="Z1035" s="309"/>
      <c r="AA1035" s="309"/>
    </row>
    <row r="1036" spans="2:27" ht="15.75" customHeight="1">
      <c r="B1036" s="309"/>
      <c r="C1036" s="309"/>
      <c r="D1036" s="309"/>
      <c r="E1036" s="309"/>
      <c r="F1036" s="309"/>
      <c r="G1036" s="309"/>
      <c r="H1036" s="309"/>
      <c r="I1036" s="309"/>
      <c r="J1036" s="309"/>
      <c r="K1036" s="309"/>
      <c r="L1036" s="309"/>
      <c r="M1036" s="309"/>
      <c r="N1036" s="309"/>
      <c r="O1036" s="309"/>
      <c r="P1036" s="309"/>
      <c r="Q1036" s="309"/>
      <c r="R1036" s="309"/>
      <c r="S1036" s="309"/>
      <c r="T1036" s="309"/>
      <c r="U1036" s="309"/>
      <c r="V1036" s="309"/>
      <c r="W1036" s="309"/>
      <c r="X1036" s="309"/>
      <c r="Y1036" s="309"/>
      <c r="Z1036" s="309"/>
      <c r="AA1036" s="309"/>
    </row>
    <row r="1037" spans="2:27" ht="15.75" customHeight="1">
      <c r="B1037" s="309"/>
      <c r="C1037" s="309"/>
      <c r="D1037" s="309"/>
      <c r="E1037" s="309"/>
      <c r="F1037" s="309"/>
      <c r="G1037" s="309"/>
      <c r="H1037" s="309"/>
      <c r="I1037" s="309"/>
      <c r="J1037" s="309"/>
      <c r="K1037" s="309"/>
      <c r="L1037" s="309"/>
      <c r="M1037" s="309"/>
      <c r="N1037" s="309"/>
      <c r="O1037" s="309"/>
      <c r="P1037" s="309"/>
      <c r="Q1037" s="309"/>
      <c r="R1037" s="309"/>
      <c r="S1037" s="309"/>
      <c r="T1037" s="309"/>
      <c r="U1037" s="309"/>
      <c r="V1037" s="309"/>
      <c r="W1037" s="309"/>
      <c r="X1037" s="309"/>
      <c r="Y1037" s="309"/>
      <c r="Z1037" s="309"/>
      <c r="AA1037" s="309"/>
    </row>
    <row r="1038" spans="2:27" ht="15.75" customHeight="1">
      <c r="B1038" s="309"/>
      <c r="C1038" s="309"/>
      <c r="D1038" s="309"/>
      <c r="E1038" s="309"/>
      <c r="F1038" s="309"/>
      <c r="G1038" s="309"/>
      <c r="H1038" s="309"/>
      <c r="I1038" s="309"/>
      <c r="J1038" s="309"/>
      <c r="K1038" s="309"/>
      <c r="L1038" s="309"/>
      <c r="M1038" s="309"/>
      <c r="N1038" s="309"/>
      <c r="O1038" s="309"/>
      <c r="P1038" s="309"/>
      <c r="Q1038" s="309"/>
      <c r="R1038" s="309"/>
      <c r="S1038" s="309"/>
      <c r="T1038" s="309"/>
      <c r="U1038" s="309"/>
      <c r="V1038" s="309"/>
      <c r="W1038" s="309"/>
      <c r="X1038" s="309"/>
      <c r="Y1038" s="309"/>
      <c r="Z1038" s="309"/>
      <c r="AA1038" s="309"/>
    </row>
    <row r="1039" spans="2:27" ht="15.75" customHeight="1">
      <c r="B1039" s="309"/>
      <c r="C1039" s="309"/>
      <c r="D1039" s="309"/>
      <c r="E1039" s="309"/>
      <c r="F1039" s="309"/>
      <c r="G1039" s="309"/>
      <c r="H1039" s="309"/>
      <c r="I1039" s="309"/>
      <c r="J1039" s="309"/>
      <c r="K1039" s="309"/>
      <c r="L1039" s="309"/>
      <c r="M1039" s="309"/>
      <c r="N1039" s="309"/>
      <c r="O1039" s="309"/>
      <c r="P1039" s="309"/>
      <c r="Q1039" s="309"/>
      <c r="R1039" s="309"/>
      <c r="S1039" s="309"/>
      <c r="T1039" s="309"/>
      <c r="U1039" s="309"/>
      <c r="V1039" s="309"/>
      <c r="W1039" s="309"/>
      <c r="X1039" s="309"/>
      <c r="Y1039" s="309"/>
      <c r="Z1039" s="309"/>
      <c r="AA1039" s="309"/>
    </row>
    <row r="1040" spans="2:27" ht="15.75" customHeight="1">
      <c r="B1040" s="309"/>
      <c r="C1040" s="309"/>
      <c r="D1040" s="309"/>
      <c r="E1040" s="309"/>
      <c r="F1040" s="309"/>
      <c r="G1040" s="309"/>
      <c r="H1040" s="309"/>
      <c r="I1040" s="309"/>
      <c r="J1040" s="309"/>
      <c r="K1040" s="309"/>
      <c r="L1040" s="309"/>
      <c r="M1040" s="309"/>
      <c r="N1040" s="309"/>
      <c r="O1040" s="309"/>
      <c r="P1040" s="309"/>
      <c r="Q1040" s="309"/>
      <c r="R1040" s="309"/>
      <c r="S1040" s="309"/>
      <c r="T1040" s="309"/>
      <c r="U1040" s="309"/>
      <c r="V1040" s="309"/>
      <c r="W1040" s="309"/>
      <c r="X1040" s="309"/>
      <c r="Y1040" s="309"/>
      <c r="Z1040" s="309"/>
      <c r="AA1040" s="309"/>
    </row>
    <row r="1041" spans="2:27" ht="15.75" customHeight="1">
      <c r="B1041" s="309"/>
      <c r="C1041" s="309"/>
      <c r="D1041" s="309"/>
      <c r="E1041" s="309"/>
      <c r="F1041" s="309"/>
      <c r="G1041" s="309"/>
      <c r="H1041" s="309"/>
      <c r="I1041" s="309"/>
      <c r="J1041" s="309"/>
      <c r="K1041" s="309"/>
      <c r="L1041" s="309"/>
      <c r="M1041" s="309"/>
      <c r="N1041" s="309"/>
      <c r="O1041" s="309"/>
      <c r="P1041" s="309"/>
      <c r="Q1041" s="309"/>
      <c r="R1041" s="309"/>
      <c r="S1041" s="309"/>
      <c r="T1041" s="309"/>
      <c r="U1041" s="309"/>
      <c r="V1041" s="309"/>
      <c r="W1041" s="309"/>
      <c r="X1041" s="309"/>
      <c r="Y1041" s="309"/>
      <c r="Z1041" s="309"/>
      <c r="AA1041" s="309"/>
    </row>
    <row r="1042" spans="2:27" ht="15.75" customHeight="1">
      <c r="B1042" s="309"/>
      <c r="C1042" s="309"/>
      <c r="D1042" s="309"/>
      <c r="E1042" s="309"/>
      <c r="F1042" s="309"/>
      <c r="G1042" s="309"/>
      <c r="H1042" s="309"/>
      <c r="I1042" s="309"/>
      <c r="J1042" s="309"/>
      <c r="K1042" s="309"/>
      <c r="L1042" s="309"/>
      <c r="M1042" s="309"/>
      <c r="N1042" s="309"/>
      <c r="O1042" s="309"/>
      <c r="P1042" s="309"/>
      <c r="Q1042" s="309"/>
      <c r="R1042" s="309"/>
      <c r="S1042" s="309"/>
      <c r="T1042" s="309"/>
      <c r="U1042" s="309"/>
      <c r="V1042" s="309"/>
      <c r="W1042" s="309"/>
      <c r="X1042" s="309"/>
      <c r="Y1042" s="309"/>
      <c r="Z1042" s="309"/>
      <c r="AA1042" s="309"/>
    </row>
    <row r="1043" spans="2:27" ht="15.75" customHeight="1">
      <c r="B1043" s="309"/>
      <c r="C1043" s="309"/>
      <c r="D1043" s="309"/>
      <c r="E1043" s="309"/>
      <c r="F1043" s="309"/>
      <c r="G1043" s="309"/>
      <c r="H1043" s="309"/>
      <c r="I1043" s="309"/>
      <c r="J1043" s="309"/>
      <c r="K1043" s="309"/>
      <c r="L1043" s="309"/>
      <c r="M1043" s="309"/>
      <c r="N1043" s="309"/>
      <c r="O1043" s="309"/>
      <c r="P1043" s="309"/>
      <c r="Q1043" s="309"/>
      <c r="R1043" s="309"/>
      <c r="S1043" s="309"/>
      <c r="T1043" s="309"/>
      <c r="U1043" s="309"/>
      <c r="V1043" s="309"/>
      <c r="W1043" s="309"/>
      <c r="X1043" s="309"/>
      <c r="Y1043" s="309"/>
      <c r="Z1043" s="309"/>
      <c r="AA1043" s="309"/>
    </row>
    <row r="1044" spans="2:27" ht="15.75" customHeight="1">
      <c r="B1044" s="309"/>
      <c r="C1044" s="309"/>
      <c r="D1044" s="309"/>
      <c r="E1044" s="309"/>
      <c r="F1044" s="309"/>
      <c r="G1044" s="309"/>
      <c r="H1044" s="309"/>
      <c r="I1044" s="309"/>
      <c r="J1044" s="309"/>
      <c r="K1044" s="309"/>
      <c r="L1044" s="309"/>
      <c r="M1044" s="309"/>
      <c r="N1044" s="309"/>
      <c r="O1044" s="309"/>
      <c r="P1044" s="309"/>
      <c r="Q1044" s="309"/>
      <c r="R1044" s="309"/>
      <c r="S1044" s="309"/>
      <c r="T1044" s="309"/>
      <c r="U1044" s="309"/>
      <c r="V1044" s="309"/>
      <c r="W1044" s="309"/>
      <c r="X1044" s="309"/>
      <c r="Y1044" s="309"/>
      <c r="Z1044" s="309"/>
      <c r="AA1044" s="309"/>
    </row>
    <row r="1045" spans="2:27" ht="15.75" customHeight="1">
      <c r="B1045" s="309"/>
      <c r="C1045" s="309"/>
      <c r="D1045" s="309"/>
      <c r="E1045" s="309"/>
      <c r="F1045" s="309"/>
      <c r="G1045" s="309"/>
      <c r="H1045" s="309"/>
      <c r="I1045" s="309"/>
      <c r="J1045" s="309"/>
      <c r="K1045" s="309"/>
      <c r="L1045" s="309"/>
      <c r="M1045" s="309"/>
      <c r="N1045" s="309"/>
      <c r="O1045" s="309"/>
      <c r="P1045" s="309"/>
      <c r="Q1045" s="309"/>
      <c r="R1045" s="309"/>
      <c r="S1045" s="309"/>
      <c r="T1045" s="309"/>
      <c r="U1045" s="309"/>
      <c r="V1045" s="309"/>
      <c r="W1045" s="309"/>
      <c r="X1045" s="309"/>
      <c r="Y1045" s="309"/>
      <c r="Z1045" s="309"/>
      <c r="AA1045" s="309"/>
    </row>
    <row r="1046" spans="2:27" ht="15.75" customHeight="1">
      <c r="B1046" s="309"/>
      <c r="C1046" s="309"/>
      <c r="D1046" s="309"/>
      <c r="E1046" s="309"/>
      <c r="F1046" s="309"/>
      <c r="G1046" s="309"/>
      <c r="H1046" s="309"/>
      <c r="I1046" s="309"/>
      <c r="J1046" s="309"/>
      <c r="K1046" s="309"/>
      <c r="L1046" s="309"/>
      <c r="M1046" s="309"/>
      <c r="N1046" s="309"/>
      <c r="O1046" s="309"/>
      <c r="P1046" s="309"/>
      <c r="Q1046" s="309"/>
      <c r="R1046" s="309"/>
      <c r="S1046" s="309"/>
      <c r="T1046" s="309"/>
      <c r="U1046" s="309"/>
      <c r="V1046" s="309"/>
      <c r="W1046" s="309"/>
      <c r="X1046" s="309"/>
      <c r="Y1046" s="309"/>
      <c r="Z1046" s="309"/>
      <c r="AA1046" s="309"/>
    </row>
    <row r="1047" spans="2:27" ht="15.75" customHeight="1">
      <c r="B1047" s="309"/>
      <c r="C1047" s="309"/>
      <c r="D1047" s="309"/>
      <c r="E1047" s="309"/>
      <c r="F1047" s="309"/>
      <c r="G1047" s="309"/>
      <c r="H1047" s="309"/>
      <c r="I1047" s="309"/>
      <c r="J1047" s="309"/>
      <c r="K1047" s="309"/>
      <c r="L1047" s="309"/>
      <c r="M1047" s="309"/>
      <c r="N1047" s="309"/>
      <c r="O1047" s="309"/>
      <c r="P1047" s="309"/>
      <c r="Q1047" s="309"/>
      <c r="R1047" s="309"/>
      <c r="S1047" s="309"/>
      <c r="T1047" s="309"/>
      <c r="U1047" s="309"/>
      <c r="V1047" s="309"/>
      <c r="W1047" s="309"/>
      <c r="X1047" s="309"/>
      <c r="Y1047" s="309"/>
      <c r="Z1047" s="309"/>
      <c r="AA1047" s="309"/>
    </row>
    <row r="1048" spans="2:27" ht="15.75" customHeight="1">
      <c r="B1048" s="309"/>
      <c r="C1048" s="309"/>
      <c r="D1048" s="309"/>
      <c r="E1048" s="309"/>
      <c r="F1048" s="309"/>
      <c r="G1048" s="309"/>
      <c r="H1048" s="309"/>
      <c r="I1048" s="309"/>
      <c r="J1048" s="309"/>
      <c r="K1048" s="309"/>
      <c r="L1048" s="309"/>
      <c r="M1048" s="309"/>
      <c r="N1048" s="309"/>
      <c r="O1048" s="309"/>
      <c r="P1048" s="309"/>
      <c r="Q1048" s="309"/>
      <c r="R1048" s="309"/>
      <c r="S1048" s="309"/>
      <c r="T1048" s="309"/>
      <c r="U1048" s="309"/>
      <c r="V1048" s="309"/>
      <c r="W1048" s="309"/>
      <c r="X1048" s="309"/>
      <c r="Y1048" s="309"/>
      <c r="Z1048" s="309"/>
      <c r="AA1048" s="309"/>
    </row>
    <row r="1049" spans="2:27" ht="15.75" customHeight="1">
      <c r="B1049" s="309"/>
      <c r="C1049" s="309"/>
      <c r="D1049" s="309"/>
      <c r="E1049" s="309"/>
      <c r="F1049" s="309"/>
      <c r="G1049" s="309"/>
      <c r="H1049" s="309"/>
      <c r="I1049" s="309"/>
      <c r="J1049" s="309"/>
      <c r="K1049" s="309"/>
      <c r="L1049" s="309"/>
      <c r="M1049" s="309"/>
      <c r="N1049" s="309"/>
      <c r="O1049" s="309"/>
      <c r="P1049" s="309"/>
      <c r="Q1049" s="309"/>
      <c r="R1049" s="309"/>
      <c r="S1049" s="309"/>
      <c r="T1049" s="309"/>
      <c r="U1049" s="309"/>
      <c r="V1049" s="309"/>
      <c r="W1049" s="309"/>
      <c r="X1049" s="309"/>
      <c r="Y1049" s="309"/>
      <c r="Z1049" s="309"/>
      <c r="AA1049" s="309"/>
    </row>
    <row r="1050" spans="2:27" ht="15.75" customHeight="1">
      <c r="B1050" s="309"/>
      <c r="C1050" s="309"/>
      <c r="D1050" s="309"/>
      <c r="E1050" s="309"/>
      <c r="F1050" s="309"/>
      <c r="G1050" s="309"/>
      <c r="H1050" s="309"/>
      <c r="I1050" s="309"/>
      <c r="J1050" s="309"/>
      <c r="K1050" s="309"/>
      <c r="L1050" s="309"/>
      <c r="M1050" s="309"/>
      <c r="N1050" s="309"/>
      <c r="O1050" s="309"/>
      <c r="P1050" s="309"/>
      <c r="Q1050" s="309"/>
      <c r="R1050" s="309"/>
      <c r="S1050" s="309"/>
      <c r="T1050" s="309"/>
      <c r="U1050" s="309"/>
      <c r="V1050" s="309"/>
      <c r="W1050" s="309"/>
      <c r="X1050" s="309"/>
      <c r="Y1050" s="309"/>
      <c r="Z1050" s="309"/>
      <c r="AA1050" s="309"/>
    </row>
    <row r="1051" spans="2:27" ht="15.75" customHeight="1">
      <c r="B1051" s="309"/>
      <c r="C1051" s="309"/>
      <c r="D1051" s="309"/>
      <c r="E1051" s="309"/>
      <c r="F1051" s="309"/>
      <c r="G1051" s="309"/>
      <c r="H1051" s="309"/>
      <c r="I1051" s="309"/>
      <c r="J1051" s="309"/>
      <c r="K1051" s="309"/>
      <c r="L1051" s="309"/>
      <c r="M1051" s="309"/>
      <c r="N1051" s="309"/>
      <c r="O1051" s="309"/>
      <c r="P1051" s="309"/>
      <c r="Q1051" s="309"/>
      <c r="R1051" s="309"/>
      <c r="S1051" s="309"/>
      <c r="T1051" s="309"/>
      <c r="U1051" s="309"/>
      <c r="V1051" s="309"/>
      <c r="W1051" s="309"/>
      <c r="X1051" s="309"/>
      <c r="Y1051" s="309"/>
      <c r="Z1051" s="309"/>
      <c r="AA1051" s="309"/>
    </row>
    <row r="1052" spans="2:27" ht="15.75" customHeight="1">
      <c r="B1052" s="309"/>
      <c r="C1052" s="309"/>
      <c r="D1052" s="309"/>
      <c r="E1052" s="309"/>
      <c r="F1052" s="309"/>
      <c r="G1052" s="309"/>
      <c r="H1052" s="309"/>
      <c r="I1052" s="309"/>
      <c r="J1052" s="309"/>
      <c r="K1052" s="309"/>
      <c r="L1052" s="309"/>
      <c r="M1052" s="309"/>
      <c r="N1052" s="309"/>
      <c r="O1052" s="309"/>
      <c r="P1052" s="309"/>
      <c r="Q1052" s="309"/>
      <c r="R1052" s="309"/>
      <c r="S1052" s="309"/>
      <c r="T1052" s="309"/>
      <c r="U1052" s="309"/>
      <c r="V1052" s="309"/>
      <c r="W1052" s="309"/>
      <c r="X1052" s="309"/>
      <c r="Y1052" s="309"/>
      <c r="Z1052" s="309"/>
      <c r="AA1052" s="309"/>
    </row>
    <row r="1053" spans="2:27" ht="15.75" customHeight="1">
      <c r="B1053" s="309"/>
      <c r="C1053" s="309"/>
      <c r="D1053" s="309"/>
      <c r="E1053" s="309"/>
      <c r="F1053" s="309"/>
      <c r="G1053" s="309"/>
      <c r="H1053" s="309"/>
      <c r="I1053" s="309"/>
      <c r="J1053" s="309"/>
      <c r="K1053" s="309"/>
      <c r="L1053" s="309"/>
      <c r="M1053" s="309"/>
      <c r="N1053" s="309"/>
      <c r="O1053" s="309"/>
      <c r="P1053" s="309"/>
      <c r="Q1053" s="309"/>
      <c r="R1053" s="309"/>
      <c r="S1053" s="309"/>
      <c r="T1053" s="309"/>
      <c r="U1053" s="309"/>
      <c r="V1053" s="309"/>
      <c r="W1053" s="309"/>
      <c r="X1053" s="309"/>
      <c r="Y1053" s="309"/>
      <c r="Z1053" s="309"/>
      <c r="AA1053" s="309"/>
    </row>
    <row r="1054" spans="2:27" ht="15.75" customHeight="1">
      <c r="B1054" s="309"/>
      <c r="C1054" s="309"/>
      <c r="D1054" s="309"/>
      <c r="E1054" s="309"/>
      <c r="F1054" s="309"/>
      <c r="G1054" s="309"/>
      <c r="H1054" s="309"/>
      <c r="I1054" s="309"/>
      <c r="J1054" s="309"/>
      <c r="K1054" s="309"/>
      <c r="L1054" s="309"/>
      <c r="M1054" s="309"/>
      <c r="N1054" s="309"/>
      <c r="O1054" s="309"/>
      <c r="P1054" s="309"/>
      <c r="Q1054" s="309"/>
      <c r="R1054" s="309"/>
      <c r="S1054" s="309"/>
      <c r="T1054" s="309"/>
      <c r="U1054" s="309"/>
      <c r="V1054" s="309"/>
      <c r="W1054" s="309"/>
      <c r="X1054" s="309"/>
      <c r="Y1054" s="309"/>
      <c r="Z1054" s="309"/>
      <c r="AA1054" s="309"/>
    </row>
    <row r="1055" spans="2:27" ht="15.75" customHeight="1">
      <c r="B1055" s="309"/>
      <c r="C1055" s="309"/>
      <c r="D1055" s="309"/>
      <c r="E1055" s="309"/>
      <c r="F1055" s="309"/>
      <c r="G1055" s="309"/>
      <c r="H1055" s="309"/>
      <c r="I1055" s="309"/>
      <c r="J1055" s="309"/>
      <c r="K1055" s="309"/>
      <c r="L1055" s="309"/>
      <c r="M1055" s="309"/>
      <c r="N1055" s="309"/>
      <c r="O1055" s="309"/>
      <c r="P1055" s="309"/>
      <c r="Q1055" s="309"/>
      <c r="R1055" s="309"/>
      <c r="S1055" s="309"/>
      <c r="T1055" s="309"/>
      <c r="U1055" s="309"/>
      <c r="V1055" s="309"/>
      <c r="W1055" s="309"/>
      <c r="X1055" s="309"/>
      <c r="Y1055" s="309"/>
      <c r="Z1055" s="309"/>
      <c r="AA1055" s="309"/>
    </row>
    <row r="1056" spans="2:27" ht="15.75" customHeight="1">
      <c r="B1056" s="309"/>
      <c r="C1056" s="309"/>
      <c r="D1056" s="309"/>
      <c r="E1056" s="309"/>
      <c r="F1056" s="309"/>
      <c r="G1056" s="309"/>
      <c r="H1056" s="309"/>
      <c r="I1056" s="309"/>
      <c r="J1056" s="309"/>
      <c r="K1056" s="309"/>
      <c r="L1056" s="309"/>
      <c r="M1056" s="309"/>
      <c r="N1056" s="309"/>
      <c r="O1056" s="309"/>
      <c r="P1056" s="309"/>
      <c r="Q1056" s="309"/>
      <c r="R1056" s="309"/>
      <c r="S1056" s="309"/>
      <c r="T1056" s="309"/>
      <c r="U1056" s="309"/>
      <c r="V1056" s="309"/>
      <c r="W1056" s="309"/>
      <c r="X1056" s="309"/>
      <c r="Y1056" s="309"/>
      <c r="Z1056" s="309"/>
      <c r="AA1056" s="309"/>
    </row>
    <row r="1057" spans="2:27" ht="15.75" customHeight="1">
      <c r="B1057" s="309"/>
      <c r="C1057" s="309"/>
      <c r="D1057" s="309"/>
      <c r="E1057" s="309"/>
      <c r="F1057" s="309"/>
      <c r="G1057" s="309"/>
      <c r="H1057" s="309"/>
      <c r="I1057" s="309"/>
      <c r="J1057" s="309"/>
      <c r="K1057" s="309"/>
      <c r="L1057" s="309"/>
      <c r="M1057" s="309"/>
      <c r="N1057" s="309"/>
      <c r="O1057" s="309"/>
      <c r="P1057" s="309"/>
      <c r="Q1057" s="309"/>
      <c r="R1057" s="309"/>
      <c r="S1057" s="309"/>
      <c r="T1057" s="309"/>
      <c r="U1057" s="309"/>
      <c r="V1057" s="309"/>
      <c r="W1057" s="309"/>
      <c r="X1057" s="309"/>
      <c r="Y1057" s="309"/>
      <c r="Z1057" s="309"/>
      <c r="AA1057" s="309"/>
    </row>
    <row r="1058" spans="2:27" ht="15.75" customHeight="1">
      <c r="B1058" s="309"/>
      <c r="C1058" s="309"/>
      <c r="D1058" s="309"/>
      <c r="E1058" s="309"/>
      <c r="F1058" s="309"/>
      <c r="G1058" s="309"/>
      <c r="H1058" s="309"/>
      <c r="I1058" s="309"/>
      <c r="J1058" s="309"/>
      <c r="K1058" s="309"/>
      <c r="L1058" s="309"/>
      <c r="M1058" s="309"/>
      <c r="N1058" s="309"/>
      <c r="O1058" s="309"/>
      <c r="P1058" s="309"/>
      <c r="Q1058" s="309"/>
      <c r="R1058" s="309"/>
      <c r="S1058" s="309"/>
      <c r="T1058" s="309"/>
      <c r="U1058" s="309"/>
      <c r="V1058" s="309"/>
      <c r="W1058" s="309"/>
      <c r="X1058" s="309"/>
      <c r="Y1058" s="309"/>
      <c r="Z1058" s="309"/>
      <c r="AA1058" s="309"/>
    </row>
    <row r="1059" spans="2:27" ht="15.75" customHeight="1">
      <c r="B1059" s="309"/>
      <c r="C1059" s="309"/>
      <c r="D1059" s="309"/>
      <c r="E1059" s="309"/>
      <c r="F1059" s="309"/>
      <c r="G1059" s="309"/>
      <c r="H1059" s="309"/>
      <c r="I1059" s="309"/>
      <c r="J1059" s="309"/>
      <c r="K1059" s="309"/>
      <c r="L1059" s="309"/>
      <c r="M1059" s="309"/>
      <c r="N1059" s="309"/>
      <c r="O1059" s="309"/>
      <c r="P1059" s="309"/>
      <c r="Q1059" s="309"/>
      <c r="R1059" s="309"/>
      <c r="S1059" s="309"/>
      <c r="T1059" s="309"/>
      <c r="U1059" s="309"/>
      <c r="V1059" s="309"/>
      <c r="W1059" s="309"/>
      <c r="X1059" s="309"/>
      <c r="Y1059" s="309"/>
      <c r="Z1059" s="309"/>
      <c r="AA1059" s="309"/>
    </row>
    <row r="1060" spans="2:27" ht="15.75" customHeight="1">
      <c r="B1060" s="309"/>
      <c r="C1060" s="309"/>
      <c r="D1060" s="309"/>
      <c r="E1060" s="309"/>
      <c r="F1060" s="309"/>
      <c r="G1060" s="309"/>
      <c r="H1060" s="309"/>
      <c r="I1060" s="309"/>
      <c r="J1060" s="309"/>
      <c r="K1060" s="309"/>
      <c r="L1060" s="309"/>
      <c r="M1060" s="309"/>
      <c r="N1060" s="309"/>
      <c r="O1060" s="309"/>
      <c r="P1060" s="309"/>
      <c r="Q1060" s="309"/>
      <c r="R1060" s="309"/>
      <c r="S1060" s="309"/>
      <c r="T1060" s="309"/>
      <c r="U1060" s="309"/>
      <c r="V1060" s="309"/>
      <c r="W1060" s="309"/>
      <c r="X1060" s="309"/>
      <c r="Y1060" s="309"/>
      <c r="Z1060" s="309"/>
      <c r="AA1060" s="309"/>
    </row>
    <row r="1061" spans="2:27" ht="15.75" customHeight="1">
      <c r="B1061" s="309"/>
      <c r="C1061" s="309"/>
      <c r="D1061" s="309"/>
      <c r="E1061" s="309"/>
      <c r="F1061" s="309"/>
      <c r="G1061" s="309"/>
      <c r="H1061" s="309"/>
      <c r="I1061" s="309"/>
      <c r="J1061" s="309"/>
      <c r="K1061" s="309"/>
      <c r="L1061" s="309"/>
      <c r="M1061" s="309"/>
      <c r="N1061" s="309"/>
      <c r="O1061" s="309"/>
      <c r="P1061" s="309"/>
      <c r="Q1061" s="309"/>
      <c r="R1061" s="309"/>
      <c r="S1061" s="309"/>
      <c r="T1061" s="309"/>
      <c r="U1061" s="309"/>
      <c r="V1061" s="309"/>
      <c r="W1061" s="309"/>
      <c r="X1061" s="309"/>
      <c r="Y1061" s="309"/>
      <c r="Z1061" s="309"/>
      <c r="AA1061" s="309"/>
    </row>
    <row r="1062" spans="2:27" ht="15.75" customHeight="1">
      <c r="B1062" s="309"/>
      <c r="C1062" s="309"/>
      <c r="D1062" s="309"/>
      <c r="E1062" s="309"/>
      <c r="F1062" s="309"/>
      <c r="G1062" s="309"/>
      <c r="H1062" s="309"/>
      <c r="I1062" s="309"/>
      <c r="J1062" s="309"/>
      <c r="K1062" s="309"/>
      <c r="L1062" s="309"/>
      <c r="M1062" s="309"/>
      <c r="N1062" s="309"/>
      <c r="O1062" s="309"/>
      <c r="P1062" s="309"/>
      <c r="Q1062" s="309"/>
      <c r="R1062" s="309"/>
      <c r="S1062" s="309"/>
      <c r="T1062" s="309"/>
      <c r="U1062" s="309"/>
      <c r="V1062" s="309"/>
      <c r="W1062" s="309"/>
      <c r="X1062" s="309"/>
      <c r="Y1062" s="309"/>
      <c r="Z1062" s="309"/>
      <c r="AA1062" s="309"/>
    </row>
    <row r="1063" spans="2:27" ht="15.75" customHeight="1">
      <c r="B1063" s="309"/>
      <c r="C1063" s="309"/>
      <c r="D1063" s="309"/>
      <c r="E1063" s="309"/>
      <c r="F1063" s="309"/>
      <c r="G1063" s="309"/>
      <c r="H1063" s="309"/>
      <c r="I1063" s="309"/>
      <c r="J1063" s="309"/>
      <c r="K1063" s="309"/>
      <c r="L1063" s="309"/>
      <c r="M1063" s="309"/>
      <c r="N1063" s="309"/>
      <c r="O1063" s="309"/>
      <c r="P1063" s="309"/>
      <c r="Q1063" s="309"/>
      <c r="R1063" s="309"/>
      <c r="S1063" s="309"/>
      <c r="T1063" s="309"/>
      <c r="U1063" s="309"/>
      <c r="V1063" s="309"/>
      <c r="W1063" s="309"/>
      <c r="X1063" s="309"/>
      <c r="Y1063" s="309"/>
      <c r="Z1063" s="309"/>
      <c r="AA1063" s="309"/>
    </row>
    <row r="1064" spans="2:27" ht="15.75" customHeight="1">
      <c r="B1064" s="309"/>
      <c r="C1064" s="309"/>
      <c r="D1064" s="309"/>
      <c r="E1064" s="309"/>
      <c r="F1064" s="309"/>
      <c r="G1064" s="309"/>
      <c r="H1064" s="309"/>
      <c r="I1064" s="309"/>
      <c r="J1064" s="309"/>
      <c r="K1064" s="309"/>
      <c r="L1064" s="309"/>
      <c r="M1064" s="309"/>
      <c r="N1064" s="309"/>
      <c r="O1064" s="309"/>
      <c r="P1064" s="309"/>
      <c r="Q1064" s="309"/>
      <c r="R1064" s="309"/>
      <c r="S1064" s="309"/>
      <c r="T1064" s="309"/>
      <c r="U1064" s="309"/>
      <c r="V1064" s="309"/>
      <c r="W1064" s="309"/>
      <c r="X1064" s="309"/>
      <c r="Y1064" s="309"/>
      <c r="Z1064" s="309"/>
      <c r="AA1064" s="309"/>
    </row>
    <row r="1065" spans="2:27" ht="15.75" customHeight="1">
      <c r="B1065" s="309"/>
      <c r="C1065" s="309"/>
      <c r="D1065" s="309"/>
      <c r="E1065" s="309"/>
      <c r="F1065" s="309"/>
      <c r="G1065" s="309"/>
      <c r="H1065" s="309"/>
      <c r="I1065" s="309"/>
      <c r="J1065" s="309"/>
      <c r="K1065" s="309"/>
      <c r="L1065" s="309"/>
      <c r="M1065" s="309"/>
      <c r="N1065" s="309"/>
      <c r="O1065" s="309"/>
      <c r="P1065" s="309"/>
      <c r="Q1065" s="309"/>
      <c r="R1065" s="309"/>
      <c r="S1065" s="309"/>
      <c r="T1065" s="309"/>
      <c r="U1065" s="309"/>
      <c r="V1065" s="309"/>
      <c r="W1065" s="309"/>
      <c r="X1065" s="309"/>
      <c r="Y1065" s="309"/>
      <c r="Z1065" s="309"/>
      <c r="AA1065" s="309"/>
    </row>
    <row r="1066" spans="2:27" ht="15.75" customHeight="1">
      <c r="B1066" s="309"/>
      <c r="C1066" s="309"/>
      <c r="D1066" s="309"/>
      <c r="E1066" s="309"/>
      <c r="F1066" s="309"/>
      <c r="G1066" s="309"/>
      <c r="H1066" s="309"/>
      <c r="I1066" s="309"/>
      <c r="J1066" s="309"/>
      <c r="K1066" s="309"/>
      <c r="L1066" s="309"/>
      <c r="M1066" s="309"/>
      <c r="N1066" s="309"/>
      <c r="O1066" s="309"/>
      <c r="P1066" s="309"/>
      <c r="Q1066" s="309"/>
      <c r="R1066" s="309"/>
      <c r="S1066" s="309"/>
      <c r="T1066" s="309"/>
      <c r="U1066" s="309"/>
      <c r="V1066" s="309"/>
      <c r="W1066" s="309"/>
      <c r="X1066" s="309"/>
      <c r="Y1066" s="309"/>
      <c r="Z1066" s="309"/>
      <c r="AA1066" s="309"/>
    </row>
    <row r="1067" spans="2:27" ht="15.75" customHeight="1">
      <c r="B1067" s="309"/>
      <c r="C1067" s="309"/>
      <c r="D1067" s="309"/>
      <c r="E1067" s="309"/>
      <c r="F1067" s="309"/>
      <c r="G1067" s="309"/>
      <c r="H1067" s="309"/>
      <c r="I1067" s="309"/>
      <c r="J1067" s="309"/>
      <c r="K1067" s="309"/>
      <c r="L1067" s="309"/>
      <c r="M1067" s="309"/>
      <c r="N1067" s="309"/>
      <c r="O1067" s="309"/>
      <c r="P1067" s="309"/>
      <c r="Q1067" s="309"/>
      <c r="R1067" s="309"/>
      <c r="S1067" s="309"/>
      <c r="T1067" s="309"/>
      <c r="U1067" s="309"/>
      <c r="V1067" s="309"/>
      <c r="W1067" s="309"/>
      <c r="X1067" s="309"/>
      <c r="Y1067" s="309"/>
      <c r="Z1067" s="309"/>
      <c r="AA1067" s="309"/>
    </row>
    <row r="1068" spans="2:27" ht="15.75" customHeight="1">
      <c r="B1068" s="309"/>
      <c r="C1068" s="309"/>
      <c r="D1068" s="309"/>
      <c r="E1068" s="309"/>
      <c r="F1068" s="309"/>
      <c r="G1068" s="309"/>
      <c r="H1068" s="309"/>
      <c r="I1068" s="309"/>
      <c r="J1068" s="309"/>
      <c r="K1068" s="309"/>
      <c r="L1068" s="309"/>
      <c r="M1068" s="309"/>
      <c r="N1068" s="309"/>
      <c r="O1068" s="309"/>
      <c r="P1068" s="309"/>
      <c r="Q1068" s="309"/>
      <c r="R1068" s="309"/>
      <c r="S1068" s="309"/>
      <c r="T1068" s="309"/>
      <c r="U1068" s="309"/>
      <c r="V1068" s="309"/>
      <c r="W1068" s="309"/>
      <c r="X1068" s="309"/>
      <c r="Y1068" s="309"/>
      <c r="Z1068" s="309"/>
      <c r="AA1068" s="309"/>
    </row>
    <row r="1069" spans="2:27" ht="15.75" customHeight="1">
      <c r="B1069" s="309"/>
      <c r="C1069" s="309"/>
      <c r="D1069" s="309"/>
      <c r="E1069" s="309"/>
      <c r="F1069" s="309"/>
      <c r="G1069" s="309"/>
      <c r="H1069" s="309"/>
      <c r="I1069" s="309"/>
      <c r="J1069" s="309"/>
      <c r="K1069" s="309"/>
      <c r="L1069" s="309"/>
      <c r="M1069" s="309"/>
      <c r="N1069" s="309"/>
      <c r="O1069" s="309"/>
      <c r="P1069" s="309"/>
      <c r="Q1069" s="309"/>
      <c r="R1069" s="309"/>
      <c r="S1069" s="309"/>
      <c r="T1069" s="309"/>
      <c r="U1069" s="309"/>
      <c r="V1069" s="309"/>
      <c r="W1069" s="309"/>
      <c r="X1069" s="309"/>
      <c r="Y1069" s="309"/>
      <c r="Z1069" s="309"/>
      <c r="AA1069" s="309"/>
    </row>
    <row r="1070" spans="2:27" ht="15.75" customHeight="1">
      <c r="B1070" s="309"/>
      <c r="C1070" s="309"/>
      <c r="D1070" s="309"/>
      <c r="E1070" s="309"/>
      <c r="F1070" s="309"/>
      <c r="G1070" s="309"/>
      <c r="H1070" s="309"/>
      <c r="I1070" s="309"/>
      <c r="J1070" s="309"/>
      <c r="K1070" s="309"/>
      <c r="L1070" s="309"/>
      <c r="M1070" s="309"/>
      <c r="N1070" s="309"/>
      <c r="O1070" s="309"/>
      <c r="P1070" s="309"/>
      <c r="Q1070" s="309"/>
      <c r="R1070" s="309"/>
      <c r="S1070" s="309"/>
      <c r="T1070" s="309"/>
      <c r="U1070" s="309"/>
      <c r="V1070" s="309"/>
      <c r="W1070" s="309"/>
      <c r="X1070" s="309"/>
      <c r="Y1070" s="309"/>
      <c r="Z1070" s="309"/>
      <c r="AA1070" s="309"/>
    </row>
    <row r="1071" spans="2:27" ht="15.75" customHeight="1">
      <c r="B1071" s="309"/>
      <c r="C1071" s="309"/>
      <c r="D1071" s="309"/>
      <c r="E1071" s="309"/>
      <c r="F1071" s="309"/>
      <c r="G1071" s="309"/>
      <c r="H1071" s="309"/>
      <c r="I1071" s="309"/>
      <c r="J1071" s="309"/>
      <c r="K1071" s="309"/>
      <c r="L1071" s="309"/>
      <c r="M1071" s="309"/>
      <c r="N1071" s="309"/>
      <c r="O1071" s="309"/>
      <c r="P1071" s="309"/>
      <c r="Q1071" s="309"/>
      <c r="R1071" s="309"/>
      <c r="S1071" s="309"/>
      <c r="T1071" s="309"/>
      <c r="U1071" s="309"/>
      <c r="V1071" s="309"/>
      <c r="W1071" s="309"/>
      <c r="X1071" s="309"/>
      <c r="Y1071" s="309"/>
      <c r="Z1071" s="309"/>
      <c r="AA1071" s="309"/>
    </row>
    <row r="1072" spans="2:27" ht="15.75" customHeight="1">
      <c r="B1072" s="309"/>
      <c r="C1072" s="309"/>
      <c r="D1072" s="309"/>
      <c r="E1072" s="309"/>
      <c r="F1072" s="309"/>
      <c r="G1072" s="309"/>
      <c r="H1072" s="309"/>
      <c r="I1072" s="309"/>
      <c r="J1072" s="309"/>
      <c r="K1072" s="309"/>
      <c r="L1072" s="309"/>
      <c r="M1072" s="309"/>
      <c r="N1072" s="309"/>
      <c r="O1072" s="309"/>
      <c r="P1072" s="309"/>
      <c r="Q1072" s="309"/>
      <c r="R1072" s="309"/>
      <c r="S1072" s="309"/>
      <c r="T1072" s="309"/>
      <c r="U1072" s="309"/>
      <c r="V1072" s="309"/>
      <c r="W1072" s="309"/>
      <c r="X1072" s="309"/>
      <c r="Y1072" s="309"/>
      <c r="Z1072" s="309"/>
      <c r="AA1072" s="309"/>
    </row>
    <row r="1073" spans="2:27" ht="15.75" customHeight="1">
      <c r="B1073" s="309"/>
      <c r="C1073" s="309"/>
      <c r="D1073" s="309"/>
      <c r="E1073" s="309"/>
      <c r="F1073" s="309"/>
      <c r="G1073" s="309"/>
      <c r="H1073" s="309"/>
      <c r="I1073" s="309"/>
      <c r="J1073" s="309"/>
      <c r="K1073" s="309"/>
      <c r="L1073" s="309"/>
      <c r="M1073" s="309"/>
      <c r="N1073" s="309"/>
      <c r="O1073" s="309"/>
      <c r="P1073" s="309"/>
      <c r="Q1073" s="309"/>
      <c r="R1073" s="309"/>
      <c r="S1073" s="309"/>
      <c r="T1073" s="309"/>
      <c r="U1073" s="309"/>
      <c r="V1073" s="309"/>
      <c r="W1073" s="309"/>
      <c r="X1073" s="309"/>
      <c r="Y1073" s="309"/>
      <c r="Z1073" s="309"/>
      <c r="AA1073" s="309"/>
    </row>
    <row r="1074" spans="2:27" ht="15.75" customHeight="1">
      <c r="B1074" s="309"/>
      <c r="C1074" s="309"/>
      <c r="D1074" s="309"/>
      <c r="E1074" s="309"/>
      <c r="F1074" s="309"/>
      <c r="G1074" s="309"/>
      <c r="H1074" s="309"/>
      <c r="I1074" s="309"/>
      <c r="J1074" s="309"/>
      <c r="K1074" s="309"/>
      <c r="L1074" s="309"/>
      <c r="M1074" s="309"/>
      <c r="N1074" s="309"/>
      <c r="O1074" s="309"/>
      <c r="P1074" s="309"/>
      <c r="Q1074" s="309"/>
      <c r="R1074" s="309"/>
      <c r="S1074" s="309"/>
      <c r="T1074" s="309"/>
      <c r="U1074" s="309"/>
      <c r="V1074" s="309"/>
      <c r="W1074" s="309"/>
      <c r="X1074" s="309"/>
      <c r="Y1074" s="309"/>
      <c r="Z1074" s="309"/>
      <c r="AA1074" s="309"/>
    </row>
    <row r="1075" spans="2:27" ht="15.75" customHeight="1">
      <c r="B1075" s="309"/>
      <c r="C1075" s="309"/>
      <c r="D1075" s="309"/>
      <c r="E1075" s="309"/>
      <c r="F1075" s="309"/>
      <c r="G1075" s="309"/>
      <c r="H1075" s="309"/>
      <c r="I1075" s="309"/>
      <c r="J1075" s="309"/>
      <c r="K1075" s="309"/>
      <c r="L1075" s="309"/>
      <c r="M1075" s="309"/>
      <c r="N1075" s="309"/>
      <c r="O1075" s="309"/>
      <c r="P1075" s="309"/>
      <c r="Q1075" s="309"/>
      <c r="R1075" s="309"/>
      <c r="S1075" s="309"/>
      <c r="T1075" s="309"/>
      <c r="U1075" s="309"/>
      <c r="V1075" s="309"/>
      <c r="W1075" s="309"/>
      <c r="X1075" s="309"/>
      <c r="Y1075" s="309"/>
      <c r="Z1075" s="309"/>
      <c r="AA1075" s="309"/>
    </row>
    <row r="1076" spans="2:27" ht="15.75" customHeight="1">
      <c r="B1076" s="309"/>
      <c r="C1076" s="309"/>
      <c r="D1076" s="309"/>
      <c r="E1076" s="309"/>
      <c r="F1076" s="309"/>
      <c r="G1076" s="309"/>
      <c r="H1076" s="309"/>
      <c r="I1076" s="309"/>
      <c r="J1076" s="309"/>
      <c r="K1076" s="309"/>
      <c r="L1076" s="309"/>
      <c r="M1076" s="309"/>
      <c r="N1076" s="309"/>
      <c r="O1076" s="309"/>
      <c r="P1076" s="309"/>
      <c r="Q1076" s="309"/>
      <c r="R1076" s="309"/>
      <c r="S1076" s="309"/>
      <c r="T1076" s="309"/>
      <c r="U1076" s="309"/>
      <c r="V1076" s="309"/>
      <c r="W1076" s="309"/>
      <c r="X1076" s="309"/>
      <c r="Y1076" s="309"/>
      <c r="Z1076" s="309"/>
      <c r="AA1076" s="309"/>
    </row>
    <row r="1077" spans="2:27" ht="15.75" customHeight="1">
      <c r="B1077" s="309"/>
      <c r="C1077" s="309"/>
      <c r="D1077" s="309"/>
      <c r="E1077" s="309"/>
      <c r="F1077" s="309"/>
      <c r="G1077" s="309"/>
      <c r="H1077" s="309"/>
      <c r="I1077" s="309"/>
      <c r="J1077" s="309"/>
      <c r="K1077" s="309"/>
      <c r="L1077" s="309"/>
      <c r="M1077" s="309"/>
      <c r="N1077" s="309"/>
      <c r="O1077" s="309"/>
      <c r="P1077" s="309"/>
      <c r="Q1077" s="309"/>
      <c r="R1077" s="309"/>
      <c r="S1077" s="309"/>
      <c r="T1077" s="309"/>
      <c r="U1077" s="309"/>
      <c r="V1077" s="309"/>
      <c r="W1077" s="309"/>
      <c r="X1077" s="309"/>
      <c r="Y1077" s="309"/>
      <c r="Z1077" s="309"/>
      <c r="AA1077" s="309"/>
    </row>
    <row r="1078" spans="2:27" ht="15.75" customHeight="1">
      <c r="B1078" s="309"/>
      <c r="C1078" s="309"/>
      <c r="D1078" s="309"/>
      <c r="E1078" s="309"/>
      <c r="F1078" s="309"/>
      <c r="G1078" s="309"/>
      <c r="H1078" s="309"/>
      <c r="I1078" s="309"/>
      <c r="J1078" s="309"/>
      <c r="K1078" s="309"/>
      <c r="L1078" s="309"/>
      <c r="M1078" s="309"/>
      <c r="N1078" s="309"/>
      <c r="O1078" s="309"/>
      <c r="P1078" s="309"/>
      <c r="Q1078" s="309"/>
      <c r="R1078" s="309"/>
      <c r="S1078" s="309"/>
      <c r="T1078" s="309"/>
      <c r="U1078" s="309"/>
      <c r="V1078" s="309"/>
      <c r="W1078" s="309"/>
      <c r="X1078" s="309"/>
      <c r="Y1078" s="309"/>
      <c r="Z1078" s="309"/>
      <c r="AA1078" s="309"/>
    </row>
    <row r="1079" spans="2:27" ht="15.75" customHeight="1">
      <c r="B1079" s="309"/>
      <c r="C1079" s="309"/>
      <c r="D1079" s="309"/>
      <c r="E1079" s="309"/>
      <c r="F1079" s="309"/>
      <c r="G1079" s="309"/>
      <c r="H1079" s="309"/>
      <c r="I1079" s="309"/>
      <c r="J1079" s="309"/>
      <c r="K1079" s="309"/>
      <c r="L1079" s="309"/>
      <c r="M1079" s="309"/>
      <c r="N1079" s="309"/>
      <c r="O1079" s="309"/>
      <c r="P1079" s="309"/>
      <c r="Q1079" s="309"/>
      <c r="R1079" s="309"/>
      <c r="S1079" s="309"/>
      <c r="T1079" s="309"/>
      <c r="U1079" s="309"/>
      <c r="V1079" s="309"/>
      <c r="W1079" s="309"/>
      <c r="X1079" s="309"/>
      <c r="Y1079" s="309"/>
      <c r="Z1079" s="309"/>
      <c r="AA1079" s="309"/>
    </row>
    <row r="1080" spans="2:27" ht="15.75" customHeight="1">
      <c r="B1080" s="309"/>
      <c r="C1080" s="309"/>
      <c r="D1080" s="309"/>
      <c r="E1080" s="309"/>
      <c r="F1080" s="309"/>
      <c r="G1080" s="309"/>
      <c r="H1080" s="309"/>
      <c r="I1080" s="309"/>
      <c r="J1080" s="309"/>
      <c r="K1080" s="309"/>
      <c r="L1080" s="309"/>
      <c r="M1080" s="309"/>
      <c r="N1080" s="309"/>
      <c r="O1080" s="309"/>
      <c r="P1080" s="309"/>
      <c r="Q1080" s="309"/>
      <c r="R1080" s="309"/>
      <c r="S1080" s="309"/>
      <c r="T1080" s="309"/>
      <c r="U1080" s="309"/>
      <c r="V1080" s="309"/>
      <c r="W1080" s="309"/>
      <c r="X1080" s="309"/>
      <c r="Y1080" s="309"/>
      <c r="Z1080" s="309"/>
      <c r="AA1080" s="309"/>
    </row>
    <row r="1081" spans="2:27" ht="15.75" customHeight="1">
      <c r="B1081" s="309"/>
      <c r="C1081" s="309"/>
      <c r="D1081" s="309"/>
      <c r="E1081" s="309"/>
      <c r="F1081" s="309"/>
      <c r="G1081" s="309"/>
      <c r="H1081" s="309"/>
      <c r="I1081" s="309"/>
      <c r="J1081" s="309"/>
      <c r="K1081" s="309"/>
      <c r="L1081" s="309"/>
      <c r="M1081" s="309"/>
      <c r="N1081" s="309"/>
      <c r="O1081" s="309"/>
      <c r="P1081" s="309"/>
      <c r="Q1081" s="309"/>
      <c r="R1081" s="309"/>
      <c r="S1081" s="309"/>
      <c r="T1081" s="309"/>
      <c r="U1081" s="309"/>
      <c r="V1081" s="309"/>
      <c r="W1081" s="309"/>
      <c r="X1081" s="309"/>
      <c r="Y1081" s="309"/>
      <c r="Z1081" s="309"/>
      <c r="AA1081" s="309"/>
    </row>
    <row r="1082" spans="2:27" ht="15.75" customHeight="1">
      <c r="B1082" s="309"/>
      <c r="C1082" s="309"/>
      <c r="D1082" s="309"/>
      <c r="E1082" s="309"/>
      <c r="F1082" s="309"/>
      <c r="G1082" s="309"/>
      <c r="H1082" s="309"/>
      <c r="I1082" s="309"/>
      <c r="J1082" s="309"/>
      <c r="K1082" s="309"/>
      <c r="L1082" s="309"/>
      <c r="M1082" s="309"/>
      <c r="N1082" s="309"/>
      <c r="O1082" s="309"/>
      <c r="P1082" s="309"/>
      <c r="Q1082" s="309"/>
      <c r="R1082" s="309"/>
      <c r="S1082" s="309"/>
      <c r="T1082" s="309"/>
      <c r="U1082" s="309"/>
      <c r="V1082" s="309"/>
      <c r="W1082" s="309"/>
      <c r="X1082" s="309"/>
      <c r="Y1082" s="309"/>
      <c r="Z1082" s="309"/>
      <c r="AA1082" s="309"/>
    </row>
    <row r="1083" spans="2:27" ht="15.75" customHeight="1">
      <c r="B1083" s="309"/>
      <c r="C1083" s="309"/>
      <c r="D1083" s="309"/>
      <c r="E1083" s="309"/>
      <c r="F1083" s="309"/>
      <c r="G1083" s="309"/>
      <c r="H1083" s="309"/>
      <c r="I1083" s="309"/>
      <c r="J1083" s="309"/>
      <c r="K1083" s="309"/>
      <c r="L1083" s="309"/>
      <c r="M1083" s="309"/>
      <c r="N1083" s="309"/>
      <c r="O1083" s="309"/>
      <c r="P1083" s="309"/>
      <c r="Q1083" s="309"/>
      <c r="R1083" s="309"/>
      <c r="S1083" s="309"/>
      <c r="T1083" s="309"/>
      <c r="U1083" s="309"/>
      <c r="V1083" s="309"/>
      <c r="W1083" s="309"/>
      <c r="X1083" s="309"/>
      <c r="Y1083" s="309"/>
      <c r="Z1083" s="309"/>
      <c r="AA1083" s="309"/>
    </row>
    <row r="1084" spans="2:27" ht="15.75" customHeight="1">
      <c r="B1084" s="309"/>
      <c r="C1084" s="309"/>
      <c r="D1084" s="309"/>
      <c r="E1084" s="309"/>
      <c r="F1084" s="309"/>
      <c r="G1084" s="309"/>
      <c r="H1084" s="309"/>
      <c r="I1084" s="309"/>
      <c r="J1084" s="309"/>
      <c r="K1084" s="309"/>
      <c r="L1084" s="309"/>
      <c r="M1084" s="309"/>
      <c r="N1084" s="309"/>
      <c r="O1084" s="309"/>
      <c r="P1084" s="309"/>
      <c r="Q1084" s="309"/>
      <c r="R1084" s="309"/>
      <c r="S1084" s="309"/>
      <c r="T1084" s="309"/>
      <c r="U1084" s="309"/>
      <c r="V1084" s="309"/>
      <c r="W1084" s="309"/>
      <c r="X1084" s="309"/>
      <c r="Y1084" s="309"/>
      <c r="Z1084" s="309"/>
      <c r="AA1084" s="309"/>
    </row>
    <row r="1085" spans="2:27" ht="15.75" customHeight="1">
      <c r="B1085" s="309"/>
      <c r="C1085" s="309"/>
      <c r="D1085" s="309"/>
      <c r="E1085" s="309"/>
      <c r="F1085" s="309"/>
      <c r="G1085" s="309"/>
      <c r="H1085" s="309"/>
      <c r="I1085" s="309"/>
      <c r="J1085" s="309"/>
      <c r="K1085" s="309"/>
      <c r="L1085" s="309"/>
      <c r="M1085" s="309"/>
      <c r="N1085" s="309"/>
      <c r="O1085" s="309"/>
      <c r="P1085" s="309"/>
      <c r="Q1085" s="309"/>
      <c r="R1085" s="309"/>
      <c r="S1085" s="309"/>
      <c r="T1085" s="309"/>
      <c r="U1085" s="309"/>
      <c r="V1085" s="309"/>
      <c r="W1085" s="309"/>
      <c r="X1085" s="309"/>
      <c r="Y1085" s="309"/>
      <c r="Z1085" s="309"/>
      <c r="AA1085" s="309"/>
    </row>
    <row r="1086" spans="2:27" ht="15.75" customHeight="1">
      <c r="B1086" s="309"/>
      <c r="C1086" s="309"/>
      <c r="D1086" s="309"/>
      <c r="E1086" s="309"/>
      <c r="F1086" s="309"/>
      <c r="G1086" s="309"/>
      <c r="H1086" s="309"/>
      <c r="I1086" s="309"/>
      <c r="J1086" s="309"/>
      <c r="K1086" s="309"/>
      <c r="L1086" s="309"/>
      <c r="M1086" s="309"/>
      <c r="N1086" s="309"/>
      <c r="O1086" s="309"/>
      <c r="P1086" s="309"/>
      <c r="Q1086" s="309"/>
      <c r="R1086" s="309"/>
      <c r="S1086" s="309"/>
      <c r="T1086" s="309"/>
      <c r="U1086" s="309"/>
      <c r="V1086" s="309"/>
      <c r="W1086" s="309"/>
      <c r="X1086" s="309"/>
      <c r="Y1086" s="309"/>
      <c r="Z1086" s="309"/>
      <c r="AA1086" s="309"/>
    </row>
    <row r="1087" spans="2:27" ht="15.75" customHeight="1">
      <c r="B1087" s="309"/>
      <c r="C1087" s="309"/>
      <c r="D1087" s="309"/>
      <c r="E1087" s="309"/>
      <c r="F1087" s="309"/>
      <c r="G1087" s="309"/>
      <c r="H1087" s="309"/>
      <c r="I1087" s="309"/>
      <c r="J1087" s="309"/>
      <c r="K1087" s="309"/>
      <c r="L1087" s="309"/>
      <c r="M1087" s="309"/>
      <c r="N1087" s="309"/>
      <c r="O1087" s="309"/>
      <c r="P1087" s="309"/>
      <c r="Q1087" s="309"/>
      <c r="R1087" s="309"/>
      <c r="S1087" s="309"/>
      <c r="T1087" s="309"/>
      <c r="U1087" s="309"/>
      <c r="V1087" s="309"/>
      <c r="W1087" s="309"/>
      <c r="X1087" s="309"/>
      <c r="Y1087" s="309"/>
      <c r="Z1087" s="309"/>
      <c r="AA1087" s="309"/>
    </row>
    <row r="1088" spans="2:27" ht="15.75" customHeight="1">
      <c r="B1088" s="309"/>
      <c r="C1088" s="309"/>
      <c r="D1088" s="309"/>
      <c r="E1088" s="309"/>
      <c r="F1088" s="309"/>
      <c r="G1088" s="309"/>
      <c r="H1088" s="309"/>
      <c r="I1088" s="309"/>
      <c r="J1088" s="309"/>
      <c r="K1088" s="309"/>
      <c r="L1088" s="309"/>
      <c r="M1088" s="309"/>
      <c r="N1088" s="309"/>
      <c r="O1088" s="309"/>
      <c r="P1088" s="309"/>
      <c r="Q1088" s="309"/>
      <c r="R1088" s="309"/>
      <c r="S1088" s="309"/>
      <c r="T1088" s="309"/>
      <c r="U1088" s="309"/>
      <c r="V1088" s="309"/>
      <c r="W1088" s="309"/>
      <c r="X1088" s="309"/>
      <c r="Y1088" s="309"/>
      <c r="Z1088" s="309"/>
      <c r="AA1088" s="309"/>
    </row>
    <row r="1089" spans="2:27" ht="15.75" customHeight="1">
      <c r="B1089" s="309"/>
      <c r="C1089" s="309"/>
      <c r="D1089" s="309"/>
      <c r="E1089" s="309"/>
      <c r="F1089" s="309"/>
      <c r="G1089" s="309"/>
      <c r="H1089" s="309"/>
      <c r="I1089" s="309"/>
      <c r="J1089" s="309"/>
      <c r="K1089" s="309"/>
      <c r="L1089" s="309"/>
      <c r="M1089" s="309"/>
      <c r="N1089" s="309"/>
      <c r="O1089" s="309"/>
      <c r="P1089" s="309"/>
      <c r="Q1089" s="309"/>
      <c r="R1089" s="309"/>
      <c r="S1089" s="309"/>
      <c r="T1089" s="309"/>
      <c r="U1089" s="309"/>
      <c r="V1089" s="309"/>
      <c r="W1089" s="309"/>
      <c r="X1089" s="309"/>
      <c r="Y1089" s="309"/>
      <c r="Z1089" s="309"/>
      <c r="AA1089" s="309"/>
    </row>
    <row r="1090" spans="2:27" ht="15.75" customHeight="1">
      <c r="B1090" s="309"/>
      <c r="C1090" s="309"/>
      <c r="D1090" s="309"/>
      <c r="E1090" s="309"/>
      <c r="F1090" s="309"/>
      <c r="G1090" s="309"/>
      <c r="H1090" s="309"/>
      <c r="I1090" s="309"/>
      <c r="J1090" s="309"/>
      <c r="K1090" s="309"/>
      <c r="L1090" s="309"/>
      <c r="M1090" s="309"/>
      <c r="N1090" s="309"/>
      <c r="O1090" s="309"/>
      <c r="P1090" s="309"/>
      <c r="Q1090" s="309"/>
      <c r="R1090" s="309"/>
      <c r="S1090" s="309"/>
      <c r="T1090" s="309"/>
      <c r="U1090" s="309"/>
      <c r="V1090" s="309"/>
      <c r="W1090" s="309"/>
      <c r="X1090" s="309"/>
      <c r="Y1090" s="309"/>
      <c r="Z1090" s="309"/>
      <c r="AA1090" s="309"/>
    </row>
    <row r="1091" spans="2:27" ht="15.75" customHeight="1">
      <c r="B1091" s="309"/>
      <c r="C1091" s="309"/>
      <c r="D1091" s="309"/>
      <c r="E1091" s="309"/>
      <c r="F1091" s="309"/>
      <c r="G1091" s="309"/>
      <c r="H1091" s="309"/>
      <c r="I1091" s="309"/>
      <c r="J1091" s="309"/>
      <c r="K1091" s="309"/>
      <c r="L1091" s="309"/>
      <c r="M1091" s="309"/>
      <c r="N1091" s="309"/>
      <c r="O1091" s="309"/>
      <c r="P1091" s="309"/>
      <c r="Q1091" s="309"/>
      <c r="R1091" s="309"/>
      <c r="S1091" s="309"/>
      <c r="T1091" s="309"/>
      <c r="U1091" s="309"/>
      <c r="V1091" s="309"/>
      <c r="W1091" s="309"/>
      <c r="X1091" s="309"/>
      <c r="Y1091" s="309"/>
      <c r="Z1091" s="309"/>
      <c r="AA1091" s="309"/>
    </row>
    <row r="1092" spans="2:27" ht="15.75" customHeight="1">
      <c r="B1092" s="309"/>
      <c r="C1092" s="309"/>
      <c r="D1092" s="309"/>
      <c r="E1092" s="309"/>
      <c r="F1092" s="309"/>
      <c r="G1092" s="309"/>
      <c r="H1092" s="309"/>
      <c r="I1092" s="309"/>
      <c r="J1092" s="309"/>
      <c r="K1092" s="309"/>
      <c r="L1092" s="309"/>
      <c r="M1092" s="309"/>
      <c r="N1092" s="309"/>
      <c r="O1092" s="309"/>
      <c r="P1092" s="309"/>
      <c r="Q1092" s="309"/>
      <c r="R1092" s="309"/>
      <c r="S1092" s="309"/>
      <c r="T1092" s="309"/>
      <c r="U1092" s="309"/>
      <c r="V1092" s="309"/>
      <c r="W1092" s="309"/>
      <c r="X1092" s="309"/>
      <c r="Y1092" s="309"/>
      <c r="Z1092" s="309"/>
      <c r="AA1092" s="309"/>
    </row>
    <row r="1093" spans="2:27" ht="15.75" customHeight="1">
      <c r="B1093" s="309"/>
      <c r="C1093" s="309"/>
      <c r="D1093" s="309"/>
      <c r="E1093" s="309"/>
      <c r="F1093" s="309"/>
      <c r="G1093" s="309"/>
      <c r="H1093" s="309"/>
      <c r="I1093" s="309"/>
      <c r="J1093" s="309"/>
      <c r="K1093" s="309"/>
      <c r="L1093" s="309"/>
      <c r="M1093" s="309"/>
      <c r="N1093" s="309"/>
      <c r="O1093" s="309"/>
      <c r="P1093" s="309"/>
      <c r="Q1093" s="309"/>
      <c r="R1093" s="309"/>
      <c r="S1093" s="309"/>
      <c r="T1093" s="309"/>
      <c r="U1093" s="309"/>
      <c r="V1093" s="309"/>
      <c r="W1093" s="309"/>
      <c r="X1093" s="309"/>
      <c r="Y1093" s="309"/>
      <c r="Z1093" s="309"/>
      <c r="AA1093" s="309"/>
    </row>
    <row r="1094" spans="2:27" ht="15.75" customHeight="1">
      <c r="B1094" s="309"/>
      <c r="C1094" s="309"/>
      <c r="D1094" s="309"/>
      <c r="E1094" s="309"/>
      <c r="F1094" s="309"/>
      <c r="G1094" s="309"/>
      <c r="H1094" s="309"/>
      <c r="I1094" s="309"/>
      <c r="J1094" s="309"/>
      <c r="K1094" s="309"/>
      <c r="L1094" s="309"/>
      <c r="M1094" s="309"/>
      <c r="N1094" s="309"/>
      <c r="O1094" s="309"/>
      <c r="P1094" s="309"/>
      <c r="Q1094" s="309"/>
      <c r="R1094" s="309"/>
      <c r="S1094" s="309"/>
      <c r="T1094" s="309"/>
      <c r="U1094" s="309"/>
      <c r="V1094" s="309"/>
      <c r="W1094" s="309"/>
      <c r="X1094" s="309"/>
      <c r="Y1094" s="309"/>
      <c r="Z1094" s="309"/>
      <c r="AA1094" s="309"/>
    </row>
    <row r="1095" spans="2:27" ht="15.75" customHeight="1">
      <c r="B1095" s="309"/>
      <c r="C1095" s="309"/>
      <c r="D1095" s="309"/>
      <c r="E1095" s="309"/>
      <c r="F1095" s="309"/>
      <c r="G1095" s="309"/>
      <c r="H1095" s="309"/>
      <c r="I1095" s="309"/>
      <c r="J1095" s="309"/>
      <c r="K1095" s="309"/>
      <c r="L1095" s="309"/>
      <c r="M1095" s="309"/>
      <c r="N1095" s="309"/>
      <c r="O1095" s="309"/>
      <c r="P1095" s="309"/>
      <c r="Q1095" s="309"/>
      <c r="R1095" s="309"/>
      <c r="S1095" s="309"/>
      <c r="T1095" s="309"/>
      <c r="U1095" s="309"/>
      <c r="V1095" s="309"/>
      <c r="W1095" s="309"/>
      <c r="X1095" s="309"/>
      <c r="Y1095" s="309"/>
      <c r="Z1095" s="309"/>
      <c r="AA1095" s="309"/>
    </row>
    <row r="1096" spans="2:27" ht="15.75" customHeight="1">
      <c r="B1096" s="309"/>
      <c r="C1096" s="309"/>
      <c r="D1096" s="309"/>
      <c r="E1096" s="309"/>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row>
    <row r="1097" spans="2:27" ht="15.75" customHeight="1">
      <c r="B1097" s="309"/>
      <c r="C1097" s="309"/>
      <c r="D1097" s="309"/>
      <c r="E1097" s="309"/>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row>
    <row r="1098" spans="2:27" ht="15.75" customHeight="1">
      <c r="B1098" s="309"/>
      <c r="C1098" s="309"/>
      <c r="D1098" s="309"/>
      <c r="E1098" s="309"/>
      <c r="F1098" s="309"/>
      <c r="G1098" s="309"/>
      <c r="H1098" s="309"/>
      <c r="I1098" s="309"/>
      <c r="J1098" s="309"/>
      <c r="K1098" s="309"/>
      <c r="L1098" s="309"/>
      <c r="M1098" s="309"/>
      <c r="N1098" s="309"/>
      <c r="O1098" s="309"/>
      <c r="P1098" s="309"/>
      <c r="Q1098" s="309"/>
      <c r="R1098" s="309"/>
      <c r="S1098" s="309"/>
      <c r="T1098" s="309"/>
      <c r="U1098" s="309"/>
      <c r="V1098" s="309"/>
      <c r="W1098" s="309"/>
      <c r="X1098" s="309"/>
      <c r="Y1098" s="309"/>
      <c r="Z1098" s="309"/>
      <c r="AA1098" s="309"/>
    </row>
    <row r="1099" spans="2:27" ht="15.75" customHeight="1">
      <c r="B1099" s="309"/>
      <c r="C1099" s="309"/>
      <c r="D1099" s="309"/>
      <c r="E1099" s="309"/>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row>
    <row r="1100" spans="2:27" ht="15.75" customHeight="1">
      <c r="B1100" s="309"/>
      <c r="C1100" s="309"/>
      <c r="D1100" s="309"/>
      <c r="E1100" s="309"/>
      <c r="F1100" s="309"/>
      <c r="G1100" s="309"/>
      <c r="H1100" s="309"/>
      <c r="I1100" s="309"/>
      <c r="J1100" s="309"/>
      <c r="K1100" s="309"/>
      <c r="L1100" s="309"/>
      <c r="M1100" s="309"/>
      <c r="N1100" s="309"/>
      <c r="O1100" s="309"/>
      <c r="P1100" s="309"/>
      <c r="Q1100" s="309"/>
      <c r="R1100" s="309"/>
      <c r="S1100" s="309"/>
      <c r="T1100" s="309"/>
      <c r="U1100" s="309"/>
      <c r="V1100" s="309"/>
      <c r="W1100" s="309"/>
      <c r="X1100" s="309"/>
      <c r="Y1100" s="309"/>
      <c r="Z1100" s="309"/>
      <c r="AA1100" s="309"/>
    </row>
    <row r="1101" spans="2:27" ht="15.75" customHeight="1">
      <c r="B1101" s="309"/>
      <c r="C1101" s="309"/>
      <c r="D1101" s="309"/>
      <c r="E1101" s="309"/>
      <c r="F1101" s="309"/>
      <c r="G1101" s="309"/>
      <c r="H1101" s="309"/>
      <c r="I1101" s="309"/>
      <c r="J1101" s="309"/>
      <c r="K1101" s="309"/>
      <c r="L1101" s="309"/>
      <c r="M1101" s="309"/>
      <c r="N1101" s="309"/>
      <c r="O1101" s="309"/>
      <c r="P1101" s="309"/>
      <c r="Q1101" s="309"/>
      <c r="R1101" s="309"/>
      <c r="S1101" s="309"/>
      <c r="T1101" s="309"/>
      <c r="U1101" s="309"/>
      <c r="V1101" s="309"/>
      <c r="W1101" s="309"/>
      <c r="X1101" s="309"/>
      <c r="Y1101" s="309"/>
      <c r="Z1101" s="309"/>
      <c r="AA1101" s="309"/>
    </row>
    <row r="1102" spans="2:27" ht="15.75" customHeight="1">
      <c r="B1102" s="309"/>
      <c r="C1102" s="309"/>
      <c r="D1102" s="309"/>
      <c r="E1102" s="309"/>
      <c r="F1102" s="309"/>
      <c r="G1102" s="309"/>
      <c r="H1102" s="309"/>
      <c r="I1102" s="309"/>
      <c r="J1102" s="309"/>
      <c r="K1102" s="309"/>
      <c r="L1102" s="309"/>
      <c r="M1102" s="309"/>
      <c r="N1102" s="309"/>
      <c r="O1102" s="309"/>
      <c r="P1102" s="309"/>
      <c r="Q1102" s="309"/>
      <c r="R1102" s="309"/>
      <c r="S1102" s="309"/>
      <c r="T1102" s="309"/>
      <c r="U1102" s="309"/>
      <c r="V1102" s="309"/>
      <c r="W1102" s="309"/>
      <c r="X1102" s="309"/>
      <c r="Y1102" s="309"/>
      <c r="Z1102" s="309"/>
      <c r="AA1102" s="309"/>
    </row>
    <row r="1103" spans="2:27" ht="15.75" customHeight="1">
      <c r="B1103" s="309"/>
      <c r="C1103" s="309"/>
      <c r="D1103" s="309"/>
      <c r="E1103" s="309"/>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row>
    <row r="1104" spans="2:27" ht="15.75" customHeight="1">
      <c r="B1104" s="309"/>
      <c r="C1104" s="309"/>
      <c r="D1104" s="309"/>
      <c r="E1104" s="309"/>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row>
    <row r="1105" spans="2:27" ht="15.75" customHeight="1">
      <c r="B1105" s="309"/>
      <c r="C1105" s="309"/>
      <c r="D1105" s="309"/>
      <c r="E1105" s="309"/>
      <c r="F1105" s="309"/>
      <c r="G1105" s="309"/>
      <c r="H1105" s="309"/>
      <c r="I1105" s="309"/>
      <c r="J1105" s="309"/>
      <c r="K1105" s="309"/>
      <c r="L1105" s="309"/>
      <c r="M1105" s="309"/>
      <c r="N1105" s="309"/>
      <c r="O1105" s="309"/>
      <c r="P1105" s="309"/>
      <c r="Q1105" s="309"/>
      <c r="R1105" s="309"/>
      <c r="S1105" s="309"/>
      <c r="T1105" s="309"/>
      <c r="U1105" s="309"/>
      <c r="V1105" s="309"/>
      <c r="W1105" s="309"/>
      <c r="X1105" s="309"/>
      <c r="Y1105" s="309"/>
      <c r="Z1105" s="309"/>
      <c r="AA1105" s="309"/>
    </row>
    <row r="1106" spans="2:27" ht="15.75" customHeight="1">
      <c r="B1106" s="309"/>
      <c r="C1106" s="309"/>
      <c r="D1106" s="309"/>
      <c r="E1106" s="309"/>
      <c r="F1106" s="309"/>
      <c r="G1106" s="309"/>
      <c r="H1106" s="309"/>
      <c r="I1106" s="309"/>
      <c r="J1106" s="309"/>
      <c r="K1106" s="309"/>
      <c r="L1106" s="309"/>
      <c r="M1106" s="309"/>
      <c r="N1106" s="309"/>
      <c r="O1106" s="309"/>
      <c r="P1106" s="309"/>
      <c r="Q1106" s="309"/>
      <c r="R1106" s="309"/>
      <c r="S1106" s="309"/>
      <c r="T1106" s="309"/>
      <c r="U1106" s="309"/>
      <c r="V1106" s="309"/>
      <c r="W1106" s="309"/>
      <c r="X1106" s="309"/>
      <c r="Y1106" s="309"/>
      <c r="Z1106" s="309"/>
      <c r="AA1106" s="309"/>
    </row>
    <row r="1107" spans="2:27" ht="15.75" customHeight="1">
      <c r="B1107" s="309"/>
      <c r="C1107" s="309"/>
      <c r="D1107" s="309"/>
      <c r="E1107" s="309"/>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row>
    <row r="1108" spans="2:27" ht="15.75" customHeight="1">
      <c r="B1108" s="309"/>
      <c r="C1108" s="309"/>
      <c r="D1108" s="309"/>
      <c r="E1108" s="309"/>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row>
    <row r="1109" spans="2:27" ht="15.75" customHeight="1">
      <c r="B1109" s="309"/>
      <c r="C1109" s="309"/>
      <c r="D1109" s="309"/>
      <c r="E1109" s="309"/>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row>
    <row r="1110" spans="2:27" ht="15.75" customHeight="1">
      <c r="B1110" s="309"/>
      <c r="C1110" s="309"/>
      <c r="D1110" s="309"/>
      <c r="E1110" s="309"/>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row>
    <row r="1111" spans="2:27" ht="15.75" customHeight="1">
      <c r="B1111" s="309"/>
      <c r="C1111" s="309"/>
      <c r="D1111" s="309"/>
      <c r="E1111" s="309"/>
      <c r="F1111" s="309"/>
      <c r="G1111" s="309"/>
      <c r="H1111" s="309"/>
      <c r="I1111" s="309"/>
      <c r="J1111" s="309"/>
      <c r="K1111" s="309"/>
      <c r="L1111" s="309"/>
      <c r="M1111" s="309"/>
      <c r="N1111" s="309"/>
      <c r="O1111" s="309"/>
      <c r="P1111" s="309"/>
      <c r="Q1111" s="309"/>
      <c r="R1111" s="309"/>
      <c r="S1111" s="309"/>
      <c r="T1111" s="309"/>
      <c r="U1111" s="309"/>
      <c r="V1111" s="309"/>
      <c r="W1111" s="309"/>
      <c r="X1111" s="309"/>
      <c r="Y1111" s="309"/>
      <c r="Z1111" s="309"/>
      <c r="AA1111" s="309"/>
    </row>
    <row r="1112" spans="2:27" ht="15.75" customHeight="1">
      <c r="B1112" s="309"/>
      <c r="C1112" s="309"/>
      <c r="D1112" s="309"/>
      <c r="E1112" s="309"/>
      <c r="F1112" s="309"/>
      <c r="G1112" s="309"/>
      <c r="H1112" s="309"/>
      <c r="I1112" s="309"/>
      <c r="J1112" s="309"/>
      <c r="K1112" s="309"/>
      <c r="L1112" s="309"/>
      <c r="M1112" s="309"/>
      <c r="N1112" s="309"/>
      <c r="O1112" s="309"/>
      <c r="P1112" s="309"/>
      <c r="Q1112" s="309"/>
      <c r="R1112" s="309"/>
      <c r="S1112" s="309"/>
      <c r="T1112" s="309"/>
      <c r="U1112" s="309"/>
      <c r="V1112" s="309"/>
      <c r="W1112" s="309"/>
      <c r="X1112" s="309"/>
      <c r="Y1112" s="309"/>
      <c r="Z1112" s="309"/>
      <c r="AA1112" s="309"/>
    </row>
    <row r="1113" spans="2:27" ht="15.75" customHeight="1">
      <c r="B1113" s="309"/>
      <c r="C1113" s="309"/>
      <c r="D1113" s="309"/>
      <c r="E1113" s="309"/>
      <c r="F1113" s="309"/>
      <c r="G1113" s="309"/>
      <c r="H1113" s="309"/>
      <c r="I1113" s="309"/>
      <c r="J1113" s="309"/>
      <c r="K1113" s="309"/>
      <c r="L1113" s="309"/>
      <c r="M1113" s="309"/>
      <c r="N1113" s="309"/>
      <c r="O1113" s="309"/>
      <c r="P1113" s="309"/>
      <c r="Q1113" s="309"/>
      <c r="R1113" s="309"/>
      <c r="S1113" s="309"/>
      <c r="T1113" s="309"/>
      <c r="U1113" s="309"/>
      <c r="V1113" s="309"/>
      <c r="W1113" s="309"/>
      <c r="X1113" s="309"/>
      <c r="Y1113" s="309"/>
      <c r="Z1113" s="309"/>
      <c r="AA1113" s="309"/>
    </row>
    <row r="1114" spans="2:27" ht="15.75" customHeight="1">
      <c r="B1114" s="309"/>
      <c r="C1114" s="309"/>
      <c r="D1114" s="309"/>
      <c r="E1114" s="309"/>
      <c r="F1114" s="309"/>
      <c r="G1114" s="309"/>
      <c r="H1114" s="309"/>
      <c r="I1114" s="309"/>
      <c r="J1114" s="309"/>
      <c r="K1114" s="309"/>
      <c r="L1114" s="309"/>
      <c r="M1114" s="309"/>
      <c r="N1114" s="309"/>
      <c r="O1114" s="309"/>
      <c r="P1114" s="309"/>
      <c r="Q1114" s="309"/>
      <c r="R1114" s="309"/>
      <c r="S1114" s="309"/>
      <c r="T1114" s="309"/>
      <c r="U1114" s="309"/>
      <c r="V1114" s="309"/>
      <c r="W1114" s="309"/>
      <c r="X1114" s="309"/>
      <c r="Y1114" s="309"/>
      <c r="Z1114" s="309"/>
      <c r="AA1114" s="309"/>
    </row>
    <row r="1115" spans="2:27" ht="15.75" customHeight="1">
      <c r="B1115" s="309"/>
      <c r="C1115" s="309"/>
      <c r="D1115" s="309"/>
      <c r="E1115" s="309"/>
      <c r="F1115" s="309"/>
      <c r="G1115" s="309"/>
      <c r="H1115" s="309"/>
      <c r="I1115" s="309"/>
      <c r="J1115" s="309"/>
      <c r="K1115" s="309"/>
      <c r="L1115" s="309"/>
      <c r="M1115" s="309"/>
      <c r="N1115" s="309"/>
      <c r="O1115" s="309"/>
      <c r="P1115" s="309"/>
      <c r="Q1115" s="309"/>
      <c r="R1115" s="309"/>
      <c r="S1115" s="309"/>
      <c r="T1115" s="309"/>
      <c r="U1115" s="309"/>
      <c r="V1115" s="309"/>
      <c r="W1115" s="309"/>
      <c r="X1115" s="309"/>
      <c r="Y1115" s="309"/>
      <c r="Z1115" s="309"/>
      <c r="AA1115" s="309"/>
    </row>
    <row r="1116" spans="2:27" ht="15.75" customHeight="1">
      <c r="B1116" s="309"/>
      <c r="C1116" s="309"/>
      <c r="D1116" s="309"/>
      <c r="E1116" s="309"/>
      <c r="F1116" s="309"/>
      <c r="G1116" s="309"/>
      <c r="H1116" s="309"/>
      <c r="I1116" s="309"/>
      <c r="J1116" s="309"/>
      <c r="K1116" s="309"/>
      <c r="L1116" s="309"/>
      <c r="M1116" s="309"/>
      <c r="N1116" s="309"/>
      <c r="O1116" s="309"/>
      <c r="P1116" s="309"/>
      <c r="Q1116" s="309"/>
      <c r="R1116" s="309"/>
      <c r="S1116" s="309"/>
      <c r="T1116" s="309"/>
      <c r="U1116" s="309"/>
      <c r="V1116" s="309"/>
      <c r="W1116" s="309"/>
      <c r="X1116" s="309"/>
      <c r="Y1116" s="309"/>
      <c r="Z1116" s="309"/>
      <c r="AA1116" s="309"/>
    </row>
    <row r="1117" spans="2:27" ht="15.75" customHeight="1">
      <c r="B1117" s="309"/>
      <c r="C1117" s="309"/>
      <c r="D1117" s="309"/>
      <c r="E1117" s="309"/>
      <c r="F1117" s="309"/>
      <c r="G1117" s="309"/>
      <c r="H1117" s="309"/>
      <c r="I1117" s="309"/>
      <c r="J1117" s="309"/>
      <c r="K1117" s="309"/>
      <c r="L1117" s="309"/>
      <c r="M1117" s="309"/>
      <c r="N1117" s="309"/>
      <c r="O1117" s="309"/>
      <c r="P1117" s="309"/>
      <c r="Q1117" s="309"/>
      <c r="R1117" s="309"/>
      <c r="S1117" s="309"/>
      <c r="T1117" s="309"/>
      <c r="U1117" s="309"/>
      <c r="V1117" s="309"/>
      <c r="W1117" s="309"/>
      <c r="X1117" s="309"/>
      <c r="Y1117" s="309"/>
      <c r="Z1117" s="309"/>
      <c r="AA1117" s="309"/>
    </row>
    <row r="1118" spans="2:27" ht="15.75" customHeight="1">
      <c r="B1118" s="309"/>
      <c r="C1118" s="309"/>
      <c r="D1118" s="309"/>
      <c r="E1118" s="309"/>
      <c r="F1118" s="309"/>
      <c r="G1118" s="309"/>
      <c r="H1118" s="309"/>
      <c r="I1118" s="309"/>
      <c r="J1118" s="309"/>
      <c r="K1118" s="309"/>
      <c r="L1118" s="309"/>
      <c r="M1118" s="309"/>
      <c r="N1118" s="309"/>
      <c r="O1118" s="309"/>
      <c r="P1118" s="309"/>
      <c r="Q1118" s="309"/>
      <c r="R1118" s="309"/>
      <c r="S1118" s="309"/>
      <c r="T1118" s="309"/>
      <c r="U1118" s="309"/>
      <c r="V1118" s="309"/>
      <c r="W1118" s="309"/>
      <c r="X1118" s="309"/>
      <c r="Y1118" s="309"/>
      <c r="Z1118" s="309"/>
      <c r="AA1118" s="309"/>
    </row>
    <row r="1119" spans="2:27" ht="15.75" customHeight="1">
      <c r="B1119" s="309"/>
      <c r="C1119" s="309"/>
      <c r="D1119" s="309"/>
      <c r="E1119" s="309"/>
      <c r="F1119" s="309"/>
      <c r="G1119" s="309"/>
      <c r="H1119" s="309"/>
      <c r="I1119" s="309"/>
      <c r="J1119" s="309"/>
      <c r="K1119" s="309"/>
      <c r="L1119" s="309"/>
      <c r="M1119" s="309"/>
      <c r="N1119" s="309"/>
      <c r="O1119" s="309"/>
      <c r="P1119" s="309"/>
      <c r="Q1119" s="309"/>
      <c r="R1119" s="309"/>
      <c r="S1119" s="309"/>
      <c r="T1119" s="309"/>
      <c r="U1119" s="309"/>
      <c r="V1119" s="309"/>
      <c r="W1119" s="309"/>
      <c r="X1119" s="309"/>
      <c r="Y1119" s="309"/>
      <c r="Z1119" s="309"/>
      <c r="AA1119" s="309"/>
    </row>
    <row r="1120" spans="2:27" ht="15.75" customHeight="1">
      <c r="B1120" s="309"/>
      <c r="C1120" s="309"/>
      <c r="D1120" s="309"/>
      <c r="E1120" s="309"/>
      <c r="F1120" s="309"/>
      <c r="G1120" s="309"/>
      <c r="H1120" s="309"/>
      <c r="I1120" s="309"/>
      <c r="J1120" s="309"/>
      <c r="K1120" s="309"/>
      <c r="L1120" s="309"/>
      <c r="M1120" s="309"/>
      <c r="N1120" s="309"/>
      <c r="O1120" s="309"/>
      <c r="P1120" s="309"/>
      <c r="Q1120" s="309"/>
      <c r="R1120" s="309"/>
      <c r="S1120" s="309"/>
      <c r="T1120" s="309"/>
      <c r="U1120" s="309"/>
      <c r="V1120" s="309"/>
      <c r="W1120" s="309"/>
      <c r="X1120" s="309"/>
      <c r="Y1120" s="309"/>
      <c r="Z1120" s="309"/>
      <c r="AA1120" s="309"/>
    </row>
    <row r="1121" spans="2:27" ht="15.75" customHeight="1">
      <c r="B1121" s="309"/>
      <c r="C1121" s="309"/>
      <c r="D1121" s="309"/>
      <c r="E1121" s="309"/>
      <c r="F1121" s="309"/>
      <c r="G1121" s="309"/>
      <c r="H1121" s="309"/>
      <c r="I1121" s="309"/>
      <c r="J1121" s="309"/>
      <c r="K1121" s="309"/>
      <c r="L1121" s="309"/>
      <c r="M1121" s="309"/>
      <c r="N1121" s="309"/>
      <c r="O1121" s="309"/>
      <c r="P1121" s="309"/>
      <c r="Q1121" s="309"/>
      <c r="R1121" s="309"/>
      <c r="S1121" s="309"/>
      <c r="T1121" s="309"/>
      <c r="U1121" s="309"/>
      <c r="V1121" s="309"/>
      <c r="W1121" s="309"/>
      <c r="X1121" s="309"/>
      <c r="Y1121" s="309"/>
      <c r="Z1121" s="309"/>
      <c r="AA1121" s="309"/>
    </row>
    <row r="1122" spans="2:27" ht="15.75" customHeight="1">
      <c r="B1122" s="309"/>
      <c r="C1122" s="309"/>
      <c r="D1122" s="309"/>
      <c r="E1122" s="309"/>
      <c r="F1122" s="309"/>
      <c r="G1122" s="309"/>
      <c r="H1122" s="309"/>
      <c r="I1122" s="309"/>
      <c r="J1122" s="309"/>
      <c r="K1122" s="309"/>
      <c r="L1122" s="309"/>
      <c r="M1122" s="309"/>
      <c r="N1122" s="309"/>
      <c r="O1122" s="309"/>
      <c r="P1122" s="309"/>
      <c r="Q1122" s="309"/>
      <c r="R1122" s="309"/>
      <c r="S1122" s="309"/>
      <c r="T1122" s="309"/>
      <c r="U1122" s="309"/>
      <c r="V1122" s="309"/>
      <c r="W1122" s="309"/>
      <c r="X1122" s="309"/>
      <c r="Y1122" s="309"/>
      <c r="Z1122" s="309"/>
      <c r="AA1122" s="309"/>
    </row>
    <row r="1123" spans="2:27" ht="15.75" customHeight="1">
      <c r="B1123" s="309"/>
      <c r="C1123" s="309"/>
      <c r="D1123" s="309"/>
      <c r="E1123" s="309"/>
      <c r="F1123" s="309"/>
      <c r="G1123" s="309"/>
      <c r="H1123" s="309"/>
      <c r="I1123" s="309"/>
      <c r="J1123" s="309"/>
      <c r="K1123" s="309"/>
      <c r="L1123" s="309"/>
      <c r="M1123" s="309"/>
      <c r="N1123" s="309"/>
      <c r="O1123" s="309"/>
      <c r="P1123" s="309"/>
      <c r="Q1123" s="309"/>
      <c r="R1123" s="309"/>
      <c r="S1123" s="309"/>
      <c r="T1123" s="309"/>
      <c r="U1123" s="309"/>
      <c r="V1123" s="309"/>
      <c r="W1123" s="309"/>
      <c r="X1123" s="309"/>
      <c r="Y1123" s="309"/>
      <c r="Z1123" s="309"/>
      <c r="AA1123" s="309"/>
    </row>
    <row r="1124" spans="2:27" ht="15" customHeight="1">
      <c r="B1124" s="309"/>
      <c r="C1124" s="309"/>
      <c r="D1124" s="309"/>
      <c r="E1124" s="309"/>
      <c r="F1124" s="309"/>
      <c r="G1124" s="309"/>
      <c r="H1124" s="309"/>
      <c r="I1124" s="309"/>
      <c r="J1124" s="309"/>
      <c r="K1124" s="309"/>
      <c r="L1124" s="309"/>
      <c r="M1124" s="309"/>
      <c r="N1124" s="309"/>
      <c r="O1124" s="309"/>
      <c r="P1124" s="309"/>
      <c r="Q1124" s="309"/>
      <c r="R1124" s="309"/>
      <c r="S1124" s="309"/>
      <c r="T1124" s="309"/>
      <c r="U1124" s="309"/>
      <c r="V1124" s="309"/>
      <c r="W1124" s="309"/>
      <c r="X1124" s="309"/>
      <c r="Y1124" s="309"/>
      <c r="Z1124" s="309"/>
      <c r="AA1124" s="309"/>
    </row>
    <row r="1125" spans="2:27" ht="15" customHeight="1">
      <c r="B1125" s="309"/>
      <c r="C1125" s="309"/>
      <c r="D1125" s="309"/>
      <c r="E1125" s="309"/>
      <c r="F1125" s="309"/>
      <c r="G1125" s="309"/>
      <c r="H1125" s="309"/>
      <c r="I1125" s="309"/>
      <c r="J1125" s="309"/>
      <c r="K1125" s="309"/>
      <c r="L1125" s="309"/>
      <c r="M1125" s="309"/>
      <c r="N1125" s="309"/>
      <c r="O1125" s="309"/>
      <c r="P1125" s="309"/>
      <c r="Q1125" s="309"/>
      <c r="R1125" s="309"/>
      <c r="S1125" s="309"/>
      <c r="T1125" s="309"/>
      <c r="U1125" s="309"/>
      <c r="V1125" s="309"/>
      <c r="W1125" s="309"/>
      <c r="X1125" s="309"/>
      <c r="Y1125" s="309"/>
      <c r="Z1125" s="309"/>
      <c r="AA1125" s="309"/>
    </row>
    <row r="1126" spans="2:27" ht="15" customHeight="1">
      <c r="B1126" s="309"/>
      <c r="C1126" s="309"/>
      <c r="D1126" s="309"/>
      <c r="E1126" s="309"/>
      <c r="F1126" s="309"/>
      <c r="G1126" s="309"/>
      <c r="H1126" s="309"/>
      <c r="I1126" s="309"/>
      <c r="J1126" s="309"/>
      <c r="K1126" s="309"/>
      <c r="L1126" s="309"/>
      <c r="M1126" s="309"/>
      <c r="N1126" s="309"/>
      <c r="O1126" s="309"/>
      <c r="P1126" s="309"/>
      <c r="Q1126" s="309"/>
      <c r="R1126" s="309"/>
      <c r="S1126" s="309"/>
      <c r="T1126" s="309"/>
      <c r="U1126" s="309"/>
      <c r="V1126" s="309"/>
      <c r="W1126" s="309"/>
      <c r="X1126" s="309"/>
      <c r="Y1126" s="309"/>
      <c r="Z1126" s="309"/>
      <c r="AA1126" s="309"/>
    </row>
    <row r="1127" spans="2:27" ht="15" customHeight="1">
      <c r="B1127" s="309"/>
      <c r="C1127" s="309"/>
      <c r="D1127" s="309"/>
      <c r="E1127" s="309"/>
      <c r="F1127" s="309"/>
      <c r="G1127" s="309"/>
      <c r="H1127" s="309"/>
      <c r="I1127" s="309"/>
      <c r="J1127" s="309"/>
      <c r="K1127" s="309"/>
      <c r="L1127" s="309"/>
      <c r="M1127" s="309"/>
      <c r="N1127" s="309"/>
      <c r="O1127" s="309"/>
      <c r="P1127" s="309"/>
      <c r="Q1127" s="309"/>
      <c r="R1127" s="309"/>
      <c r="S1127" s="309"/>
      <c r="T1127" s="309"/>
      <c r="U1127" s="309"/>
      <c r="V1127" s="309"/>
      <c r="W1127" s="309"/>
      <c r="X1127" s="309"/>
      <c r="Y1127" s="309"/>
      <c r="Z1127" s="309"/>
      <c r="AA1127" s="309"/>
    </row>
    <row r="1128" spans="2:27" ht="15" customHeight="1">
      <c r="B1128" s="309"/>
      <c r="C1128" s="309"/>
      <c r="D1128" s="309"/>
      <c r="E1128" s="309"/>
      <c r="F1128" s="309"/>
      <c r="G1128" s="309"/>
      <c r="H1128" s="309"/>
      <c r="I1128" s="309"/>
      <c r="J1128" s="309"/>
      <c r="K1128" s="309"/>
      <c r="L1128" s="309"/>
      <c r="M1128" s="309"/>
      <c r="N1128" s="309"/>
      <c r="O1128" s="309"/>
      <c r="P1128" s="309"/>
      <c r="Q1128" s="309"/>
      <c r="R1128" s="309"/>
      <c r="S1128" s="309"/>
      <c r="T1128" s="309"/>
      <c r="U1128" s="309"/>
      <c r="V1128" s="309"/>
      <c r="W1128" s="309"/>
      <c r="X1128" s="309"/>
      <c r="Y1128" s="309"/>
      <c r="Z1128" s="309"/>
      <c r="AA1128" s="309"/>
    </row>
    <row r="1129" spans="2:27" ht="15" customHeight="1">
      <c r="B1129" s="309"/>
      <c r="C1129" s="309"/>
      <c r="D1129" s="309"/>
      <c r="E1129" s="309"/>
      <c r="F1129" s="309"/>
      <c r="G1129" s="309"/>
      <c r="H1129" s="309"/>
      <c r="I1129" s="309"/>
      <c r="J1129" s="309"/>
      <c r="K1129" s="309"/>
      <c r="L1129" s="309"/>
      <c r="M1129" s="309"/>
      <c r="N1129" s="309"/>
      <c r="O1129" s="309"/>
      <c r="P1129" s="309"/>
      <c r="Q1129" s="309"/>
      <c r="R1129" s="309"/>
      <c r="S1129" s="309"/>
      <c r="T1129" s="309"/>
      <c r="U1129" s="309"/>
      <c r="V1129" s="309"/>
      <c r="W1129" s="309"/>
      <c r="X1129" s="309"/>
      <c r="Y1129" s="309"/>
      <c r="Z1129" s="309"/>
      <c r="AA1129" s="309"/>
    </row>
    <row r="1130" spans="2:27" ht="15" customHeight="1">
      <c r="B1130" s="309"/>
      <c r="C1130" s="309"/>
      <c r="D1130" s="309"/>
      <c r="E1130" s="309"/>
      <c r="F1130" s="309"/>
      <c r="G1130" s="309"/>
      <c r="H1130" s="309"/>
      <c r="I1130" s="309"/>
      <c r="J1130" s="309"/>
      <c r="K1130" s="309"/>
      <c r="L1130" s="309"/>
      <c r="M1130" s="309"/>
      <c r="N1130" s="309"/>
      <c r="O1130" s="309"/>
      <c r="P1130" s="309"/>
      <c r="Q1130" s="309"/>
      <c r="R1130" s="309"/>
      <c r="S1130" s="309"/>
      <c r="T1130" s="309"/>
      <c r="U1130" s="309"/>
      <c r="V1130" s="309"/>
      <c r="W1130" s="309"/>
      <c r="X1130" s="309"/>
      <c r="Y1130" s="309"/>
      <c r="Z1130" s="309"/>
      <c r="AA1130" s="309"/>
    </row>
    <row r="1131" spans="2:27" ht="15" customHeight="1">
      <c r="B1131" s="309"/>
      <c r="C1131" s="309"/>
      <c r="D1131" s="309"/>
      <c r="E1131" s="309"/>
      <c r="F1131" s="309"/>
      <c r="G1131" s="309"/>
      <c r="H1131" s="309"/>
      <c r="I1131" s="309"/>
      <c r="J1131" s="309"/>
      <c r="K1131" s="309"/>
      <c r="L1131" s="309"/>
      <c r="M1131" s="309"/>
      <c r="N1131" s="309"/>
      <c r="O1131" s="309"/>
      <c r="P1131" s="309"/>
      <c r="Q1131" s="309"/>
      <c r="R1131" s="309"/>
      <c r="S1131" s="309"/>
      <c r="T1131" s="309"/>
      <c r="U1131" s="309"/>
      <c r="V1131" s="309"/>
      <c r="W1131" s="309"/>
      <c r="X1131" s="309"/>
      <c r="Y1131" s="309"/>
      <c r="Z1131" s="309"/>
      <c r="AA1131" s="309"/>
    </row>
    <row r="1132" spans="2:27" ht="15" customHeight="1">
      <c r="B1132" s="309"/>
      <c r="C1132" s="309"/>
      <c r="D1132" s="309"/>
      <c r="E1132" s="309"/>
      <c r="F1132" s="309"/>
      <c r="G1132" s="309"/>
      <c r="H1132" s="309"/>
      <c r="I1132" s="309"/>
      <c r="J1132" s="309"/>
      <c r="K1132" s="309"/>
      <c r="L1132" s="309"/>
      <c r="M1132" s="309"/>
      <c r="N1132" s="309"/>
      <c r="O1132" s="309"/>
      <c r="P1132" s="309"/>
      <c r="Q1132" s="309"/>
      <c r="R1132" s="309"/>
      <c r="S1132" s="309"/>
      <c r="T1132" s="309"/>
      <c r="U1132" s="309"/>
      <c r="V1132" s="309"/>
      <c r="W1132" s="309"/>
      <c r="X1132" s="309"/>
      <c r="Y1132" s="309"/>
      <c r="Z1132" s="309"/>
      <c r="AA1132" s="309"/>
    </row>
  </sheetData>
  <mergeCells count="12">
    <mergeCell ref="I46:K46"/>
    <mergeCell ref="B84:E84"/>
    <mergeCell ref="G84:J84"/>
    <mergeCell ref="F1:G1"/>
    <mergeCell ref="A110:A114"/>
    <mergeCell ref="B46:D46"/>
    <mergeCell ref="E46:G46"/>
    <mergeCell ref="A115:A119"/>
    <mergeCell ref="A120:A123"/>
    <mergeCell ref="C126:E126"/>
    <mergeCell ref="F84:F85"/>
    <mergeCell ref="A84:A85"/>
  </mergeCells>
  <dataValidations count="4">
    <dataValidation type="list" allowBlank="1" showInputMessage="1" showErrorMessage="1" sqref="C109:F109" xr:uid="{00000000-0002-0000-0100-000000000000}">
      <formula1>MIX_PARAM</formula1>
    </dataValidation>
    <dataValidation showDropDown="1" showInputMessage="1" showErrorMessage="1" sqref="C110:F110 C115:F115" xr:uid="{00000000-0002-0000-0100-000001000000}"/>
    <dataValidation type="list" allowBlank="1" showInputMessage="1" showErrorMessage="1" sqref="H1" xr:uid="{00000000-0002-0000-0100-000002000000}">
      <formula1>Perimetre</formula1>
    </dataValidation>
    <dataValidation type="list" allowBlank="1" showInputMessage="1" showErrorMessage="1" sqref="B111:B114 B116:B123" xr:uid="{2BED83D0-3B34-5348-B7B9-1762F8DE186D}">
      <formula1>MIX</formula1>
    </dataValidation>
  </dataValidations>
  <hyperlinks>
    <hyperlink ref="B168" r:id="rId1" xr:uid="{00000000-0004-0000-0100-000000000000}"/>
    <hyperlink ref="B169" r:id="rId2" xr:uid="{00000000-0004-0000-0100-000001000000}"/>
    <hyperlink ref="B170" r:id="rId3" xr:uid="{00000000-0004-0000-0100-000002000000}"/>
    <hyperlink ref="B171" r:id="rId4" xr:uid="{00000000-0004-0000-0100-000003000000}"/>
    <hyperlink ref="B172" r:id="rId5" xr:uid="{00000000-0004-0000-0100-000004000000}"/>
    <hyperlink ref="B173" r:id="rId6" xr:uid="{00000000-0004-0000-0100-000005000000}"/>
    <hyperlink ref="B174" r:id="rId7" xr:uid="{00000000-0004-0000-0100-000006000000}"/>
    <hyperlink ref="B166" r:id="rId8" xr:uid="{00000000-0004-0000-0100-000007000000}"/>
    <hyperlink ref="B167" r:id="rId9" xr:uid="{00000000-0004-0000-0100-000008000000}"/>
    <hyperlink ref="B175" r:id="rId10" xr:uid="{00000000-0004-0000-0100-000009000000}"/>
    <hyperlink ref="B176" r:id="rId11" xr:uid="{00000000-0004-0000-0100-00000A000000}"/>
    <hyperlink ref="B177" r:id="rId12" xr:uid="{00000000-0004-0000-0100-00000B000000}"/>
    <hyperlink ref="B178" r:id="rId13" xr:uid="{00000000-0004-0000-0100-00000C000000}"/>
    <hyperlink ref="B179" r:id="rId14" xr:uid="{00000000-0004-0000-0100-00000D000000}"/>
    <hyperlink ref="B181" r:id="rId15" xr:uid="{39AA373F-0C47-274C-9775-735D1A0F7149}"/>
    <hyperlink ref="B182" r:id="rId16" xr:uid="{74DC907B-5D9F-3A4D-BBE6-A2217BA53B19}"/>
    <hyperlink ref="B183" r:id="rId17" xr:uid="{E8EAFB7E-73C7-412E-BCF8-DB25231D2FBE}"/>
    <hyperlink ref="B184" r:id="rId18" xr:uid="{2FABB974-A6CE-4A4E-AD50-AF30A6A24143}"/>
    <hyperlink ref="B185" r:id="rId19" xr:uid="{4ED8E6DF-E9B3-4A79-9172-7730B84B8083}"/>
    <hyperlink ref="B186" r:id="rId20" location=":~:text=Globally%2C%20aviation%20produced%202.4%20percent,world%20between%20Japan%20and%20Germany" xr:uid="{38A96000-1114-42F8-9524-3FF48ECE0373}"/>
    <hyperlink ref="B187" r:id="rId21" xr:uid="{2AB3C44B-96BA-464F-85D5-39378A0E8955}"/>
    <hyperlink ref="B188" r:id="rId22" xr:uid="{0DCAC361-0119-4FA3-A1F7-BA3E6048EEE7}"/>
    <hyperlink ref="B189" r:id="rId23" xr:uid="{C785B75B-AA78-4347-AF86-38A9D8EA9076}"/>
    <hyperlink ref="B190" r:id="rId24" xr:uid="{72530F44-C47B-AE40-8F53-700C7B304A3F}"/>
  </hyperlinks>
  <pageMargins left="0.7" right="0.7" top="0.75" bottom="0.75" header="0" footer="0"/>
  <pageSetup paperSize="9" orientation="portrait" r:id="rId25"/>
  <drawing r:id="rId26"/>
  <legacy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K94"/>
  <sheetViews>
    <sheetView zoomScale="60" zoomScaleNormal="70" workbookViewId="0">
      <pane xSplit="2" ySplit="5" topLeftCell="R6" activePane="bottomRight" state="frozen"/>
      <selection pane="bottomRight" activeCell="AE18" sqref="AE18"/>
      <selection pane="bottomLeft" activeCell="A6" sqref="A6"/>
      <selection pane="topRight" activeCell="C1" sqref="C1"/>
    </sheetView>
  </sheetViews>
  <sheetFormatPr defaultColWidth="11.125" defaultRowHeight="14.1"/>
  <cols>
    <col min="1" max="1" width="21.125" style="108" customWidth="1"/>
    <col min="2" max="2" width="11.125" style="108"/>
    <col min="3" max="19" width="11.875" style="108" customWidth="1"/>
    <col min="20" max="20" width="11.625" style="108" customWidth="1"/>
    <col min="21" max="26" width="11.875" style="108" customWidth="1"/>
    <col min="27" max="27" width="11.875" style="906" customWidth="1"/>
    <col min="28" max="29" width="11.875" style="108" customWidth="1"/>
    <col min="30" max="30" width="11.875" style="743" customWidth="1"/>
    <col min="31" max="32" width="11.875" style="108" customWidth="1"/>
    <col min="33" max="33" width="11.875" style="743" customWidth="1"/>
    <col min="34" max="35" width="11.875" style="108" customWidth="1"/>
    <col min="36" max="36" width="11.875" style="743" customWidth="1"/>
    <col min="37" max="38" width="11.875" style="108" customWidth="1"/>
    <col min="39" max="39" width="11.875" style="743" customWidth="1"/>
    <col min="40" max="41" width="11.875" style="108" customWidth="1"/>
    <col min="42" max="42" width="11.875" style="743" customWidth="1"/>
    <col min="43" max="44" width="11.875" style="108" customWidth="1"/>
    <col min="45" max="45" width="11.875" style="743" customWidth="1"/>
    <col min="46" max="62" width="11.875" style="108" customWidth="1"/>
    <col min="63" max="63" width="11.875" style="1008" customWidth="1"/>
    <col min="64" max="69" width="11.875" style="108" customWidth="1"/>
    <col min="70" max="70" width="11.875" style="743" customWidth="1"/>
    <col min="71" max="71" width="11.125" style="108"/>
    <col min="72" max="72" width="15" style="108" customWidth="1"/>
    <col min="73" max="74" width="11.125" style="108"/>
    <col min="75" max="75" width="18.125" style="108" customWidth="1"/>
    <col min="76" max="16384" width="11.125" style="108"/>
  </cols>
  <sheetData>
    <row r="1" spans="1:89" ht="60">
      <c r="A1" s="1149"/>
      <c r="B1" s="1149"/>
      <c r="C1" s="904"/>
      <c r="D1" s="1149"/>
      <c r="E1" s="1149"/>
      <c r="F1" s="1149"/>
      <c r="G1" s="1149"/>
      <c r="H1" s="331"/>
      <c r="I1" s="331"/>
      <c r="J1" s="1149"/>
      <c r="K1" s="1149"/>
      <c r="L1" s="1149"/>
      <c r="M1" s="1149"/>
      <c r="N1" s="648"/>
      <c r="O1" s="746" t="s">
        <v>280</v>
      </c>
      <c r="P1" s="744" t="b">
        <v>0</v>
      </c>
      <c r="Q1" s="745" t="s">
        <v>281</v>
      </c>
      <c r="R1" s="744" t="b">
        <v>0</v>
      </c>
      <c r="S1" s="1149" t="s">
        <v>282</v>
      </c>
      <c r="T1" s="648" t="b">
        <v>0</v>
      </c>
      <c r="U1" s="652" t="s">
        <v>283</v>
      </c>
      <c r="V1" s="648"/>
      <c r="W1" s="648"/>
      <c r="X1" s="648"/>
      <c r="Y1" s="331" t="s">
        <v>284</v>
      </c>
      <c r="Z1" s="331" t="s">
        <v>285</v>
      </c>
      <c r="AA1" s="331" t="s">
        <v>286</v>
      </c>
      <c r="AB1" s="1149"/>
      <c r="AC1" s="1149"/>
      <c r="AD1" s="1149"/>
      <c r="AE1" s="1149"/>
      <c r="AF1" s="1149"/>
      <c r="AG1" s="1149"/>
      <c r="AH1" s="1149"/>
      <c r="AI1" s="1149"/>
      <c r="AJ1" s="1149"/>
      <c r="AK1" s="1149"/>
      <c r="AL1" s="1149"/>
      <c r="AM1" s="1149"/>
      <c r="AN1" s="1149"/>
      <c r="AO1" s="1149"/>
      <c r="AP1" s="1149"/>
      <c r="AQ1" s="1149"/>
      <c r="AR1" s="1149"/>
      <c r="AS1" s="1149"/>
      <c r="AT1" s="1149"/>
      <c r="AU1" s="1149"/>
      <c r="AV1" s="1149"/>
      <c r="AW1" s="1149"/>
      <c r="AX1" s="1149"/>
      <c r="AY1" s="1149"/>
      <c r="AZ1" s="1149"/>
      <c r="BA1" s="1149"/>
      <c r="BB1" s="1149"/>
      <c r="BC1" s="1149"/>
      <c r="BD1" s="1149"/>
      <c r="BE1" s="1149"/>
      <c r="BF1" s="1149"/>
      <c r="BG1" s="1149"/>
      <c r="BH1" s="1149"/>
      <c r="BI1" s="1149"/>
      <c r="BJ1" s="1149"/>
      <c r="BK1" s="1149"/>
      <c r="BL1" s="1149"/>
      <c r="BM1" s="1149"/>
      <c r="BN1" s="1149"/>
      <c r="BO1" s="1149"/>
      <c r="BP1" s="1149"/>
      <c r="BQ1" s="1149"/>
      <c r="BR1" s="1149"/>
      <c r="BS1" s="1149"/>
      <c r="BT1" s="1149"/>
      <c r="BU1" s="1149"/>
      <c r="BV1" s="1149"/>
      <c r="BW1" s="1149"/>
      <c r="BX1" s="1149"/>
      <c r="BY1" s="1149"/>
      <c r="BZ1" s="1149"/>
      <c r="CA1" s="1149"/>
      <c r="CB1" s="1149"/>
      <c r="CC1" s="1149"/>
      <c r="CD1" s="1149"/>
      <c r="CE1" s="1149"/>
      <c r="CF1" s="1149"/>
      <c r="CG1" s="1149"/>
      <c r="CH1" s="1149"/>
      <c r="CI1" s="1149"/>
      <c r="CJ1" s="1149"/>
      <c r="CK1" s="1149"/>
    </row>
    <row r="2" spans="1:89" ht="15" thickBot="1">
      <c r="A2" s="1149"/>
      <c r="B2" s="1149"/>
      <c r="C2" s="1149"/>
      <c r="D2" s="1149"/>
      <c r="E2" s="1149"/>
      <c r="F2" s="1149"/>
      <c r="G2" s="1149"/>
      <c r="H2" s="1149"/>
      <c r="I2" s="1149"/>
      <c r="J2" s="1149"/>
      <c r="K2" s="1149"/>
      <c r="L2" s="1149"/>
      <c r="M2" s="1149"/>
      <c r="N2" s="648"/>
      <c r="O2" s="649"/>
      <c r="P2" s="649"/>
      <c r="Q2" s="650" t="s">
        <v>287</v>
      </c>
      <c r="R2" s="651">
        <v>0</v>
      </c>
      <c r="S2" s="1149">
        <v>2040</v>
      </c>
      <c r="T2" s="1149">
        <v>1109.9511777788659</v>
      </c>
      <c r="U2" s="1149" t="s">
        <v>288</v>
      </c>
      <c r="V2" s="1149"/>
      <c r="W2" s="178">
        <f>$T$2/$G$11</f>
        <v>1.0200864215910803</v>
      </c>
      <c r="X2" s="1149"/>
      <c r="Y2" s="899">
        <f>BP42</f>
        <v>24273.03388994743</v>
      </c>
      <c r="Z2" s="899">
        <f>BR42</f>
        <v>30527.322961991307</v>
      </c>
      <c r="AA2" s="899">
        <f>BQ42</f>
        <v>32832.337749343387</v>
      </c>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c r="AZ2" s="1149"/>
      <c r="BA2" s="1149"/>
      <c r="BB2" s="1149"/>
      <c r="BC2" s="1149"/>
      <c r="BD2" s="1149"/>
      <c r="BE2" s="1149"/>
      <c r="BF2" s="1149"/>
      <c r="BG2" s="1149"/>
      <c r="BH2" s="1149"/>
      <c r="BI2" s="1149"/>
      <c r="BJ2" s="1149"/>
      <c r="BK2" s="1149"/>
      <c r="BL2" s="1149"/>
      <c r="BM2" s="1149"/>
      <c r="BN2" s="1149"/>
      <c r="BO2" s="1149"/>
      <c r="BP2" s="1149"/>
      <c r="BQ2" s="1149"/>
      <c r="BR2" s="1149"/>
      <c r="BS2" s="1149"/>
      <c r="BT2" s="1149"/>
      <c r="BU2" s="1149"/>
      <c r="BV2" s="1149"/>
      <c r="BW2" s="1149"/>
      <c r="BX2" s="1149"/>
      <c r="BY2" s="1149"/>
      <c r="BZ2" s="1149"/>
      <c r="CA2" s="1149"/>
      <c r="CB2" s="1149"/>
      <c r="CC2" s="1149"/>
      <c r="CD2" s="1149"/>
      <c r="CE2" s="1149"/>
      <c r="CF2" s="1149"/>
      <c r="CG2" s="1149"/>
      <c r="CH2" s="1149"/>
      <c r="CI2" s="1149"/>
      <c r="CJ2" s="1149"/>
      <c r="CK2" s="1149"/>
    </row>
    <row r="3" spans="1:89" ht="21" customHeight="1">
      <c r="A3" s="243"/>
      <c r="B3" s="1186" t="s">
        <v>289</v>
      </c>
      <c r="C3" s="1196" t="s">
        <v>290</v>
      </c>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8"/>
      <c r="AT3" s="1179" t="s">
        <v>291</v>
      </c>
      <c r="AU3" s="1179"/>
      <c r="AV3" s="1179"/>
      <c r="AW3" s="1179"/>
      <c r="AX3" s="1179"/>
      <c r="AY3" s="1179"/>
      <c r="AZ3" s="1179"/>
      <c r="BA3" s="1179"/>
      <c r="BB3" s="1179"/>
      <c r="BC3" s="1179"/>
      <c r="BD3" s="1179"/>
      <c r="BE3" s="1179"/>
      <c r="BF3" s="1179"/>
      <c r="BG3" s="1179"/>
      <c r="BH3" s="1179"/>
      <c r="BI3" s="1179"/>
      <c r="BJ3" s="1179"/>
      <c r="BK3" s="1179"/>
      <c r="BL3" s="1179"/>
      <c r="BM3" s="1179"/>
      <c r="BN3" s="1179"/>
      <c r="BO3" s="1179"/>
      <c r="BP3" s="1179"/>
      <c r="BQ3" s="1179"/>
      <c r="BR3" s="1180"/>
      <c r="BS3" s="244"/>
      <c r="BT3" s="244"/>
      <c r="BU3" s="244"/>
      <c r="BV3" s="244"/>
      <c r="BW3" s="244"/>
      <c r="BX3" s="244"/>
      <c r="BY3" s="244"/>
      <c r="BZ3" s="244"/>
      <c r="CA3" s="244"/>
      <c r="CB3" s="244"/>
      <c r="CC3" s="245"/>
      <c r="CD3" s="245"/>
      <c r="CE3" s="245"/>
      <c r="CF3" s="245"/>
      <c r="CG3" s="1149"/>
      <c r="CH3" s="1149"/>
      <c r="CI3" s="1149"/>
      <c r="CJ3" s="1149"/>
      <c r="CK3" s="1149"/>
    </row>
    <row r="4" spans="1:89" ht="21" customHeight="1">
      <c r="A4" s="246"/>
      <c r="B4" s="1187"/>
      <c r="C4" s="1190" t="s">
        <v>292</v>
      </c>
      <c r="D4" s="1191"/>
      <c r="E4" s="1192"/>
      <c r="F4" s="1189" t="s">
        <v>293</v>
      </c>
      <c r="G4" s="1189"/>
      <c r="H4" s="1189"/>
      <c r="I4" s="1189"/>
      <c r="J4" s="1189"/>
      <c r="K4" s="1189"/>
      <c r="L4" s="1189"/>
      <c r="M4" s="1189"/>
      <c r="N4" s="1189"/>
      <c r="O4" s="1193" t="s">
        <v>294</v>
      </c>
      <c r="P4" s="1194"/>
      <c r="Q4" s="1194"/>
      <c r="R4" s="1194"/>
      <c r="S4" s="1194"/>
      <c r="T4" s="1194"/>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072"/>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2"/>
      <c r="BS4" s="244"/>
      <c r="BT4" s="244"/>
      <c r="BU4" s="244"/>
      <c r="BV4" s="244"/>
      <c r="BW4" s="244"/>
      <c r="BX4" s="244"/>
      <c r="BY4" s="244"/>
      <c r="BZ4" s="244"/>
      <c r="CA4" s="244"/>
      <c r="CB4" s="244"/>
      <c r="CC4" s="245"/>
      <c r="CD4" s="245"/>
      <c r="CE4" s="245"/>
      <c r="CF4" s="245"/>
      <c r="CG4" s="1149"/>
      <c r="CH4" s="1149"/>
      <c r="CI4" s="1149"/>
      <c r="CJ4" s="1149"/>
      <c r="CK4" s="1149"/>
    </row>
    <row r="5" spans="1:89" ht="120.95" thickBot="1">
      <c r="A5" s="247"/>
      <c r="B5" s="1188"/>
      <c r="C5" s="1075" t="s">
        <v>295</v>
      </c>
      <c r="D5" s="1076" t="s">
        <v>296</v>
      </c>
      <c r="E5" s="1076" t="s">
        <v>296</v>
      </c>
      <c r="F5" s="1077" t="s">
        <v>297</v>
      </c>
      <c r="G5" s="1078" t="s">
        <v>298</v>
      </c>
      <c r="H5" s="1079" t="s">
        <v>299</v>
      </c>
      <c r="I5" s="1077" t="s">
        <v>300</v>
      </c>
      <c r="J5" s="1079" t="s">
        <v>301</v>
      </c>
      <c r="K5" s="1077" t="s">
        <v>302</v>
      </c>
      <c r="L5" s="1079" t="s">
        <v>303</v>
      </c>
      <c r="M5" s="1077" t="s">
        <v>304</v>
      </c>
      <c r="N5" s="1079" t="s">
        <v>305</v>
      </c>
      <c r="O5" s="1080" t="s">
        <v>306</v>
      </c>
      <c r="P5" s="1080" t="s">
        <v>307</v>
      </c>
      <c r="Q5" s="1080" t="s">
        <v>308</v>
      </c>
      <c r="R5" s="1080" t="s">
        <v>309</v>
      </c>
      <c r="S5" s="1081" t="s">
        <v>310</v>
      </c>
      <c r="T5" s="1081" t="str">
        <f>"Stabilisation à "&amp;TEXT(W2,"0%")</f>
        <v>Stabilisation à 102%</v>
      </c>
      <c r="U5" s="1080" t="s">
        <v>311</v>
      </c>
      <c r="V5" s="1080" t="s">
        <v>312</v>
      </c>
      <c r="W5" s="1080" t="s">
        <v>313</v>
      </c>
      <c r="X5" s="1080" t="s">
        <v>314</v>
      </c>
      <c r="Y5" s="1081" t="s">
        <v>315</v>
      </c>
      <c r="Z5" s="1080" t="s">
        <v>316</v>
      </c>
      <c r="AA5" s="1082" t="s">
        <v>317</v>
      </c>
      <c r="AB5" s="1080" t="s">
        <v>318</v>
      </c>
      <c r="AC5" s="1080" t="s">
        <v>319</v>
      </c>
      <c r="AD5" s="1080" t="s">
        <v>320</v>
      </c>
      <c r="AE5" s="1081" t="s">
        <v>321</v>
      </c>
      <c r="AF5" s="1081" t="s">
        <v>322</v>
      </c>
      <c r="AG5" s="1081" t="s">
        <v>323</v>
      </c>
      <c r="AH5" s="1080" t="s">
        <v>324</v>
      </c>
      <c r="AI5" s="1080" t="s">
        <v>325</v>
      </c>
      <c r="AJ5" s="1080" t="s">
        <v>326</v>
      </c>
      <c r="AK5" s="1081" t="s">
        <v>327</v>
      </c>
      <c r="AL5" s="1081" t="s">
        <v>328</v>
      </c>
      <c r="AM5" s="1081" t="s">
        <v>327</v>
      </c>
      <c r="AN5" s="1081" t="s">
        <v>329</v>
      </c>
      <c r="AO5" s="1081" t="s">
        <v>330</v>
      </c>
      <c r="AP5" s="1081" t="s">
        <v>331</v>
      </c>
      <c r="AQ5" s="1081" t="s">
        <v>332</v>
      </c>
      <c r="AR5" s="1081" t="s">
        <v>333</v>
      </c>
      <c r="AS5" s="1128" t="s">
        <v>334</v>
      </c>
      <c r="AT5" s="1129" t="s">
        <v>335</v>
      </c>
      <c r="AU5" s="1130" t="s">
        <v>336</v>
      </c>
      <c r="AV5" s="1130" t="s">
        <v>337</v>
      </c>
      <c r="AW5" s="1130" t="s">
        <v>338</v>
      </c>
      <c r="AX5" s="1130" t="s">
        <v>339</v>
      </c>
      <c r="AY5" s="1130" t="s">
        <v>340</v>
      </c>
      <c r="AZ5" s="1130" t="s">
        <v>341</v>
      </c>
      <c r="BA5" s="1131" t="s">
        <v>342</v>
      </c>
      <c r="BB5" s="1131" t="s">
        <v>343</v>
      </c>
      <c r="BC5" s="1131" t="s">
        <v>344</v>
      </c>
      <c r="BD5" s="1131" t="s">
        <v>345</v>
      </c>
      <c r="BE5" s="1131" t="s">
        <v>346</v>
      </c>
      <c r="BF5" s="1131" t="s">
        <v>347</v>
      </c>
      <c r="BG5" s="1131" t="s">
        <v>348</v>
      </c>
      <c r="BH5" s="1131" t="s">
        <v>349</v>
      </c>
      <c r="BI5" s="1131" t="s">
        <v>350</v>
      </c>
      <c r="BJ5" s="1131" t="s">
        <v>351</v>
      </c>
      <c r="BK5" s="1131" t="s">
        <v>352</v>
      </c>
      <c r="BL5" s="1131" t="s">
        <v>353</v>
      </c>
      <c r="BM5" s="1131" t="s">
        <v>354</v>
      </c>
      <c r="BN5" s="1131" t="s">
        <v>355</v>
      </c>
      <c r="BO5" s="1131" t="s">
        <v>356</v>
      </c>
      <c r="BP5" s="1131" t="s">
        <v>357</v>
      </c>
      <c r="BQ5" s="1131" t="s">
        <v>358</v>
      </c>
      <c r="BR5" s="1132" t="s">
        <v>359</v>
      </c>
      <c r="BS5" s="248"/>
      <c r="BT5" s="248"/>
      <c r="BU5" s="248"/>
      <c r="BV5" s="248"/>
      <c r="BW5" s="248"/>
      <c r="BX5" s="248"/>
      <c r="BY5" s="248"/>
      <c r="BZ5" s="248"/>
      <c r="CA5" s="248"/>
      <c r="CB5" s="248"/>
      <c r="CC5" s="249"/>
      <c r="CD5" s="249"/>
      <c r="CE5" s="249"/>
      <c r="CF5" s="249"/>
      <c r="CG5" s="1149"/>
      <c r="CH5" s="1149"/>
      <c r="CI5" s="1149"/>
      <c r="CJ5" s="1149"/>
      <c r="CK5" s="1149"/>
    </row>
    <row r="6" spans="1:89" ht="15">
      <c r="A6" s="250"/>
      <c r="B6" s="1117">
        <f>B7-1</f>
        <v>2014</v>
      </c>
      <c r="C6" s="1118">
        <f>Hypothèses!$K52</f>
        <v>885.83864771181118</v>
      </c>
      <c r="D6" s="1119">
        <f>Hypothèses!$K52</f>
        <v>885.83864771181118</v>
      </c>
      <c r="E6" s="1119"/>
      <c r="F6" s="1119">
        <f>Hypothèses!$K52</f>
        <v>885.83864771181118</v>
      </c>
      <c r="G6" s="1119">
        <f>Hypothèses!$K52</f>
        <v>885.83864771181118</v>
      </c>
      <c r="H6" s="1119">
        <f>Hypothèses!$K52</f>
        <v>885.83864771181118</v>
      </c>
      <c r="I6" s="1119">
        <f>Hypothèses!$K52</f>
        <v>885.83864771181118</v>
      </c>
      <c r="J6" s="1119">
        <f>Hypothèses!$K52</f>
        <v>885.83864771181118</v>
      </c>
      <c r="K6" s="1120"/>
      <c r="L6" s="1120"/>
      <c r="M6" s="1119">
        <f>Hypothèses!$K52</f>
        <v>885.83864771181118</v>
      </c>
      <c r="N6" s="1119">
        <f>Hypothèses!$K52</f>
        <v>885.83864771181118</v>
      </c>
      <c r="O6" s="1121"/>
      <c r="P6" s="1121"/>
      <c r="Q6" s="1121"/>
      <c r="R6" s="1122"/>
      <c r="S6" s="1119">
        <f>Hypothèses!$K52</f>
        <v>885.83864771181118</v>
      </c>
      <c r="T6" s="1119">
        <f>Hypothèses!$K52</f>
        <v>885.83864771181118</v>
      </c>
      <c r="U6" s="1121"/>
      <c r="V6" s="1121"/>
      <c r="W6" s="1121"/>
      <c r="X6" s="1121"/>
      <c r="Y6" s="1119">
        <f>Hypothèses!$K52</f>
        <v>885.83864771181118</v>
      </c>
      <c r="Z6" s="1121"/>
      <c r="AA6" s="1119">
        <f>Hypothèses!$K52</f>
        <v>885.83864771181118</v>
      </c>
      <c r="AB6" s="1121"/>
      <c r="AC6" s="1121"/>
      <c r="AD6" s="1123"/>
      <c r="AE6" s="1119">
        <f>Hypothèses!$K52</f>
        <v>885.83864771181118</v>
      </c>
      <c r="AF6" s="1119">
        <f>Hypothèses!$K52</f>
        <v>885.83864771181118</v>
      </c>
      <c r="AG6" s="1119">
        <f>Hypothèses!$K52</f>
        <v>885.83864771181118</v>
      </c>
      <c r="AH6" s="1121"/>
      <c r="AI6" s="1121"/>
      <c r="AJ6" s="1121"/>
      <c r="AK6" s="1119">
        <f>Hypothèses!$K52</f>
        <v>885.83864771181118</v>
      </c>
      <c r="AL6" s="1119">
        <f>Hypothèses!$K52</f>
        <v>885.83864771181118</v>
      </c>
      <c r="AM6" s="1119">
        <f>Hypothèses!$K52</f>
        <v>885.83864771181118</v>
      </c>
      <c r="AN6" s="1121"/>
      <c r="AO6" s="1121"/>
      <c r="AP6" s="1123"/>
      <c r="AQ6" s="1119">
        <f>Hypothèses!$K52</f>
        <v>885.83864771181118</v>
      </c>
      <c r="AR6" s="1119">
        <f>Hypothèses!$K52</f>
        <v>885.83864771181118</v>
      </c>
      <c r="AS6" s="1124">
        <f>Hypothèses!$K52</f>
        <v>885.83864771181118</v>
      </c>
      <c r="AT6" s="1125"/>
      <c r="AU6" s="1126"/>
      <c r="AV6" s="1126"/>
      <c r="AW6" s="1126"/>
      <c r="AX6" s="1126"/>
      <c r="AY6" s="1126"/>
      <c r="AZ6" s="1126"/>
      <c r="BA6" s="1126"/>
      <c r="BB6" s="1126"/>
      <c r="BC6" s="1126"/>
      <c r="BD6" s="1126"/>
      <c r="BE6" s="1126"/>
      <c r="BF6" s="1126"/>
      <c r="BG6" s="1126"/>
      <c r="BH6" s="1126"/>
      <c r="BI6" s="1126"/>
      <c r="BJ6" s="1126"/>
      <c r="BK6" s="1126"/>
      <c r="BL6" s="1126"/>
      <c r="BM6" s="1126"/>
      <c r="BN6" s="1126"/>
      <c r="BO6" s="1126"/>
      <c r="BP6" s="1126"/>
      <c r="BQ6" s="1126"/>
      <c r="BR6" s="1127"/>
      <c r="BS6" s="251"/>
      <c r="BT6" s="251"/>
      <c r="BU6" s="251"/>
      <c r="BV6" s="252"/>
      <c r="BW6" s="252"/>
      <c r="BX6" s="253"/>
      <c r="BY6" s="253"/>
      <c r="BZ6" s="253"/>
      <c r="CA6" s="253"/>
      <c r="CB6" s="253"/>
      <c r="CC6" s="254"/>
      <c r="CD6" s="254"/>
      <c r="CE6" s="254"/>
      <c r="CF6" s="254"/>
      <c r="CG6" s="1149"/>
      <c r="CH6" s="1149"/>
      <c r="CI6" s="1149"/>
      <c r="CJ6" s="1149"/>
      <c r="CK6" s="1149"/>
    </row>
    <row r="7" spans="1:89" ht="15">
      <c r="A7" s="250"/>
      <c r="B7" s="1087">
        <f>B8-1</f>
        <v>2015</v>
      </c>
      <c r="C7" s="1088">
        <f>Hypothèses!$K53</f>
        <v>930.26844806902204</v>
      </c>
      <c r="D7" s="1089">
        <f>Hypothèses!$K53</f>
        <v>930.26844806902204</v>
      </c>
      <c r="E7" s="1089"/>
      <c r="F7" s="1089">
        <f>Hypothèses!$K53</f>
        <v>930.26844806902204</v>
      </c>
      <c r="G7" s="1089">
        <f>Hypothèses!$K53</f>
        <v>930.26844806902204</v>
      </c>
      <c r="H7" s="1089">
        <f>Hypothèses!$K53</f>
        <v>930.26844806902204</v>
      </c>
      <c r="I7" s="1089">
        <f>Hypothèses!$K53</f>
        <v>930.26844806902204</v>
      </c>
      <c r="J7" s="1089">
        <f>Hypothèses!$K53</f>
        <v>930.26844806902204</v>
      </c>
      <c r="K7" s="1090"/>
      <c r="L7" s="1090"/>
      <c r="M7" s="1089">
        <f>Hypothèses!$K53</f>
        <v>930.26844806902204</v>
      </c>
      <c r="N7" s="1089">
        <f>Hypothèses!$K53</f>
        <v>930.26844806902204</v>
      </c>
      <c r="O7" s="255"/>
      <c r="P7" s="255"/>
      <c r="Q7" s="255"/>
      <c r="R7" s="1091"/>
      <c r="S7" s="1089">
        <f>Hypothèses!$K53</f>
        <v>930.26844806902204</v>
      </c>
      <c r="T7" s="1089">
        <f>Hypothèses!$K53</f>
        <v>930.26844806902204</v>
      </c>
      <c r="U7" s="255"/>
      <c r="V7" s="255"/>
      <c r="W7" s="255"/>
      <c r="X7" s="255"/>
      <c r="Y7" s="1089">
        <f>Hypothèses!$K53</f>
        <v>930.26844806902204</v>
      </c>
      <c r="Z7" s="255"/>
      <c r="AA7" s="1089">
        <f>Hypothèses!$K53</f>
        <v>930.26844806902204</v>
      </c>
      <c r="AB7" s="255"/>
      <c r="AC7" s="255"/>
      <c r="AD7" s="768"/>
      <c r="AE7" s="1089">
        <f>Hypothèses!$K53</f>
        <v>930.26844806902204</v>
      </c>
      <c r="AF7" s="1089">
        <f>Hypothèses!$K53</f>
        <v>930.26844806902204</v>
      </c>
      <c r="AG7" s="1089">
        <f>Hypothèses!$K53</f>
        <v>930.26844806902204</v>
      </c>
      <c r="AH7" s="255"/>
      <c r="AI7" s="255"/>
      <c r="AJ7" s="255"/>
      <c r="AK7" s="1089">
        <f>Hypothèses!$K53</f>
        <v>930.26844806902204</v>
      </c>
      <c r="AL7" s="1089">
        <f>Hypothèses!$K53</f>
        <v>930.26844806902204</v>
      </c>
      <c r="AM7" s="1089">
        <f>Hypothèses!$K53</f>
        <v>930.26844806902204</v>
      </c>
      <c r="AN7" s="255"/>
      <c r="AO7" s="255"/>
      <c r="AP7" s="768"/>
      <c r="AQ7" s="1089">
        <f>Hypothèses!$K53</f>
        <v>930.26844806902204</v>
      </c>
      <c r="AR7" s="1089">
        <f>Hypothèses!$K53</f>
        <v>930.26844806902204</v>
      </c>
      <c r="AS7" s="1083">
        <f>Hypothèses!$K53</f>
        <v>930.26844806902204</v>
      </c>
      <c r="AT7" s="1084"/>
      <c r="AU7" s="1085"/>
      <c r="AV7" s="1085"/>
      <c r="AW7" s="1085"/>
      <c r="AX7" s="1085"/>
      <c r="AY7" s="1085"/>
      <c r="AZ7" s="1085"/>
      <c r="BA7" s="1085"/>
      <c r="BB7" s="1085"/>
      <c r="BC7" s="1085"/>
      <c r="BD7" s="1085"/>
      <c r="BE7" s="1085"/>
      <c r="BF7" s="1085"/>
      <c r="BG7" s="1085"/>
      <c r="BH7" s="1085"/>
      <c r="BI7" s="1085"/>
      <c r="BJ7" s="1085"/>
      <c r="BK7" s="1085"/>
      <c r="BL7" s="1085"/>
      <c r="BM7" s="1085"/>
      <c r="BN7" s="1085"/>
      <c r="BO7" s="1085"/>
      <c r="BP7" s="1085"/>
      <c r="BQ7" s="1085"/>
      <c r="BR7" s="1086"/>
      <c r="BS7" s="253"/>
      <c r="BT7" s="253"/>
      <c r="BU7" s="251"/>
      <c r="BV7" s="253"/>
      <c r="BW7" s="253"/>
      <c r="BX7" s="253"/>
      <c r="BY7" s="253"/>
      <c r="BZ7" s="253"/>
      <c r="CA7" s="253"/>
      <c r="CB7" s="253"/>
      <c r="CC7" s="254"/>
      <c r="CD7" s="254"/>
      <c r="CE7" s="254"/>
      <c r="CF7" s="254"/>
      <c r="CG7" s="1149"/>
      <c r="CH7" s="1149"/>
      <c r="CI7" s="1149"/>
      <c r="CJ7" s="1149"/>
      <c r="CK7" s="1149"/>
    </row>
    <row r="8" spans="1:89" ht="15">
      <c r="A8" s="250"/>
      <c r="B8" s="1087">
        <f>B9-1</f>
        <v>2016</v>
      </c>
      <c r="C8" s="1088">
        <f>Hypothèses!$K54</f>
        <v>976.92665329983004</v>
      </c>
      <c r="D8" s="1089">
        <f>Hypothèses!$K54</f>
        <v>976.92665329983004</v>
      </c>
      <c r="E8" s="1089"/>
      <c r="F8" s="1089">
        <f>Hypothèses!$K54</f>
        <v>976.92665329983004</v>
      </c>
      <c r="G8" s="1089">
        <f>Hypothèses!$K54</f>
        <v>976.92665329983004</v>
      </c>
      <c r="H8" s="1089">
        <f>Hypothèses!$K54</f>
        <v>976.92665329983004</v>
      </c>
      <c r="I8" s="1089">
        <f>Hypothèses!$K54</f>
        <v>976.92665329983004</v>
      </c>
      <c r="J8" s="1089">
        <f>Hypothèses!$K54</f>
        <v>976.92665329983004</v>
      </c>
      <c r="K8" s="1090"/>
      <c r="L8" s="1090"/>
      <c r="M8" s="1089">
        <f>Hypothèses!$K54</f>
        <v>976.92665329983004</v>
      </c>
      <c r="N8" s="1089">
        <f>Hypothèses!$K54</f>
        <v>976.92665329983004</v>
      </c>
      <c r="O8" s="255"/>
      <c r="P8" s="255"/>
      <c r="Q8" s="255"/>
      <c r="R8" s="1091"/>
      <c r="S8" s="1089">
        <f>Hypothèses!$K54</f>
        <v>976.92665329983004</v>
      </c>
      <c r="T8" s="1089">
        <f>Hypothèses!$K54</f>
        <v>976.92665329983004</v>
      </c>
      <c r="U8" s="255"/>
      <c r="V8" s="255"/>
      <c r="W8" s="255"/>
      <c r="X8" s="255"/>
      <c r="Y8" s="1089">
        <f>Hypothèses!$K54</f>
        <v>976.92665329983004</v>
      </c>
      <c r="Z8" s="255"/>
      <c r="AA8" s="1089">
        <f>Hypothèses!$K54</f>
        <v>976.92665329983004</v>
      </c>
      <c r="AB8" s="255"/>
      <c r="AC8" s="255"/>
      <c r="AD8" s="768"/>
      <c r="AE8" s="1089">
        <f>Hypothèses!$K54</f>
        <v>976.92665329983004</v>
      </c>
      <c r="AF8" s="1089">
        <f>Hypothèses!$K54</f>
        <v>976.92665329983004</v>
      </c>
      <c r="AG8" s="1089">
        <f>Hypothèses!$K54</f>
        <v>976.92665329983004</v>
      </c>
      <c r="AH8" s="255"/>
      <c r="AI8" s="255"/>
      <c r="AJ8" s="255"/>
      <c r="AK8" s="1089">
        <f>Hypothèses!$K54</f>
        <v>976.92665329983004</v>
      </c>
      <c r="AL8" s="1089">
        <f>Hypothèses!$K54</f>
        <v>976.92665329983004</v>
      </c>
      <c r="AM8" s="1089">
        <f>Hypothèses!$K54</f>
        <v>976.92665329983004</v>
      </c>
      <c r="AN8" s="255"/>
      <c r="AO8" s="255"/>
      <c r="AP8" s="768"/>
      <c r="AQ8" s="1089">
        <f>Hypothèses!$K54</f>
        <v>976.92665329983004</v>
      </c>
      <c r="AR8" s="1089">
        <f>Hypothèses!$K54</f>
        <v>976.92665329983004</v>
      </c>
      <c r="AS8" s="1083">
        <f>Hypothèses!$K54</f>
        <v>976.92665329983004</v>
      </c>
      <c r="AT8" s="1084"/>
      <c r="AU8" s="1085"/>
      <c r="AV8" s="1085"/>
      <c r="AW8" s="1085"/>
      <c r="AX8" s="1085"/>
      <c r="AY8" s="1085"/>
      <c r="AZ8" s="1085"/>
      <c r="BA8" s="1085"/>
      <c r="BB8" s="1085"/>
      <c r="BC8" s="1085"/>
      <c r="BD8" s="1085"/>
      <c r="BE8" s="1085"/>
      <c r="BF8" s="1085"/>
      <c r="BG8" s="1085"/>
      <c r="BH8" s="1085"/>
      <c r="BI8" s="1085"/>
      <c r="BJ8" s="1085"/>
      <c r="BK8" s="1085"/>
      <c r="BL8" s="1085"/>
      <c r="BM8" s="1085"/>
      <c r="BN8" s="1085"/>
      <c r="BO8" s="1085"/>
      <c r="BP8" s="1085"/>
      <c r="BQ8" s="1085"/>
      <c r="BR8" s="1086"/>
      <c r="BS8" s="256"/>
      <c r="BT8" s="256"/>
      <c r="BU8" s="251"/>
      <c r="BV8" s="253"/>
      <c r="BW8" s="253"/>
      <c r="BX8" s="253"/>
      <c r="BY8" s="257"/>
      <c r="BZ8" s="257"/>
      <c r="CA8" s="253"/>
      <c r="CB8" s="253"/>
      <c r="CC8" s="258"/>
      <c r="CD8" s="254"/>
      <c r="CE8" s="254"/>
      <c r="CF8" s="254"/>
      <c r="CG8" s="1149"/>
      <c r="CH8" s="1149"/>
      <c r="CI8" s="1149"/>
      <c r="CJ8" s="1149"/>
      <c r="CK8" s="1149"/>
    </row>
    <row r="9" spans="1:89" ht="15">
      <c r="A9" s="250"/>
      <c r="B9" s="1087">
        <f>B10-1</f>
        <v>2017</v>
      </c>
      <c r="C9" s="1088">
        <f>Hypothèses!$K55</f>
        <v>1025.9250304668988</v>
      </c>
      <c r="D9" s="1089">
        <f>Hypothèses!$K55</f>
        <v>1025.9250304668988</v>
      </c>
      <c r="E9" s="1089"/>
      <c r="F9" s="1089">
        <f>Hypothèses!$K55</f>
        <v>1025.9250304668988</v>
      </c>
      <c r="G9" s="1089">
        <f>Hypothèses!$K55</f>
        <v>1025.9250304668988</v>
      </c>
      <c r="H9" s="1089">
        <f>Hypothèses!$K55</f>
        <v>1025.9250304668988</v>
      </c>
      <c r="I9" s="1089">
        <f>Hypothèses!$K55</f>
        <v>1025.9250304668988</v>
      </c>
      <c r="J9" s="1089">
        <f>Hypothèses!$K55</f>
        <v>1025.9250304668988</v>
      </c>
      <c r="K9" s="1090"/>
      <c r="L9" s="1090"/>
      <c r="M9" s="1089">
        <f>Hypothèses!$K55</f>
        <v>1025.9250304668988</v>
      </c>
      <c r="N9" s="1089">
        <f>Hypothèses!$K55</f>
        <v>1025.9250304668988</v>
      </c>
      <c r="O9" s="255"/>
      <c r="P9" s="255"/>
      <c r="Q9" s="255"/>
      <c r="R9" s="1091"/>
      <c r="S9" s="1089">
        <f>Hypothèses!$K55</f>
        <v>1025.9250304668988</v>
      </c>
      <c r="T9" s="1089">
        <f>Hypothèses!$K55</f>
        <v>1025.9250304668988</v>
      </c>
      <c r="U9" s="255"/>
      <c r="V9" s="255"/>
      <c r="W9" s="255"/>
      <c r="X9" s="255"/>
      <c r="Y9" s="1089">
        <f>Hypothèses!$K55</f>
        <v>1025.9250304668988</v>
      </c>
      <c r="Z9" s="255"/>
      <c r="AA9" s="1089">
        <f>Hypothèses!$K55</f>
        <v>1025.9250304668988</v>
      </c>
      <c r="AB9" s="255"/>
      <c r="AC9" s="255"/>
      <c r="AD9" s="768"/>
      <c r="AE9" s="1089">
        <f>Hypothèses!$K55</f>
        <v>1025.9250304668988</v>
      </c>
      <c r="AF9" s="1089">
        <f>Hypothèses!$K55</f>
        <v>1025.9250304668988</v>
      </c>
      <c r="AG9" s="1089">
        <f>Hypothèses!$K55</f>
        <v>1025.9250304668988</v>
      </c>
      <c r="AH9" s="255"/>
      <c r="AI9" s="255"/>
      <c r="AJ9" s="255"/>
      <c r="AK9" s="1089">
        <f>Hypothèses!$K55</f>
        <v>1025.9250304668988</v>
      </c>
      <c r="AL9" s="1089">
        <f>Hypothèses!$K55</f>
        <v>1025.9250304668988</v>
      </c>
      <c r="AM9" s="1089">
        <f>Hypothèses!$K55</f>
        <v>1025.9250304668988</v>
      </c>
      <c r="AN9" s="255"/>
      <c r="AO9" s="255"/>
      <c r="AP9" s="768"/>
      <c r="AQ9" s="1089">
        <f>Hypothèses!$K55</f>
        <v>1025.9250304668988</v>
      </c>
      <c r="AR9" s="1089">
        <f>Hypothèses!$K55</f>
        <v>1025.9250304668988</v>
      </c>
      <c r="AS9" s="1083">
        <f>Hypothèses!$K55</f>
        <v>1025.9250304668988</v>
      </c>
      <c r="AT9" s="1084"/>
      <c r="AU9" s="1085"/>
      <c r="AV9" s="1085"/>
      <c r="AW9" s="1085"/>
      <c r="AX9" s="1085"/>
      <c r="AY9" s="1085"/>
      <c r="AZ9" s="1085"/>
      <c r="BA9" s="1085"/>
      <c r="BB9" s="1085"/>
      <c r="BC9" s="1085"/>
      <c r="BD9" s="1085"/>
      <c r="BE9" s="1085"/>
      <c r="BF9" s="1085"/>
      <c r="BG9" s="1085"/>
      <c r="BH9" s="1085"/>
      <c r="BI9" s="1085"/>
      <c r="BJ9" s="1085"/>
      <c r="BK9" s="1085"/>
      <c r="BL9" s="1085"/>
      <c r="BM9" s="1085"/>
      <c r="BN9" s="1085"/>
      <c r="BO9" s="1085"/>
      <c r="BP9" s="1085"/>
      <c r="BQ9" s="1085"/>
      <c r="BR9" s="1086"/>
      <c r="BS9" s="256"/>
      <c r="BT9" s="256"/>
      <c r="BU9" s="251"/>
      <c r="BV9" s="253"/>
      <c r="BW9" s="257"/>
      <c r="BX9" s="253"/>
      <c r="BY9" s="253"/>
      <c r="BZ9" s="253"/>
      <c r="CA9" s="253"/>
      <c r="CB9" s="253"/>
      <c r="CC9" s="254"/>
      <c r="CD9" s="254"/>
      <c r="CE9" s="254"/>
      <c r="CF9" s="254"/>
      <c r="CG9" s="1149"/>
      <c r="CH9" s="1149"/>
      <c r="CI9" s="1149"/>
      <c r="CJ9" s="1149"/>
      <c r="CK9" s="1149"/>
    </row>
    <row r="10" spans="1:89">
      <c r="A10" s="259"/>
      <c r="B10" s="1092">
        <v>2018</v>
      </c>
      <c r="C10" s="1088">
        <f>Hypothèses!$K56</f>
        <v>1077.3809523809523</v>
      </c>
      <c r="D10" s="1089">
        <f>Hypothèses!$K56</f>
        <v>1077.3809523809523</v>
      </c>
      <c r="E10" s="1089">
        <f>Hypothèses!$K$49/2</f>
        <v>383.07402168788303</v>
      </c>
      <c r="F10" s="1089">
        <f>Hypothèses!$K56</f>
        <v>1077.3809523809523</v>
      </c>
      <c r="G10" s="1089">
        <f>Hypothèses!$K56</f>
        <v>1077.3809523809523</v>
      </c>
      <c r="H10" s="1089">
        <f>Hypothèses!$K56</f>
        <v>1077.3809523809523</v>
      </c>
      <c r="I10" s="1089">
        <f>Hypothèses!$K56</f>
        <v>1077.3809523809523</v>
      </c>
      <c r="J10" s="1089">
        <f>Hypothèses!$K56</f>
        <v>1077.3809523809523</v>
      </c>
      <c r="K10" s="1090"/>
      <c r="L10" s="1090"/>
      <c r="M10" s="1089">
        <f>Hypothèses!$K56</f>
        <v>1077.3809523809523</v>
      </c>
      <c r="N10" s="1089">
        <f>Hypothèses!$K56</f>
        <v>1077.3809523809523</v>
      </c>
      <c r="O10" s="260">
        <f>'Synthèse mesures CT'!C$5*'Synthèse mesures CT'!C6</f>
        <v>0</v>
      </c>
      <c r="P10" s="260">
        <f>'Synthèse mesures CT'!D$5*'Synthèse mesures CT'!D6</f>
        <v>0</v>
      </c>
      <c r="Q10" s="260">
        <f>'Synthèse mesures CT'!E$5*'Synthèse mesures CT'!E6</f>
        <v>0</v>
      </c>
      <c r="R10" s="269" t="e">
        <f t="shared" ref="R10:R42" si="0">IF(OR(NOT($R$1),$B10&lt;=MAX($I$1,$S$2-1)),NA(),$R$2)</f>
        <v>#N/A</v>
      </c>
      <c r="S10" s="1089">
        <f>IF(ISNA(R10),IF($P$1,G10*(1-SUM(O10:Q10)),G10),S9*(1+R10))</f>
        <v>1077.3809523809523</v>
      </c>
      <c r="T10" s="1089">
        <f>Hypothèses!$K56</f>
        <v>1077.3809523809523</v>
      </c>
      <c r="U10" s="260">
        <f>IF(Hypothèses!$H$1="France",'Synthèse mesures CT'!F$5*'Synthèse mesures CT'!F6,0)</f>
        <v>0</v>
      </c>
      <c r="V10" s="260">
        <f>IF(Hypothèses!$H$1="France",'Synthèse mesures CT'!H$5*'Synthèse mesures CT'!H6,0.0025)</f>
        <v>2.5000000000000001E-3</v>
      </c>
      <c r="W10" s="260">
        <f>IF(Hypothèses!$H$1="France",'Synthèse mesures CT'!G$5*'Synthèse mesures CT'!G6,0.0025)</f>
        <v>2.5000000000000001E-3</v>
      </c>
      <c r="X10" s="260">
        <f>IF(Hypothèses!$H$1="France",'Synthèse mesures CT'!I$5*'Synthèse mesures CT'!I6,0)</f>
        <v>0</v>
      </c>
      <c r="Y10" s="1089">
        <f>Hypothèses!$K56</f>
        <v>1077.3809523809523</v>
      </c>
      <c r="Z10" s="262">
        <v>0</v>
      </c>
      <c r="AA10" s="1089">
        <f>Hypothèses!$K56</f>
        <v>1077.3809523809523</v>
      </c>
      <c r="AB10" s="262">
        <v>0</v>
      </c>
      <c r="AC10" s="262">
        <v>0</v>
      </c>
      <c r="AD10" s="262">
        <v>0</v>
      </c>
      <c r="AE10" s="1089">
        <f>Hypothèses!$K56</f>
        <v>1077.3809523809523</v>
      </c>
      <c r="AF10" s="1089">
        <f>Hypothèses!$K56</f>
        <v>1077.3809523809523</v>
      </c>
      <c r="AG10" s="1089">
        <f>Hypothèses!$K56</f>
        <v>1077.3809523809523</v>
      </c>
      <c r="AH10" s="312">
        <v>0</v>
      </c>
      <c r="AI10" s="260">
        <v>0</v>
      </c>
      <c r="AJ10" s="260">
        <v>0</v>
      </c>
      <c r="AK10" s="1089">
        <f>Hypothèses!$K56</f>
        <v>1077.3809523809523</v>
      </c>
      <c r="AL10" s="1089">
        <f>Hypothèses!$K56</f>
        <v>1077.3809523809523</v>
      </c>
      <c r="AM10" s="1089">
        <f>Hypothèses!$K56</f>
        <v>1077.3809523809523</v>
      </c>
      <c r="AN10" s="261"/>
      <c r="AO10" s="261"/>
      <c r="AP10" s="769"/>
      <c r="AQ10" s="1089">
        <f>Hypothèses!$K56</f>
        <v>1077.3809523809523</v>
      </c>
      <c r="AR10" s="1089">
        <f>Hypothèses!$K56</f>
        <v>1077.3809523809523</v>
      </c>
      <c r="AS10" s="1083">
        <f>Hypothèses!$K56</f>
        <v>1077.3809523809523</v>
      </c>
      <c r="AT10" s="1093">
        <f>Trajectoires!$F$11</f>
        <v>1088.0952380952381</v>
      </c>
      <c r="AU10" s="1094">
        <f>Hypothèses!$J$87</f>
        <v>21597.620036212185</v>
      </c>
      <c r="AV10" s="1094">
        <f>Hypothèses!$E$86</f>
        <v>23159.851826716433</v>
      </c>
      <c r="AW10" s="1094">
        <f>Hypothèses!$E$87</f>
        <v>29941.465897522903</v>
      </c>
      <c r="AX10" s="1094">
        <f>Hypothèses!$E$88</f>
        <v>38079.402782490666</v>
      </c>
      <c r="AY10" s="1094">
        <f>C10</f>
        <v>1077.3809523809523</v>
      </c>
      <c r="AZ10" s="1094">
        <f>D10</f>
        <v>1077.3809523809523</v>
      </c>
      <c r="BA10" s="1094">
        <f>F10</f>
        <v>1077.3809523809523</v>
      </c>
      <c r="BB10" s="1094">
        <f>H10</f>
        <v>1077.3809523809523</v>
      </c>
      <c r="BC10" s="1094">
        <f>I10</f>
        <v>1077.3809523809523</v>
      </c>
      <c r="BD10" s="1094">
        <f>J10</f>
        <v>1077.3809523809523</v>
      </c>
      <c r="BE10" s="1094">
        <f>M10</f>
        <v>1077.3809523809523</v>
      </c>
      <c r="BF10" s="1094">
        <f>N10</f>
        <v>1077.3809523809523</v>
      </c>
      <c r="BG10" s="1094">
        <f>G10</f>
        <v>1077.3809523809523</v>
      </c>
      <c r="BH10" s="1094">
        <f>S10</f>
        <v>1077.3809523809523</v>
      </c>
      <c r="BI10" s="1094">
        <f>T10</f>
        <v>1077.3809523809523</v>
      </c>
      <c r="BJ10" s="1094">
        <f>Y10</f>
        <v>1077.3809523809523</v>
      </c>
      <c r="BK10" s="1094">
        <f>AA10</f>
        <v>1077.3809523809523</v>
      </c>
      <c r="BL10" s="1094">
        <f>AE10</f>
        <v>1077.3809523809523</v>
      </c>
      <c r="BM10" s="1094">
        <f>AF10</f>
        <v>1077.3809523809523</v>
      </c>
      <c r="BN10" s="1094">
        <f>AK10</f>
        <v>1077.3809523809523</v>
      </c>
      <c r="BO10" s="1094">
        <f>AL10</f>
        <v>1077.3809523809523</v>
      </c>
      <c r="BP10" s="1094">
        <f>AQ10</f>
        <v>1077.3809523809523</v>
      </c>
      <c r="BQ10" s="1094">
        <f>AR10</f>
        <v>1077.3809523809523</v>
      </c>
      <c r="BR10" s="1095">
        <f>AS10</f>
        <v>1077.3809523809523</v>
      </c>
      <c r="BS10" s="263"/>
      <c r="BT10" s="263"/>
      <c r="BU10" s="253"/>
      <c r="BV10" s="264"/>
      <c r="BW10" s="253"/>
      <c r="BX10" s="253"/>
      <c r="BY10" s="253"/>
      <c r="BZ10" s="253"/>
      <c r="CA10" s="253"/>
      <c r="CB10" s="253"/>
      <c r="CC10" s="265"/>
      <c r="CD10" s="254"/>
      <c r="CE10" s="254"/>
      <c r="CF10" s="254"/>
      <c r="CG10" s="1149"/>
      <c r="CH10" s="1149"/>
      <c r="CI10" s="1149"/>
      <c r="CJ10" s="1149"/>
      <c r="CK10" s="1149"/>
    </row>
    <row r="11" spans="1:89" ht="15">
      <c r="A11" s="266"/>
      <c r="B11" s="1092">
        <f t="shared" ref="B11:B42" si="1">B10+1</f>
        <v>2019</v>
      </c>
      <c r="C11" s="1096">
        <f>C10*(1-Hypothèses!$F$87)</f>
        <v>1040.8577380952379</v>
      </c>
      <c r="D11" s="1089">
        <f>Hypothèses!$K59</f>
        <v>1088.0952380952381</v>
      </c>
      <c r="E11" s="1089">
        <f>Hypothèses!$K$49/2</f>
        <v>383.07402168788303</v>
      </c>
      <c r="F11" s="1089">
        <f>Hypothèses!$K59</f>
        <v>1088.0952380952381</v>
      </c>
      <c r="G11" s="1089">
        <f>Hypothèses!$K59</f>
        <v>1088.0952380952381</v>
      </c>
      <c r="H11" s="1089">
        <f>Hypothèses!$K59</f>
        <v>1088.0952380952381</v>
      </c>
      <c r="I11" s="1089">
        <f>Hypothèses!$K59</f>
        <v>1088.0952380952381</v>
      </c>
      <c r="J11" s="1089">
        <f>Hypothèses!$K59</f>
        <v>1088.0952380952381</v>
      </c>
      <c r="K11" s="1090"/>
      <c r="L11" s="1090"/>
      <c r="M11" s="1089">
        <f>Hypothèses!$K59</f>
        <v>1088.0952380952381</v>
      </c>
      <c r="N11" s="1089">
        <f>Hypothèses!$K59</f>
        <v>1088.0952380952381</v>
      </c>
      <c r="O11" s="260">
        <f>'Synthèse mesures CT'!C$5*'Synthèse mesures CT'!C7</f>
        <v>0</v>
      </c>
      <c r="P11" s="260">
        <f>'Synthèse mesures CT'!D$5*'Synthèse mesures CT'!D7</f>
        <v>0</v>
      </c>
      <c r="Q11" s="260">
        <f>'Synthèse mesures CT'!E$5*'Synthèse mesures CT'!E7</f>
        <v>0</v>
      </c>
      <c r="R11" s="269" t="e">
        <f t="shared" si="0"/>
        <v>#N/A</v>
      </c>
      <c r="S11" s="1089">
        <f>Hypothèses!$K59</f>
        <v>1088.0952380952381</v>
      </c>
      <c r="T11" s="1089">
        <f>Hypothèses!$K59</f>
        <v>1088.0952380952381</v>
      </c>
      <c r="U11" s="260">
        <f>IF(Hypothèses!$H$1="France",'Synthèse mesures CT'!F$5*'Synthèse mesures CT'!F7,0)</f>
        <v>0</v>
      </c>
      <c r="V11" s="260">
        <f>IF(Hypothèses!$H$1="France",'Synthèse mesures CT'!H$5*'Synthèse mesures CT'!H7,0.0025)</f>
        <v>2.5000000000000001E-3</v>
      </c>
      <c r="W11" s="260">
        <f>IF(Hypothèses!$H$1="France",'Synthèse mesures CT'!G$5*'Synthèse mesures CT'!G7,0.0025)</f>
        <v>2.5000000000000001E-3</v>
      </c>
      <c r="X11" s="260">
        <f>IF(Hypothèses!$H$1="France",'Synthèse mesures CT'!I$5*'Synthèse mesures CT'!I7,0)</f>
        <v>0</v>
      </c>
      <c r="Y11" s="1089">
        <f>Hypothèses!$K59</f>
        <v>1088.0952380952381</v>
      </c>
      <c r="Z11" s="262">
        <v>0</v>
      </c>
      <c r="AA11" s="1089">
        <f>Hypothèses!$K59</f>
        <v>1088.0952380952381</v>
      </c>
      <c r="AB11" s="262">
        <v>0</v>
      </c>
      <c r="AC11" s="262">
        <v>0</v>
      </c>
      <c r="AD11" s="262">
        <v>0</v>
      </c>
      <c r="AE11" s="1089">
        <f>Hypothèses!$K59</f>
        <v>1088.0952380952381</v>
      </c>
      <c r="AF11" s="1089">
        <f>Hypothèses!$K59</f>
        <v>1088.0952380952381</v>
      </c>
      <c r="AG11" s="1089">
        <f>Hypothèses!$K59</f>
        <v>1088.0952380952381</v>
      </c>
      <c r="AH11" s="312">
        <v>0</v>
      </c>
      <c r="AI11" s="260">
        <v>0</v>
      </c>
      <c r="AJ11" s="260">
        <v>0</v>
      </c>
      <c r="AK11" s="1089">
        <f>Hypothèses!$K59</f>
        <v>1088.0952380952381</v>
      </c>
      <c r="AL11" s="1089">
        <f>Hypothèses!$K59</f>
        <v>1088.0952380952381</v>
      </c>
      <c r="AM11" s="1089">
        <f>Hypothèses!$K59</f>
        <v>1088.0952380952381</v>
      </c>
      <c r="AN11" s="261"/>
      <c r="AO11" s="261"/>
      <c r="AP11" s="769"/>
      <c r="AQ11" s="1089">
        <f>Hypothèses!$K59</f>
        <v>1088.0952380952381</v>
      </c>
      <c r="AR11" s="1089">
        <f>Hypothèses!$K59</f>
        <v>1088.0952380952381</v>
      </c>
      <c r="AS11" s="1083">
        <f>Hypothèses!$K59</f>
        <v>1088.0952380952381</v>
      </c>
      <c r="AT11" s="1093">
        <f>Trajectoires!$F$11</f>
        <v>1088.0952380952381</v>
      </c>
      <c r="AU11" s="1094">
        <f>Hypothèses!$J$87</f>
        <v>21597.620036212185</v>
      </c>
      <c r="AV11" s="1094">
        <f>Hypothèses!$E$86</f>
        <v>23159.851826716433</v>
      </c>
      <c r="AW11" s="1094">
        <f>Hypothèses!$E$87</f>
        <v>29941.465897522903</v>
      </c>
      <c r="AX11" s="1094">
        <f>Hypothèses!$E$88</f>
        <v>38079.402782490666</v>
      </c>
      <c r="AY11" s="1094">
        <f t="shared" ref="AY11:AY42" si="2">C11+AY10</f>
        <v>2118.2386904761902</v>
      </c>
      <c r="AZ11" s="1094">
        <f t="shared" ref="AZ11:AZ42" si="3">AZ10+D11</f>
        <v>2165.4761904761904</v>
      </c>
      <c r="BA11" s="1094">
        <f t="shared" ref="BA11:BA42" si="4">BA10+F11</f>
        <v>2165.4761904761904</v>
      </c>
      <c r="BB11" s="1094">
        <f t="shared" ref="BB11:BB42" si="5">H11+BB10</f>
        <v>2165.4761904761904</v>
      </c>
      <c r="BC11" s="1094">
        <f t="shared" ref="BC11:BC42" si="6">I11+BC10</f>
        <v>2165.4761904761904</v>
      </c>
      <c r="BD11" s="1094">
        <f t="shared" ref="BD11:BD42" si="7">BD10+J11</f>
        <v>2165.4761904761904</v>
      </c>
      <c r="BE11" s="1097">
        <f t="shared" ref="BE11:BE42" si="8">BE10+M11</f>
        <v>2165.4761904761904</v>
      </c>
      <c r="BF11" s="1097">
        <f t="shared" ref="BF11:BF42" si="9">BF10+N11</f>
        <v>2165.4761904761904</v>
      </c>
      <c r="BG11" s="1097">
        <f t="shared" ref="BG11:BG42" si="10">BG10+G11</f>
        <v>2165.4761904761904</v>
      </c>
      <c r="BH11" s="1097">
        <f t="shared" ref="BH11:BH42" si="11">BH10+S11</f>
        <v>2165.4761904761904</v>
      </c>
      <c r="BI11" s="1097">
        <f t="shared" ref="BI11:BI42" si="12">BI10+T11</f>
        <v>2165.4761904761904</v>
      </c>
      <c r="BJ11" s="1097">
        <f t="shared" ref="BJ11:BJ42" si="13">BJ10+Y11</f>
        <v>2165.4761904761904</v>
      </c>
      <c r="BK11" s="1097">
        <f t="shared" ref="BK11:BK42" si="14">BK10+AA11</f>
        <v>2165.4761904761904</v>
      </c>
      <c r="BL11" s="1094">
        <f t="shared" ref="BL11:BL42" si="15">AE11+BL10</f>
        <v>2165.4761904761904</v>
      </c>
      <c r="BM11" s="1094">
        <f t="shared" ref="BM11:BM42" si="16">AF11+BM10</f>
        <v>2165.4761904761904</v>
      </c>
      <c r="BN11" s="1094">
        <f t="shared" ref="BN11:BN42" si="17">AK11+BN10</f>
        <v>2165.4761904761904</v>
      </c>
      <c r="BO11" s="1094">
        <f t="shared" ref="BO11:BO42" si="18">AL11+BO10</f>
        <v>2165.4761904761904</v>
      </c>
      <c r="BP11" s="1094">
        <f t="shared" ref="BP11:BP42" si="19">AQ11+BP10</f>
        <v>2165.4761904761904</v>
      </c>
      <c r="BQ11" s="1094">
        <f t="shared" ref="BQ11:BQ42" si="20">AR11+BQ10</f>
        <v>2165.4761904761904</v>
      </c>
      <c r="BR11" s="1095">
        <f t="shared" ref="BR11:BR42" si="21">BR10+AS11</f>
        <v>2165.4761904761904</v>
      </c>
      <c r="BS11" s="253"/>
      <c r="BT11" s="253"/>
      <c r="BU11" s="253"/>
      <c r="BV11" s="264"/>
      <c r="BW11" s="253"/>
      <c r="BX11" s="253"/>
      <c r="BY11" s="270"/>
      <c r="BZ11" s="253"/>
      <c r="CA11" s="253"/>
      <c r="CB11" s="253"/>
      <c r="CC11" s="265"/>
      <c r="CD11" s="254"/>
      <c r="CE11" s="254"/>
      <c r="CF11" s="254"/>
      <c r="CG11" s="1149"/>
      <c r="CH11" s="1149"/>
      <c r="CI11" s="1149"/>
      <c r="CJ11" s="1149"/>
      <c r="CK11" s="1149"/>
    </row>
    <row r="12" spans="1:89" ht="15">
      <c r="A12" s="266"/>
      <c r="B12" s="1092">
        <f t="shared" si="1"/>
        <v>2020</v>
      </c>
      <c r="C12" s="1096">
        <f>C11*(1-Hypothèses!$F$87)</f>
        <v>1005.5726607738093</v>
      </c>
      <c r="D12" s="1098">
        <f>D11*($D$42/$D$11)^(1/31)</f>
        <v>1052.0626740664993</v>
      </c>
      <c r="E12" s="1098">
        <f>Hypothèses!$K$49/2</f>
        <v>383.07402168788303</v>
      </c>
      <c r="F12" s="1099">
        <f>F11*(1-Hypothèses!$B$39)*(1-Hypothèses!$B$64)</f>
        <v>362.55333333333328</v>
      </c>
      <c r="G12" s="1099">
        <f>G11*(1-Hypothèses!$B$64)</f>
        <v>369.95238095238091</v>
      </c>
      <c r="H12" s="1100">
        <f>H11*(1+Hypothèses!$B$43)*(1-Hypothèses!$B$39)</f>
        <v>1108.9866666666667</v>
      </c>
      <c r="I12" s="1100">
        <f>CA_Secteur!AJ12</f>
        <v>362.25190925796909</v>
      </c>
      <c r="J12" s="1100">
        <f>CA_Secteur_HorsCOVID!AJ12</f>
        <v>1108.0646636126116</v>
      </c>
      <c r="K12" s="1100">
        <f>CA_Secteur!AL12</f>
        <v>0</v>
      </c>
      <c r="L12" s="1100">
        <f>CA_Secteur_HorsCOVID!AL12</f>
        <v>16.712447344474867</v>
      </c>
      <c r="M12" s="1100">
        <f>I12-K12</f>
        <v>362.25190925796909</v>
      </c>
      <c r="N12" s="1100">
        <f>J12-L12</f>
        <v>1091.3522162681368</v>
      </c>
      <c r="O12" s="269">
        <f>'Synthèse mesures CT'!C$5*'Synthèse mesures CT'!C8</f>
        <v>0</v>
      </c>
      <c r="P12" s="269">
        <f>'Synthèse mesures CT'!D$5*'Synthèse mesures CT'!D8</f>
        <v>0</v>
      </c>
      <c r="Q12" s="269">
        <f>'Synthèse mesures CT'!E$5*'Synthèse mesures CT'!E8</f>
        <v>0</v>
      </c>
      <c r="R12" s="269" t="e">
        <f t="shared" si="0"/>
        <v>#N/A</v>
      </c>
      <c r="S12" s="1101">
        <f t="shared" ref="S12:S42" si="22">IF(ISNA(R12),IF($P$1,G12*(1-SUM(O12:Q12)),G12),S11*(1+R12))</f>
        <v>369.95238095238091</v>
      </c>
      <c r="T12" s="1101">
        <f>IF($P$1,G12*(1-SUM(O12:Q12)),G12)</f>
        <v>369.95238095238091</v>
      </c>
      <c r="U12" s="267">
        <f>IF(Hypothèses!$H$1="France",'Synthèse mesures CT'!F$5*'Synthèse mesures CT'!F8,0)</f>
        <v>0</v>
      </c>
      <c r="V12" s="267">
        <f>IF(Hypothèses!$H$1="France",'Synthèse mesures CT'!H$5*'Synthèse mesures CT'!H8,0.0025)</f>
        <v>2.5000000000000001E-3</v>
      </c>
      <c r="W12" s="267">
        <f>IF(Hypothèses!$H$1="France",'Synthèse mesures CT'!G$5*'Synthèse mesures CT'!G8,0.0025)</f>
        <v>2.5000000000000001E-3</v>
      </c>
      <c r="X12" s="267">
        <f>IF(Hypothèses!$H$1="France",'Synthèse mesures CT'!I$5*'Synthèse mesures CT'!I8,0)</f>
        <v>0</v>
      </c>
      <c r="Y12" s="268">
        <f t="shared" ref="Y12:Y14" si="23">IF($T$1,T12,S12*(1-SUM(U12:X12)))</f>
        <v>368.10261904761899</v>
      </c>
      <c r="Z12" s="311">
        <v>0</v>
      </c>
      <c r="AA12" s="268">
        <f t="shared" ref="AA12:AA41" si="24">Y12-S12*Z12</f>
        <v>368.10261904761899</v>
      </c>
      <c r="AB12" s="662">
        <f>'Synthèse scénarios'!R17</f>
        <v>8.2800000000000651E-3</v>
      </c>
      <c r="AC12" s="662">
        <f>'Synthèse scénarios'!R60</f>
        <v>8.2800000000000651E-3</v>
      </c>
      <c r="AD12" s="662">
        <f>'Synthèse scénarios'!R103</f>
        <v>8.2800000000000651E-3</v>
      </c>
      <c r="AE12" s="268">
        <f t="shared" ref="AE12:AG12" si="25">$AA12*(1-AB12)</f>
        <v>365.05472936190466</v>
      </c>
      <c r="AF12" s="268">
        <f t="shared" si="25"/>
        <v>365.05472936190466</v>
      </c>
      <c r="AG12" s="268">
        <f t="shared" si="25"/>
        <v>365.05472936190466</v>
      </c>
      <c r="AH12" s="664">
        <f>'Synthèse scénarios'!T17</f>
        <v>2.1060388244477254E-2</v>
      </c>
      <c r="AI12" s="664">
        <f>'Synthèse scénarios'!T60</f>
        <v>-1.5571204613666324E-16</v>
      </c>
      <c r="AJ12" s="664">
        <f>'Synthèse scénarios'!T103</f>
        <v>-1.5571204613666324E-16</v>
      </c>
      <c r="AK12" s="268">
        <f t="shared" ref="AK12:AK42" si="26">AE12*(1-AH12)</f>
        <v>357.36653503106038</v>
      </c>
      <c r="AL12" s="268">
        <f t="shared" ref="AL12:AM42" si="27">AF12*(1-AI12)</f>
        <v>365.05472936190472</v>
      </c>
      <c r="AM12" s="268">
        <f t="shared" si="27"/>
        <v>365.05472936190472</v>
      </c>
      <c r="AN12" s="666">
        <f>'Synthèse scénarios'!V17</f>
        <v>0</v>
      </c>
      <c r="AO12" s="666">
        <f>'Synthèse scénarios'!V60</f>
        <v>0</v>
      </c>
      <c r="AP12" s="666">
        <f>'Synthèse scénarios'!V103</f>
        <v>0</v>
      </c>
      <c r="AQ12" s="268">
        <f t="shared" ref="AQ12:AQ42" si="28">AK12-AN12</f>
        <v>357.36653503106038</v>
      </c>
      <c r="AR12" s="268">
        <f t="shared" ref="AR12:AS42" si="29">AL12-AO12</f>
        <v>365.05472936190472</v>
      </c>
      <c r="AS12" s="1073">
        <f t="shared" si="29"/>
        <v>365.05472936190472</v>
      </c>
      <c r="AT12" s="1093">
        <f>Trajectoires!$F$11</f>
        <v>1088.0952380952381</v>
      </c>
      <c r="AU12" s="1094">
        <f>Hypothèses!$J$87</f>
        <v>21597.620036212185</v>
      </c>
      <c r="AV12" s="1094">
        <f>Hypothèses!$E$86</f>
        <v>23159.851826716433</v>
      </c>
      <c r="AW12" s="1094">
        <f>Hypothèses!$E$87</f>
        <v>29941.465897522903</v>
      </c>
      <c r="AX12" s="1094">
        <f>Hypothèses!$E$88</f>
        <v>38079.402782490666</v>
      </c>
      <c r="AY12" s="1094">
        <f t="shared" si="2"/>
        <v>3123.8113512499995</v>
      </c>
      <c r="AZ12" s="1094">
        <f t="shared" si="3"/>
        <v>3217.5388645426897</v>
      </c>
      <c r="BA12" s="1094">
        <f t="shared" si="4"/>
        <v>2528.0295238095237</v>
      </c>
      <c r="BB12" s="1094">
        <f t="shared" si="5"/>
        <v>3274.462857142857</v>
      </c>
      <c r="BC12" s="1094">
        <f t="shared" si="6"/>
        <v>2527.7280997341595</v>
      </c>
      <c r="BD12" s="1094">
        <f t="shared" si="7"/>
        <v>3273.540854088802</v>
      </c>
      <c r="BE12" s="1097">
        <f t="shared" si="8"/>
        <v>2527.7280997341595</v>
      </c>
      <c r="BF12" s="1097">
        <f t="shared" si="9"/>
        <v>3256.8284067443274</v>
      </c>
      <c r="BG12" s="1097">
        <f t="shared" si="10"/>
        <v>2535.4285714285711</v>
      </c>
      <c r="BH12" s="1097">
        <f t="shared" si="11"/>
        <v>2535.4285714285711</v>
      </c>
      <c r="BI12" s="1097">
        <f t="shared" si="12"/>
        <v>2535.4285714285711</v>
      </c>
      <c r="BJ12" s="1097">
        <f t="shared" si="13"/>
        <v>2533.5788095238095</v>
      </c>
      <c r="BK12" s="1097">
        <f t="shared" si="14"/>
        <v>2533.5788095238095</v>
      </c>
      <c r="BL12" s="1094">
        <f t="shared" si="15"/>
        <v>2530.5309198380951</v>
      </c>
      <c r="BM12" s="1094">
        <f t="shared" si="16"/>
        <v>2530.5309198380951</v>
      </c>
      <c r="BN12" s="1094">
        <f t="shared" si="17"/>
        <v>2522.8427255072506</v>
      </c>
      <c r="BO12" s="1094">
        <f t="shared" si="18"/>
        <v>2530.5309198380951</v>
      </c>
      <c r="BP12" s="1094">
        <f t="shared" si="19"/>
        <v>2522.8427255072506</v>
      </c>
      <c r="BQ12" s="1094">
        <f t="shared" si="20"/>
        <v>2530.5309198380951</v>
      </c>
      <c r="BR12" s="1095">
        <f t="shared" si="21"/>
        <v>2530.5309198380951</v>
      </c>
      <c r="BS12" s="253"/>
      <c r="BT12" s="253"/>
      <c r="BU12" s="253"/>
      <c r="BV12" s="253"/>
      <c r="BW12" s="253"/>
      <c r="BX12" s="253"/>
      <c r="BY12" s="251"/>
      <c r="BZ12" s="253"/>
      <c r="CA12" s="253"/>
      <c r="CB12" s="253"/>
      <c r="CC12" s="265"/>
      <c r="CD12" s="254"/>
      <c r="CE12" s="254"/>
      <c r="CF12" s="254"/>
      <c r="CG12" s="1149"/>
      <c r="CH12" s="1149"/>
      <c r="CI12" s="1149"/>
      <c r="CJ12" s="1149"/>
      <c r="CK12" s="1149"/>
    </row>
    <row r="13" spans="1:89">
      <c r="A13" s="1146"/>
      <c r="B13" s="1092">
        <f t="shared" si="1"/>
        <v>2021</v>
      </c>
      <c r="C13" s="1096">
        <f>C12*(1-Hypothèses!$F$87)</f>
        <v>971.48374757357715</v>
      </c>
      <c r="D13" s="1098">
        <f t="shared" ref="D13:D41" si="30">D12*($D$42/$D$11)^(1/31)</f>
        <v>1017.223338006259</v>
      </c>
      <c r="E13" s="1098">
        <f>Hypothèses!$K$49/2</f>
        <v>383.07402168788303</v>
      </c>
      <c r="F13" s="1099">
        <f>F11*(1-Hypothèses!$B$39)^2*(1-Hypothèses!$B$65)</f>
        <v>794.20506666666665</v>
      </c>
      <c r="G13" s="1099">
        <f>G11*(1-Hypothèses!$B$65)</f>
        <v>826.95238095238096</v>
      </c>
      <c r="H13" s="1100">
        <f>H12*(1+Hypothèses!$B$43)*(1-Hypothèses!$B$39)</f>
        <v>1130.2792106666668</v>
      </c>
      <c r="I13" s="1100">
        <f>CA_Secteur!AJ13</f>
        <v>793.51682642798949</v>
      </c>
      <c r="J13" s="1100">
        <f>CA_Secteur_HorsCOVID!AJ13</f>
        <v>1128.5958251035286</v>
      </c>
      <c r="K13" s="1100">
        <f>CA_Secteur!AL13</f>
        <v>0</v>
      </c>
      <c r="L13" s="1100">
        <f>CA_Secteur_HorsCOVID!AL13</f>
        <v>33.907531187284576</v>
      </c>
      <c r="M13" s="1100">
        <f t="shared" ref="M13:M42" si="31">I13-K13</f>
        <v>793.51682642798949</v>
      </c>
      <c r="N13" s="1100">
        <f t="shared" ref="N13:N42" si="32">J13-L13</f>
        <v>1094.688293916244</v>
      </c>
      <c r="O13" s="269">
        <f>'Synthèse mesures CT'!C$5*'Synthèse mesures CT'!C9</f>
        <v>1.3203414755431559E-2</v>
      </c>
      <c r="P13" s="269">
        <f>'Synthèse mesures CT'!D$5*'Synthèse mesures CT'!D9</f>
        <v>6.2605152985503862E-3</v>
      </c>
      <c r="Q13" s="269">
        <f>'Synthèse mesures CT'!E$5*'Synthèse mesures CT'!E9</f>
        <v>2.9397241282051283E-3</v>
      </c>
      <c r="R13" s="269" t="e">
        <f t="shared" si="0"/>
        <v>#N/A</v>
      </c>
      <c r="S13" s="1101">
        <f t="shared" si="22"/>
        <v>826.95238095238096</v>
      </c>
      <c r="T13" s="1100">
        <f t="shared" ref="T13:T42" si="33">MIN(IF($P$1,G13*(1-SUM(O13:Q13)),G13),$T$2)</f>
        <v>826.95238095238096</v>
      </c>
      <c r="U13" s="267">
        <f>IF(Hypothèses!$H$1="France",'Synthèse mesures CT'!F$5*'Synthèse mesures CT'!F9,0)</f>
        <v>0</v>
      </c>
      <c r="V13" s="267">
        <f>IF(Hypothèses!$H$1="France",'Synthèse mesures CT'!H$5*'Synthèse mesures CT'!H9,0.0025)</f>
        <v>2.5000000000000001E-3</v>
      </c>
      <c r="W13" s="267">
        <f>IF(Hypothèses!$H$1="France",'Synthèse mesures CT'!G$5*'Synthèse mesures CT'!G9,0.0025)</f>
        <v>2.5000000000000001E-3</v>
      </c>
      <c r="X13" s="267">
        <f>IF(Hypothèses!$H$1="France",'Synthèse mesures CT'!I$5*'Synthèse mesures CT'!I9,0)</f>
        <v>0</v>
      </c>
      <c r="Y13" s="268">
        <f t="shared" si="23"/>
        <v>822.81761904761902</v>
      </c>
      <c r="Z13" s="1033">
        <f>IF(Hypothèses!$H$1="France",0%,0.5%)</f>
        <v>5.0000000000000001E-3</v>
      </c>
      <c r="AA13" s="268">
        <f t="shared" si="24"/>
        <v>818.68285714285707</v>
      </c>
      <c r="AB13" s="662">
        <f>'Synthèse scénarios'!R18</f>
        <v>1.656000000000013E-2</v>
      </c>
      <c r="AC13" s="662">
        <f>'Synthèse scénarios'!R61</f>
        <v>1.656000000000013E-2</v>
      </c>
      <c r="AD13" s="662">
        <f>'Synthèse scénarios'!R104</f>
        <v>1.656000000000013E-2</v>
      </c>
      <c r="AE13" s="268">
        <f t="shared" ref="AE13:AE42" si="34">$AA13*(1-AB13)</f>
        <v>805.12546902857127</v>
      </c>
      <c r="AF13" s="268">
        <f t="shared" ref="AF13:AF42" si="35">$AA13*(1-AC13)</f>
        <v>805.12546902857127</v>
      </c>
      <c r="AG13" s="268">
        <f t="shared" ref="AG13:AG42" si="36">$AA13*(1-AD13)</f>
        <v>805.12546902857127</v>
      </c>
      <c r="AH13" s="664">
        <f>'Synthèse scénarios'!T18</f>
        <v>1.5194803924403588E-2</v>
      </c>
      <c r="AI13" s="664">
        <f>'Synthèse scénarios'!T61</f>
        <v>7.5974019622017941E-3</v>
      </c>
      <c r="AJ13" s="664">
        <f>'Synthèse scénarios'!T104</f>
        <v>7.5974019622017941E-3</v>
      </c>
      <c r="AK13" s="268">
        <f t="shared" si="26"/>
        <v>792.89174539213866</v>
      </c>
      <c r="AL13" s="268">
        <f t="shared" si="27"/>
        <v>799.00860721035497</v>
      </c>
      <c r="AM13" s="268">
        <f t="shared" si="27"/>
        <v>799.00860721035497</v>
      </c>
      <c r="AN13" s="666">
        <f>'Synthèse scénarios'!V18</f>
        <v>0</v>
      </c>
      <c r="AO13" s="666">
        <f>'Synthèse scénarios'!V61</f>
        <v>0</v>
      </c>
      <c r="AP13" s="666">
        <f>'Synthèse scénarios'!V104</f>
        <v>0</v>
      </c>
      <c r="AQ13" s="268">
        <f t="shared" si="28"/>
        <v>792.89174539213866</v>
      </c>
      <c r="AR13" s="268">
        <f t="shared" si="29"/>
        <v>799.00860721035497</v>
      </c>
      <c r="AS13" s="1073">
        <f t="shared" si="29"/>
        <v>799.00860721035497</v>
      </c>
      <c r="AT13" s="1093">
        <f>Trajectoires!$F$11</f>
        <v>1088.0952380952381</v>
      </c>
      <c r="AU13" s="1094">
        <f>Hypothèses!$J$87</f>
        <v>21597.620036212185</v>
      </c>
      <c r="AV13" s="1094">
        <f>Hypothèses!$E$86</f>
        <v>23159.851826716433</v>
      </c>
      <c r="AW13" s="1094">
        <f>Hypothèses!$E$87</f>
        <v>29941.465897522903</v>
      </c>
      <c r="AX13" s="1094">
        <f>Hypothèses!$E$88</f>
        <v>38079.402782490666</v>
      </c>
      <c r="AY13" s="1094">
        <f t="shared" si="2"/>
        <v>4095.2950988235766</v>
      </c>
      <c r="AZ13" s="1094">
        <f t="shared" si="3"/>
        <v>4234.7622025489491</v>
      </c>
      <c r="BA13" s="1094">
        <f t="shared" si="4"/>
        <v>3322.2345904761905</v>
      </c>
      <c r="BB13" s="1094">
        <f t="shared" si="5"/>
        <v>4404.7420678095241</v>
      </c>
      <c r="BC13" s="1094">
        <f t="shared" si="6"/>
        <v>3321.2449261621491</v>
      </c>
      <c r="BD13" s="1094">
        <f t="shared" si="7"/>
        <v>4402.1366791923301</v>
      </c>
      <c r="BE13" s="1097">
        <f t="shared" si="8"/>
        <v>3321.2449261621491</v>
      </c>
      <c r="BF13" s="1097">
        <f t="shared" si="9"/>
        <v>4351.5167006605716</v>
      </c>
      <c r="BG13" s="1097">
        <f t="shared" si="10"/>
        <v>3362.3809523809523</v>
      </c>
      <c r="BH13" s="1097">
        <f t="shared" si="11"/>
        <v>3362.3809523809523</v>
      </c>
      <c r="BI13" s="1097">
        <f t="shared" si="12"/>
        <v>3362.3809523809523</v>
      </c>
      <c r="BJ13" s="1097">
        <f t="shared" si="13"/>
        <v>3356.3964285714283</v>
      </c>
      <c r="BK13" s="1097">
        <f t="shared" si="14"/>
        <v>3352.2616666666663</v>
      </c>
      <c r="BL13" s="1094">
        <f t="shared" si="15"/>
        <v>3335.6563888666665</v>
      </c>
      <c r="BM13" s="1094">
        <f t="shared" si="16"/>
        <v>3335.6563888666665</v>
      </c>
      <c r="BN13" s="1094">
        <f t="shared" si="17"/>
        <v>3315.7344708993892</v>
      </c>
      <c r="BO13" s="1094">
        <f t="shared" si="18"/>
        <v>3329.5395270484501</v>
      </c>
      <c r="BP13" s="1094">
        <f t="shared" si="19"/>
        <v>3315.7344708993892</v>
      </c>
      <c r="BQ13" s="1094">
        <f t="shared" si="20"/>
        <v>3329.5395270484501</v>
      </c>
      <c r="BR13" s="1095">
        <f t="shared" si="21"/>
        <v>3329.5395270484501</v>
      </c>
      <c r="BS13" s="253"/>
      <c r="BT13" s="253"/>
      <c r="BU13" s="253"/>
      <c r="BV13" s="253"/>
      <c r="BW13" s="253"/>
      <c r="BX13" s="253"/>
      <c r="BY13" s="253"/>
      <c r="BZ13" s="253"/>
      <c r="CA13" s="253"/>
      <c r="CB13" s="253"/>
      <c r="CC13" s="265"/>
      <c r="CD13" s="265"/>
      <c r="CE13" s="254"/>
      <c r="CF13" s="254"/>
      <c r="CG13" s="1149"/>
      <c r="CH13" s="1149"/>
      <c r="CI13" s="1149"/>
      <c r="CJ13" s="1149"/>
      <c r="CK13" s="1149"/>
    </row>
    <row r="14" spans="1:89">
      <c r="A14" s="1183"/>
      <c r="B14" s="1092">
        <f t="shared" si="1"/>
        <v>2022</v>
      </c>
      <c r="C14" s="1096">
        <f>C13*(1-Hypothèses!$F$87)</f>
        <v>938.5504485308328</v>
      </c>
      <c r="D14" s="1098">
        <f t="shared" si="30"/>
        <v>983.53771585207983</v>
      </c>
      <c r="E14" s="1098">
        <f>Hypothèses!$K$49/2</f>
        <v>383.07402168788303</v>
      </c>
      <c r="F14" s="1099">
        <f>F13*(1-Hypothèses!$B$39)*(1+Hypothèses!$B$66)</f>
        <v>852.87921694534054</v>
      </c>
      <c r="G14" s="1099">
        <f>G13*(1+Hypothèses!$B$66)</f>
        <v>906.1692162123569</v>
      </c>
      <c r="H14" s="1100">
        <f>H13*(1+Hypothèses!$B$43)*(1-Hypothèses!$B$39)</f>
        <v>1151.9805715114669</v>
      </c>
      <c r="I14" s="1100">
        <f>CA_Secteur!AJ14</f>
        <v>851.30776109675833</v>
      </c>
      <c r="J14" s="1100">
        <f>CA_Secteur_HorsCOVID!AJ14</f>
        <v>1148.9070600499604</v>
      </c>
      <c r="K14" s="1100">
        <f>CA_Secteur!AL14</f>
        <v>0</v>
      </c>
      <c r="L14" s="1100">
        <f>CA_Secteur_HorsCOVID!AL14</f>
        <v>50.875685538255652</v>
      </c>
      <c r="M14" s="1100">
        <f t="shared" si="31"/>
        <v>851.30776109675833</v>
      </c>
      <c r="N14" s="1100">
        <f t="shared" si="32"/>
        <v>1098.0313745117046</v>
      </c>
      <c r="O14" s="269">
        <f>'Synthèse mesures CT'!C$5*'Synthèse mesures CT'!C10</f>
        <v>2.6406829510863119E-2</v>
      </c>
      <c r="P14" s="269">
        <f>'Synthèse mesures CT'!D$5*'Synthèse mesures CT'!D10</f>
        <v>1.2521030597100772E-2</v>
      </c>
      <c r="Q14" s="269">
        <f>'Synthèse mesures CT'!E$5*'Synthèse mesures CT'!E10</f>
        <v>5.8794482564102565E-3</v>
      </c>
      <c r="R14" s="269" t="e">
        <f t="shared" si="0"/>
        <v>#N/A</v>
      </c>
      <c r="S14" s="1101">
        <f t="shared" si="22"/>
        <v>906.1692162123569</v>
      </c>
      <c r="T14" s="1100">
        <f t="shared" si="33"/>
        <v>906.1692162123569</v>
      </c>
      <c r="U14" s="267">
        <f>IF(Hypothèses!$H$1="France",'Synthèse mesures CT'!F$5*'Synthèse mesures CT'!F10,0)</f>
        <v>0</v>
      </c>
      <c r="V14" s="267">
        <f>IF(Hypothèses!$H$1="France",'Synthèse mesures CT'!H$5*'Synthèse mesures CT'!H10,0.0025)</f>
        <v>2.5000000000000001E-3</v>
      </c>
      <c r="W14" s="267">
        <f>IF(Hypothèses!$H$1="France",'Synthèse mesures CT'!G$5*'Synthèse mesures CT'!G10,0.0025)</f>
        <v>2.5000000000000001E-3</v>
      </c>
      <c r="X14" s="267">
        <f>IF(Hypothèses!$H$1="France",'Synthèse mesures CT'!I$5*'Synthèse mesures CT'!I10,0)</f>
        <v>0</v>
      </c>
      <c r="Y14" s="268">
        <f t="shared" si="23"/>
        <v>901.63837013129512</v>
      </c>
      <c r="Z14" s="311">
        <f>IF(Hypothèses!$H$1="France",0%,Z13*($Z$42/$Z$13)^(1/30))</f>
        <v>5.5250685517637876E-3</v>
      </c>
      <c r="AA14" s="268">
        <f t="shared" si="24"/>
        <v>896.63172309222375</v>
      </c>
      <c r="AB14" s="662">
        <f>'Synthèse scénarios'!R19</f>
        <v>2.4840000000000084E-2</v>
      </c>
      <c r="AC14" s="662">
        <f>'Synthèse scénarios'!R62</f>
        <v>2.4840000000000084E-2</v>
      </c>
      <c r="AD14" s="662">
        <f>'Synthèse scénarios'!R105</f>
        <v>2.4840000000000084E-2</v>
      </c>
      <c r="AE14" s="268">
        <f t="shared" si="34"/>
        <v>874.3593910906128</v>
      </c>
      <c r="AF14" s="268">
        <f t="shared" si="35"/>
        <v>874.3593910906128</v>
      </c>
      <c r="AG14" s="268">
        <f t="shared" si="36"/>
        <v>874.3593910906128</v>
      </c>
      <c r="AH14" s="664">
        <f>'Synthèse scénarios'!T19</f>
        <v>1.7489552581423505E-2</v>
      </c>
      <c r="AI14" s="664">
        <f>'Synthèse scénarios'!T62</f>
        <v>8.7447762907116883E-3</v>
      </c>
      <c r="AJ14" s="664">
        <f>'Synthèse scénarios'!T105</f>
        <v>8.7447762907116883E-3</v>
      </c>
      <c r="AK14" s="268">
        <f t="shared" si="26"/>
        <v>859.06723654507209</v>
      </c>
      <c r="AL14" s="268">
        <f t="shared" si="27"/>
        <v>866.7133138178425</v>
      </c>
      <c r="AM14" s="268">
        <f t="shared" si="27"/>
        <v>866.7133138178425</v>
      </c>
      <c r="AN14" s="666">
        <f>'Synthèse scénarios'!V19</f>
        <v>0</v>
      </c>
      <c r="AO14" s="666">
        <f>'Synthèse scénarios'!V62</f>
        <v>0</v>
      </c>
      <c r="AP14" s="666">
        <f>'Synthèse scénarios'!V105</f>
        <v>0</v>
      </c>
      <c r="AQ14" s="268">
        <f t="shared" si="28"/>
        <v>859.06723654507209</v>
      </c>
      <c r="AR14" s="268">
        <f t="shared" si="29"/>
        <v>866.7133138178425</v>
      </c>
      <c r="AS14" s="1073">
        <f t="shared" si="29"/>
        <v>866.7133138178425</v>
      </c>
      <c r="AT14" s="1093">
        <f>Trajectoires!$F$11</f>
        <v>1088.0952380952381</v>
      </c>
      <c r="AU14" s="1094">
        <f>Hypothèses!$J$87</f>
        <v>21597.620036212185</v>
      </c>
      <c r="AV14" s="1094">
        <f>Hypothèses!$E$86</f>
        <v>23159.851826716433</v>
      </c>
      <c r="AW14" s="1094">
        <f>Hypothèses!$E$87</f>
        <v>29941.465897522903</v>
      </c>
      <c r="AX14" s="1094">
        <f>Hypothèses!$E$88</f>
        <v>38079.402782490666</v>
      </c>
      <c r="AY14" s="1094">
        <f t="shared" si="2"/>
        <v>5033.8455473544091</v>
      </c>
      <c r="AZ14" s="1094">
        <f t="shared" si="3"/>
        <v>5218.2999184010287</v>
      </c>
      <c r="BA14" s="1094">
        <f t="shared" si="4"/>
        <v>4175.1138074215314</v>
      </c>
      <c r="BB14" s="1094">
        <f t="shared" si="5"/>
        <v>5556.7226393209912</v>
      </c>
      <c r="BC14" s="1094">
        <f t="shared" si="6"/>
        <v>4172.5526872589071</v>
      </c>
      <c r="BD14" s="1094">
        <f t="shared" si="7"/>
        <v>5551.04373924229</v>
      </c>
      <c r="BE14" s="1097">
        <f t="shared" si="8"/>
        <v>4172.5526872589071</v>
      </c>
      <c r="BF14" s="1097">
        <f t="shared" si="9"/>
        <v>5449.5480751722762</v>
      </c>
      <c r="BG14" s="1097">
        <f t="shared" si="10"/>
        <v>4268.5501685933095</v>
      </c>
      <c r="BH14" s="1097">
        <f t="shared" si="11"/>
        <v>4268.5501685933095</v>
      </c>
      <c r="BI14" s="1097">
        <f t="shared" si="12"/>
        <v>4268.5501685933095</v>
      </c>
      <c r="BJ14" s="1097">
        <f t="shared" si="13"/>
        <v>4258.0347987027235</v>
      </c>
      <c r="BK14" s="1097">
        <f t="shared" si="14"/>
        <v>4248.8933897588904</v>
      </c>
      <c r="BL14" s="1094">
        <f t="shared" si="15"/>
        <v>4210.0157799572789</v>
      </c>
      <c r="BM14" s="1094">
        <f t="shared" si="16"/>
        <v>4210.0157799572789</v>
      </c>
      <c r="BN14" s="1094">
        <f t="shared" si="17"/>
        <v>4174.8017074444615</v>
      </c>
      <c r="BO14" s="1094">
        <f t="shared" si="18"/>
        <v>4196.2528408662929</v>
      </c>
      <c r="BP14" s="1094">
        <f t="shared" si="19"/>
        <v>4174.8017074444615</v>
      </c>
      <c r="BQ14" s="1094">
        <f t="shared" si="20"/>
        <v>4196.2528408662929</v>
      </c>
      <c r="BR14" s="1095">
        <f t="shared" si="21"/>
        <v>4196.2528408662929</v>
      </c>
      <c r="BS14" s="251"/>
      <c r="BT14" s="251"/>
      <c r="BU14" s="251"/>
      <c r="BV14" s="253"/>
      <c r="BW14" s="253"/>
      <c r="BX14" s="253"/>
      <c r="BY14" s="253"/>
      <c r="BZ14" s="253"/>
      <c r="CA14" s="253"/>
      <c r="CB14" s="253"/>
      <c r="CC14" s="265"/>
      <c r="CD14" s="265"/>
      <c r="CE14" s="254"/>
      <c r="CF14" s="254"/>
      <c r="CG14" s="1149"/>
      <c r="CH14" s="1149"/>
      <c r="CI14" s="1149"/>
      <c r="CJ14" s="1149"/>
      <c r="CK14" s="1149"/>
    </row>
    <row r="15" spans="1:89">
      <c r="A15" s="1184"/>
      <c r="B15" s="1092">
        <f t="shared" si="1"/>
        <v>2023</v>
      </c>
      <c r="C15" s="1096">
        <f>C14*(1-Hypothèses!$F$87)</f>
        <v>906.73358832563747</v>
      </c>
      <c r="D15" s="1098">
        <f t="shared" si="30"/>
        <v>950.96760206024135</v>
      </c>
      <c r="E15" s="1098">
        <f>Hypothèses!$K$49/2</f>
        <v>383.07402168788303</v>
      </c>
      <c r="F15" s="1099">
        <f>F14*(1-Hypothèses!$B$39)*(1+Hypothèses!$B$66)</f>
        <v>915.88808637328077</v>
      </c>
      <c r="G15" s="1099">
        <f>G14*(1+Hypothèses!$B$66)</f>
        <v>992.97452589135446</v>
      </c>
      <c r="H15" s="1100">
        <f>H14*(1+Hypothèses!$B$43)*(1-Hypothèses!$B$39)</f>
        <v>1174.098598484487</v>
      </c>
      <c r="I15" s="1100">
        <f>CA_Secteur!AJ15</f>
        <v>912.29998828591863</v>
      </c>
      <c r="J15" s="1100">
        <f>CA_Secteur_HorsCOVID!AJ15</f>
        <v>1168.4870066359733</v>
      </c>
      <c r="K15" s="1100">
        <f>CA_Secteur!AL15</f>
        <v>0</v>
      </c>
      <c r="L15" s="1100">
        <f>CA_Secteur_HorsCOVID!AL15</f>
        <v>67.152525331980996</v>
      </c>
      <c r="M15" s="1100">
        <f t="shared" si="31"/>
        <v>912.29998828591863</v>
      </c>
      <c r="N15" s="1100">
        <f t="shared" si="32"/>
        <v>1101.3344813039923</v>
      </c>
      <c r="O15" s="269">
        <f>'Synthèse mesures CT'!C$5*'Synthèse mesures CT'!C11</f>
        <v>3.9610244266294677E-2</v>
      </c>
      <c r="P15" s="269">
        <f>'Synthèse mesures CT'!D$5*'Synthèse mesures CT'!D11</f>
        <v>1.8781545895651158E-2</v>
      </c>
      <c r="Q15" s="269">
        <f>'Synthèse mesures CT'!E$5*'Synthèse mesures CT'!E11</f>
        <v>8.8191723846153848E-3</v>
      </c>
      <c r="R15" s="269" t="e">
        <f t="shared" si="0"/>
        <v>#N/A</v>
      </c>
      <c r="S15" s="1101">
        <f t="shared" si="22"/>
        <v>992.97452589135446</v>
      </c>
      <c r="T15" s="1100">
        <f t="shared" si="33"/>
        <v>992.97452589135446</v>
      </c>
      <c r="U15" s="267">
        <f>IF(Hypothèses!$H$1="France",'Synthèse mesures CT'!F$5*'Synthèse mesures CT'!F11,0)</f>
        <v>0</v>
      </c>
      <c r="V15" s="267">
        <f>IF(Hypothèses!$H$1="France",'Synthèse mesures CT'!H$5*'Synthèse mesures CT'!H11,0.0025)</f>
        <v>2.5000000000000001E-3</v>
      </c>
      <c r="W15" s="267">
        <f>IF(Hypothèses!$H$1="France",'Synthèse mesures CT'!G$5*'Synthèse mesures CT'!G11,0.0025)</f>
        <v>2.5000000000000001E-3</v>
      </c>
      <c r="X15" s="267">
        <f>IF(Hypothèses!$H$1="France",'Synthèse mesures CT'!I$5*'Synthèse mesures CT'!I11,0)</f>
        <v>0</v>
      </c>
      <c r="Y15" s="268">
        <f t="shared" ref="Y15:Y41" si="37">IF($T$1,T15,S15*(1-SUM(U15:X15)))</f>
        <v>988.00965326189771</v>
      </c>
      <c r="Z15" s="311">
        <f>IF(Hypothèses!$H$1="France",0%,Z14*($Z$42/$Z$13)^(1/30))</f>
        <v>6.1052765003378395E-3</v>
      </c>
      <c r="AA15" s="268">
        <f t="shared" si="24"/>
        <v>981.94726922353914</v>
      </c>
      <c r="AB15" s="662">
        <f>'Synthèse scénarios'!R20</f>
        <v>3.3120000000000038E-2</v>
      </c>
      <c r="AC15" s="662">
        <f>'Synthèse scénarios'!R63</f>
        <v>3.3120000000000038E-2</v>
      </c>
      <c r="AD15" s="662">
        <f>'Synthèse scénarios'!R106</f>
        <v>3.3120000000000038E-2</v>
      </c>
      <c r="AE15" s="268">
        <f t="shared" si="34"/>
        <v>949.42517566685547</v>
      </c>
      <c r="AF15" s="268">
        <f t="shared" si="35"/>
        <v>949.42517566685547</v>
      </c>
      <c r="AG15" s="268">
        <f t="shared" si="36"/>
        <v>949.42517566685547</v>
      </c>
      <c r="AH15" s="664">
        <f>'Synthèse scénarios'!T20</f>
        <v>2.0133438286487393E-2</v>
      </c>
      <c r="AI15" s="664">
        <f>'Synthèse scénarios'!T63</f>
        <v>1.0066719143243696E-2</v>
      </c>
      <c r="AJ15" s="664">
        <f>'Synthèse scénarios'!T106</f>
        <v>1.0066719143243696E-2</v>
      </c>
      <c r="AK15" s="268">
        <f t="shared" si="26"/>
        <v>930.30998248492938</v>
      </c>
      <c r="AL15" s="268">
        <f t="shared" si="27"/>
        <v>939.86757907589242</v>
      </c>
      <c r="AM15" s="268">
        <f t="shared" si="27"/>
        <v>939.86757907589242</v>
      </c>
      <c r="AN15" s="666">
        <f>'Synthèse scénarios'!V20</f>
        <v>0</v>
      </c>
      <c r="AO15" s="666">
        <f>'Synthèse scénarios'!V63</f>
        <v>0</v>
      </c>
      <c r="AP15" s="666">
        <f>'Synthèse scénarios'!V106</f>
        <v>0</v>
      </c>
      <c r="AQ15" s="268">
        <f t="shared" si="28"/>
        <v>930.30998248492938</v>
      </c>
      <c r="AR15" s="268">
        <f t="shared" si="29"/>
        <v>939.86757907589242</v>
      </c>
      <c r="AS15" s="1073">
        <f t="shared" si="29"/>
        <v>939.86757907589242</v>
      </c>
      <c r="AT15" s="1093">
        <f>Trajectoires!$F$11</f>
        <v>1088.0952380952381</v>
      </c>
      <c r="AU15" s="1094">
        <f>Hypothèses!$J$87</f>
        <v>21597.620036212185</v>
      </c>
      <c r="AV15" s="1094">
        <f>Hypothèses!$E$86</f>
        <v>23159.851826716433</v>
      </c>
      <c r="AW15" s="1094">
        <f>Hypothèses!$E$87</f>
        <v>29941.465897522903</v>
      </c>
      <c r="AX15" s="1094">
        <f>Hypothèses!$E$88</f>
        <v>38079.402782490666</v>
      </c>
      <c r="AY15" s="1094">
        <f t="shared" si="2"/>
        <v>5940.5791356800464</v>
      </c>
      <c r="AZ15" s="1094">
        <f t="shared" si="3"/>
        <v>6169.2675204612697</v>
      </c>
      <c r="BA15" s="1094">
        <f t="shared" si="4"/>
        <v>5091.0018937948125</v>
      </c>
      <c r="BB15" s="1094">
        <f t="shared" si="5"/>
        <v>6730.8212378054777</v>
      </c>
      <c r="BC15" s="1094">
        <f t="shared" si="6"/>
        <v>5084.8526755448256</v>
      </c>
      <c r="BD15" s="1094">
        <f t="shared" si="7"/>
        <v>6719.5307458782636</v>
      </c>
      <c r="BE15" s="1097">
        <f t="shared" si="8"/>
        <v>5084.8526755448256</v>
      </c>
      <c r="BF15" s="1097">
        <f t="shared" si="9"/>
        <v>6550.8825564762683</v>
      </c>
      <c r="BG15" s="1097">
        <f t="shared" si="10"/>
        <v>5261.524694484664</v>
      </c>
      <c r="BH15" s="1097">
        <f t="shared" si="11"/>
        <v>5261.524694484664</v>
      </c>
      <c r="BI15" s="1097">
        <f t="shared" si="12"/>
        <v>5261.524694484664</v>
      </c>
      <c r="BJ15" s="1097">
        <f t="shared" si="13"/>
        <v>5246.0444519646207</v>
      </c>
      <c r="BK15" s="1097">
        <f t="shared" si="14"/>
        <v>5230.8406589824299</v>
      </c>
      <c r="BL15" s="1094">
        <f t="shared" si="15"/>
        <v>5159.4409556241344</v>
      </c>
      <c r="BM15" s="1094">
        <f t="shared" si="16"/>
        <v>5159.4409556241344</v>
      </c>
      <c r="BN15" s="1094">
        <f t="shared" si="17"/>
        <v>5105.1116899293911</v>
      </c>
      <c r="BO15" s="1094">
        <f t="shared" si="18"/>
        <v>5136.1204199421854</v>
      </c>
      <c r="BP15" s="1094">
        <f t="shared" si="19"/>
        <v>5105.1116899293911</v>
      </c>
      <c r="BQ15" s="1094">
        <f t="shared" si="20"/>
        <v>5136.1204199421854</v>
      </c>
      <c r="BR15" s="1095">
        <f t="shared" si="21"/>
        <v>5136.1204199421854</v>
      </c>
      <c r="BS15" s="251"/>
      <c r="BT15" s="271"/>
      <c r="BU15" s="251"/>
      <c r="BV15" s="253"/>
      <c r="BW15" s="253"/>
      <c r="BX15" s="253"/>
      <c r="BY15" s="253"/>
      <c r="BZ15" s="253"/>
      <c r="CA15" s="253"/>
      <c r="CB15" s="253"/>
      <c r="CC15" s="265"/>
      <c r="CD15" s="265"/>
      <c r="CE15" s="254"/>
      <c r="CF15" s="254"/>
      <c r="CG15" s="1149"/>
      <c r="CH15" s="1149"/>
      <c r="CI15" s="1149"/>
      <c r="CJ15" s="1149"/>
      <c r="CK15" s="1149"/>
    </row>
    <row r="16" spans="1:89">
      <c r="A16" s="1184"/>
      <c r="B16" s="1092">
        <f t="shared" si="1"/>
        <v>2024</v>
      </c>
      <c r="C16" s="1096">
        <f>C15*(1-Hypothèses!$F$87)</f>
        <v>875.99531968139831</v>
      </c>
      <c r="D16" s="1098">
        <f t="shared" si="30"/>
        <v>919.4760562737938</v>
      </c>
      <c r="E16" s="1098">
        <f>Hypothèses!$K$49/2</f>
        <v>383.07402168788303</v>
      </c>
      <c r="F16" s="1099">
        <f>F15*(1-Hypothèses!$B$39)*(1+Hypothèses!$B$66)</f>
        <v>983.55191461333345</v>
      </c>
      <c r="G16" s="1099">
        <f>G15*(1+Hypothèses!$B$66)</f>
        <v>1088.0952380952385</v>
      </c>
      <c r="H16" s="1100">
        <f>H15*(1+Hypothèses!$B$43)*(1-Hypothèses!$B$39)</f>
        <v>1196.6412915753892</v>
      </c>
      <c r="I16" s="1100">
        <f>CA_Secteur!AJ16</f>
        <v>975.35922635158772</v>
      </c>
      <c r="J16" s="1100">
        <f>CA_Secteur_HorsCOVID!AJ16</f>
        <v>1186.3956935131428</v>
      </c>
      <c r="K16" s="1100">
        <f>CA_Secteur!AL16</f>
        <v>0</v>
      </c>
      <c r="L16" s="1100">
        <f>CA_Secteur_HorsCOVID!AL16</f>
        <v>81.88486197001248</v>
      </c>
      <c r="M16" s="1100">
        <f t="shared" si="31"/>
        <v>975.35922635158772</v>
      </c>
      <c r="N16" s="1100">
        <f t="shared" si="32"/>
        <v>1104.5108315431303</v>
      </c>
      <c r="O16" s="269">
        <f>'Synthèse mesures CT'!C$5*'Synthèse mesures CT'!C12</f>
        <v>5.2813659021726238E-2</v>
      </c>
      <c r="P16" s="269">
        <f>'Synthèse mesures CT'!D$5*'Synthèse mesures CT'!D12</f>
        <v>2.5042061194201545E-2</v>
      </c>
      <c r="Q16" s="269">
        <f>'Synthèse mesures CT'!E$5*'Synthèse mesures CT'!E12</f>
        <v>1.1758896512820513E-2</v>
      </c>
      <c r="R16" s="269" t="e">
        <f t="shared" si="0"/>
        <v>#N/A</v>
      </c>
      <c r="S16" s="1101">
        <f t="shared" si="22"/>
        <v>1088.0952380952385</v>
      </c>
      <c r="T16" s="1100">
        <f t="shared" si="33"/>
        <v>1088.0952380952385</v>
      </c>
      <c r="U16" s="267">
        <f>IF(Hypothèses!$H$1="France",'Synthèse mesures CT'!F$5*'Synthèse mesures CT'!F12,0)</f>
        <v>0</v>
      </c>
      <c r="V16" s="267">
        <f>IF(Hypothèses!$H$1="France",'Synthèse mesures CT'!H$5*'Synthèse mesures CT'!H12,0.0025)</f>
        <v>2.5000000000000001E-3</v>
      </c>
      <c r="W16" s="267">
        <f>IF(Hypothèses!$H$1="France",'Synthèse mesures CT'!G$5*'Synthèse mesures CT'!G12,0.0025)</f>
        <v>2.5000000000000001E-3</v>
      </c>
      <c r="X16" s="267">
        <f>IF(Hypothèses!$H$1="France",'Synthèse mesures CT'!I$5*'Synthèse mesures CT'!I12,0)</f>
        <v>0</v>
      </c>
      <c r="Y16" s="268">
        <f t="shared" si="37"/>
        <v>1082.6547619047624</v>
      </c>
      <c r="Z16" s="311">
        <f>IF(Hypothèses!$H$1="France",0%,Z15*($Z$42/$Z$13)^(1/30))</f>
        <v>6.7464142383678143E-3</v>
      </c>
      <c r="AA16" s="268">
        <f t="shared" si="24"/>
        <v>1075.3140206977764</v>
      </c>
      <c r="AB16" s="662">
        <f>'Synthèse scénarios'!R21</f>
        <v>4.1400000000000103E-2</v>
      </c>
      <c r="AC16" s="662">
        <f>'Synthèse scénarios'!R64</f>
        <v>4.1400000000000103E-2</v>
      </c>
      <c r="AD16" s="662">
        <f>'Synthèse scénarios'!R107</f>
        <v>4.1400000000000103E-2</v>
      </c>
      <c r="AE16" s="268">
        <f t="shared" si="34"/>
        <v>1030.7960202408883</v>
      </c>
      <c r="AF16" s="268">
        <f t="shared" si="35"/>
        <v>1030.7960202408883</v>
      </c>
      <c r="AG16" s="268">
        <f t="shared" si="36"/>
        <v>1030.7960202408883</v>
      </c>
      <c r="AH16" s="664">
        <f>'Synthèse scénarios'!T21</f>
        <v>2.3180135553708774E-2</v>
      </c>
      <c r="AI16" s="664">
        <f>'Synthèse scénarios'!T64</f>
        <v>1.1590067776854498E-2</v>
      </c>
      <c r="AJ16" s="664">
        <f>'Synthèse scénarios'!T107</f>
        <v>1.1590067776854498E-2</v>
      </c>
      <c r="AK16" s="268">
        <f t="shared" si="26"/>
        <v>1006.902028763481</v>
      </c>
      <c r="AL16" s="268">
        <f t="shared" si="27"/>
        <v>1018.8490245021845</v>
      </c>
      <c r="AM16" s="268">
        <f t="shared" si="27"/>
        <v>1018.8490245021845</v>
      </c>
      <c r="AN16" s="666">
        <f>'Synthèse scénarios'!V21</f>
        <v>0</v>
      </c>
      <c r="AO16" s="666">
        <f>'Synthèse scénarios'!V64</f>
        <v>0</v>
      </c>
      <c r="AP16" s="666">
        <f>'Synthèse scénarios'!V107</f>
        <v>0</v>
      </c>
      <c r="AQ16" s="268">
        <f t="shared" si="28"/>
        <v>1006.902028763481</v>
      </c>
      <c r="AR16" s="268">
        <f t="shared" si="29"/>
        <v>1018.8490245021845</v>
      </c>
      <c r="AS16" s="1073">
        <f t="shared" si="29"/>
        <v>1018.8490245021845</v>
      </c>
      <c r="AT16" s="1093">
        <f>Trajectoires!$F$11</f>
        <v>1088.0952380952381</v>
      </c>
      <c r="AU16" s="1094">
        <f>Hypothèses!$J$87</f>
        <v>21597.620036212185</v>
      </c>
      <c r="AV16" s="1094">
        <f>Hypothèses!$E$86</f>
        <v>23159.851826716433</v>
      </c>
      <c r="AW16" s="1094">
        <f>Hypothèses!$E$87</f>
        <v>29941.465897522903</v>
      </c>
      <c r="AX16" s="1094">
        <f>Hypothèses!$E$88</f>
        <v>38079.402782490666</v>
      </c>
      <c r="AY16" s="1094">
        <f t="shared" si="2"/>
        <v>6816.574455361445</v>
      </c>
      <c r="AZ16" s="1094">
        <f t="shared" si="3"/>
        <v>7088.7435767350635</v>
      </c>
      <c r="BA16" s="1094">
        <f t="shared" si="4"/>
        <v>6074.5538084081463</v>
      </c>
      <c r="BB16" s="1094">
        <f t="shared" si="5"/>
        <v>7927.4625293808667</v>
      </c>
      <c r="BC16" s="1094">
        <f t="shared" si="6"/>
        <v>6060.2119018964131</v>
      </c>
      <c r="BD16" s="1094">
        <f t="shared" si="7"/>
        <v>7905.9264393914063</v>
      </c>
      <c r="BE16" s="1097">
        <f t="shared" si="8"/>
        <v>6060.2119018964131</v>
      </c>
      <c r="BF16" s="1097">
        <f t="shared" si="9"/>
        <v>7655.3933880193981</v>
      </c>
      <c r="BG16" s="1097">
        <f t="shared" si="10"/>
        <v>6349.6199325799025</v>
      </c>
      <c r="BH16" s="1097">
        <f t="shared" si="11"/>
        <v>6349.6199325799025</v>
      </c>
      <c r="BI16" s="1097">
        <f t="shared" si="12"/>
        <v>6349.6199325799025</v>
      </c>
      <c r="BJ16" s="1097">
        <f t="shared" si="13"/>
        <v>6328.6992138693831</v>
      </c>
      <c r="BK16" s="1097">
        <f t="shared" si="14"/>
        <v>6306.1546796802068</v>
      </c>
      <c r="BL16" s="1094">
        <f t="shared" si="15"/>
        <v>6190.2369758650229</v>
      </c>
      <c r="BM16" s="1094">
        <f t="shared" si="16"/>
        <v>6190.2369758650229</v>
      </c>
      <c r="BN16" s="1094">
        <f t="shared" si="17"/>
        <v>6112.0137186928723</v>
      </c>
      <c r="BO16" s="1094">
        <f t="shared" si="18"/>
        <v>6154.9694444443703</v>
      </c>
      <c r="BP16" s="1094">
        <f t="shared" si="19"/>
        <v>6112.0137186928723</v>
      </c>
      <c r="BQ16" s="1094">
        <f t="shared" si="20"/>
        <v>6154.9694444443703</v>
      </c>
      <c r="BR16" s="1095">
        <f t="shared" si="21"/>
        <v>6154.9694444443703</v>
      </c>
      <c r="BS16" s="251"/>
      <c r="BT16" s="251"/>
      <c r="BU16" s="251"/>
      <c r="BV16" s="253"/>
      <c r="BW16" s="253"/>
      <c r="BX16" s="253"/>
      <c r="BY16" s="253"/>
      <c r="BZ16" s="253"/>
      <c r="CA16" s="253"/>
      <c r="CB16" s="253"/>
      <c r="CC16" s="265"/>
      <c r="CD16" s="265"/>
      <c r="CE16" s="254"/>
      <c r="CF16" s="254"/>
      <c r="CG16" s="1149"/>
      <c r="CH16" s="1149"/>
      <c r="CI16" s="1149"/>
      <c r="CJ16" s="1149"/>
      <c r="CK16" s="1149"/>
    </row>
    <row r="17" spans="1:89">
      <c r="A17" s="1185"/>
      <c r="B17" s="1092">
        <f t="shared" si="1"/>
        <v>2025</v>
      </c>
      <c r="C17" s="1096">
        <f>C16*(1-Hypothèses!$F$87)</f>
        <v>846.29907834419885</v>
      </c>
      <c r="D17" s="1098">
        <f t="shared" si="30"/>
        <v>889.02736142556057</v>
      </c>
      <c r="E17" s="1098">
        <f>Hypothèses!$K$49/2</f>
        <v>383.07402168788303</v>
      </c>
      <c r="F17" s="1102">
        <f>F16*(1+Hypothèses!$B$43)*(1-Hypothèses!$B$39)</f>
        <v>1002.4361113739095</v>
      </c>
      <c r="G17" s="1103">
        <f>G16*(1+Hypothèses!$B$43)</f>
        <v>1131.6190476190482</v>
      </c>
      <c r="H17" s="1102">
        <f>H16*(1+Hypothèses!$B$43)*(1-Hypothèses!$B$39)</f>
        <v>1219.6168043736368</v>
      </c>
      <c r="I17" s="1102">
        <f>CA_Secteur!AJ17</f>
        <v>983.72978302949957</v>
      </c>
      <c r="J17" s="1100">
        <f>CA_Secteur_HorsCOVID!AJ17</f>
        <v>1200.9104760292269</v>
      </c>
      <c r="K17" s="1100">
        <f>CA_Secteur!AL17</f>
        <v>0</v>
      </c>
      <c r="L17" s="1100">
        <f>CA_Secteur_HorsCOVID!AL17</f>
        <v>93.509530464550608</v>
      </c>
      <c r="M17" s="1100">
        <f t="shared" si="31"/>
        <v>983.72978302949957</v>
      </c>
      <c r="N17" s="1100">
        <f t="shared" si="32"/>
        <v>1107.4009455646762</v>
      </c>
      <c r="O17" s="269">
        <f>'Synthèse mesures CT'!C$5*'Synthèse mesures CT'!C13</f>
        <v>6.6017073777157792E-2</v>
      </c>
      <c r="P17" s="269">
        <f>'Synthèse mesures CT'!D$5*'Synthèse mesures CT'!D13</f>
        <v>3.1302576492751928E-2</v>
      </c>
      <c r="Q17" s="269">
        <f>'Synthèse mesures CT'!E$5*'Synthèse mesures CT'!E13</f>
        <v>1.4698620641025641E-2</v>
      </c>
      <c r="R17" s="269" t="e">
        <f t="shared" si="0"/>
        <v>#N/A</v>
      </c>
      <c r="S17" s="1103">
        <f t="shared" si="22"/>
        <v>1131.6190476190482</v>
      </c>
      <c r="T17" s="1100">
        <f t="shared" si="33"/>
        <v>1109.9511777788659</v>
      </c>
      <c r="U17" s="267">
        <f>IF(Hypothèses!$H$1="France",'Synthèse mesures CT'!F$5*'Synthèse mesures CT'!F13,0)</f>
        <v>0</v>
      </c>
      <c r="V17" s="267">
        <f>IF(Hypothèses!$H$1="France",'Synthèse mesures CT'!H$5*'Synthèse mesures CT'!H13,0.0025)</f>
        <v>2.5000000000000001E-3</v>
      </c>
      <c r="W17" s="267">
        <f>IF(Hypothèses!$H$1="France",'Synthèse mesures CT'!G$5*'Synthèse mesures CT'!G13,0.0025)</f>
        <v>2.5000000000000001E-3</v>
      </c>
      <c r="X17" s="267">
        <f>IF(Hypothèses!$H$1="France",'Synthèse mesures CT'!I$5*'Synthèse mesures CT'!I13,0)</f>
        <v>0</v>
      </c>
      <c r="Y17" s="268">
        <f t="shared" si="37"/>
        <v>1125.9609523809529</v>
      </c>
      <c r="Z17" s="311">
        <f>IF(Hypothèses!$H$1="France",0%,Z16*($Z$42/$Z$13)^(1/30))</f>
        <v>7.454880229115491E-3</v>
      </c>
      <c r="AA17" s="268">
        <f t="shared" si="24"/>
        <v>1117.5248679159672</v>
      </c>
      <c r="AB17" s="662">
        <f>'Synthèse scénarios'!R22</f>
        <v>5.5733333333333301E-2</v>
      </c>
      <c r="AC17" s="662">
        <f>'Synthèse scénarios'!R65</f>
        <v>4.9680000000000057E-2</v>
      </c>
      <c r="AD17" s="662">
        <f>'Synthèse scénarios'!R108</f>
        <v>5.5200000000000027E-2</v>
      </c>
      <c r="AE17" s="268">
        <f t="shared" si="34"/>
        <v>1055.2414819441174</v>
      </c>
      <c r="AF17" s="268">
        <f t="shared" si="35"/>
        <v>1062.0062324779019</v>
      </c>
      <c r="AG17" s="268">
        <f t="shared" si="36"/>
        <v>1055.8374952070058</v>
      </c>
      <c r="AH17" s="664">
        <f>'Synthèse scénarios'!T22</f>
        <v>2.8303937873758938E-2</v>
      </c>
      <c r="AI17" s="664">
        <f>'Synthèse scénarios'!T65</f>
        <v>1.4061823948561732E-2</v>
      </c>
      <c r="AJ17" s="664">
        <f>'Synthèse scénarios'!T108</f>
        <v>1.4143980244281524E-2</v>
      </c>
      <c r="AK17" s="268">
        <f t="shared" si="26"/>
        <v>1025.3739925973578</v>
      </c>
      <c r="AL17" s="268">
        <f t="shared" si="27"/>
        <v>1047.0724878045223</v>
      </c>
      <c r="AM17" s="268">
        <f t="shared" si="27"/>
        <v>1040.9037505336262</v>
      </c>
      <c r="AN17" s="666">
        <f>'Synthèse scénarios'!V22</f>
        <v>0</v>
      </c>
      <c r="AO17" s="666">
        <f>'Synthèse scénarios'!V65</f>
        <v>0</v>
      </c>
      <c r="AP17" s="666">
        <f>'Synthèse scénarios'!V108</f>
        <v>0</v>
      </c>
      <c r="AQ17" s="268">
        <f t="shared" si="28"/>
        <v>1025.3739925973578</v>
      </c>
      <c r="AR17" s="268">
        <f t="shared" si="29"/>
        <v>1047.0724878045223</v>
      </c>
      <c r="AS17" s="1073">
        <f t="shared" si="29"/>
        <v>1040.9037505336262</v>
      </c>
      <c r="AT17" s="1093">
        <f>Trajectoires!$F$11</f>
        <v>1088.0952380952381</v>
      </c>
      <c r="AU17" s="1094">
        <f>Hypothèses!$J$87</f>
        <v>21597.620036212185</v>
      </c>
      <c r="AV17" s="1094">
        <f>Hypothèses!$E$86</f>
        <v>23159.851826716433</v>
      </c>
      <c r="AW17" s="1094">
        <f>Hypothèses!$E$87</f>
        <v>29941.465897522903</v>
      </c>
      <c r="AX17" s="1094">
        <f>Hypothèses!$E$88</f>
        <v>38079.402782490666</v>
      </c>
      <c r="AY17" s="1094">
        <f t="shared" si="2"/>
        <v>7662.8735337056441</v>
      </c>
      <c r="AZ17" s="1094">
        <f t="shared" si="3"/>
        <v>7977.7709381606237</v>
      </c>
      <c r="BA17" s="1094">
        <f t="shared" si="4"/>
        <v>7076.9899197820559</v>
      </c>
      <c r="BB17" s="1094">
        <f t="shared" si="5"/>
        <v>9147.0793337545038</v>
      </c>
      <c r="BC17" s="1094">
        <f t="shared" si="6"/>
        <v>7043.9416849259123</v>
      </c>
      <c r="BD17" s="1094">
        <f t="shared" si="7"/>
        <v>9106.8369154206339</v>
      </c>
      <c r="BE17" s="1097">
        <f t="shared" si="8"/>
        <v>7043.9416849259123</v>
      </c>
      <c r="BF17" s="1097">
        <f t="shared" si="9"/>
        <v>8762.7943335840737</v>
      </c>
      <c r="BG17" s="1097">
        <f t="shared" si="10"/>
        <v>7481.2389801989502</v>
      </c>
      <c r="BH17" s="1097">
        <f t="shared" si="11"/>
        <v>7481.2389801989502</v>
      </c>
      <c r="BI17" s="1097">
        <f t="shared" si="12"/>
        <v>7459.5711103587682</v>
      </c>
      <c r="BJ17" s="1097">
        <f t="shared" si="13"/>
        <v>7454.6601662503363</v>
      </c>
      <c r="BK17" s="1097">
        <f t="shared" si="14"/>
        <v>7423.6795475961735</v>
      </c>
      <c r="BL17" s="1094">
        <f t="shared" si="15"/>
        <v>7245.4784578091403</v>
      </c>
      <c r="BM17" s="1094">
        <f t="shared" si="16"/>
        <v>7252.2432083429248</v>
      </c>
      <c r="BN17" s="1094">
        <f t="shared" si="17"/>
        <v>7137.3877112902301</v>
      </c>
      <c r="BO17" s="1094">
        <f t="shared" si="18"/>
        <v>7202.0419322488924</v>
      </c>
      <c r="BP17" s="1094">
        <f t="shared" si="19"/>
        <v>7137.3877112902301</v>
      </c>
      <c r="BQ17" s="1094">
        <f t="shared" si="20"/>
        <v>7202.0419322488924</v>
      </c>
      <c r="BR17" s="1095">
        <f t="shared" si="21"/>
        <v>7195.8731949779967</v>
      </c>
      <c r="BS17" s="251"/>
      <c r="BT17" s="251"/>
      <c r="BU17" s="251"/>
      <c r="BV17" s="253"/>
      <c r="BW17" s="253"/>
      <c r="BX17" s="253"/>
      <c r="BY17" s="253"/>
      <c r="BZ17" s="253"/>
      <c r="CA17" s="253"/>
      <c r="CB17" s="253"/>
      <c r="CC17" s="265"/>
      <c r="CD17" s="265"/>
      <c r="CE17" s="254"/>
      <c r="CF17" s="254"/>
      <c r="CG17" s="1149"/>
      <c r="CH17" s="1149"/>
      <c r="CI17" s="1149"/>
      <c r="CJ17" s="1149"/>
      <c r="CK17" s="1149"/>
    </row>
    <row r="18" spans="1:89">
      <c r="A18" s="1185"/>
      <c r="B18" s="1087">
        <f t="shared" si="1"/>
        <v>2026</v>
      </c>
      <c r="C18" s="1096">
        <f>C17*(1-Hypothèses!$F$87)</f>
        <v>817.60953958833045</v>
      </c>
      <c r="D18" s="1098">
        <f t="shared" si="30"/>
        <v>859.58698322857106</v>
      </c>
      <c r="E18" s="1098">
        <f>Hypothèses!$K$49/2</f>
        <v>383.07402168788303</v>
      </c>
      <c r="F18" s="1102">
        <f>F17*(1+Hypothèses!$B$43)*(1-Hypothèses!$B$39)</f>
        <v>1021.6828847122886</v>
      </c>
      <c r="G18" s="1103">
        <f>G17*(1+Hypothèses!$B$43)</f>
        <v>1176.8838095238102</v>
      </c>
      <c r="H18" s="1102">
        <f>H17*(1+Hypothèses!$B$43)*(1-Hypothèses!$B$39)</f>
        <v>1243.0334470176108</v>
      </c>
      <c r="I18" s="1102">
        <f>CA_Secteur!AJ18</f>
        <v>999.4905529891256</v>
      </c>
      <c r="J18" s="1100">
        <f>CA_Secteur_HorsCOVID!AJ18</f>
        <v>1220.6663509369428</v>
      </c>
      <c r="K18" s="1100">
        <f>CA_Secteur!AL18</f>
        <v>0</v>
      </c>
      <c r="L18" s="1100">
        <f>CA_Secteur_HorsCOVID!AL18</f>
        <v>109.85881324005641</v>
      </c>
      <c r="M18" s="1100">
        <f t="shared" si="31"/>
        <v>999.4905529891256</v>
      </c>
      <c r="N18" s="1100">
        <f t="shared" si="32"/>
        <v>1110.8075376968864</v>
      </c>
      <c r="O18" s="269">
        <f>'Synthèse mesures CT'!C$5*'Synthèse mesures CT'!C14</f>
        <v>6.6017073777157792E-2</v>
      </c>
      <c r="P18" s="269">
        <f>'Synthèse mesures CT'!D$5*'Synthèse mesures CT'!D14</f>
        <v>3.1302576492751928E-2</v>
      </c>
      <c r="Q18" s="269">
        <f>'Synthèse mesures CT'!E$5*'Synthèse mesures CT'!E14</f>
        <v>1.4698620641025641E-2</v>
      </c>
      <c r="R18" s="269" t="e">
        <f t="shared" si="0"/>
        <v>#N/A</v>
      </c>
      <c r="S18" s="1103">
        <f t="shared" si="22"/>
        <v>1176.8838095238102</v>
      </c>
      <c r="T18" s="1100">
        <f t="shared" si="33"/>
        <v>1109.9511777788659</v>
      </c>
      <c r="U18" s="267">
        <f>IF(Hypothèses!$H$1="France",'Synthèse mesures CT'!F$5*'Synthèse mesures CT'!F14,0)</f>
        <v>0</v>
      </c>
      <c r="V18" s="267">
        <f>IF(Hypothèses!$H$1="France",'Synthèse mesures CT'!H$5*'Synthèse mesures CT'!H14,0.0025)</f>
        <v>2.5000000000000001E-3</v>
      </c>
      <c r="W18" s="267">
        <f>IF(Hypothèses!$H$1="France",'Synthèse mesures CT'!G$5*'Synthèse mesures CT'!G14,0.0025)</f>
        <v>2.5000000000000001E-3</v>
      </c>
      <c r="X18" s="267">
        <f>IF(Hypothèses!$H$1="France",'Synthèse mesures CT'!I$5*'Synthèse mesures CT'!I14,0)</f>
        <v>0</v>
      </c>
      <c r="Y18" s="268">
        <f t="shared" si="37"/>
        <v>1170.9993904761911</v>
      </c>
      <c r="Z18" s="311">
        <f>IF(Hypothèses!$H$1="France",0%,Z17*($Z$42/$Z$13)^(1/30))</f>
        <v>8.2377448622103239E-3</v>
      </c>
      <c r="AA18" s="268">
        <f t="shared" si="24"/>
        <v>1161.304521920868</v>
      </c>
      <c r="AB18" s="662">
        <f>'Synthèse scénarios'!R23</f>
        <v>7.0066666666666721E-2</v>
      </c>
      <c r="AC18" s="662">
        <f>'Synthèse scénarios'!R66</f>
        <v>5.7960000000000234E-2</v>
      </c>
      <c r="AD18" s="662">
        <f>'Synthèse scénarios'!R109</f>
        <v>6.9000000000000061E-2</v>
      </c>
      <c r="AE18" s="268">
        <f t="shared" si="34"/>
        <v>1079.9357850849458</v>
      </c>
      <c r="AF18" s="268">
        <f t="shared" si="35"/>
        <v>1093.9953118303342</v>
      </c>
      <c r="AG18" s="268">
        <f t="shared" si="36"/>
        <v>1081.174509908328</v>
      </c>
      <c r="AH18" s="664">
        <f>'Synthèse scénarios'!T23</f>
        <v>3.457090893650925E-2</v>
      </c>
      <c r="AI18" s="664">
        <f>'Synthèse scénarios'!T66</f>
        <v>1.7063309723414601E-2</v>
      </c>
      <c r="AJ18" s="664">
        <f>'Synthèse scénarios'!T109</f>
        <v>1.7265650152358203E-2</v>
      </c>
      <c r="AK18" s="268">
        <f t="shared" si="26"/>
        <v>1042.6014234014965</v>
      </c>
      <c r="AL18" s="268">
        <f t="shared" si="27"/>
        <v>1075.3281309886097</v>
      </c>
      <c r="AM18" s="268">
        <f t="shared" si="27"/>
        <v>1062.5073290666035</v>
      </c>
      <c r="AN18" s="666">
        <f>'Synthèse scénarios'!V23</f>
        <v>0</v>
      </c>
      <c r="AO18" s="666">
        <f>'Synthèse scénarios'!V66</f>
        <v>0</v>
      </c>
      <c r="AP18" s="666">
        <f>'Synthèse scénarios'!V109</f>
        <v>0</v>
      </c>
      <c r="AQ18" s="268">
        <f t="shared" si="28"/>
        <v>1042.6014234014965</v>
      </c>
      <c r="AR18" s="268">
        <f t="shared" si="29"/>
        <v>1075.3281309886097</v>
      </c>
      <c r="AS18" s="1073">
        <f t="shared" si="29"/>
        <v>1062.5073290666035</v>
      </c>
      <c r="AT18" s="1093">
        <f>Trajectoires!$F$11</f>
        <v>1088.0952380952381</v>
      </c>
      <c r="AU18" s="1094">
        <f>Hypothèses!$J$87</f>
        <v>21597.620036212185</v>
      </c>
      <c r="AV18" s="1094">
        <f>Hypothèses!$E$86</f>
        <v>23159.851826716433</v>
      </c>
      <c r="AW18" s="1094">
        <f>Hypothèses!$E$87</f>
        <v>29941.465897522903</v>
      </c>
      <c r="AX18" s="1094">
        <f>Hypothèses!$E$88</f>
        <v>38079.402782490666</v>
      </c>
      <c r="AY18" s="1094">
        <f t="shared" si="2"/>
        <v>8480.4830732939754</v>
      </c>
      <c r="AZ18" s="1094">
        <f t="shared" si="3"/>
        <v>8837.3579213891953</v>
      </c>
      <c r="BA18" s="1094">
        <f t="shared" si="4"/>
        <v>8098.6728044943447</v>
      </c>
      <c r="BB18" s="1094">
        <f t="shared" si="5"/>
        <v>10390.112780772115</v>
      </c>
      <c r="BC18" s="1094">
        <f t="shared" si="6"/>
        <v>8043.4322379150381</v>
      </c>
      <c r="BD18" s="1094">
        <f t="shared" si="7"/>
        <v>10327.503266357577</v>
      </c>
      <c r="BE18" s="1097">
        <f t="shared" si="8"/>
        <v>8043.4322379150381</v>
      </c>
      <c r="BF18" s="1097">
        <f t="shared" si="9"/>
        <v>9873.60187128096</v>
      </c>
      <c r="BG18" s="1097">
        <f t="shared" si="10"/>
        <v>8658.12278972276</v>
      </c>
      <c r="BH18" s="1097">
        <f t="shared" si="11"/>
        <v>8658.12278972276</v>
      </c>
      <c r="BI18" s="1097">
        <f t="shared" si="12"/>
        <v>8569.522288137634</v>
      </c>
      <c r="BJ18" s="1097">
        <f t="shared" si="13"/>
        <v>8625.6595567265267</v>
      </c>
      <c r="BK18" s="1097">
        <f t="shared" si="14"/>
        <v>8584.9840695170424</v>
      </c>
      <c r="BL18" s="1094">
        <f t="shared" si="15"/>
        <v>8325.4142428940868</v>
      </c>
      <c r="BM18" s="1094">
        <f t="shared" si="16"/>
        <v>8346.2385201732595</v>
      </c>
      <c r="BN18" s="1094">
        <f t="shared" si="17"/>
        <v>8179.9891346917266</v>
      </c>
      <c r="BO18" s="1094">
        <f t="shared" si="18"/>
        <v>8277.3700632375021</v>
      </c>
      <c r="BP18" s="1094">
        <f t="shared" si="19"/>
        <v>8179.9891346917266</v>
      </c>
      <c r="BQ18" s="1094">
        <f t="shared" si="20"/>
        <v>8277.3700632375021</v>
      </c>
      <c r="BR18" s="1095">
        <f t="shared" si="21"/>
        <v>8258.3805240446</v>
      </c>
      <c r="BS18" s="251"/>
      <c r="BT18" s="251"/>
      <c r="BU18" s="251"/>
      <c r="BV18" s="253"/>
      <c r="BW18" s="253"/>
      <c r="BX18" s="253"/>
      <c r="BY18" s="253"/>
      <c r="BZ18" s="253"/>
      <c r="CA18" s="253"/>
      <c r="CB18" s="253"/>
      <c r="CC18" s="265"/>
      <c r="CD18" s="265"/>
      <c r="CE18" s="254"/>
      <c r="CF18" s="254"/>
      <c r="CG18" s="1149"/>
      <c r="CH18" s="1149"/>
      <c r="CI18" s="1149"/>
      <c r="CJ18" s="1149"/>
      <c r="CK18" s="1149"/>
    </row>
    <row r="19" spans="1:89">
      <c r="A19" s="1185"/>
      <c r="B19" s="1087">
        <f t="shared" si="1"/>
        <v>2027</v>
      </c>
      <c r="C19" s="1096">
        <f>C18*(1-Hypothèses!$F$87)</f>
        <v>789.89257619628597</v>
      </c>
      <c r="D19" s="1098">
        <f t="shared" si="30"/>
        <v>831.12153100797889</v>
      </c>
      <c r="E19" s="1098">
        <f>Hypothèses!$K$49/2</f>
        <v>383.07402168788303</v>
      </c>
      <c r="F19" s="1102">
        <f>F18*(1+Hypothèses!$B$43)*(1-Hypothèses!$B$39)</f>
        <v>1041.2991960987645</v>
      </c>
      <c r="G19" s="1103">
        <f>G18*(1+Hypothèses!$B$43)</f>
        <v>1223.9591619047626</v>
      </c>
      <c r="H19" s="1102">
        <f>H18*(1+Hypothèses!$B$43)*(1-Hypothèses!$B$39)</f>
        <v>1266.8996892003488</v>
      </c>
      <c r="I19" s="1102">
        <f>CA_Secteur!AJ19</f>
        <v>1014.971229528132</v>
      </c>
      <c r="J19" s="1100">
        <f>CA_Secteur_HorsCOVID!AJ19</f>
        <v>1240.1554250202889</v>
      </c>
      <c r="K19" s="1100">
        <f>CA_Secteur!AL19</f>
        <v>0</v>
      </c>
      <c r="L19" s="1100">
        <f>CA_Secteur_HorsCOVID!AL19</f>
        <v>125.9359099953158</v>
      </c>
      <c r="M19" s="1100">
        <f t="shared" si="31"/>
        <v>1014.971229528132</v>
      </c>
      <c r="N19" s="1102">
        <f t="shared" si="32"/>
        <v>1114.2195150249731</v>
      </c>
      <c r="O19" s="269">
        <f>'Synthèse mesures CT'!C$5*'Synthèse mesures CT'!C15</f>
        <v>6.6017073777157792E-2</v>
      </c>
      <c r="P19" s="269">
        <f>'Synthèse mesures CT'!D$5*'Synthèse mesures CT'!D15</f>
        <v>3.1302576492751928E-2</v>
      </c>
      <c r="Q19" s="269">
        <f>'Synthèse mesures CT'!E$5*'Synthèse mesures CT'!E15</f>
        <v>1.4698620641025641E-2</v>
      </c>
      <c r="R19" s="269" t="e">
        <f t="shared" si="0"/>
        <v>#N/A</v>
      </c>
      <c r="S19" s="1103">
        <f t="shared" si="22"/>
        <v>1223.9591619047626</v>
      </c>
      <c r="T19" s="1102">
        <f t="shared" si="33"/>
        <v>1109.9511777788659</v>
      </c>
      <c r="U19" s="267">
        <f>IF(Hypothèses!$H$1="France",'Synthèse mesures CT'!F$5*'Synthèse mesures CT'!F15,0)</f>
        <v>0</v>
      </c>
      <c r="V19" s="267">
        <f>IF(Hypothèses!$H$1="France",'Synthèse mesures CT'!H$5*'Synthèse mesures CT'!H15,0.0025)</f>
        <v>2.5000000000000001E-3</v>
      </c>
      <c r="W19" s="267">
        <f>IF(Hypothèses!$H$1="France",'Synthèse mesures CT'!G$5*'Synthèse mesures CT'!G15,0.0025)</f>
        <v>2.5000000000000001E-3</v>
      </c>
      <c r="X19" s="267">
        <f>IF(Hypothèses!$H$1="France",'Synthèse mesures CT'!I$5*'Synthèse mesures CT'!I15,0)</f>
        <v>0</v>
      </c>
      <c r="Y19" s="268">
        <f t="shared" si="37"/>
        <v>1217.8393660952388</v>
      </c>
      <c r="Z19" s="311">
        <f>IF(Hypothèses!$H$1="France",0%,Z18*($Z$42/$Z$13)^(1/30))</f>
        <v>9.1028210151303957E-3</v>
      </c>
      <c r="AA19" s="268">
        <f t="shared" si="24"/>
        <v>1206.6978849145908</v>
      </c>
      <c r="AB19" s="662">
        <f>'Synthèse scénarios'!R24</f>
        <v>8.6600000000000121E-2</v>
      </c>
      <c r="AC19" s="662">
        <f>'Synthèse scénarios'!R67</f>
        <v>6.6239999999999966E-2</v>
      </c>
      <c r="AD19" s="662">
        <f>'Synthèse scénarios'!R110</f>
        <v>8.2799999999999985E-2</v>
      </c>
      <c r="AE19" s="268">
        <f t="shared" si="34"/>
        <v>1102.1978480809871</v>
      </c>
      <c r="AF19" s="268">
        <f t="shared" si="35"/>
        <v>1126.7662170178482</v>
      </c>
      <c r="AG19" s="268">
        <f t="shared" si="36"/>
        <v>1106.7833000436626</v>
      </c>
      <c r="AH19" s="664">
        <f>'Synthèse scénarios'!T24</f>
        <v>4.2340812210407003E-2</v>
      </c>
      <c r="AI19" s="664">
        <f>'Synthèse scénarios'!T67</f>
        <v>2.0708799837745012E-2</v>
      </c>
      <c r="AJ19" s="664">
        <f>'Synthèse scénarios'!T110</f>
        <v>2.1082696180214546E-2</v>
      </c>
      <c r="AK19" s="268">
        <f t="shared" si="26"/>
        <v>1055.5298959766753</v>
      </c>
      <c r="AL19" s="268">
        <f t="shared" si="27"/>
        <v>1103.4322409656925</v>
      </c>
      <c r="AM19" s="268">
        <f t="shared" si="27"/>
        <v>1083.4493239915068</v>
      </c>
      <c r="AN19" s="666">
        <f>'Synthèse scénarios'!V24</f>
        <v>0</v>
      </c>
      <c r="AO19" s="666">
        <f>'Synthèse scénarios'!V67</f>
        <v>12.88308241118159</v>
      </c>
      <c r="AP19" s="666">
        <f>'Synthèse scénarios'!V110</f>
        <v>0</v>
      </c>
      <c r="AQ19" s="268">
        <f t="shared" si="28"/>
        <v>1055.5298959766753</v>
      </c>
      <c r="AR19" s="268">
        <f t="shared" si="29"/>
        <v>1090.549158554511</v>
      </c>
      <c r="AS19" s="1073">
        <f t="shared" si="29"/>
        <v>1083.4493239915068</v>
      </c>
      <c r="AT19" s="1093">
        <f>Trajectoires!$F$11</f>
        <v>1088.0952380952381</v>
      </c>
      <c r="AU19" s="1094">
        <f>Hypothèses!$J$87</f>
        <v>21597.620036212185</v>
      </c>
      <c r="AV19" s="1094">
        <f>Hypothèses!$E$86</f>
        <v>23159.851826716433</v>
      </c>
      <c r="AW19" s="1094">
        <f>Hypothèses!$E$87</f>
        <v>29941.465897522903</v>
      </c>
      <c r="AX19" s="1094">
        <f>Hypothèses!$E$88</f>
        <v>38079.402782490666</v>
      </c>
      <c r="AY19" s="1094">
        <f t="shared" si="2"/>
        <v>9270.3756494902609</v>
      </c>
      <c r="AZ19" s="1094">
        <f t="shared" si="3"/>
        <v>9668.4794523971741</v>
      </c>
      <c r="BA19" s="1094">
        <f t="shared" si="4"/>
        <v>9139.9720005931085</v>
      </c>
      <c r="BB19" s="1094">
        <f t="shared" si="5"/>
        <v>11657.012469972464</v>
      </c>
      <c r="BC19" s="1094">
        <f t="shared" si="6"/>
        <v>9058.4034674431696</v>
      </c>
      <c r="BD19" s="1094">
        <f t="shared" si="7"/>
        <v>11567.658691377866</v>
      </c>
      <c r="BE19" s="1097">
        <f t="shared" si="8"/>
        <v>9058.4034674431696</v>
      </c>
      <c r="BF19" s="1097">
        <f t="shared" si="9"/>
        <v>10987.821386305934</v>
      </c>
      <c r="BG19" s="1097">
        <f t="shared" si="10"/>
        <v>9882.0819516275224</v>
      </c>
      <c r="BH19" s="1097">
        <f t="shared" si="11"/>
        <v>9882.0819516275224</v>
      </c>
      <c r="BI19" s="1097">
        <f t="shared" si="12"/>
        <v>9679.4734659165006</v>
      </c>
      <c r="BJ19" s="1097">
        <f t="shared" si="13"/>
        <v>9843.4989228217655</v>
      </c>
      <c r="BK19" s="1097">
        <f t="shared" si="14"/>
        <v>9791.6819544316331</v>
      </c>
      <c r="BL19" s="1094">
        <f t="shared" si="15"/>
        <v>9427.6120909750734</v>
      </c>
      <c r="BM19" s="1094">
        <f t="shared" si="16"/>
        <v>9473.0047371911078</v>
      </c>
      <c r="BN19" s="1094">
        <f t="shared" si="17"/>
        <v>9235.5190306684017</v>
      </c>
      <c r="BO19" s="1094">
        <f t="shared" si="18"/>
        <v>9380.8023042031946</v>
      </c>
      <c r="BP19" s="1094">
        <f t="shared" si="19"/>
        <v>9235.5190306684017</v>
      </c>
      <c r="BQ19" s="1094">
        <f t="shared" si="20"/>
        <v>9367.9192217920136</v>
      </c>
      <c r="BR19" s="1095">
        <f t="shared" si="21"/>
        <v>9341.8298480361063</v>
      </c>
      <c r="BS19" s="253"/>
      <c r="BT19" s="253"/>
      <c r="BU19" s="253"/>
      <c r="BV19" s="272"/>
      <c r="BW19" s="272"/>
      <c r="BX19" s="253"/>
      <c r="BY19" s="253"/>
      <c r="BZ19" s="113"/>
      <c r="CA19" s="113"/>
      <c r="CB19" s="113"/>
      <c r="CC19" s="1149"/>
      <c r="CD19" s="1149"/>
      <c r="CE19" s="1149"/>
      <c r="CF19" s="1149"/>
      <c r="CG19" s="1149"/>
      <c r="CH19" s="1149"/>
      <c r="CI19" s="1149"/>
      <c r="CJ19" s="1149"/>
      <c r="CK19" s="1149"/>
    </row>
    <row r="20" spans="1:89">
      <c r="A20" s="1185"/>
      <c r="B20" s="1087">
        <f t="shared" si="1"/>
        <v>2028</v>
      </c>
      <c r="C20" s="1096">
        <f>C19*(1-Hypothèses!$F$87)</f>
        <v>763.11521786323181</v>
      </c>
      <c r="D20" s="1098">
        <f t="shared" si="30"/>
        <v>803.5987198300412</v>
      </c>
      <c r="E20" s="1098">
        <f>Hypothèses!$K$49/2</f>
        <v>383.07402168788303</v>
      </c>
      <c r="F20" s="1102">
        <f>F19*(1+Hypothèses!$B$43)*(1-Hypothèses!$B$39)</f>
        <v>1061.2921406638607</v>
      </c>
      <c r="G20" s="1103">
        <f>G19*(1+Hypothèses!$B$43)</f>
        <v>1272.9175283809532</v>
      </c>
      <c r="H20" s="1102">
        <f>H19*(1+Hypothèses!$B$43)*(1-Hypothèses!$B$39)</f>
        <v>1291.2241632329956</v>
      </c>
      <c r="I20" s="1102">
        <f>CA_Secteur!AJ20</f>
        <v>1030.0578462061549</v>
      </c>
      <c r="J20" s="1100">
        <f>CA_Secteur_HorsCOVID!AJ20</f>
        <v>1259.2461333647818</v>
      </c>
      <c r="K20" s="1100">
        <f>CA_Secteur!AL20</f>
        <v>0</v>
      </c>
      <c r="L20" s="1100">
        <f>CA_Secteur_HorsCOVID!AL20</f>
        <v>141.62089840796193</v>
      </c>
      <c r="M20" s="1100">
        <f t="shared" si="31"/>
        <v>1030.0578462061549</v>
      </c>
      <c r="N20" s="1102">
        <f t="shared" si="32"/>
        <v>1117.6252349568199</v>
      </c>
      <c r="O20" s="269">
        <f>'Synthèse mesures CT'!C$5*'Synthèse mesures CT'!C16</f>
        <v>6.6017073777157792E-2</v>
      </c>
      <c r="P20" s="269">
        <f>'Synthèse mesures CT'!D$5*'Synthèse mesures CT'!D16</f>
        <v>3.1302576492751928E-2</v>
      </c>
      <c r="Q20" s="269">
        <f>'Synthèse mesures CT'!E$5*'Synthèse mesures CT'!E16</f>
        <v>1.4698620641025641E-2</v>
      </c>
      <c r="R20" s="269" t="e">
        <f t="shared" si="0"/>
        <v>#N/A</v>
      </c>
      <c r="S20" s="1103">
        <f t="shared" si="22"/>
        <v>1272.9175283809532</v>
      </c>
      <c r="T20" s="1102">
        <f t="shared" si="33"/>
        <v>1109.9511777788659</v>
      </c>
      <c r="U20" s="267">
        <f>IF(Hypothèses!$H$1="France",'Synthèse mesures CT'!F$5*'Synthèse mesures CT'!F16,0)</f>
        <v>0</v>
      </c>
      <c r="V20" s="267">
        <f>IF(Hypothèses!$H$1="France",'Synthèse mesures CT'!H$5*'Synthèse mesures CT'!H16,0.0025)</f>
        <v>2.5000000000000001E-3</v>
      </c>
      <c r="W20" s="267">
        <f>IF(Hypothèses!$H$1="France",'Synthèse mesures CT'!G$5*'Synthèse mesures CT'!G16,0.0025)</f>
        <v>2.5000000000000001E-3</v>
      </c>
      <c r="X20" s="267">
        <f>IF(Hypothèses!$H$1="France",'Synthèse mesures CT'!I$5*'Synthèse mesures CT'!I16,0)</f>
        <v>0</v>
      </c>
      <c r="Y20" s="268">
        <f t="shared" si="37"/>
        <v>1266.5529407390484</v>
      </c>
      <c r="Z20" s="311">
        <f>IF(Hypothèses!$H$1="France",0%,Z19*($Z$42/$Z$13)^(1/30))</f>
        <v>1.0058742024606293E-2</v>
      </c>
      <c r="AA20" s="268">
        <f t="shared" si="24"/>
        <v>1253.748991702465</v>
      </c>
      <c r="AB20" s="662">
        <f>'Synthèse scénarios'!R25</f>
        <v>0.10313333333333352</v>
      </c>
      <c r="AC20" s="662">
        <f>'Synthèse scénarios'!R68</f>
        <v>7.451999999999992E-2</v>
      </c>
      <c r="AD20" s="662">
        <f>'Synthèse scénarios'!R111</f>
        <v>9.6600000000000019E-2</v>
      </c>
      <c r="AE20" s="268">
        <f t="shared" si="34"/>
        <v>1124.4456790248839</v>
      </c>
      <c r="AF20" s="268">
        <f t="shared" si="35"/>
        <v>1160.3196168407974</v>
      </c>
      <c r="AG20" s="268">
        <f t="shared" si="36"/>
        <v>1132.6368391040069</v>
      </c>
      <c r="AH20" s="664">
        <f>'Synthèse scénarios'!T25</f>
        <v>5.1878842365224401E-2</v>
      </c>
      <c r="AI20" s="664">
        <f>'Synthèse scénarios'!T68</f>
        <v>2.513744458152746E-2</v>
      </c>
      <c r="AJ20" s="664">
        <f>'Synthèse scénarios'!T111</f>
        <v>2.5751828881239801E-2</v>
      </c>
      <c r="AK20" s="268">
        <f t="shared" si="26"/>
        <v>1066.1107388944943</v>
      </c>
      <c r="AL20" s="268">
        <f t="shared" si="27"/>
        <v>1131.1521467756027</v>
      </c>
      <c r="AM20" s="268">
        <f t="shared" si="27"/>
        <v>1103.4693690388121</v>
      </c>
      <c r="AN20" s="666">
        <f>'Synthèse scénarios'!V25</f>
        <v>0</v>
      </c>
      <c r="AO20" s="666">
        <f>'Synthèse scénarios'!V68</f>
        <v>36.167803291506175</v>
      </c>
      <c r="AP20" s="666">
        <f>'Synthèse scénarios'!V111</f>
        <v>12.914269992602158</v>
      </c>
      <c r="AQ20" s="268">
        <f t="shared" si="28"/>
        <v>1066.1107388944943</v>
      </c>
      <c r="AR20" s="268">
        <f t="shared" si="29"/>
        <v>1094.9843434840964</v>
      </c>
      <c r="AS20" s="1073">
        <f t="shared" si="29"/>
        <v>1090.55509904621</v>
      </c>
      <c r="AT20" s="1093">
        <f>Trajectoires!$F$11</f>
        <v>1088.0952380952381</v>
      </c>
      <c r="AU20" s="1094">
        <f>Hypothèses!$J$87</f>
        <v>21597.620036212185</v>
      </c>
      <c r="AV20" s="1094">
        <f>Hypothèses!$E$86</f>
        <v>23159.851826716433</v>
      </c>
      <c r="AW20" s="1094">
        <f>Hypothèses!$E$87</f>
        <v>29941.465897522903</v>
      </c>
      <c r="AX20" s="1094">
        <f>Hypothèses!$E$88</f>
        <v>38079.402782490666</v>
      </c>
      <c r="AY20" s="1094">
        <f t="shared" si="2"/>
        <v>10033.490867353492</v>
      </c>
      <c r="AZ20" s="1094">
        <f t="shared" si="3"/>
        <v>10472.078172227215</v>
      </c>
      <c r="BA20" s="1094">
        <f t="shared" si="4"/>
        <v>10201.264141256968</v>
      </c>
      <c r="BB20" s="1094">
        <f t="shared" si="5"/>
        <v>12948.236633205459</v>
      </c>
      <c r="BC20" s="1094">
        <f t="shared" si="6"/>
        <v>10088.461313649324</v>
      </c>
      <c r="BD20" s="1094">
        <f t="shared" si="7"/>
        <v>12826.904824742649</v>
      </c>
      <c r="BE20" s="1097">
        <f t="shared" si="8"/>
        <v>10088.461313649324</v>
      </c>
      <c r="BF20" s="1097">
        <f t="shared" si="9"/>
        <v>12105.446621262754</v>
      </c>
      <c r="BG20" s="1097">
        <f t="shared" si="10"/>
        <v>11154.999480008475</v>
      </c>
      <c r="BH20" s="1097">
        <f t="shared" si="11"/>
        <v>11154.999480008475</v>
      </c>
      <c r="BI20" s="1097">
        <f t="shared" si="12"/>
        <v>10789.424643695367</v>
      </c>
      <c r="BJ20" s="1097">
        <f t="shared" si="13"/>
        <v>11110.051863560813</v>
      </c>
      <c r="BK20" s="1097">
        <f t="shared" si="14"/>
        <v>11045.430946134098</v>
      </c>
      <c r="BL20" s="1094">
        <f t="shared" si="15"/>
        <v>10552.057769999958</v>
      </c>
      <c r="BM20" s="1094">
        <f t="shared" si="16"/>
        <v>10633.324354031905</v>
      </c>
      <c r="BN20" s="1094">
        <f t="shared" si="17"/>
        <v>10301.629769562896</v>
      </c>
      <c r="BO20" s="1094">
        <f t="shared" si="18"/>
        <v>10511.954450978797</v>
      </c>
      <c r="BP20" s="1094">
        <f t="shared" si="19"/>
        <v>10301.629769562896</v>
      </c>
      <c r="BQ20" s="1094">
        <f t="shared" si="20"/>
        <v>10462.90356527611</v>
      </c>
      <c r="BR20" s="1095">
        <f t="shared" si="21"/>
        <v>10432.384947082317</v>
      </c>
      <c r="BS20" s="253"/>
      <c r="BT20" s="253"/>
      <c r="BU20" s="253"/>
      <c r="BV20" s="272"/>
      <c r="BW20" s="272"/>
      <c r="BX20" s="253"/>
      <c r="BY20" s="253"/>
      <c r="BZ20" s="113"/>
      <c r="CA20" s="113"/>
      <c r="CB20" s="113"/>
      <c r="CC20" s="1149"/>
      <c r="CD20" s="1149"/>
      <c r="CE20" s="1149"/>
      <c r="CF20" s="1149"/>
      <c r="CG20" s="1149"/>
      <c r="CH20" s="1149"/>
      <c r="CI20" s="1149"/>
      <c r="CJ20" s="1149"/>
      <c r="CK20" s="1149"/>
    </row>
    <row r="21" spans="1:89" ht="15">
      <c r="A21" s="250"/>
      <c r="B21" s="1087">
        <f t="shared" si="1"/>
        <v>2029</v>
      </c>
      <c r="C21" s="1104">
        <f>C20*(1-Hypothèses!$F$87)</f>
        <v>737.2456119776682</v>
      </c>
      <c r="D21" s="1098">
        <f t="shared" si="30"/>
        <v>776.98733388520725</v>
      </c>
      <c r="E21" s="1105">
        <f>Hypothèses!$K$49/2</f>
        <v>383.07402168788303</v>
      </c>
      <c r="F21" s="1103">
        <f>F20*(1+Hypothèses!$B$43)*(1-Hypothèses!$B$39)</f>
        <v>1081.6689497646069</v>
      </c>
      <c r="G21" s="1103">
        <f>G20*(1+Hypothèses!$B$43)</f>
        <v>1323.8342295161913</v>
      </c>
      <c r="H21" s="1103">
        <f>H20*(1+Hypothèses!$B$43)*(1-Hypothèses!$B$39)</f>
        <v>1316.0156671670693</v>
      </c>
      <c r="I21" s="1102">
        <f>CA_Secteur!AJ21</f>
        <v>1044.6140124737469</v>
      </c>
      <c r="J21" s="1100">
        <f>CA_Secteur_HorsCOVID!AJ21</f>
        <v>1277.779640654333</v>
      </c>
      <c r="K21" s="1100">
        <f>CA_Secteur!AL21</f>
        <v>0</v>
      </c>
      <c r="L21" s="1100">
        <f>CA_Secteur_HorsCOVID!AL21</f>
        <v>156.76910794349419</v>
      </c>
      <c r="M21" s="1100">
        <f t="shared" si="31"/>
        <v>1044.6140124737469</v>
      </c>
      <c r="N21" s="1103">
        <f t="shared" si="32"/>
        <v>1121.0105327108388</v>
      </c>
      <c r="O21" s="269">
        <f>'Synthèse mesures CT'!C$5*'Synthèse mesures CT'!C17</f>
        <v>6.6017073777157792E-2</v>
      </c>
      <c r="P21" s="269">
        <f>'Synthèse mesures CT'!D$5*'Synthèse mesures CT'!D17</f>
        <v>3.1302576492751928E-2</v>
      </c>
      <c r="Q21" s="269">
        <f>'Synthèse mesures CT'!E$5*'Synthèse mesures CT'!E17</f>
        <v>1.4698620641025641E-2</v>
      </c>
      <c r="R21" s="269" t="e">
        <f t="shared" si="0"/>
        <v>#N/A</v>
      </c>
      <c r="S21" s="1103">
        <f t="shared" si="22"/>
        <v>1323.8342295161913</v>
      </c>
      <c r="T21" s="1103">
        <f t="shared" si="33"/>
        <v>1109.9511777788659</v>
      </c>
      <c r="U21" s="267">
        <f>IF(Hypothèses!$H$1="France",'Synthèse mesures CT'!F$5*'Synthèse mesures CT'!F17,0)</f>
        <v>0</v>
      </c>
      <c r="V21" s="267">
        <f>IF(Hypothèses!$H$1="France",'Synthèse mesures CT'!H$5*'Synthèse mesures CT'!H17,0.0025)</f>
        <v>2.5000000000000001E-3</v>
      </c>
      <c r="W21" s="267">
        <f>IF(Hypothèses!$H$1="France",'Synthèse mesures CT'!G$5*'Synthèse mesures CT'!G17,0.0025)</f>
        <v>2.5000000000000001E-3</v>
      </c>
      <c r="X21" s="267">
        <f>IF(Hypothèses!$H$1="France",'Synthèse mesures CT'!I$5*'Synthèse mesures CT'!I17,0)</f>
        <v>0</v>
      </c>
      <c r="Y21" s="268">
        <f t="shared" si="37"/>
        <v>1317.2150583686102</v>
      </c>
      <c r="Z21" s="311">
        <f>IF(Hypothèses!$H$1="France",0%,Z20*($Z$42/$Z$13)^(1/30))</f>
        <v>1.1115047846091408E-2</v>
      </c>
      <c r="AA21" s="268">
        <f t="shared" si="24"/>
        <v>1302.5005775672441</v>
      </c>
      <c r="AB21" s="662">
        <f>'Synthèse scénarios'!R26</f>
        <v>0.1196666666666667</v>
      </c>
      <c r="AC21" s="662">
        <f>'Synthèse scénarios'!R69</f>
        <v>8.2800000000000096E-2</v>
      </c>
      <c r="AD21" s="662">
        <f>'Synthèse scénarios'!R112</f>
        <v>0.11039999999999994</v>
      </c>
      <c r="AE21" s="268">
        <f t="shared" si="34"/>
        <v>1146.6346751183639</v>
      </c>
      <c r="AF21" s="268">
        <f t="shared" si="35"/>
        <v>1194.6535297446762</v>
      </c>
      <c r="AG21" s="268">
        <f t="shared" si="36"/>
        <v>1158.7045138038204</v>
      </c>
      <c r="AH21" s="664">
        <f>'Synthèse scénarios'!T26</f>
        <v>6.3593642112261983E-2</v>
      </c>
      <c r="AI21" s="664">
        <f>'Synthèse scénarios'!T69</f>
        <v>3.051875432811536E-2</v>
      </c>
      <c r="AJ21" s="664">
        <f>'Synthèse scénarios'!T112</f>
        <v>3.1465604170129724E-2</v>
      </c>
      <c r="AK21" s="268">
        <f t="shared" si="26"/>
        <v>1073.7159999553769</v>
      </c>
      <c r="AL21" s="268">
        <f t="shared" si="27"/>
        <v>1158.1941921631826</v>
      </c>
      <c r="AM21" s="268">
        <f t="shared" si="27"/>
        <v>1122.2451762223268</v>
      </c>
      <c r="AN21" s="666">
        <f>'Synthèse scénarios'!V26</f>
        <v>0</v>
      </c>
      <c r="AO21" s="666">
        <f>'Synthèse scénarios'!V69</f>
        <v>58.883121417073312</v>
      </c>
      <c r="AP21" s="666">
        <f>'Synthèse scénarios'!V112</f>
        <v>28.685948026754431</v>
      </c>
      <c r="AQ21" s="268">
        <f t="shared" si="28"/>
        <v>1073.7159999553769</v>
      </c>
      <c r="AR21" s="268">
        <f t="shared" si="29"/>
        <v>1099.3110707461092</v>
      </c>
      <c r="AS21" s="1073">
        <f t="shared" si="29"/>
        <v>1093.5592281955724</v>
      </c>
      <c r="AT21" s="1093">
        <f>Trajectoires!$F$11</f>
        <v>1088.0952380952381</v>
      </c>
      <c r="AU21" s="1094">
        <f>Hypothèses!$J$87</f>
        <v>21597.620036212185</v>
      </c>
      <c r="AV21" s="1094">
        <f>Hypothèses!$E$86</f>
        <v>23159.851826716433</v>
      </c>
      <c r="AW21" s="1094">
        <f>Hypothèses!$E$87</f>
        <v>29941.465897522903</v>
      </c>
      <c r="AX21" s="1094">
        <f>Hypothèses!$E$88</f>
        <v>38079.402782490666</v>
      </c>
      <c r="AY21" s="1094">
        <f t="shared" si="2"/>
        <v>10770.736479331161</v>
      </c>
      <c r="AZ21" s="1094">
        <f t="shared" si="3"/>
        <v>11249.065506112422</v>
      </c>
      <c r="BA21" s="1094">
        <f t="shared" si="4"/>
        <v>11282.933091021576</v>
      </c>
      <c r="BB21" s="1094">
        <f t="shared" si="5"/>
        <v>14264.252300372529</v>
      </c>
      <c r="BC21" s="1094">
        <f t="shared" si="6"/>
        <v>11133.075326123071</v>
      </c>
      <c r="BD21" s="1094">
        <f t="shared" si="7"/>
        <v>14104.684465396982</v>
      </c>
      <c r="BE21" s="1097">
        <f t="shared" si="8"/>
        <v>11133.075326123071</v>
      </c>
      <c r="BF21" s="1097">
        <f t="shared" si="9"/>
        <v>13226.457153973593</v>
      </c>
      <c r="BG21" s="1097">
        <f t="shared" si="10"/>
        <v>12478.833709524666</v>
      </c>
      <c r="BH21" s="1097">
        <f t="shared" si="11"/>
        <v>12478.833709524666</v>
      </c>
      <c r="BI21" s="1097">
        <f t="shared" si="12"/>
        <v>11899.375821474234</v>
      </c>
      <c r="BJ21" s="1097">
        <f t="shared" si="13"/>
        <v>12427.266921929424</v>
      </c>
      <c r="BK21" s="1097">
        <f t="shared" si="14"/>
        <v>12347.931523701342</v>
      </c>
      <c r="BL21" s="1094">
        <f t="shared" si="15"/>
        <v>11698.692445118322</v>
      </c>
      <c r="BM21" s="1094">
        <f t="shared" si="16"/>
        <v>11827.977883776581</v>
      </c>
      <c r="BN21" s="1094">
        <f t="shared" si="17"/>
        <v>11375.345769518273</v>
      </c>
      <c r="BO21" s="1094">
        <f t="shared" si="18"/>
        <v>11670.14864314198</v>
      </c>
      <c r="BP21" s="1094">
        <f t="shared" si="19"/>
        <v>11375.345769518273</v>
      </c>
      <c r="BQ21" s="1094">
        <f t="shared" si="20"/>
        <v>11562.21463602222</v>
      </c>
      <c r="BR21" s="1095">
        <f t="shared" si="21"/>
        <v>11525.944175277889</v>
      </c>
      <c r="BS21" s="253"/>
      <c r="BT21" s="253"/>
      <c r="BU21" s="253"/>
      <c r="BV21" s="272"/>
      <c r="BW21" s="272"/>
      <c r="BX21" s="253"/>
      <c r="BY21" s="253"/>
      <c r="BZ21" s="113"/>
      <c r="CA21" s="113"/>
      <c r="CB21" s="113"/>
      <c r="CC21" s="1149"/>
      <c r="CD21" s="1149"/>
      <c r="CE21" s="1149"/>
      <c r="CF21" s="1149"/>
      <c r="CG21" s="1149"/>
      <c r="CH21" s="1149"/>
      <c r="CI21" s="1149"/>
      <c r="CJ21" s="1149"/>
      <c r="CK21" s="1149"/>
    </row>
    <row r="22" spans="1:89" ht="15">
      <c r="A22" s="250"/>
      <c r="B22" s="1087">
        <f t="shared" si="1"/>
        <v>2030</v>
      </c>
      <c r="C22" s="1104">
        <f>C21*(1-Hypothèses!$F$87)</f>
        <v>712.25298573162524</v>
      </c>
      <c r="D22" s="1098">
        <f t="shared" si="30"/>
        <v>751.2571910837853</v>
      </c>
      <c r="E22" s="1105">
        <f>Hypothèses!$K$49/2</f>
        <v>383.07402168788303</v>
      </c>
      <c r="F22" s="1103">
        <f>F21*(1+Hypothèses!$B$43)*(1-Hypothèses!$B$39)</f>
        <v>1102.4369936000871</v>
      </c>
      <c r="G22" s="1103">
        <f>G21*(1+Hypothèses!$B$43)</f>
        <v>1376.787598696839</v>
      </c>
      <c r="H22" s="1103">
        <f>H21*(1+Hypothèses!$B$43)*(1-Hypothèses!$B$39)</f>
        <v>1341.2831679766769</v>
      </c>
      <c r="I22" s="1102">
        <f>CA_Secteur!AJ22</f>
        <v>1058.4767120739957</v>
      </c>
      <c r="J22" s="1100">
        <f>CA_Secteur_HorsCOVID!AJ22</f>
        <v>1295.564475189542</v>
      </c>
      <c r="K22" s="1100">
        <f>CA_Secteur!AL22</f>
        <v>0</v>
      </c>
      <c r="L22" s="1100">
        <f>CA_Secteur_HorsCOVID!AL22</f>
        <v>171.20625213828248</v>
      </c>
      <c r="M22" s="1100">
        <f t="shared" si="31"/>
        <v>1058.4767120739957</v>
      </c>
      <c r="N22" s="1103">
        <f t="shared" si="32"/>
        <v>1124.3582230512595</v>
      </c>
      <c r="O22" s="269">
        <f>'Synthèse mesures CT'!C$5*'Synthèse mesures CT'!C18</f>
        <v>6.6017073777157792E-2</v>
      </c>
      <c r="P22" s="269">
        <f>'Synthèse mesures CT'!D$5*'Synthèse mesures CT'!D18</f>
        <v>3.1302576492751928E-2</v>
      </c>
      <c r="Q22" s="269">
        <f>'Synthèse mesures CT'!E$5*'Synthèse mesures CT'!E18</f>
        <v>1.4698620641025641E-2</v>
      </c>
      <c r="R22" s="269" t="e">
        <f t="shared" si="0"/>
        <v>#N/A</v>
      </c>
      <c r="S22" s="1103">
        <f t="shared" si="22"/>
        <v>1376.787598696839</v>
      </c>
      <c r="T22" s="1103">
        <f t="shared" si="33"/>
        <v>1109.9511777788659</v>
      </c>
      <c r="U22" s="267">
        <f>IF(Hypothèses!$H$1="France",'Synthèse mesures CT'!F$5*'Synthèse mesures CT'!F18,0)</f>
        <v>0</v>
      </c>
      <c r="V22" s="267">
        <f>IF(Hypothèses!$H$1="France",'Synthèse mesures CT'!H$5*'Synthèse mesures CT'!H18,0.0025)</f>
        <v>2.5000000000000001E-3</v>
      </c>
      <c r="W22" s="267">
        <f>IF(Hypothèses!$H$1="France",'Synthèse mesures CT'!G$5*'Synthèse mesures CT'!G18,0.0025)</f>
        <v>2.5000000000000001E-3</v>
      </c>
      <c r="X22" s="267">
        <f>IF(Hypothèses!$H$1="France",'Synthèse mesures CT'!I$5*'Synthèse mesures CT'!I18,0)</f>
        <v>0</v>
      </c>
      <c r="Y22" s="268">
        <f t="shared" si="37"/>
        <v>1369.9036607033549</v>
      </c>
      <c r="Z22" s="311">
        <f>IF(Hypothèses!$H$1="France",0%,Z21*($Z$42/$Z$13)^(1/30))</f>
        <v>1.2282280261157894E-2</v>
      </c>
      <c r="AA22" s="268">
        <f t="shared" si="24"/>
        <v>1352.9935695560737</v>
      </c>
      <c r="AB22" s="662">
        <f>'Synthèse scénarios'!R27</f>
        <v>0.13676666666666681</v>
      </c>
      <c r="AC22" s="662">
        <f>'Synthèse scénarios'!R70</f>
        <v>9.1400000000000037E-2</v>
      </c>
      <c r="AD22" s="662">
        <f>'Synthèse scénarios'!R113</f>
        <v>0.12473333333333336</v>
      </c>
      <c r="AE22" s="268">
        <f t="shared" si="34"/>
        <v>1167.9491490264545</v>
      </c>
      <c r="AF22" s="268">
        <f t="shared" si="35"/>
        <v>1229.3299572986484</v>
      </c>
      <c r="AG22" s="268">
        <f t="shared" si="36"/>
        <v>1184.2301716467794</v>
      </c>
      <c r="AH22" s="664">
        <f>'Synthèse scénarios'!T27</f>
        <v>9.5663842906726734E-2</v>
      </c>
      <c r="AI22" s="664">
        <f>'Synthèse scénarios'!T70</f>
        <v>4.5146297553676301E-2</v>
      </c>
      <c r="AJ22" s="664">
        <f>'Synthèse scénarios'!T113</f>
        <v>4.6865632520302326E-2</v>
      </c>
      <c r="AK22" s="268">
        <f t="shared" si="26"/>
        <v>1056.2186451109426</v>
      </c>
      <c r="AL22" s="268">
        <f t="shared" si="27"/>
        <v>1173.8302612547955</v>
      </c>
      <c r="AM22" s="268">
        <f t="shared" si="27"/>
        <v>1128.7304756029268</v>
      </c>
      <c r="AN22" s="666">
        <f>'Synthèse scénarios'!V27</f>
        <v>0</v>
      </c>
      <c r="AO22" s="666">
        <f>'Synthèse scénarios'!V70</f>
        <v>70.740289785139566</v>
      </c>
      <c r="AP22" s="666">
        <f>'Synthèse scénarios'!V113</f>
        <v>32.856469837569762</v>
      </c>
      <c r="AQ22" s="268">
        <f t="shared" si="28"/>
        <v>1056.2186451109426</v>
      </c>
      <c r="AR22" s="268">
        <f t="shared" si="29"/>
        <v>1103.0899714696559</v>
      </c>
      <c r="AS22" s="1073">
        <f t="shared" si="29"/>
        <v>1095.8740057653572</v>
      </c>
      <c r="AT22" s="1093">
        <f>Trajectoires!$F$11</f>
        <v>1088.0952380952381</v>
      </c>
      <c r="AU22" s="1094">
        <f>Hypothèses!$J$87</f>
        <v>21597.620036212185</v>
      </c>
      <c r="AV22" s="1094">
        <f>Hypothèses!$E$86</f>
        <v>23159.851826716433</v>
      </c>
      <c r="AW22" s="1094">
        <f>Hypothèses!$E$87</f>
        <v>29941.465897522903</v>
      </c>
      <c r="AX22" s="1094">
        <f>Hypothèses!$E$88</f>
        <v>38079.402782490666</v>
      </c>
      <c r="AY22" s="1094">
        <f t="shared" si="2"/>
        <v>11482.989465062787</v>
      </c>
      <c r="AZ22" s="1094">
        <f t="shared" si="3"/>
        <v>12000.322697196207</v>
      </c>
      <c r="BA22" s="1094">
        <f t="shared" si="4"/>
        <v>12385.370084621663</v>
      </c>
      <c r="BB22" s="1094">
        <f t="shared" si="5"/>
        <v>15605.535468349206</v>
      </c>
      <c r="BC22" s="1094">
        <f t="shared" si="6"/>
        <v>12191.552038197067</v>
      </c>
      <c r="BD22" s="1094">
        <f t="shared" si="7"/>
        <v>15400.248940586524</v>
      </c>
      <c r="BE22" s="1097">
        <f t="shared" si="8"/>
        <v>12191.552038197067</v>
      </c>
      <c r="BF22" s="1097">
        <f t="shared" si="9"/>
        <v>14350.815377024854</v>
      </c>
      <c r="BG22" s="1097">
        <f t="shared" si="10"/>
        <v>13855.621308221505</v>
      </c>
      <c r="BH22" s="1097">
        <f t="shared" si="11"/>
        <v>13855.621308221505</v>
      </c>
      <c r="BI22" s="1097">
        <f t="shared" si="12"/>
        <v>13009.3269992531</v>
      </c>
      <c r="BJ22" s="1097">
        <f t="shared" si="13"/>
        <v>13797.170582632778</v>
      </c>
      <c r="BK22" s="1097">
        <f t="shared" si="14"/>
        <v>13700.925093257416</v>
      </c>
      <c r="BL22" s="1094">
        <f t="shared" si="15"/>
        <v>12866.641594144778</v>
      </c>
      <c r="BM22" s="1094">
        <f t="shared" si="16"/>
        <v>13057.30784107523</v>
      </c>
      <c r="BN22" s="1094">
        <f t="shared" si="17"/>
        <v>12431.564414629216</v>
      </c>
      <c r="BO22" s="1094">
        <f t="shared" si="18"/>
        <v>12843.978904396776</v>
      </c>
      <c r="BP22" s="1094">
        <f t="shared" si="19"/>
        <v>12431.564414629216</v>
      </c>
      <c r="BQ22" s="1094">
        <f t="shared" si="20"/>
        <v>12665.304607491875</v>
      </c>
      <c r="BR22" s="1095">
        <f t="shared" si="21"/>
        <v>12621.818181043247</v>
      </c>
      <c r="BS22" s="253"/>
      <c r="BT22" s="253"/>
      <c r="BU22" s="253"/>
      <c r="BV22" s="272"/>
      <c r="BW22" s="272"/>
      <c r="BX22" s="253"/>
      <c r="BY22" s="253"/>
      <c r="BZ22" s="113"/>
      <c r="CA22" s="113"/>
      <c r="CB22" s="113"/>
      <c r="CC22" s="1149"/>
      <c r="CD22" s="1149"/>
      <c r="CE22" s="1149"/>
      <c r="CF22" s="1149"/>
      <c r="CG22" s="1149"/>
      <c r="CH22" s="1149"/>
      <c r="CI22" s="1149"/>
      <c r="CJ22" s="1149"/>
      <c r="CK22" s="1149"/>
    </row>
    <row r="23" spans="1:89" ht="15">
      <c r="A23" s="250"/>
      <c r="B23" s="1087">
        <f t="shared" si="1"/>
        <v>2031</v>
      </c>
      <c r="C23" s="1104">
        <f>C22*(1-Hypothèses!$F$87)</f>
        <v>688.10760951532313</v>
      </c>
      <c r="D23" s="1098">
        <f t="shared" si="30"/>
        <v>726.37910882403412</v>
      </c>
      <c r="E23" s="1105">
        <f>Hypothèses!$K$49/2</f>
        <v>383.07402168788303</v>
      </c>
      <c r="F23" s="1103">
        <f>F22*(1+Hypothèses!$B$43)*(1-Hypothèses!$B$39)</f>
        <v>1123.6037838772088</v>
      </c>
      <c r="G23" s="1103">
        <f>G22*(1+Hypothèses!$B$43)</f>
        <v>1431.8591026447127</v>
      </c>
      <c r="H23" s="1103">
        <f>H22*(1+Hypothèses!$B$43)*(1-Hypothèses!$B$39)</f>
        <v>1367.035804801829</v>
      </c>
      <c r="I23" s="1102">
        <f>CA_Secteur!AJ23</f>
        <v>1071.4513180213326</v>
      </c>
      <c r="J23" s="1100">
        <f>CA_Secteur_HorsCOVID!AJ23</f>
        <v>1312.3701122391317</v>
      </c>
      <c r="K23" s="1100">
        <f>CA_Secteur!AL23</f>
        <v>0</v>
      </c>
      <c r="L23" s="1100">
        <f>CA_Secteur_HorsCOVID!AL23</f>
        <v>184.72260781436739</v>
      </c>
      <c r="M23" s="1100">
        <f t="shared" si="31"/>
        <v>1071.4513180213326</v>
      </c>
      <c r="N23" s="1103">
        <f t="shared" si="32"/>
        <v>1127.6475044247643</v>
      </c>
      <c r="O23" s="269">
        <f>'Synthèse mesures CT'!C$5*'Synthèse mesures CT'!C19</f>
        <v>6.6017073777157792E-2</v>
      </c>
      <c r="P23" s="269">
        <f>'Synthèse mesures CT'!D$5*'Synthèse mesures CT'!D19</f>
        <v>3.1302576492751928E-2</v>
      </c>
      <c r="Q23" s="269">
        <f>'Synthèse mesures CT'!E$5*'Synthèse mesures CT'!E19</f>
        <v>1.4698620641025641E-2</v>
      </c>
      <c r="R23" s="269" t="e">
        <f t="shared" si="0"/>
        <v>#N/A</v>
      </c>
      <c r="S23" s="1103">
        <f t="shared" si="22"/>
        <v>1431.8591026447127</v>
      </c>
      <c r="T23" s="1103">
        <f t="shared" si="33"/>
        <v>1109.9511777788659</v>
      </c>
      <c r="U23" s="267">
        <f>IF(Hypothèses!$H$1="France",'Synthèse mesures CT'!F$5*'Synthèse mesures CT'!F19,0)</f>
        <v>0</v>
      </c>
      <c r="V23" s="267">
        <f>IF(Hypothèses!$H$1="France",'Synthèse mesures CT'!H$5*'Synthèse mesures CT'!H19,0.0025)</f>
        <v>2.5000000000000001E-3</v>
      </c>
      <c r="W23" s="267">
        <f>IF(Hypothèses!$H$1="France",'Synthèse mesures CT'!G$5*'Synthèse mesures CT'!G19,0.0025)</f>
        <v>2.5000000000000001E-3</v>
      </c>
      <c r="X23" s="267">
        <f>IF(Hypothèses!$H$1="France",'Synthèse mesures CT'!I$5*'Synthèse mesures CT'!I19,0)</f>
        <v>0</v>
      </c>
      <c r="Y23" s="268">
        <f t="shared" si="37"/>
        <v>1424.6998071314893</v>
      </c>
      <c r="Z23" s="311">
        <f>IF(Hypothèses!$H$1="France",0%,Z22*($Z$42/$Z$13)^(1/30))</f>
        <v>1.3572088082974519E-2</v>
      </c>
      <c r="AA23" s="268">
        <f t="shared" si="24"/>
        <v>1405.2664892679863</v>
      </c>
      <c r="AB23" s="662">
        <f>'Synthèse scénarios'!R28</f>
        <v>0.1538666666666666</v>
      </c>
      <c r="AC23" s="662">
        <f>'Synthèse scénarios'!R71</f>
        <v>0.10000000000000009</v>
      </c>
      <c r="AD23" s="662">
        <f>'Synthèse scénarios'!R114</f>
        <v>0.13906666666666678</v>
      </c>
      <c r="AE23" s="268">
        <f t="shared" si="34"/>
        <v>1189.0428187859522</v>
      </c>
      <c r="AF23" s="268">
        <f t="shared" si="35"/>
        <v>1264.7398403411876</v>
      </c>
      <c r="AG23" s="268">
        <f t="shared" si="36"/>
        <v>1209.8407628271182</v>
      </c>
      <c r="AH23" s="664">
        <f>'Synthèse scénarios'!T28</f>
        <v>0.11027612773367426</v>
      </c>
      <c r="AI23" s="664">
        <f>'Synthèse scénarios'!T71</f>
        <v>5.1249435488363367E-2</v>
      </c>
      <c r="AJ23" s="664">
        <f>'Synthèse scénarios'!T114</f>
        <v>5.3574986765751148E-2</v>
      </c>
      <c r="AK23" s="268">
        <f t="shared" si="26"/>
        <v>1057.9197810207045</v>
      </c>
      <c r="AL23" s="268">
        <f t="shared" si="27"/>
        <v>1199.9226374840589</v>
      </c>
      <c r="AM23" s="268">
        <f t="shared" si="27"/>
        <v>1145.023559969989</v>
      </c>
      <c r="AN23" s="666">
        <f>'Synthèse scénarios'!V28</f>
        <v>0</v>
      </c>
      <c r="AO23" s="666">
        <f>'Synthèse scénarios'!V71</f>
        <v>92.338603400498414</v>
      </c>
      <c r="AP23" s="666">
        <f>'Synthèse scénarios'!V114</f>
        <v>46.223378288679783</v>
      </c>
      <c r="AQ23" s="268">
        <f t="shared" si="28"/>
        <v>1057.9197810207045</v>
      </c>
      <c r="AR23" s="268">
        <f t="shared" si="29"/>
        <v>1107.5840340835605</v>
      </c>
      <c r="AS23" s="1073">
        <f t="shared" si="29"/>
        <v>1098.8001816813094</v>
      </c>
      <c r="AT23" s="1093">
        <f>Trajectoires!$F$11</f>
        <v>1088.0952380952381</v>
      </c>
      <c r="AU23" s="1094">
        <f>Hypothèses!$J$87</f>
        <v>21597.620036212185</v>
      </c>
      <c r="AV23" s="1094">
        <f>Hypothèses!$E$86</f>
        <v>23159.851826716433</v>
      </c>
      <c r="AW23" s="1094">
        <f>Hypothèses!$E$87</f>
        <v>29941.465897522903</v>
      </c>
      <c r="AX23" s="1094">
        <f>Hypothèses!$E$88</f>
        <v>38079.402782490666</v>
      </c>
      <c r="AY23" s="1094">
        <f t="shared" si="2"/>
        <v>12171.097074578111</v>
      </c>
      <c r="AZ23" s="1094">
        <f t="shared" si="3"/>
        <v>12726.701806020241</v>
      </c>
      <c r="BA23" s="1094">
        <f t="shared" si="4"/>
        <v>13508.973868498872</v>
      </c>
      <c r="BB23" s="1094">
        <f t="shared" si="5"/>
        <v>16972.571273151036</v>
      </c>
      <c r="BC23" s="1094">
        <f t="shared" si="6"/>
        <v>13263.0033562184</v>
      </c>
      <c r="BD23" s="1094">
        <f t="shared" si="7"/>
        <v>16712.619052825656</v>
      </c>
      <c r="BE23" s="1097">
        <f t="shared" si="8"/>
        <v>13263.0033562184</v>
      </c>
      <c r="BF23" s="1097">
        <f t="shared" si="9"/>
        <v>15478.462881449617</v>
      </c>
      <c r="BG23" s="1097">
        <f t="shared" si="10"/>
        <v>15287.480410866217</v>
      </c>
      <c r="BH23" s="1097">
        <f t="shared" si="11"/>
        <v>15287.480410866217</v>
      </c>
      <c r="BI23" s="1097">
        <f t="shared" si="12"/>
        <v>14119.278177031967</v>
      </c>
      <c r="BJ23" s="1097">
        <f t="shared" si="13"/>
        <v>15221.870389764266</v>
      </c>
      <c r="BK23" s="1097">
        <f t="shared" si="14"/>
        <v>15106.191582525402</v>
      </c>
      <c r="BL23" s="1094">
        <f t="shared" si="15"/>
        <v>14055.68441293073</v>
      </c>
      <c r="BM23" s="1094">
        <f t="shared" si="16"/>
        <v>14322.047681416418</v>
      </c>
      <c r="BN23" s="1094">
        <f t="shared" si="17"/>
        <v>13489.48419564992</v>
      </c>
      <c r="BO23" s="1094">
        <f t="shared" si="18"/>
        <v>14043.901541880834</v>
      </c>
      <c r="BP23" s="1094">
        <f t="shared" si="19"/>
        <v>13489.48419564992</v>
      </c>
      <c r="BQ23" s="1094">
        <f t="shared" si="20"/>
        <v>13772.888641575435</v>
      </c>
      <c r="BR23" s="1095">
        <f t="shared" si="21"/>
        <v>13720.618362724555</v>
      </c>
      <c r="BS23" s="253"/>
      <c r="BT23" s="253"/>
      <c r="BU23" s="253"/>
      <c r="BV23" s="272"/>
      <c r="BW23" s="272"/>
      <c r="BX23" s="253"/>
      <c r="BY23" s="253"/>
      <c r="BZ23" s="113"/>
      <c r="CA23" s="113"/>
      <c r="CB23" s="113"/>
      <c r="CC23" s="1149"/>
      <c r="CD23" s="1149"/>
      <c r="CE23" s="1149"/>
      <c r="CF23" s="1149"/>
      <c r="CG23" s="1149"/>
      <c r="CH23" s="1149"/>
      <c r="CI23" s="1149"/>
      <c r="CJ23" s="1149"/>
      <c r="CK23" s="1149"/>
    </row>
    <row r="24" spans="1:89" ht="15">
      <c r="A24" s="250"/>
      <c r="B24" s="1087">
        <f t="shared" si="1"/>
        <v>2032</v>
      </c>
      <c r="C24" s="1104">
        <f>C23*(1-Hypothèses!$F$87)</f>
        <v>664.78076155275369</v>
      </c>
      <c r="D24" s="1098">
        <f t="shared" si="30"/>
        <v>702.32487089385279</v>
      </c>
      <c r="E24" s="1105">
        <f>Hypothèses!$K$49/2</f>
        <v>383.07402168788303</v>
      </c>
      <c r="F24" s="1103">
        <f>F23*(1+Hypothèses!$B$43)*(1-Hypothèses!$B$39)</f>
        <v>1145.1769765276513</v>
      </c>
      <c r="G24" s="1103">
        <f>G23*(1+Hypothèses!$B$43)</f>
        <v>1489.1334667505014</v>
      </c>
      <c r="H24" s="1103">
        <f>H23*(1+Hypothèses!$B$43)*(1-Hypothèses!$B$39)</f>
        <v>1393.2828922540243</v>
      </c>
      <c r="I24" s="1102">
        <f>CA_Secteur!AJ24</f>
        <v>1083.3056781549594</v>
      </c>
      <c r="J24" s="1100">
        <f>CA_Secteur_HorsCOVID!AJ24</f>
        <v>1327.919301101648</v>
      </c>
      <c r="K24" s="1100">
        <f>CA_Secteur!AL24</f>
        <v>0</v>
      </c>
      <c r="L24" s="1100">
        <f>CA_Secteur_HorsCOVID!AL24</f>
        <v>197.06605470464456</v>
      </c>
      <c r="M24" s="1100">
        <f t="shared" si="31"/>
        <v>1083.3056781549594</v>
      </c>
      <c r="N24" s="1103">
        <f t="shared" si="32"/>
        <v>1130.8532463970034</v>
      </c>
      <c r="O24" s="269">
        <f>'Synthèse mesures CT'!C$5*'Synthèse mesures CT'!C20</f>
        <v>6.6017073777157792E-2</v>
      </c>
      <c r="P24" s="269">
        <f>'Synthèse mesures CT'!D$5*'Synthèse mesures CT'!D20</f>
        <v>3.1302576492751928E-2</v>
      </c>
      <c r="Q24" s="269">
        <f>'Synthèse mesures CT'!E$5*'Synthèse mesures CT'!E20</f>
        <v>1.4698620641025641E-2</v>
      </c>
      <c r="R24" s="269" t="e">
        <f t="shared" si="0"/>
        <v>#N/A</v>
      </c>
      <c r="S24" s="1103">
        <f t="shared" si="22"/>
        <v>1489.1334667505014</v>
      </c>
      <c r="T24" s="1103">
        <f t="shared" si="33"/>
        <v>1109.9511777788659</v>
      </c>
      <c r="U24" s="267">
        <f>IF(Hypothèses!$H$1="France",'Synthèse mesures CT'!F$5*'Synthèse mesures CT'!F20,0)</f>
        <v>0</v>
      </c>
      <c r="V24" s="267">
        <f>IF(Hypothèses!$H$1="France",'Synthèse mesures CT'!H$5*'Synthèse mesures CT'!H20,0.0025)</f>
        <v>2.5000000000000001E-3</v>
      </c>
      <c r="W24" s="267">
        <f>IF(Hypothèses!$H$1="France",'Synthèse mesures CT'!G$5*'Synthèse mesures CT'!G20,0.0025)</f>
        <v>2.5000000000000001E-3</v>
      </c>
      <c r="X24" s="267">
        <f>IF(Hypothèses!$H$1="France",'Synthèse mesures CT'!I$5*'Synthèse mesures CT'!I20,0)</f>
        <v>0</v>
      </c>
      <c r="Y24" s="268">
        <f t="shared" si="37"/>
        <v>1481.6877994167489</v>
      </c>
      <c r="Z24" s="311">
        <f>IF(Hypothèses!$H$1="France",0%,Z23*($Z$42/$Z$13)^(1/30))</f>
        <v>1.4997343409802117E-2</v>
      </c>
      <c r="AA24" s="268">
        <f t="shared" si="24"/>
        <v>1459.3547534328625</v>
      </c>
      <c r="AB24" s="662">
        <f>'Synthèse scénarios'!R29</f>
        <v>0.17096666666666649</v>
      </c>
      <c r="AC24" s="662">
        <f>'Synthèse scénarios'!R72</f>
        <v>0.10991999999999991</v>
      </c>
      <c r="AD24" s="662">
        <f>'Synthèse scénarios'!R115</f>
        <v>0.15559999999999996</v>
      </c>
      <c r="AE24" s="268">
        <f t="shared" si="34"/>
        <v>1209.8537357542909</v>
      </c>
      <c r="AF24" s="268">
        <f t="shared" si="35"/>
        <v>1298.9424789355223</v>
      </c>
      <c r="AG24" s="268">
        <f t="shared" si="36"/>
        <v>1232.2791537987091</v>
      </c>
      <c r="AH24" s="664">
        <f>'Synthèse scénarios'!T29</f>
        <v>0.12715006179628685</v>
      </c>
      <c r="AI24" s="664">
        <f>'Synthèse scénarios'!T72</f>
        <v>5.8340130546945722E-2</v>
      </c>
      <c r="AJ24" s="664">
        <f>'Synthèse scénarios'!T115</f>
        <v>6.1496190664644068E-2</v>
      </c>
      <c r="AK24" s="268">
        <f t="shared" si="26"/>
        <v>1056.0207584886643</v>
      </c>
      <c r="AL24" s="268">
        <f t="shared" si="27"/>
        <v>1223.1620051414507</v>
      </c>
      <c r="AM24" s="268">
        <f t="shared" si="27"/>
        <v>1156.4986800046374</v>
      </c>
      <c r="AN24" s="666">
        <f>'Synthèse scénarios'!V29</f>
        <v>0</v>
      </c>
      <c r="AO24" s="666">
        <f>'Synthèse scénarios'!V72</f>
        <v>111.46056921117997</v>
      </c>
      <c r="AP24" s="666">
        <f>'Synthèse scénarios'!V115</f>
        <v>55.463376096256866</v>
      </c>
      <c r="AQ24" s="268">
        <f t="shared" si="28"/>
        <v>1056.0207584886643</v>
      </c>
      <c r="AR24" s="268">
        <f t="shared" si="29"/>
        <v>1111.7014359302707</v>
      </c>
      <c r="AS24" s="1073">
        <f t="shared" si="29"/>
        <v>1101.0353039083807</v>
      </c>
      <c r="AT24" s="1093">
        <f>Trajectoires!$F$11</f>
        <v>1088.0952380952381</v>
      </c>
      <c r="AU24" s="1094">
        <f>Hypothèses!$J$87</f>
        <v>21597.620036212185</v>
      </c>
      <c r="AV24" s="1094">
        <f>Hypothèses!$E$86</f>
        <v>23159.851826716433</v>
      </c>
      <c r="AW24" s="1094">
        <f>Hypothèses!$E$87</f>
        <v>29941.465897522903</v>
      </c>
      <c r="AX24" s="1094">
        <f>Hypothèses!$E$88</f>
        <v>38079.402782490666</v>
      </c>
      <c r="AY24" s="1094">
        <f t="shared" si="2"/>
        <v>12835.877836130865</v>
      </c>
      <c r="AZ24" s="1094">
        <f t="shared" si="3"/>
        <v>13429.026676914094</v>
      </c>
      <c r="BA24" s="1094">
        <f t="shared" si="4"/>
        <v>14654.150845026523</v>
      </c>
      <c r="BB24" s="1094">
        <f t="shared" si="5"/>
        <v>18365.85416540506</v>
      </c>
      <c r="BC24" s="1094">
        <f t="shared" si="6"/>
        <v>14346.30903437336</v>
      </c>
      <c r="BD24" s="1094">
        <f t="shared" si="7"/>
        <v>18040.538353927303</v>
      </c>
      <c r="BE24" s="1097">
        <f t="shared" si="8"/>
        <v>14346.30903437336</v>
      </c>
      <c r="BF24" s="1097">
        <f t="shared" si="9"/>
        <v>16609.316127846621</v>
      </c>
      <c r="BG24" s="1097">
        <f t="shared" si="10"/>
        <v>16776.613877616717</v>
      </c>
      <c r="BH24" s="1097">
        <f t="shared" si="11"/>
        <v>16776.613877616717</v>
      </c>
      <c r="BI24" s="1097">
        <f t="shared" si="12"/>
        <v>15229.229354810834</v>
      </c>
      <c r="BJ24" s="1097">
        <f t="shared" si="13"/>
        <v>16703.558189181014</v>
      </c>
      <c r="BK24" s="1097">
        <f t="shared" si="14"/>
        <v>16565.546335958265</v>
      </c>
      <c r="BL24" s="1094">
        <f t="shared" si="15"/>
        <v>15265.53814868502</v>
      </c>
      <c r="BM24" s="1094">
        <f t="shared" si="16"/>
        <v>15620.990160351939</v>
      </c>
      <c r="BN24" s="1094">
        <f t="shared" si="17"/>
        <v>14545.504954138585</v>
      </c>
      <c r="BO24" s="1094">
        <f t="shared" si="18"/>
        <v>15267.063547022284</v>
      </c>
      <c r="BP24" s="1094">
        <f t="shared" si="19"/>
        <v>14545.504954138585</v>
      </c>
      <c r="BQ24" s="1094">
        <f t="shared" si="20"/>
        <v>14884.590077505705</v>
      </c>
      <c r="BR24" s="1095">
        <f t="shared" si="21"/>
        <v>14821.653666632936</v>
      </c>
      <c r="BS24" s="253"/>
      <c r="BT24" s="253"/>
      <c r="BU24" s="253"/>
      <c r="BV24" s="272"/>
      <c r="BW24" s="272"/>
      <c r="BX24" s="253"/>
      <c r="BY24" s="253"/>
      <c r="BZ24" s="113"/>
      <c r="CA24" s="113"/>
      <c r="CB24" s="113"/>
      <c r="CC24" s="1149"/>
      <c r="CD24" s="1149"/>
      <c r="CE24" s="1149"/>
      <c r="CF24" s="1149"/>
      <c r="CG24" s="1149"/>
      <c r="CH24" s="1149"/>
      <c r="CI24" s="1149"/>
      <c r="CJ24" s="1149"/>
      <c r="CK24" s="1149"/>
    </row>
    <row r="25" spans="1:89" ht="15">
      <c r="A25" s="250"/>
      <c r="B25" s="1087">
        <f t="shared" si="1"/>
        <v>2033</v>
      </c>
      <c r="C25" s="1104">
        <f>C24*(1-Hypothèses!$F$87)</f>
        <v>642.24469373611532</v>
      </c>
      <c r="D25" s="1098">
        <f t="shared" si="30"/>
        <v>679.06719546852992</v>
      </c>
      <c r="E25" s="1105">
        <f>Hypothèses!$K$49/2</f>
        <v>383.07402168788303</v>
      </c>
      <c r="F25" s="1103">
        <f>F24*(1+Hypothèses!$B$43)*(1-Hypothèses!$B$39)</f>
        <v>1167.1643744769822</v>
      </c>
      <c r="G25" s="1103">
        <f>G24*(1+Hypothèses!$B$43)</f>
        <v>1548.6988054205215</v>
      </c>
      <c r="H25" s="1103">
        <f>H24*(1+Hypothèses!$B$43)*(1-Hypothèses!$B$39)</f>
        <v>1420.0339237853016</v>
      </c>
      <c r="I25" s="1102">
        <f>CA_Secteur!AJ25</f>
        <v>1093.7630980560068</v>
      </c>
      <c r="J25" s="1100">
        <f>CA_Secteur_HorsCOVID!AJ25</f>
        <v>1341.8788900146262</v>
      </c>
      <c r="K25" s="1100">
        <f>CA_Secteur!AL25</f>
        <v>0</v>
      </c>
      <c r="L25" s="1100">
        <f>CA_Secteur_HorsCOVID!AL25</f>
        <v>207.93375246521759</v>
      </c>
      <c r="M25" s="1100">
        <f t="shared" si="31"/>
        <v>1093.7630980560068</v>
      </c>
      <c r="N25" s="1103">
        <f t="shared" si="32"/>
        <v>1133.9451375494086</v>
      </c>
      <c r="O25" s="269">
        <f>'Synthèse mesures CT'!C$5*'Synthèse mesures CT'!C21</f>
        <v>6.6017073777157792E-2</v>
      </c>
      <c r="P25" s="269">
        <f>'Synthèse mesures CT'!D$5*'Synthèse mesures CT'!D21</f>
        <v>3.1302576492751928E-2</v>
      </c>
      <c r="Q25" s="269">
        <f>'Synthèse mesures CT'!E$5*'Synthèse mesures CT'!E21</f>
        <v>1.4698620641025641E-2</v>
      </c>
      <c r="R25" s="269" t="e">
        <f t="shared" si="0"/>
        <v>#N/A</v>
      </c>
      <c r="S25" s="1103">
        <f t="shared" si="22"/>
        <v>1548.6988054205215</v>
      </c>
      <c r="T25" s="1103">
        <f t="shared" si="33"/>
        <v>1109.9511777788659</v>
      </c>
      <c r="U25" s="267">
        <f>IF(Hypothèses!$H$1="France",'Synthèse mesures CT'!F$5*'Synthèse mesures CT'!F21,0)</f>
        <v>0</v>
      </c>
      <c r="V25" s="267">
        <f>IF(Hypothèses!$H$1="France",'Synthèse mesures CT'!H$5*'Synthèse mesures CT'!H21,0.0025)</f>
        <v>2.5000000000000001E-3</v>
      </c>
      <c r="W25" s="267">
        <f>IF(Hypothèses!$H$1="France",'Synthèse mesures CT'!G$5*'Synthèse mesures CT'!G21,0.0025)</f>
        <v>2.5000000000000001E-3</v>
      </c>
      <c r="X25" s="267">
        <f>IF(Hypothèses!$H$1="France",'Synthèse mesures CT'!I$5*'Synthèse mesures CT'!I21,0)</f>
        <v>0</v>
      </c>
      <c r="Y25" s="268">
        <f t="shared" si="37"/>
        <v>1540.9553113934189</v>
      </c>
      <c r="Z25" s="311">
        <f>IF(Hypothèses!$H$1="France",0%,Z24*($Z$42/$Z$13)^(1/30))</f>
        <v>1.6572270086699915E-2</v>
      </c>
      <c r="AA25" s="268">
        <f t="shared" si="24"/>
        <v>1515.2898565070404</v>
      </c>
      <c r="AB25" s="662">
        <f>'Synthèse scénarios'!R30</f>
        <v>0.18806666666666649</v>
      </c>
      <c r="AC25" s="662">
        <f>'Synthèse scénarios'!R73</f>
        <v>0.11983999999999984</v>
      </c>
      <c r="AD25" s="662">
        <f>'Synthèse scénarios'!R116</f>
        <v>0.17213333333333314</v>
      </c>
      <c r="AE25" s="268">
        <f t="shared" si="34"/>
        <v>1230.31434415995</v>
      </c>
      <c r="AF25" s="268">
        <f t="shared" si="35"/>
        <v>1333.6975201032369</v>
      </c>
      <c r="AG25" s="268">
        <f t="shared" si="36"/>
        <v>1254.4579625402955</v>
      </c>
      <c r="AH25" s="664">
        <f>'Synthèse scénarios'!T30</f>
        <v>0.14669212093249984</v>
      </c>
      <c r="AI25" s="664">
        <f>'Synthèse scénarios'!T73</f>
        <v>6.6505640643152036E-2</v>
      </c>
      <c r="AJ25" s="664">
        <f>'Synthèse scénarios'!T116</f>
        <v>7.0706560639970231E-2</v>
      </c>
      <c r="AK25" s="268">
        <f t="shared" si="26"/>
        <v>1049.8369236014494</v>
      </c>
      <c r="AL25" s="268">
        <f t="shared" si="27"/>
        <v>1244.999112104588</v>
      </c>
      <c r="AM25" s="268">
        <f t="shared" si="27"/>
        <v>1165.7595545416466</v>
      </c>
      <c r="AN25" s="666">
        <f>'Synthèse scénarios'!V30</f>
        <v>0</v>
      </c>
      <c r="AO25" s="666">
        <f>'Synthèse scénarios'!V73</f>
        <v>129.30486028330552</v>
      </c>
      <c r="AP25" s="666">
        <f>'Synthèse scénarios'!V116</f>
        <v>62.743631930434844</v>
      </c>
      <c r="AQ25" s="268">
        <f t="shared" si="28"/>
        <v>1049.8369236014494</v>
      </c>
      <c r="AR25" s="268">
        <f t="shared" si="29"/>
        <v>1115.6942518212825</v>
      </c>
      <c r="AS25" s="1073">
        <f t="shared" si="29"/>
        <v>1103.0159226112119</v>
      </c>
      <c r="AT25" s="1093">
        <f>Trajectoires!$F$11</f>
        <v>1088.0952380952381</v>
      </c>
      <c r="AU25" s="1094">
        <f>Hypothèses!$J$87</f>
        <v>21597.620036212185</v>
      </c>
      <c r="AV25" s="1094">
        <f>Hypothèses!$E$86</f>
        <v>23159.851826716433</v>
      </c>
      <c r="AW25" s="1094">
        <f>Hypothèses!$E$87</f>
        <v>29941.465897522903</v>
      </c>
      <c r="AX25" s="1094">
        <f>Hypothèses!$E$88</f>
        <v>38079.402782490666</v>
      </c>
      <c r="AY25" s="1094">
        <f t="shared" si="2"/>
        <v>13478.12252986698</v>
      </c>
      <c r="AZ25" s="1094">
        <f t="shared" si="3"/>
        <v>14108.093872382624</v>
      </c>
      <c r="BA25" s="1094">
        <f t="shared" si="4"/>
        <v>15821.315219503505</v>
      </c>
      <c r="BB25" s="1094">
        <f t="shared" si="5"/>
        <v>19785.888089190361</v>
      </c>
      <c r="BC25" s="1094">
        <f t="shared" si="6"/>
        <v>15440.072132429366</v>
      </c>
      <c r="BD25" s="1094">
        <f t="shared" si="7"/>
        <v>19382.417243941927</v>
      </c>
      <c r="BE25" s="1097">
        <f t="shared" si="8"/>
        <v>15440.072132429366</v>
      </c>
      <c r="BF25" s="1097">
        <f t="shared" si="9"/>
        <v>17743.261265396031</v>
      </c>
      <c r="BG25" s="1097">
        <f t="shared" si="10"/>
        <v>18325.312683037238</v>
      </c>
      <c r="BH25" s="1097">
        <f t="shared" si="11"/>
        <v>18325.312683037238</v>
      </c>
      <c r="BI25" s="1097">
        <f t="shared" si="12"/>
        <v>16339.1805325897</v>
      </c>
      <c r="BJ25" s="1097">
        <f t="shared" si="13"/>
        <v>18244.513500574434</v>
      </c>
      <c r="BK25" s="1097">
        <f t="shared" si="14"/>
        <v>18080.836192465304</v>
      </c>
      <c r="BL25" s="1094">
        <f t="shared" si="15"/>
        <v>16495.85249284497</v>
      </c>
      <c r="BM25" s="1094">
        <f t="shared" si="16"/>
        <v>16954.687680455176</v>
      </c>
      <c r="BN25" s="1094">
        <f t="shared" si="17"/>
        <v>15595.341877740035</v>
      </c>
      <c r="BO25" s="1094">
        <f t="shared" si="18"/>
        <v>16512.062659126874</v>
      </c>
      <c r="BP25" s="1094">
        <f t="shared" si="19"/>
        <v>15595.341877740035</v>
      </c>
      <c r="BQ25" s="1094">
        <f t="shared" si="20"/>
        <v>16000.284329326987</v>
      </c>
      <c r="BR25" s="1095">
        <f t="shared" si="21"/>
        <v>15924.669589244148</v>
      </c>
      <c r="BS25" s="253"/>
      <c r="BT25" s="253"/>
      <c r="BU25" s="253"/>
      <c r="BV25" s="272"/>
      <c r="BW25" s="272"/>
      <c r="BX25" s="253"/>
      <c r="BY25" s="253"/>
      <c r="BZ25" s="113"/>
      <c r="CA25" s="113"/>
      <c r="CB25" s="113"/>
      <c r="CC25" s="1149"/>
      <c r="CD25" s="1149"/>
      <c r="CE25" s="1149"/>
      <c r="CF25" s="1149"/>
      <c r="CG25" s="1149"/>
      <c r="CH25" s="1149"/>
      <c r="CI25" s="1149"/>
      <c r="CJ25" s="1149"/>
      <c r="CK25" s="1149"/>
    </row>
    <row r="26" spans="1:89" ht="15">
      <c r="A26" s="250"/>
      <c r="B26" s="1087">
        <f t="shared" si="1"/>
        <v>2034</v>
      </c>
      <c r="C26" s="1104">
        <f>C25*(1-Hypothèses!$F$87)</f>
        <v>620.47259861846101</v>
      </c>
      <c r="D26" s="1098">
        <f t="shared" si="30"/>
        <v>656.57970416825628</v>
      </c>
      <c r="E26" s="1105">
        <f>Hypothèses!$K$49/2</f>
        <v>383.07402168788303</v>
      </c>
      <c r="F26" s="1103">
        <f>F25*(1+Hypothèses!$B$43)*(1-Hypothèses!$B$39)</f>
        <v>1189.5739304669403</v>
      </c>
      <c r="G26" s="1103">
        <f>G25*(1+Hypothèses!$B$43)</f>
        <v>1610.6467576373425</v>
      </c>
      <c r="H26" s="1103">
        <f>H25*(1+Hypothèses!$B$43)*(1-Hypothèses!$B$39)</f>
        <v>1447.2985751219794</v>
      </c>
      <c r="I26" s="1102">
        <f>CA_Secteur!AJ26</f>
        <v>1102.4940158387637</v>
      </c>
      <c r="J26" s="1100">
        <f>CA_Secteur_HorsCOVID!AJ26</f>
        <v>1353.8488549336273</v>
      </c>
      <c r="K26" s="1100">
        <f>CA_Secteur!AL26</f>
        <v>6.2515629797327392</v>
      </c>
      <c r="L26" s="1100">
        <f>CA_Secteur_HorsCOVID!AL26</f>
        <v>216.96218840659367</v>
      </c>
      <c r="M26" s="1100">
        <f t="shared" si="31"/>
        <v>1096.2424528590309</v>
      </c>
      <c r="N26" s="1103">
        <f t="shared" si="32"/>
        <v>1136.8866665270336</v>
      </c>
      <c r="O26" s="269">
        <f>'Synthèse mesures CT'!C$5*'Synthèse mesures CT'!C22</f>
        <v>6.6017073777157792E-2</v>
      </c>
      <c r="P26" s="269">
        <f>'Synthèse mesures CT'!D$5*'Synthèse mesures CT'!D22</f>
        <v>3.1302576492751928E-2</v>
      </c>
      <c r="Q26" s="269">
        <f>'Synthèse mesures CT'!E$5*'Synthèse mesures CT'!E22</f>
        <v>1.4698620641025641E-2</v>
      </c>
      <c r="R26" s="269" t="e">
        <f t="shared" si="0"/>
        <v>#N/A</v>
      </c>
      <c r="S26" s="1103">
        <f t="shared" si="22"/>
        <v>1610.6467576373425</v>
      </c>
      <c r="T26" s="1103">
        <f t="shared" si="33"/>
        <v>1109.9511777788659</v>
      </c>
      <c r="U26" s="267">
        <f>IF(Hypothèses!$H$1="France",'Synthèse mesures CT'!F$5*'Synthèse mesures CT'!F22,0)</f>
        <v>0</v>
      </c>
      <c r="V26" s="267">
        <f>IF(Hypothèses!$H$1="France",'Synthèse mesures CT'!H$5*'Synthèse mesures CT'!H22,0.0025)</f>
        <v>2.5000000000000001E-3</v>
      </c>
      <c r="W26" s="267">
        <f>IF(Hypothèses!$H$1="France",'Synthèse mesures CT'!G$5*'Synthèse mesures CT'!G22,0.0025)</f>
        <v>2.5000000000000001E-3</v>
      </c>
      <c r="X26" s="267">
        <f>IF(Hypothèses!$H$1="France",'Synthèse mesures CT'!I$5*'Synthèse mesures CT'!I22,0)</f>
        <v>0</v>
      </c>
      <c r="Y26" s="268">
        <f t="shared" si="37"/>
        <v>1602.5935238491559</v>
      </c>
      <c r="Z26" s="311">
        <f>IF(Hypothèses!$H$1="France",0%,Z25*($Z$42/$Z$13)^(1/30))</f>
        <v>1.8312585657472288E-2</v>
      </c>
      <c r="AA26" s="268">
        <f t="shared" si="24"/>
        <v>1573.0984171359921</v>
      </c>
      <c r="AB26" s="662">
        <f>'Synthèse scénarios'!R31</f>
        <v>0.20516666666666672</v>
      </c>
      <c r="AC26" s="662">
        <f>'Synthèse scénarios'!R74</f>
        <v>0.12975999999999999</v>
      </c>
      <c r="AD26" s="662">
        <f>'Synthèse scénarios'!R117</f>
        <v>0.18866666666666676</v>
      </c>
      <c r="AE26" s="268">
        <f t="shared" si="34"/>
        <v>1250.351058553591</v>
      </c>
      <c r="AF26" s="268">
        <f t="shared" si="35"/>
        <v>1368.9731665284257</v>
      </c>
      <c r="AG26" s="268">
        <f t="shared" si="36"/>
        <v>1276.3071824363349</v>
      </c>
      <c r="AH26" s="664">
        <f>'Synthèse scénarios'!T31</f>
        <v>0.16938999916579053</v>
      </c>
      <c r="AI26" s="664">
        <f>'Synthèse scénarios'!T74</f>
        <v>7.5926797295351539E-2</v>
      </c>
      <c r="AJ26" s="664">
        <f>'Synthèse scénarios'!T117</f>
        <v>8.1439444632259717E-2</v>
      </c>
      <c r="AK26" s="268">
        <f t="shared" si="26"/>
        <v>1038.5540937882529</v>
      </c>
      <c r="AL26" s="268">
        <f t="shared" si="27"/>
        <v>1265.0314184106464</v>
      </c>
      <c r="AM26" s="268">
        <f t="shared" si="27"/>
        <v>1172.3654343185556</v>
      </c>
      <c r="AN26" s="666">
        <f>'Synthèse scénarios'!V31</f>
        <v>0</v>
      </c>
      <c r="AO26" s="666">
        <f>'Synthèse scénarios'!V74</f>
        <v>145.50839910925765</v>
      </c>
      <c r="AP26" s="666">
        <f>'Synthèse scénarios'!V117</f>
        <v>67.66897247190127</v>
      </c>
      <c r="AQ26" s="268">
        <f t="shared" si="28"/>
        <v>1038.5540937882529</v>
      </c>
      <c r="AR26" s="268">
        <f t="shared" si="29"/>
        <v>1119.5230193013888</v>
      </c>
      <c r="AS26" s="1073">
        <f t="shared" si="29"/>
        <v>1104.6964618466543</v>
      </c>
      <c r="AT26" s="1093">
        <f>Trajectoires!$F$11</f>
        <v>1088.0952380952381</v>
      </c>
      <c r="AU26" s="1094">
        <f>Hypothèses!$J$87</f>
        <v>21597.620036212185</v>
      </c>
      <c r="AV26" s="1094">
        <f>Hypothèses!$E$86</f>
        <v>23159.851826716433</v>
      </c>
      <c r="AW26" s="1094">
        <f>Hypothèses!$E$87</f>
        <v>29941.465897522903</v>
      </c>
      <c r="AX26" s="1094">
        <f>Hypothèses!$E$88</f>
        <v>38079.402782490666</v>
      </c>
      <c r="AY26" s="1094">
        <f t="shared" si="2"/>
        <v>14098.59512848544</v>
      </c>
      <c r="AZ26" s="1094">
        <f t="shared" si="3"/>
        <v>14764.67357655088</v>
      </c>
      <c r="BA26" s="1106">
        <f t="shared" si="4"/>
        <v>17010.889149970444</v>
      </c>
      <c r="BB26" s="1094">
        <f t="shared" si="5"/>
        <v>21233.186664312339</v>
      </c>
      <c r="BC26" s="1094">
        <f t="shared" si="6"/>
        <v>16542.566148268132</v>
      </c>
      <c r="BD26" s="1094">
        <f t="shared" si="7"/>
        <v>20736.266098875556</v>
      </c>
      <c r="BE26" s="1097">
        <f t="shared" si="8"/>
        <v>16536.314585288397</v>
      </c>
      <c r="BF26" s="1097">
        <f t="shared" si="9"/>
        <v>18880.147931923064</v>
      </c>
      <c r="BG26" s="1097">
        <f t="shared" si="10"/>
        <v>19935.959440674582</v>
      </c>
      <c r="BH26" s="1097">
        <f t="shared" si="11"/>
        <v>19935.959440674582</v>
      </c>
      <c r="BI26" s="1097">
        <f t="shared" si="12"/>
        <v>17449.131710368565</v>
      </c>
      <c r="BJ26" s="1097">
        <f t="shared" si="13"/>
        <v>19847.107024423589</v>
      </c>
      <c r="BK26" s="1097">
        <f t="shared" si="14"/>
        <v>19653.934609601296</v>
      </c>
      <c r="BL26" s="1094">
        <f t="shared" si="15"/>
        <v>17746.203551398561</v>
      </c>
      <c r="BM26" s="1094">
        <f t="shared" si="16"/>
        <v>18323.660846983603</v>
      </c>
      <c r="BN26" s="1094">
        <f t="shared" si="17"/>
        <v>16633.895971528287</v>
      </c>
      <c r="BO26" s="1094">
        <f t="shared" si="18"/>
        <v>17777.09407753752</v>
      </c>
      <c r="BP26" s="1094">
        <f t="shared" si="19"/>
        <v>16633.895971528287</v>
      </c>
      <c r="BQ26" s="1094">
        <f t="shared" si="20"/>
        <v>17119.807348628376</v>
      </c>
      <c r="BR26" s="1095">
        <f t="shared" si="21"/>
        <v>17029.366051090801</v>
      </c>
      <c r="BS26" s="253"/>
      <c r="BT26" s="253"/>
      <c r="BU26" s="253"/>
      <c r="BV26" s="272"/>
      <c r="BW26" s="272"/>
      <c r="BX26" s="253"/>
      <c r="BY26" s="253"/>
      <c r="BZ26" s="113"/>
      <c r="CA26" s="113"/>
      <c r="CB26" s="113"/>
      <c r="CC26" s="1149"/>
      <c r="CD26" s="1149"/>
      <c r="CE26" s="1149"/>
      <c r="CF26" s="1149"/>
      <c r="CG26" s="1149"/>
      <c r="CH26" s="1149"/>
      <c r="CI26" s="1149"/>
      <c r="CJ26" s="1149"/>
      <c r="CK26" s="1149"/>
    </row>
    <row r="27" spans="1:89" ht="15">
      <c r="A27" s="250"/>
      <c r="B27" s="1087">
        <f t="shared" si="1"/>
        <v>2035</v>
      </c>
      <c r="C27" s="1104">
        <f>C26*(1-Hypothèses!$F$87)</f>
        <v>599.43857752529516</v>
      </c>
      <c r="D27" s="1098">
        <f t="shared" si="30"/>
        <v>634.83689214030562</v>
      </c>
      <c r="E27" s="1105">
        <f>Hypothèses!$K$49/2</f>
        <v>383.07402168788303</v>
      </c>
      <c r="F27" s="1103">
        <f>F26*(1+Hypothèses!$B$43)*(1-Hypothèses!$B$39)</f>
        <v>1212.4137499319056</v>
      </c>
      <c r="G27" s="1103">
        <f>G26*(1+Hypothèses!$B$43)</f>
        <v>1675.0726279428363</v>
      </c>
      <c r="H27" s="1103">
        <f>H26*(1+Hypothèses!$B$43)*(1-Hypothèses!$B$39)</f>
        <v>1475.0867077643215</v>
      </c>
      <c r="I27" s="1102">
        <f>CA_Secteur!AJ27</f>
        <v>1109.1061250322985</v>
      </c>
      <c r="J27" s="1100">
        <f>CA_Secteur_HorsCOVID!AJ27</f>
        <v>1363.349180672906</v>
      </c>
      <c r="K27" s="1100">
        <f>CA_Secteur!AL27</f>
        <v>10.716790481888779</v>
      </c>
      <c r="L27" s="1100">
        <f>CA_Secteur_HorsCOVID!AL27</f>
        <v>223.71527708910753</v>
      </c>
      <c r="M27" s="1100">
        <f t="shared" si="31"/>
        <v>1098.3893345504098</v>
      </c>
      <c r="N27" s="1103">
        <f t="shared" si="32"/>
        <v>1139.6339035837984</v>
      </c>
      <c r="O27" s="269">
        <f>'Synthèse mesures CT'!C$5*'Synthèse mesures CT'!C23</f>
        <v>6.6017073777157792E-2</v>
      </c>
      <c r="P27" s="269">
        <f>'Synthèse mesures CT'!D$5*'Synthèse mesures CT'!D23</f>
        <v>3.1302576492751928E-2</v>
      </c>
      <c r="Q27" s="269">
        <f>'Synthèse mesures CT'!E$5*'Synthèse mesures CT'!E23</f>
        <v>1.4698620641025641E-2</v>
      </c>
      <c r="R27" s="269" t="e">
        <f t="shared" si="0"/>
        <v>#N/A</v>
      </c>
      <c r="S27" s="1103">
        <f t="shared" si="22"/>
        <v>1675.0726279428363</v>
      </c>
      <c r="T27" s="1103">
        <f t="shared" si="33"/>
        <v>1109.9511777788659</v>
      </c>
      <c r="U27" s="267">
        <f>IF(Hypothèses!$H$1="France",'Synthèse mesures CT'!F$5*'Synthèse mesures CT'!F23,0)</f>
        <v>0</v>
      </c>
      <c r="V27" s="267">
        <f>IF(Hypothèses!$H$1="France",'Synthèse mesures CT'!H$5*'Synthèse mesures CT'!H23,0.0025)</f>
        <v>2.5000000000000001E-3</v>
      </c>
      <c r="W27" s="267">
        <f>IF(Hypothèses!$H$1="France",'Synthèse mesures CT'!G$5*'Synthèse mesures CT'!G23,0.0025)</f>
        <v>2.5000000000000001E-3</v>
      </c>
      <c r="X27" s="267">
        <f>IF(Hypothèses!$H$1="France",'Synthèse mesures CT'!I$5*'Synthèse mesures CT'!I23,0)</f>
        <v>0</v>
      </c>
      <c r="Y27" s="268">
        <f t="shared" si="37"/>
        <v>1666.6972648031222</v>
      </c>
      <c r="Z27" s="1033">
        <f>IF(Hypothèses!$H$1="France",0.5%,Z26*($Z$42/$Z$13)^(1/30))</f>
        <v>2.0235658223516143E-2</v>
      </c>
      <c r="AA27" s="268">
        <f t="shared" si="24"/>
        <v>1632.8010676045039</v>
      </c>
      <c r="AB27" s="662">
        <f>'Synthèse scénarios'!R32</f>
        <v>0.23026666666666651</v>
      </c>
      <c r="AC27" s="662">
        <f>'Synthèse scénarios'!R75</f>
        <v>0.14001999999999992</v>
      </c>
      <c r="AD27" s="662">
        <f>'Synthèse scénarios'!R118</f>
        <v>0.20576666666666665</v>
      </c>
      <c r="AE27" s="268">
        <f t="shared" si="34"/>
        <v>1256.8214084374404</v>
      </c>
      <c r="AF27" s="268">
        <f t="shared" si="35"/>
        <v>1404.1762621185214</v>
      </c>
      <c r="AG27" s="268">
        <f t="shared" si="36"/>
        <v>1296.8250345937506</v>
      </c>
      <c r="AH27" s="664">
        <f>'Synthèse scénarios'!T32</f>
        <v>0.24101934188617744</v>
      </c>
      <c r="AI27" s="664">
        <f>'Synthèse scénarios'!T75</f>
        <v>8.7228098306166707E-2</v>
      </c>
      <c r="AJ27" s="664">
        <f>'Synthèse scénarios'!T118</f>
        <v>9.4668144241627603E-2</v>
      </c>
      <c r="AK27" s="268">
        <f t="shared" si="26"/>
        <v>953.90313970738987</v>
      </c>
      <c r="AL27" s="268">
        <f t="shared" si="27"/>
        <v>1281.6926370872613</v>
      </c>
      <c r="AM27" s="268">
        <f t="shared" si="27"/>
        <v>1174.0570151626757</v>
      </c>
      <c r="AN27" s="666">
        <f>'Synthèse scénarios'!V32</f>
        <v>0</v>
      </c>
      <c r="AO27" s="666">
        <f>'Synthèse scénarios'!V75</f>
        <v>158.6955299638048</v>
      </c>
      <c r="AP27" s="666">
        <f>'Synthèse scénarios'!V118</f>
        <v>68.266080047696732</v>
      </c>
      <c r="AQ27" s="268">
        <f t="shared" si="28"/>
        <v>953.90313970738987</v>
      </c>
      <c r="AR27" s="268">
        <f t="shared" si="29"/>
        <v>1122.9971071234565</v>
      </c>
      <c r="AS27" s="1073">
        <f t="shared" si="29"/>
        <v>1105.790935114979</v>
      </c>
      <c r="AT27" s="1093">
        <f>Trajectoires!$F$11</f>
        <v>1088.0952380952381</v>
      </c>
      <c r="AU27" s="1094">
        <f>Hypothèses!$J$87</f>
        <v>21597.620036212185</v>
      </c>
      <c r="AV27" s="1094">
        <f>Hypothèses!$E$86</f>
        <v>23159.851826716433</v>
      </c>
      <c r="AW27" s="1094">
        <f>Hypothèses!$E$87</f>
        <v>29941.465897522903</v>
      </c>
      <c r="AX27" s="1094">
        <f>Hypothèses!$E$88</f>
        <v>38079.402782490666</v>
      </c>
      <c r="AY27" s="1094">
        <f t="shared" si="2"/>
        <v>14698.033706010736</v>
      </c>
      <c r="AZ27" s="1094">
        <f t="shared" si="3"/>
        <v>15399.510468691185</v>
      </c>
      <c r="BA27" s="1094">
        <f t="shared" si="4"/>
        <v>18223.302899902348</v>
      </c>
      <c r="BB27" s="1094">
        <f t="shared" si="5"/>
        <v>22708.273372076663</v>
      </c>
      <c r="BC27" s="1094">
        <f t="shared" si="6"/>
        <v>17651.672273300432</v>
      </c>
      <c r="BD27" s="1094">
        <f t="shared" si="7"/>
        <v>22099.615279548463</v>
      </c>
      <c r="BE27" s="1097">
        <f t="shared" si="8"/>
        <v>17634.703919838808</v>
      </c>
      <c r="BF27" s="1097">
        <f t="shared" si="9"/>
        <v>20019.781835506863</v>
      </c>
      <c r="BG27" s="1097">
        <f t="shared" si="10"/>
        <v>21611.032068617416</v>
      </c>
      <c r="BH27" s="1097">
        <f t="shared" si="11"/>
        <v>21611.032068617416</v>
      </c>
      <c r="BI27" s="1097">
        <f t="shared" si="12"/>
        <v>18559.08288814743</v>
      </c>
      <c r="BJ27" s="1097">
        <f t="shared" si="13"/>
        <v>21513.804289226711</v>
      </c>
      <c r="BK27" s="1097">
        <f t="shared" si="14"/>
        <v>21286.735677205801</v>
      </c>
      <c r="BL27" s="1094">
        <f t="shared" si="15"/>
        <v>19003.024959836002</v>
      </c>
      <c r="BM27" s="1094">
        <f t="shared" si="16"/>
        <v>19727.837109102125</v>
      </c>
      <c r="BN27" s="1094">
        <f t="shared" si="17"/>
        <v>17587.799111235676</v>
      </c>
      <c r="BO27" s="1094">
        <f t="shared" si="18"/>
        <v>19058.786714624781</v>
      </c>
      <c r="BP27" s="1094">
        <f t="shared" si="19"/>
        <v>17587.799111235676</v>
      </c>
      <c r="BQ27" s="1094">
        <f t="shared" si="20"/>
        <v>18242.804455751833</v>
      </c>
      <c r="BR27" s="1095">
        <f t="shared" si="21"/>
        <v>18135.15698620578</v>
      </c>
      <c r="BS27" s="253"/>
      <c r="BT27" s="253"/>
      <c r="BU27" s="253"/>
      <c r="BV27" s="272"/>
      <c r="BW27" s="272"/>
      <c r="BX27" s="253"/>
      <c r="BY27" s="253"/>
      <c r="BZ27" s="113"/>
      <c r="CA27" s="113"/>
      <c r="CB27" s="113"/>
      <c r="CC27" s="1149"/>
      <c r="CD27" s="1149"/>
      <c r="CE27" s="1149"/>
      <c r="CF27" s="1149"/>
      <c r="CG27" s="1149"/>
      <c r="CH27" s="1149"/>
      <c r="CI27" s="1149"/>
      <c r="CJ27" s="1149"/>
      <c r="CK27" s="1149"/>
    </row>
    <row r="28" spans="1:89" ht="15">
      <c r="A28" s="250"/>
      <c r="B28" s="1087">
        <f t="shared" si="1"/>
        <v>2036</v>
      </c>
      <c r="C28" s="1104">
        <f>C27*(1-Hypothèses!$F$87)</f>
        <v>579.11760974718766</v>
      </c>
      <c r="D28" s="1098">
        <f t="shared" si="30"/>
        <v>613.81409913195239</v>
      </c>
      <c r="E28" s="1105">
        <f>Hypothèses!$K$49/2</f>
        <v>383.07402168788303</v>
      </c>
      <c r="F28" s="1103">
        <f>F27*(1+Hypothèses!$B$43)*(1-Hypothèses!$B$39)</f>
        <v>1235.6920939305983</v>
      </c>
      <c r="G28" s="1103">
        <f>G27*(1+Hypothèses!$B$43)</f>
        <v>1742.0755330605498</v>
      </c>
      <c r="H28" s="1103">
        <f>H27*(1+Hypothèses!$B$43)*(1-Hypothèses!$B$39)</f>
        <v>1503.4083725533967</v>
      </c>
      <c r="I28" s="1102">
        <f>CA_Secteur!AJ28</f>
        <v>1113.1326563384916</v>
      </c>
      <c r="J28" s="1100">
        <f>CA_Secteur_HorsCOVID!AJ28</f>
        <v>1369.8041741102109</v>
      </c>
      <c r="K28" s="1100">
        <f>CA_Secteur!AL28</f>
        <v>12.807203199065498</v>
      </c>
      <c r="L28" s="1100">
        <f>CA_Secteur_HorsCOVID!AL28</f>
        <v>227.67013052894526</v>
      </c>
      <c r="M28" s="1100">
        <f t="shared" si="31"/>
        <v>1100.3254531394261</v>
      </c>
      <c r="N28" s="1103">
        <f t="shared" si="32"/>
        <v>1142.1340435812656</v>
      </c>
      <c r="O28" s="269">
        <f>'Synthèse mesures CT'!C$5*'Synthèse mesures CT'!C24</f>
        <v>6.6017073777157792E-2</v>
      </c>
      <c r="P28" s="269">
        <f>'Synthèse mesures CT'!D$5*'Synthèse mesures CT'!D24</f>
        <v>3.1302576492751928E-2</v>
      </c>
      <c r="Q28" s="269">
        <f>'Synthèse mesures CT'!E$5*'Synthèse mesures CT'!E24</f>
        <v>1.4698620641025641E-2</v>
      </c>
      <c r="R28" s="269" t="e">
        <f t="shared" si="0"/>
        <v>#N/A</v>
      </c>
      <c r="S28" s="1103">
        <f t="shared" si="22"/>
        <v>1742.0755330605498</v>
      </c>
      <c r="T28" s="1103">
        <f t="shared" si="33"/>
        <v>1109.9511777788659</v>
      </c>
      <c r="U28" s="267">
        <f>IF(Hypothèses!$H$1="France",'Synthèse mesures CT'!F$5*'Synthèse mesures CT'!F24,0)</f>
        <v>0</v>
      </c>
      <c r="V28" s="267">
        <f>IF(Hypothèses!$H$1="France",'Synthèse mesures CT'!H$5*'Synthèse mesures CT'!H24,0.0025)</f>
        <v>2.5000000000000001E-3</v>
      </c>
      <c r="W28" s="267">
        <f>IF(Hypothèses!$H$1="France",'Synthèse mesures CT'!G$5*'Synthèse mesures CT'!G24,0.0025)</f>
        <v>2.5000000000000001E-3</v>
      </c>
      <c r="X28" s="267">
        <f>IF(Hypothèses!$H$1="France",'Synthèse mesures CT'!I$5*'Synthèse mesures CT'!I24,0)</f>
        <v>0</v>
      </c>
      <c r="Y28" s="268">
        <f t="shared" si="37"/>
        <v>1733.365155395247</v>
      </c>
      <c r="Z28" s="311">
        <f>IF(Hypothèses!$H$1="France",Z27*($Z$42/$Z$27)^(1/15),Z27*($Z$42/$Z$13)^(1/30))</f>
        <v>2.2360679774997862E-2</v>
      </c>
      <c r="AA28" s="268">
        <f t="shared" si="24"/>
        <v>1694.4111622566213</v>
      </c>
      <c r="AB28" s="662">
        <f>'Synthèse scénarios'!R33</f>
        <v>0.25536666666666663</v>
      </c>
      <c r="AC28" s="662">
        <f>'Synthèse scénarios'!R76</f>
        <v>0.15028000000000019</v>
      </c>
      <c r="AD28" s="662">
        <f>'Synthèse scénarios'!R119</f>
        <v>0.22286666666666688</v>
      </c>
      <c r="AE28" s="268">
        <f t="shared" si="34"/>
        <v>1261.7150317883554</v>
      </c>
      <c r="AF28" s="268">
        <f t="shared" si="35"/>
        <v>1439.775052792696</v>
      </c>
      <c r="AG28" s="268">
        <f t="shared" si="36"/>
        <v>1316.7833945616953</v>
      </c>
      <c r="AH28" s="664">
        <f>'Synthèse scénarios'!T33</f>
        <v>0.31788434635222318</v>
      </c>
      <c r="AI28" s="664">
        <f>'Synthèse scénarios'!T76</f>
        <v>0.10026581678739804</v>
      </c>
      <c r="AJ28" s="664">
        <f>'Synthèse scénarios'!T119</f>
        <v>0.1100615766952034</v>
      </c>
      <c r="AK28" s="268">
        <f t="shared" si="26"/>
        <v>860.63557362553956</v>
      </c>
      <c r="AL28" s="268">
        <f t="shared" si="27"/>
        <v>1295.4148311343172</v>
      </c>
      <c r="AM28" s="268">
        <f t="shared" si="27"/>
        <v>1171.856137990173</v>
      </c>
      <c r="AN28" s="666">
        <f>'Synthèse scénarios'!V33</f>
        <v>0</v>
      </c>
      <c r="AO28" s="666">
        <f>'Synthèse scénarios'!V76</f>
        <v>169.21754559386909</v>
      </c>
      <c r="AP28" s="666">
        <f>'Synthèse scénarios'!V119</f>
        <v>65.397284113396154</v>
      </c>
      <c r="AQ28" s="268">
        <f t="shared" si="28"/>
        <v>860.63557362553956</v>
      </c>
      <c r="AR28" s="268">
        <f t="shared" si="29"/>
        <v>1126.1972855404481</v>
      </c>
      <c r="AS28" s="1073">
        <f t="shared" si="29"/>
        <v>1106.4588538767769</v>
      </c>
      <c r="AT28" s="1093">
        <f>Trajectoires!$F$11</f>
        <v>1088.0952380952381</v>
      </c>
      <c r="AU28" s="1094">
        <f>Hypothèses!$J$87</f>
        <v>21597.620036212185</v>
      </c>
      <c r="AV28" s="1094">
        <f>Hypothèses!$E$86</f>
        <v>23159.851826716433</v>
      </c>
      <c r="AW28" s="1094">
        <f>Hypothèses!$E$87</f>
        <v>29941.465897522903</v>
      </c>
      <c r="AX28" s="1094">
        <f>Hypothèses!$E$88</f>
        <v>38079.402782490666</v>
      </c>
      <c r="AY28" s="1094">
        <f t="shared" si="2"/>
        <v>15277.151315757923</v>
      </c>
      <c r="AZ28" s="1094">
        <f t="shared" si="3"/>
        <v>16013.324567823138</v>
      </c>
      <c r="BA28" s="1094">
        <f t="shared" si="4"/>
        <v>19458.994993832945</v>
      </c>
      <c r="BB28" s="1094">
        <f t="shared" si="5"/>
        <v>24211.681744630059</v>
      </c>
      <c r="BC28" s="1094">
        <f t="shared" si="6"/>
        <v>18764.804929638922</v>
      </c>
      <c r="BD28" s="1094">
        <f t="shared" si="7"/>
        <v>23469.419453658673</v>
      </c>
      <c r="BE28" s="1107">
        <f t="shared" si="8"/>
        <v>18735.029372978235</v>
      </c>
      <c r="BF28" s="1107">
        <f t="shared" si="9"/>
        <v>21161.91587908813</v>
      </c>
      <c r="BG28" s="1097">
        <f t="shared" si="10"/>
        <v>23353.107601677966</v>
      </c>
      <c r="BH28" s="1097">
        <f t="shared" si="11"/>
        <v>23353.107601677966</v>
      </c>
      <c r="BI28" s="1097">
        <f t="shared" si="12"/>
        <v>19669.034065926295</v>
      </c>
      <c r="BJ28" s="1097">
        <f t="shared" si="13"/>
        <v>23247.169444621959</v>
      </c>
      <c r="BK28" s="1097">
        <f t="shared" si="14"/>
        <v>22981.146839462421</v>
      </c>
      <c r="BL28" s="1094">
        <f t="shared" si="15"/>
        <v>20264.739991624359</v>
      </c>
      <c r="BM28" s="1094">
        <f t="shared" si="16"/>
        <v>21167.61216189482</v>
      </c>
      <c r="BN28" s="1094">
        <f t="shared" si="17"/>
        <v>18448.434684861215</v>
      </c>
      <c r="BO28" s="1094">
        <f t="shared" si="18"/>
        <v>20354.201545759097</v>
      </c>
      <c r="BP28" s="1094">
        <f t="shared" si="19"/>
        <v>18448.434684861215</v>
      </c>
      <c r="BQ28" s="1094">
        <f t="shared" si="20"/>
        <v>19369.001741292283</v>
      </c>
      <c r="BR28" s="1095">
        <f t="shared" si="21"/>
        <v>19241.615840082559</v>
      </c>
      <c r="BS28" s="251"/>
      <c r="BT28" s="251"/>
      <c r="BU28" s="251"/>
      <c r="BV28" s="253"/>
      <c r="BW28" s="253"/>
      <c r="BX28" s="253"/>
      <c r="BY28" s="253"/>
      <c r="BZ28" s="253"/>
      <c r="CA28" s="253"/>
      <c r="CB28" s="253"/>
      <c r="CC28" s="265"/>
      <c r="CD28" s="265"/>
      <c r="CE28" s="254"/>
      <c r="CF28" s="254"/>
      <c r="CG28" s="1149"/>
      <c r="CH28" s="1149"/>
      <c r="CI28" s="1149"/>
      <c r="CJ28" s="1149"/>
      <c r="CK28" s="1149"/>
    </row>
    <row r="29" spans="1:89" ht="15">
      <c r="A29" s="250"/>
      <c r="B29" s="1087">
        <f t="shared" si="1"/>
        <v>2037</v>
      </c>
      <c r="C29" s="1104">
        <f>C28*(1-Hypothèses!$F$87)</f>
        <v>559.48552277675799</v>
      </c>
      <c r="D29" s="1098">
        <f t="shared" si="30"/>
        <v>593.48748152131748</v>
      </c>
      <c r="E29" s="1105">
        <f>Hypothèses!$K$49/2</f>
        <v>383.07402168788303</v>
      </c>
      <c r="F29" s="1103">
        <f>F28*(1+Hypothèses!$B$43)*(1-Hypothèses!$B$39)</f>
        <v>1259.4173821340657</v>
      </c>
      <c r="G29" s="1103">
        <f>G28*(1+Hypothèses!$B$43)</f>
        <v>1811.7585543829719</v>
      </c>
      <c r="H29" s="1103">
        <f>H28*(1+Hypothèses!$B$43)*(1-Hypothèses!$B$39)</f>
        <v>1532.273813306422</v>
      </c>
      <c r="I29" s="1102">
        <f>CA_Secteur!AJ29</f>
        <v>1114.018475156091</v>
      </c>
      <c r="J29" s="1100">
        <f>CA_Secteur_HorsCOVID!AJ29</f>
        <v>1372.5237069071411</v>
      </c>
      <c r="K29" s="1100">
        <f>CA_Secteur!AL29</f>
        <v>12.018671322046657</v>
      </c>
      <c r="L29" s="1100">
        <f>CA_Secteur_HorsCOVID!AL29</f>
        <v>228.20004315086226</v>
      </c>
      <c r="M29" s="1100">
        <f t="shared" si="31"/>
        <v>1101.9998038340443</v>
      </c>
      <c r="N29" s="1103">
        <f t="shared" si="32"/>
        <v>1144.3236637562788</v>
      </c>
      <c r="O29" s="269">
        <f>'Synthèse mesures CT'!C$5*'Synthèse mesures CT'!C25</f>
        <v>6.6017073777157792E-2</v>
      </c>
      <c r="P29" s="269">
        <f>'Synthèse mesures CT'!D$5*'Synthèse mesures CT'!D25</f>
        <v>3.1302576492751928E-2</v>
      </c>
      <c r="Q29" s="269">
        <f>'Synthèse mesures CT'!E$5*'Synthèse mesures CT'!E25</f>
        <v>1.4698620641025641E-2</v>
      </c>
      <c r="R29" s="269" t="e">
        <f t="shared" si="0"/>
        <v>#N/A</v>
      </c>
      <c r="S29" s="1103">
        <f t="shared" si="22"/>
        <v>1811.7585543829719</v>
      </c>
      <c r="T29" s="1103">
        <f t="shared" si="33"/>
        <v>1109.9511777788659</v>
      </c>
      <c r="U29" s="267">
        <f>IF(Hypothèses!$H$1="France",'Synthèse mesures CT'!F$5*'Synthèse mesures CT'!F25,0)</f>
        <v>0</v>
      </c>
      <c r="V29" s="267">
        <f>IF(Hypothèses!$H$1="France",'Synthèse mesures CT'!H$5*'Synthèse mesures CT'!H25,0.0025)</f>
        <v>2.5000000000000001E-3</v>
      </c>
      <c r="W29" s="267">
        <f>IF(Hypothèses!$H$1="France",'Synthèse mesures CT'!G$5*'Synthèse mesures CT'!G25,0.0025)</f>
        <v>2.5000000000000001E-3</v>
      </c>
      <c r="X29" s="267">
        <f>IF(Hypothèses!$H$1="France",'Synthèse mesures CT'!I$5*'Synthèse mesures CT'!I25,0)</f>
        <v>0</v>
      </c>
      <c r="Y29" s="268">
        <f t="shared" si="37"/>
        <v>1802.6997616110571</v>
      </c>
      <c r="Z29" s="311">
        <f>IF(Hypothèses!$H$1="France",Z28*($Z$42/$Z$27)^(1/15),Z28*($Z$42/$Z$13)^(1/30))</f>
        <v>2.4708857724180251E-2</v>
      </c>
      <c r="AA29" s="268">
        <f t="shared" si="24"/>
        <v>1757.9332772602418</v>
      </c>
      <c r="AB29" s="662">
        <f>'Synthèse scénarios'!R34</f>
        <v>0.26390666666666651</v>
      </c>
      <c r="AC29" s="662">
        <f>'Synthèse scénarios'!R77</f>
        <v>0.16053999999999991</v>
      </c>
      <c r="AD29" s="662">
        <f>'Synthèse scénarios'!R120</f>
        <v>0.22340666666666653</v>
      </c>
      <c r="AE29" s="268">
        <f t="shared" si="34"/>
        <v>1294.0029658360825</v>
      </c>
      <c r="AF29" s="268">
        <f t="shared" si="35"/>
        <v>1475.7146689288827</v>
      </c>
      <c r="AG29" s="268">
        <f t="shared" si="36"/>
        <v>1365.1992635651222</v>
      </c>
      <c r="AH29" s="664">
        <f>'Synthèse scénarios'!T34</f>
        <v>0.39510546396123247</v>
      </c>
      <c r="AI29" s="664">
        <f>'Synthèse scénarios'!T77</f>
        <v>0.11534721034449845</v>
      </c>
      <c r="AJ29" s="664">
        <f>'Synthèse scénarios'!T120</f>
        <v>0.12534474184524547</v>
      </c>
      <c r="AK29" s="268">
        <f t="shared" si="26"/>
        <v>782.73532365220626</v>
      </c>
      <c r="AL29" s="268">
        <f t="shared" si="27"/>
        <v>1305.495098603481</v>
      </c>
      <c r="AM29" s="268">
        <f t="shared" si="27"/>
        <v>1194.0787143062328</v>
      </c>
      <c r="AN29" s="666">
        <f>'Synthèse scénarios'!V34</f>
        <v>0</v>
      </c>
      <c r="AO29" s="666">
        <f>'Synthèse scénarios'!V77</f>
        <v>176.43526876487749</v>
      </c>
      <c r="AP29" s="666">
        <f>'Synthèse scénarios'!V120</f>
        <v>82.796313882809613</v>
      </c>
      <c r="AQ29" s="268">
        <f t="shared" si="28"/>
        <v>782.73532365220626</v>
      </c>
      <c r="AR29" s="268">
        <f t="shared" si="29"/>
        <v>1129.0598298386035</v>
      </c>
      <c r="AS29" s="1073">
        <f t="shared" si="29"/>
        <v>1111.282400423423</v>
      </c>
      <c r="AT29" s="1093">
        <f>Trajectoires!$F$11</f>
        <v>1088.0952380952381</v>
      </c>
      <c r="AU29" s="1094">
        <f>Hypothèses!$J$87</f>
        <v>21597.620036212185</v>
      </c>
      <c r="AV29" s="1094">
        <f>Hypothèses!$E$86</f>
        <v>23159.851826716433</v>
      </c>
      <c r="AW29" s="1094">
        <f>Hypothèses!$E$87</f>
        <v>29941.465897522903</v>
      </c>
      <c r="AX29" s="1094">
        <f>Hypothèses!$E$88</f>
        <v>38079.402782490666</v>
      </c>
      <c r="AY29" s="1094">
        <f t="shared" si="2"/>
        <v>15836.636838534681</v>
      </c>
      <c r="AZ29" s="1094">
        <f t="shared" si="3"/>
        <v>16606.812049344455</v>
      </c>
      <c r="BA29" s="1094">
        <f t="shared" si="4"/>
        <v>20718.412375967011</v>
      </c>
      <c r="BB29" s="1094">
        <f t="shared" si="5"/>
        <v>25743.955557936482</v>
      </c>
      <c r="BC29" s="1094">
        <f t="shared" si="6"/>
        <v>19878.823404795014</v>
      </c>
      <c r="BD29" s="1094">
        <f t="shared" si="7"/>
        <v>24841.943160565814</v>
      </c>
      <c r="BE29" s="1097">
        <f t="shared" si="8"/>
        <v>19837.029176812281</v>
      </c>
      <c r="BF29" s="1097">
        <f t="shared" si="9"/>
        <v>22306.239542844411</v>
      </c>
      <c r="BG29" s="1097">
        <f t="shared" si="10"/>
        <v>25164.86615606094</v>
      </c>
      <c r="BH29" s="1097">
        <f t="shared" si="11"/>
        <v>25164.86615606094</v>
      </c>
      <c r="BI29" s="1097">
        <f t="shared" si="12"/>
        <v>20778.98524370516</v>
      </c>
      <c r="BJ29" s="1097">
        <f t="shared" si="13"/>
        <v>25049.869206233016</v>
      </c>
      <c r="BK29" s="1097">
        <f t="shared" si="14"/>
        <v>24739.080116722664</v>
      </c>
      <c r="BL29" s="1094">
        <f t="shared" si="15"/>
        <v>21558.742957460443</v>
      </c>
      <c r="BM29" s="1094">
        <f t="shared" si="16"/>
        <v>22643.326830823702</v>
      </c>
      <c r="BN29" s="1094">
        <f t="shared" si="17"/>
        <v>19231.170008513422</v>
      </c>
      <c r="BO29" s="1094">
        <f t="shared" si="18"/>
        <v>21659.696644362579</v>
      </c>
      <c r="BP29" s="1094">
        <f t="shared" si="19"/>
        <v>19231.170008513422</v>
      </c>
      <c r="BQ29" s="1094">
        <f t="shared" si="20"/>
        <v>20498.061571130886</v>
      </c>
      <c r="BR29" s="1095">
        <f t="shared" si="21"/>
        <v>20352.898240505983</v>
      </c>
      <c r="BS29" s="251"/>
      <c r="BT29" s="251"/>
      <c r="BU29" s="251"/>
      <c r="BV29" s="253"/>
      <c r="BW29" s="253"/>
      <c r="BX29" s="253"/>
      <c r="BY29" s="253"/>
      <c r="BZ29" s="253"/>
      <c r="CA29" s="253"/>
      <c r="CB29" s="253"/>
      <c r="CC29" s="265"/>
      <c r="CD29" s="265"/>
      <c r="CE29" s="254"/>
      <c r="CF29" s="254"/>
      <c r="CG29" s="1149"/>
      <c r="CH29" s="1149"/>
      <c r="CI29" s="1149"/>
      <c r="CJ29" s="1149"/>
      <c r="CK29" s="1149"/>
    </row>
    <row r="30" spans="1:89" ht="15">
      <c r="A30" s="250"/>
      <c r="B30" s="1087">
        <f t="shared" si="1"/>
        <v>2038</v>
      </c>
      <c r="C30" s="1104">
        <f>C29*(1-Hypothèses!$F$87)</f>
        <v>540.51896355462588</v>
      </c>
      <c r="D30" s="1098">
        <f t="shared" si="30"/>
        <v>573.83398527442</v>
      </c>
      <c r="E30" s="1105">
        <f>Hypothèses!$K$49/2</f>
        <v>383.07402168788303</v>
      </c>
      <c r="F30" s="1103">
        <f>F29*(1+Hypothèses!$B$43)*(1-Hypothèses!$B$39)</f>
        <v>1283.5981958710399</v>
      </c>
      <c r="G30" s="1103">
        <f>G29*(1+Hypothèses!$B$43)</f>
        <v>1884.2288965582909</v>
      </c>
      <c r="H30" s="1103">
        <f>H29*(1+Hypothèses!$B$43)*(1-Hypothèses!$B$39)</f>
        <v>1561.6934705219053</v>
      </c>
      <c r="I30" s="1102">
        <f>CA_Secteur!AJ30</f>
        <v>1111.1035878201355</v>
      </c>
      <c r="J30" s="1100">
        <f>CA_Secteur_HorsCOVID!AJ30</f>
        <v>1370.6807868491405</v>
      </c>
      <c r="K30" s="1100">
        <f>CA_Secteur!AL30</f>
        <v>7.751936117932928</v>
      </c>
      <c r="L30" s="1100">
        <f>CA_Secteur_HorsCOVID!AL30</f>
        <v>224.55414641241509</v>
      </c>
      <c r="M30" s="1100">
        <f t="shared" si="31"/>
        <v>1103.3516517022026</v>
      </c>
      <c r="N30" s="1103">
        <f t="shared" si="32"/>
        <v>1146.1266404367254</v>
      </c>
      <c r="O30" s="269">
        <f>'Synthèse mesures CT'!C$5*'Synthèse mesures CT'!C26</f>
        <v>6.6017073777157792E-2</v>
      </c>
      <c r="P30" s="269">
        <f>'Synthèse mesures CT'!D$5*'Synthèse mesures CT'!D26</f>
        <v>3.1302576492751928E-2</v>
      </c>
      <c r="Q30" s="269">
        <f>'Synthèse mesures CT'!E$5*'Synthèse mesures CT'!E26</f>
        <v>1.4698620641025641E-2</v>
      </c>
      <c r="R30" s="269" t="e">
        <f t="shared" si="0"/>
        <v>#N/A</v>
      </c>
      <c r="S30" s="1103">
        <f t="shared" si="22"/>
        <v>1884.2288965582909</v>
      </c>
      <c r="T30" s="1103">
        <f t="shared" si="33"/>
        <v>1109.9511777788659</v>
      </c>
      <c r="U30" s="267">
        <f>IF(Hypothèses!$H$1="France",'Synthèse mesures CT'!F$5*'Synthèse mesures CT'!F26,0)</f>
        <v>0</v>
      </c>
      <c r="V30" s="267">
        <f>IF(Hypothèses!$H$1="France",'Synthèse mesures CT'!H$5*'Synthèse mesures CT'!H26,0.0025)</f>
        <v>2.5000000000000001E-3</v>
      </c>
      <c r="W30" s="267">
        <f>IF(Hypothèses!$H$1="France",'Synthèse mesures CT'!G$5*'Synthèse mesures CT'!G26,0.0025)</f>
        <v>2.5000000000000001E-3</v>
      </c>
      <c r="X30" s="267">
        <f>IF(Hypothèses!$H$1="France",'Synthèse mesures CT'!I$5*'Synthèse mesures CT'!I26,0)</f>
        <v>0</v>
      </c>
      <c r="Y30" s="268">
        <f t="shared" si="37"/>
        <v>1874.8077520754994</v>
      </c>
      <c r="Z30" s="311">
        <f>IF(Hypothèses!$H$1="France",Z29*($Z$42/$Z$27)^(1/15),Z29*($Z$42/$Z$13)^(1/30))</f>
        <v>2.730362655237481E-2</v>
      </c>
      <c r="AA30" s="268">
        <f t="shared" si="24"/>
        <v>1823.3614699446784</v>
      </c>
      <c r="AB30" s="662">
        <f>'Synthèse scénarios'!R35</f>
        <v>0.28072666666666668</v>
      </c>
      <c r="AC30" s="662">
        <f>'Synthèse scénarios'!R78</f>
        <v>0.17080000000000006</v>
      </c>
      <c r="AD30" s="662">
        <f>'Synthèse scénarios'!R121</f>
        <v>0.2322266666666668</v>
      </c>
      <c r="AE30" s="268">
        <f t="shared" si="34"/>
        <v>1311.4952823586752</v>
      </c>
      <c r="AF30" s="268">
        <f t="shared" si="35"/>
        <v>1511.9313308781273</v>
      </c>
      <c r="AG30" s="268">
        <f t="shared" si="36"/>
        <v>1399.9283136509921</v>
      </c>
      <c r="AH30" s="664">
        <f>'Synthèse scénarios'!T35</f>
        <v>0.48122355283014173</v>
      </c>
      <c r="AI30" s="664">
        <f>'Synthèse scénarios'!T78</f>
        <v>0.13283977489681736</v>
      </c>
      <c r="AJ30" s="664">
        <f>'Synthèse scénarios'!T121</f>
        <v>0.14434915664778247</v>
      </c>
      <c r="AK30" s="268">
        <f t="shared" si="26"/>
        <v>680.37286306206363</v>
      </c>
      <c r="AL30" s="268">
        <f t="shared" si="27"/>
        <v>1311.0867132248313</v>
      </c>
      <c r="AM30" s="268">
        <f t="shared" si="27"/>
        <v>1197.8498422081191</v>
      </c>
      <c r="AN30" s="666">
        <f>'Synthèse scénarios'!V35</f>
        <v>0</v>
      </c>
      <c r="AO30" s="666">
        <f>'Synthèse scénarios'!V78</f>
        <v>179.57653538607383</v>
      </c>
      <c r="AP30" s="666">
        <f>'Synthèse scénarios'!V121</f>
        <v>84.390197201402543</v>
      </c>
      <c r="AQ30" s="268">
        <f t="shared" si="28"/>
        <v>680.37286306206363</v>
      </c>
      <c r="AR30" s="268">
        <f t="shared" si="29"/>
        <v>1131.5101778387575</v>
      </c>
      <c r="AS30" s="1073">
        <f t="shared" si="29"/>
        <v>1113.4596450067165</v>
      </c>
      <c r="AT30" s="1093">
        <f>Trajectoires!$F$11</f>
        <v>1088.0952380952381</v>
      </c>
      <c r="AU30" s="1094">
        <f>Hypothèses!$J$87</f>
        <v>21597.620036212185</v>
      </c>
      <c r="AV30" s="1094">
        <f>Hypothèses!$E$86</f>
        <v>23159.851826716433</v>
      </c>
      <c r="AW30" s="1094">
        <f>Hypothèses!$E$87</f>
        <v>29941.465897522903</v>
      </c>
      <c r="AX30" s="1094">
        <f>Hypothèses!$E$88</f>
        <v>38079.402782490666</v>
      </c>
      <c r="AY30" s="1094">
        <f t="shared" si="2"/>
        <v>16377.155802089308</v>
      </c>
      <c r="AZ30" s="1094">
        <f t="shared" si="3"/>
        <v>17180.646034618876</v>
      </c>
      <c r="BA30" s="1094">
        <f t="shared" si="4"/>
        <v>22002.010571838051</v>
      </c>
      <c r="BB30" s="1094">
        <f t="shared" si="5"/>
        <v>27305.649028458389</v>
      </c>
      <c r="BC30" s="1094">
        <f t="shared" si="6"/>
        <v>20989.92699261515</v>
      </c>
      <c r="BD30" s="1094">
        <f t="shared" si="7"/>
        <v>26212.623947414955</v>
      </c>
      <c r="BE30" s="1097">
        <f t="shared" si="8"/>
        <v>20940.380828514484</v>
      </c>
      <c r="BF30" s="1097">
        <f t="shared" si="9"/>
        <v>23452.366183281138</v>
      </c>
      <c r="BG30" s="1097">
        <f t="shared" si="10"/>
        <v>27049.095052619232</v>
      </c>
      <c r="BH30" s="1097">
        <f t="shared" si="11"/>
        <v>27049.095052619232</v>
      </c>
      <c r="BI30" s="1097">
        <f t="shared" si="12"/>
        <v>21888.936421484024</v>
      </c>
      <c r="BJ30" s="1097">
        <f t="shared" si="13"/>
        <v>26924.676958308515</v>
      </c>
      <c r="BK30" s="1097">
        <f t="shared" si="14"/>
        <v>26562.441586667341</v>
      </c>
      <c r="BL30" s="1094">
        <f t="shared" si="15"/>
        <v>22870.238239819118</v>
      </c>
      <c r="BM30" s="1094">
        <f t="shared" si="16"/>
        <v>24155.25816170183</v>
      </c>
      <c r="BN30" s="1094">
        <f t="shared" si="17"/>
        <v>19911.542871575486</v>
      </c>
      <c r="BO30" s="1094">
        <f t="shared" si="18"/>
        <v>22970.78335758741</v>
      </c>
      <c r="BP30" s="1094">
        <f t="shared" si="19"/>
        <v>19911.542871575486</v>
      </c>
      <c r="BQ30" s="1094">
        <f t="shared" si="20"/>
        <v>21629.571748969644</v>
      </c>
      <c r="BR30" s="1095">
        <f t="shared" si="21"/>
        <v>21466.357885512698</v>
      </c>
      <c r="BS30" s="251"/>
      <c r="BT30" s="251"/>
      <c r="BU30" s="251"/>
      <c r="BV30" s="253"/>
      <c r="BW30" s="253"/>
      <c r="BX30" s="253"/>
      <c r="BY30" s="253"/>
      <c r="BZ30" s="253"/>
      <c r="CA30" s="253"/>
      <c r="CB30" s="253"/>
      <c r="CC30" s="265"/>
      <c r="CD30" s="265"/>
      <c r="CE30" s="254"/>
      <c r="CF30" s="254"/>
      <c r="CG30" s="1149"/>
      <c r="CH30" s="1149"/>
      <c r="CI30" s="1149"/>
      <c r="CJ30" s="1149"/>
      <c r="CK30" s="1149"/>
    </row>
    <row r="31" spans="1:89" ht="15">
      <c r="A31" s="250"/>
      <c r="B31" s="1087">
        <f t="shared" si="1"/>
        <v>2039</v>
      </c>
      <c r="C31" s="1104">
        <f>C30*(1-Hypothèses!$F$87)</f>
        <v>522.19537069012404</v>
      </c>
      <c r="D31" s="1098">
        <f t="shared" si="30"/>
        <v>554.8313197977634</v>
      </c>
      <c r="E31" s="1105">
        <f>Hypothèses!$K$49/2</f>
        <v>383.07402168788303</v>
      </c>
      <c r="F31" s="1103">
        <f>F30*(1+Hypothèses!$B$43)*(1-Hypothèses!$B$39)</f>
        <v>1308.2432812317641</v>
      </c>
      <c r="G31" s="1103">
        <f>G30*(1+Hypothèses!$B$43)</f>
        <v>1959.5980524206227</v>
      </c>
      <c r="H31" s="1103">
        <f>H30*(1+Hypothèses!$B$43)*(1-Hypothèses!$B$39)</f>
        <v>1591.6779851559259</v>
      </c>
      <c r="I31" s="1102">
        <f>CA_Secteur!AJ31</f>
        <v>1103.6035736503147</v>
      </c>
      <c r="J31" s="1100">
        <f>CA_Secteur_HorsCOVID!AJ31</f>
        <v>1363.2847393155837</v>
      </c>
      <c r="K31" s="1100">
        <f>CA_Secteur!AL31</f>
        <v>0</v>
      </c>
      <c r="L31" s="1100">
        <f>CA_Secteur_HorsCOVID!AL31</f>
        <v>215.83308135488255</v>
      </c>
      <c r="M31" s="1100">
        <f t="shared" si="31"/>
        <v>1103.6035736503147</v>
      </c>
      <c r="N31" s="1103">
        <f t="shared" si="32"/>
        <v>1147.4516579607011</v>
      </c>
      <c r="O31" s="269">
        <f>'Synthèse mesures CT'!C$5*'Synthèse mesures CT'!C27</f>
        <v>6.6017073777157792E-2</v>
      </c>
      <c r="P31" s="269">
        <f>'Synthèse mesures CT'!D$5*'Synthèse mesures CT'!D27</f>
        <v>3.1302576492751928E-2</v>
      </c>
      <c r="Q31" s="269">
        <f>'Synthèse mesures CT'!E$5*'Synthèse mesures CT'!E27</f>
        <v>1.4698620641025641E-2</v>
      </c>
      <c r="R31" s="269" t="e">
        <f t="shared" si="0"/>
        <v>#N/A</v>
      </c>
      <c r="S31" s="1103">
        <f t="shared" si="22"/>
        <v>1959.5980524206227</v>
      </c>
      <c r="T31" s="1103">
        <f t="shared" si="33"/>
        <v>1109.9511777788659</v>
      </c>
      <c r="U31" s="267">
        <f>IF(Hypothèses!$H$1="France",'Synthèse mesures CT'!F$5*'Synthèse mesures CT'!F27,0)</f>
        <v>0</v>
      </c>
      <c r="V31" s="267">
        <f>IF(Hypothèses!$H$1="France",'Synthèse mesures CT'!H$5*'Synthèse mesures CT'!H27,0.0025)</f>
        <v>2.5000000000000001E-3</v>
      </c>
      <c r="W31" s="267">
        <f>IF(Hypothèses!$H$1="France",'Synthèse mesures CT'!G$5*'Synthèse mesures CT'!G27,0.0025)</f>
        <v>2.5000000000000001E-3</v>
      </c>
      <c r="X31" s="267">
        <f>IF(Hypothèses!$H$1="France",'Synthèse mesures CT'!I$5*'Synthèse mesures CT'!I27,0)</f>
        <v>0</v>
      </c>
      <c r="Y31" s="268">
        <f t="shared" si="37"/>
        <v>1949.8000621585195</v>
      </c>
      <c r="Z31" s="311">
        <f>IF(Hypothèses!$H$1="France",Z30*($Z$42/$Z$27)^(1/15),Z30*($Z$42/$Z$13)^(1/30))</f>
        <v>3.0170881682725758E-2</v>
      </c>
      <c r="AA31" s="268">
        <f t="shared" si="24"/>
        <v>1890.677261173237</v>
      </c>
      <c r="AB31" s="662">
        <f>'Synthèse scénarios'!R36</f>
        <v>0.28926666666666678</v>
      </c>
      <c r="AC31" s="662">
        <f>'Synthèse scénarios'!R79</f>
        <v>0.18106000000000011</v>
      </c>
      <c r="AD31" s="662">
        <f>'Synthèse scénarios'!R122</f>
        <v>0.23276666666666668</v>
      </c>
      <c r="AE31" s="268">
        <f t="shared" si="34"/>
        <v>1343.7673520911917</v>
      </c>
      <c r="AF31" s="268">
        <f t="shared" si="35"/>
        <v>1548.3512362652104</v>
      </c>
      <c r="AG31" s="268">
        <f t="shared" si="36"/>
        <v>1450.5906173474798</v>
      </c>
      <c r="AH31" s="664">
        <f>'Synthèse scénarios'!T36</f>
        <v>0.5709067931554298</v>
      </c>
      <c r="AI31" s="664">
        <f>'Synthèse scénarios'!T79</f>
        <v>0.15318418548382884</v>
      </c>
      <c r="AJ31" s="664">
        <f>'Synthèse scénarios'!T122</f>
        <v>0.16463322647854631</v>
      </c>
      <c r="AK31" s="268">
        <f t="shared" si="26"/>
        <v>576.60144236184613</v>
      </c>
      <c r="AL31" s="268">
        <f t="shared" si="27"/>
        <v>1311.1683132950448</v>
      </c>
      <c r="AM31" s="268">
        <f t="shared" si="27"/>
        <v>1211.7752037140579</v>
      </c>
      <c r="AN31" s="666">
        <f>'Synthèse scénarios'!V36</f>
        <v>0</v>
      </c>
      <c r="AO31" s="666">
        <f>'Synthèse scénarios'!V79</f>
        <v>177.70726928984141</v>
      </c>
      <c r="AP31" s="666">
        <f>'Synthèse scénarios'!V122</f>
        <v>94.12792574730031</v>
      </c>
      <c r="AQ31" s="268">
        <f t="shared" si="28"/>
        <v>576.60144236184613</v>
      </c>
      <c r="AR31" s="268">
        <f t="shared" si="29"/>
        <v>1133.4610440052033</v>
      </c>
      <c r="AS31" s="1073">
        <f t="shared" si="29"/>
        <v>1117.6472779667574</v>
      </c>
      <c r="AT31" s="1093">
        <f>Trajectoires!$F$11</f>
        <v>1088.0952380952381</v>
      </c>
      <c r="AU31" s="1094">
        <f>Hypothèses!$J$87</f>
        <v>21597.620036212185</v>
      </c>
      <c r="AV31" s="1094">
        <f>Hypothèses!$E$86</f>
        <v>23159.851826716433</v>
      </c>
      <c r="AW31" s="1094">
        <f>Hypothèses!$E$87</f>
        <v>29941.465897522903</v>
      </c>
      <c r="AX31" s="1094">
        <f>Hypothèses!$E$88</f>
        <v>38079.402782490666</v>
      </c>
      <c r="AY31" s="1094">
        <f t="shared" si="2"/>
        <v>16899.351172779432</v>
      </c>
      <c r="AZ31" s="1094">
        <f t="shared" si="3"/>
        <v>17735.477354416638</v>
      </c>
      <c r="BA31" s="1094">
        <f t="shared" si="4"/>
        <v>23310.253853069815</v>
      </c>
      <c r="BB31" s="1094">
        <f t="shared" si="5"/>
        <v>28897.327013614315</v>
      </c>
      <c r="BC31" s="1094">
        <f t="shared" si="6"/>
        <v>22093.530566265465</v>
      </c>
      <c r="BD31" s="1094">
        <f t="shared" si="7"/>
        <v>27575.908686730538</v>
      </c>
      <c r="BE31" s="1097">
        <f t="shared" si="8"/>
        <v>22043.984402164799</v>
      </c>
      <c r="BF31" s="1097">
        <f t="shared" si="9"/>
        <v>24599.817841241838</v>
      </c>
      <c r="BG31" s="1097">
        <f t="shared" si="10"/>
        <v>29008.693105039856</v>
      </c>
      <c r="BH31" s="1097">
        <f t="shared" si="11"/>
        <v>29008.693105039856</v>
      </c>
      <c r="BI31" s="1097">
        <f t="shared" si="12"/>
        <v>22998.887599262889</v>
      </c>
      <c r="BJ31" s="1097">
        <f t="shared" si="13"/>
        <v>28874.477020467035</v>
      </c>
      <c r="BK31" s="1097">
        <f t="shared" si="14"/>
        <v>28453.118847840578</v>
      </c>
      <c r="BL31" s="1094">
        <f t="shared" si="15"/>
        <v>24214.005591910311</v>
      </c>
      <c r="BM31" s="1094">
        <f t="shared" si="16"/>
        <v>25703.60939796704</v>
      </c>
      <c r="BN31" s="1094">
        <f t="shared" si="17"/>
        <v>20488.144313937333</v>
      </c>
      <c r="BO31" s="1094">
        <f t="shared" si="18"/>
        <v>24281.951670882456</v>
      </c>
      <c r="BP31" s="1094">
        <f t="shared" si="19"/>
        <v>20488.144313937333</v>
      </c>
      <c r="BQ31" s="1094">
        <f t="shared" si="20"/>
        <v>22763.032792974846</v>
      </c>
      <c r="BR31" s="1095">
        <f t="shared" si="21"/>
        <v>22584.005163479454</v>
      </c>
      <c r="BS31" s="251"/>
      <c r="BT31" s="251"/>
      <c r="BU31" s="251"/>
      <c r="BV31" s="253"/>
      <c r="BW31" s="253"/>
      <c r="BX31" s="253"/>
      <c r="BY31" s="253"/>
      <c r="BZ31" s="253"/>
      <c r="CA31" s="253"/>
      <c r="CB31" s="253"/>
      <c r="CC31" s="265"/>
      <c r="CD31" s="265"/>
      <c r="CE31" s="254"/>
      <c r="CF31" s="254"/>
      <c r="CG31" s="1149"/>
      <c r="CH31" s="1149"/>
      <c r="CI31" s="1149"/>
      <c r="CJ31" s="1149"/>
      <c r="CK31" s="1149"/>
    </row>
    <row r="32" spans="1:89" ht="15">
      <c r="A32" s="250"/>
      <c r="B32" s="1087">
        <f t="shared" si="1"/>
        <v>2040</v>
      </c>
      <c r="C32" s="1104">
        <f>C31*(1-Hypothèses!$F$87)</f>
        <v>504.49294762372881</v>
      </c>
      <c r="D32" s="1098">
        <f t="shared" si="30"/>
        <v>536.45793265680004</v>
      </c>
      <c r="E32" s="1105">
        <f>Hypothèses!$K$49/2</f>
        <v>383.07402168788303</v>
      </c>
      <c r="F32" s="1103">
        <f>F31*(1+Hypothèses!$B$43)*(1-Hypothèses!$B$39)</f>
        <v>1333.361552231414</v>
      </c>
      <c r="G32" s="1103">
        <f>G31*(1+Hypothèses!$B$43)</f>
        <v>2037.9819745174477</v>
      </c>
      <c r="H32" s="1103">
        <f>H31*(1+Hypothèses!$B$43)*(1-Hypothèses!$B$39)</f>
        <v>1622.2382024709198</v>
      </c>
      <c r="I32" s="1102">
        <f>CA_Secteur!AJ32</f>
        <v>1090.5863699099887</v>
      </c>
      <c r="J32" s="1100">
        <f>CA_Secteur_HorsCOVID!AJ32</f>
        <v>1349.1491397841125</v>
      </c>
      <c r="K32" s="1100">
        <f>CA_Secteur!AL32</f>
        <v>0</v>
      </c>
      <c r="L32" s="1100">
        <f>CA_Secteur_HorsCOVID!AL32</f>
        <v>200.9599097915077</v>
      </c>
      <c r="M32" s="1100">
        <f t="shared" si="31"/>
        <v>1090.5863699099887</v>
      </c>
      <c r="N32" s="1103">
        <f t="shared" si="32"/>
        <v>1148.1892299926049</v>
      </c>
      <c r="O32" s="269">
        <f>'Synthèse mesures CT'!C$5*'Synthèse mesures CT'!C28</f>
        <v>6.6017073777157792E-2</v>
      </c>
      <c r="P32" s="269">
        <f>'Synthèse mesures CT'!D$5*'Synthèse mesures CT'!D28</f>
        <v>3.1302576492751928E-2</v>
      </c>
      <c r="Q32" s="269">
        <f>'Synthèse mesures CT'!E$5*'Synthèse mesures CT'!E28</f>
        <v>1.4698620641025641E-2</v>
      </c>
      <c r="R32" s="269" t="e">
        <f t="shared" si="0"/>
        <v>#N/A</v>
      </c>
      <c r="S32" s="1103">
        <f t="shared" si="22"/>
        <v>2037.9819745174477</v>
      </c>
      <c r="T32" s="1103">
        <f t="shared" si="33"/>
        <v>1109.9511777788659</v>
      </c>
      <c r="U32" s="267">
        <f>IF(Hypothèses!$H$1="France",'Synthèse mesures CT'!F$5*'Synthèse mesures CT'!F28,0)</f>
        <v>0</v>
      </c>
      <c r="V32" s="267">
        <f>IF(Hypothèses!$H$1="France",'Synthèse mesures CT'!H$5*'Synthèse mesures CT'!H28,0.0025)</f>
        <v>2.5000000000000001E-3</v>
      </c>
      <c r="W32" s="267">
        <f>IF(Hypothèses!$H$1="France",'Synthèse mesures CT'!G$5*'Synthèse mesures CT'!G28,0.0025)</f>
        <v>2.5000000000000001E-3</v>
      </c>
      <c r="X32" s="267">
        <f>IF(Hypothèses!$H$1="France",'Synthèse mesures CT'!I$5*'Synthèse mesures CT'!I28,0)</f>
        <v>0</v>
      </c>
      <c r="Y32" s="268">
        <f t="shared" si="37"/>
        <v>2027.7920646448604</v>
      </c>
      <c r="Z32" s="311">
        <f>IF(Hypothèses!$H$1="France",Z31*($Z$42/$Z$27)^(1/15),Z31*($Z$42/$Z$13)^(1/30))</f>
        <v>3.3339237912842837E-2</v>
      </c>
      <c r="AA32" s="268">
        <f t="shared" si="24"/>
        <v>1959.847298734338</v>
      </c>
      <c r="AB32" s="662">
        <f>'Synthèse scénarios'!R37</f>
        <v>0.30003333333333337</v>
      </c>
      <c r="AC32" s="662">
        <f>'Synthèse scénarios'!R80</f>
        <v>0.19612000000000007</v>
      </c>
      <c r="AD32" s="662">
        <f>'Synthèse scénarios'!R123</f>
        <v>0.24406666666666665</v>
      </c>
      <c r="AE32" s="268">
        <f t="shared" si="34"/>
        <v>1371.8277808707453</v>
      </c>
      <c r="AF32" s="268">
        <f t="shared" si="35"/>
        <v>1575.4820465065595</v>
      </c>
      <c r="AG32" s="268">
        <f t="shared" si="36"/>
        <v>1481.5139013565772</v>
      </c>
      <c r="AH32" s="664">
        <f>'Synthèse scénarios'!T37</f>
        <v>0.60571413687629372</v>
      </c>
      <c r="AI32" s="664">
        <f>'Synthèse scénarios'!T80</f>
        <v>0.20386867802426969</v>
      </c>
      <c r="AJ32" s="664">
        <f>'Synthèse scénarios'!T123</f>
        <v>0.23379217169302516</v>
      </c>
      <c r="AK32" s="268">
        <f t="shared" si="26"/>
        <v>540.89230063770037</v>
      </c>
      <c r="AL32" s="268">
        <f t="shared" si="27"/>
        <v>1254.2906044342963</v>
      </c>
      <c r="AM32" s="268">
        <f t="shared" si="27"/>
        <v>1135.1475489650168</v>
      </c>
      <c r="AN32" s="666">
        <f>'Synthèse scénarios'!V37</f>
        <v>0</v>
      </c>
      <c r="AO32" s="666">
        <f>'Synthèse scénarios'!V80</f>
        <v>125.28683874972194</v>
      </c>
      <c r="AP32" s="666">
        <f>'Synthèse scénarios'!V123</f>
        <v>23.832160538725816</v>
      </c>
      <c r="AQ32" s="268">
        <f t="shared" si="28"/>
        <v>540.89230063770037</v>
      </c>
      <c r="AR32" s="268">
        <f t="shared" si="29"/>
        <v>1129.0037656845743</v>
      </c>
      <c r="AS32" s="1073">
        <f t="shared" si="29"/>
        <v>1111.3153884262911</v>
      </c>
      <c r="AT32" s="1093">
        <f>Trajectoires!$F$11</f>
        <v>1088.0952380952381</v>
      </c>
      <c r="AU32" s="1094">
        <f>Hypothèses!$J$87</f>
        <v>21597.620036212185</v>
      </c>
      <c r="AV32" s="1094">
        <f>Hypothèses!$E$86</f>
        <v>23159.851826716433</v>
      </c>
      <c r="AW32" s="1094">
        <f>Hypothèses!$E$87</f>
        <v>29941.465897522903</v>
      </c>
      <c r="AX32" s="1094">
        <f>Hypothèses!$E$88</f>
        <v>38079.402782490666</v>
      </c>
      <c r="AY32" s="1094">
        <f t="shared" si="2"/>
        <v>17403.844120403162</v>
      </c>
      <c r="AZ32" s="1094">
        <f t="shared" si="3"/>
        <v>18271.935287073436</v>
      </c>
      <c r="BA32" s="1094">
        <f t="shared" si="4"/>
        <v>24643.615405301229</v>
      </c>
      <c r="BB32" s="1094">
        <f t="shared" si="5"/>
        <v>30519.565216085233</v>
      </c>
      <c r="BC32" s="1094">
        <f t="shared" si="6"/>
        <v>23184.116936175455</v>
      </c>
      <c r="BD32" s="1094">
        <f t="shared" si="7"/>
        <v>28925.057826514651</v>
      </c>
      <c r="BE32" s="1097">
        <f t="shared" si="8"/>
        <v>23134.570772074789</v>
      </c>
      <c r="BF32" s="1097">
        <f t="shared" si="9"/>
        <v>25748.007071234442</v>
      </c>
      <c r="BG32" s="1097">
        <f t="shared" si="10"/>
        <v>31046.675079557303</v>
      </c>
      <c r="BH32" s="1097">
        <f t="shared" si="11"/>
        <v>31046.675079557303</v>
      </c>
      <c r="BI32" s="1097">
        <f t="shared" si="12"/>
        <v>24108.838777041754</v>
      </c>
      <c r="BJ32" s="1097">
        <f t="shared" si="13"/>
        <v>30902.269085111897</v>
      </c>
      <c r="BK32" s="1097">
        <f t="shared" si="14"/>
        <v>30412.966146574916</v>
      </c>
      <c r="BL32" s="1094">
        <f t="shared" si="15"/>
        <v>25585.833372781057</v>
      </c>
      <c r="BM32" s="1094">
        <f t="shared" si="16"/>
        <v>27279.091444473601</v>
      </c>
      <c r="BN32" s="1094">
        <f t="shared" si="17"/>
        <v>21029.036614575034</v>
      </c>
      <c r="BO32" s="1094">
        <f t="shared" si="18"/>
        <v>25536.242275316752</v>
      </c>
      <c r="BP32" s="1094">
        <f t="shared" si="19"/>
        <v>21029.036614575034</v>
      </c>
      <c r="BQ32" s="1094">
        <f t="shared" si="20"/>
        <v>23892.03655865942</v>
      </c>
      <c r="BR32" s="1095">
        <f t="shared" si="21"/>
        <v>23695.320551905745</v>
      </c>
      <c r="BS32" s="251"/>
      <c r="BT32" s="251"/>
      <c r="BU32" s="251"/>
      <c r="BV32" s="253"/>
      <c r="BW32" s="253"/>
      <c r="BX32" s="253"/>
      <c r="BY32" s="253"/>
      <c r="BZ32" s="253"/>
      <c r="CA32" s="253"/>
      <c r="CB32" s="253"/>
      <c r="CC32" s="265"/>
      <c r="CD32" s="265"/>
      <c r="CE32" s="254"/>
      <c r="CF32" s="254"/>
      <c r="CG32" s="1149"/>
      <c r="CH32" s="1149"/>
      <c r="CI32" s="1149"/>
      <c r="CJ32" s="1149"/>
      <c r="CK32" s="1149"/>
    </row>
    <row r="33" spans="1:89" ht="15">
      <c r="A33" s="250"/>
      <c r="B33" s="1087">
        <f t="shared" si="1"/>
        <v>2041</v>
      </c>
      <c r="C33" s="1104">
        <f>C32*(1-Hypothèses!$F$87)</f>
        <v>487.39063669928436</v>
      </c>
      <c r="D33" s="1098">
        <f t="shared" si="30"/>
        <v>518.69298513160095</v>
      </c>
      <c r="E33" s="1105">
        <f>Hypothèses!$K$49/2</f>
        <v>383.07402168788303</v>
      </c>
      <c r="F33" s="1103">
        <f>F32*(1+Hypothèses!$B$43)*(1-Hypothèses!$B$39)</f>
        <v>1358.9620940342572</v>
      </c>
      <c r="G33" s="1103">
        <f>G32*(1+Hypothèses!$B$43)</f>
        <v>2119.5012534981456</v>
      </c>
      <c r="H33" s="1103">
        <f>H32*(1+Hypothèses!$B$43)*(1-Hypothèses!$B$39)</f>
        <v>1653.3851759583613</v>
      </c>
      <c r="I33" s="1102">
        <f>CA_Secteur!AJ33</f>
        <v>1070.9447300153879</v>
      </c>
      <c r="J33" s="1100">
        <f>CA_Secteur_HorsCOVID!AJ33</f>
        <v>1326.8534701508602</v>
      </c>
      <c r="K33" s="1100">
        <f>CA_Secteur!AL33</f>
        <v>0</v>
      </c>
      <c r="L33" s="1100">
        <f>CA_Secteur_HorsCOVID!AL33</f>
        <v>178.64533233908742</v>
      </c>
      <c r="M33" s="1100">
        <f t="shared" si="31"/>
        <v>1070.9447300153879</v>
      </c>
      <c r="N33" s="1103">
        <f t="shared" si="32"/>
        <v>1148.2081378117728</v>
      </c>
      <c r="O33" s="269">
        <f>'Synthèse mesures CT'!C$5*'Synthèse mesures CT'!C29</f>
        <v>6.6017073777157792E-2</v>
      </c>
      <c r="P33" s="269">
        <f>'Synthèse mesures CT'!D$5*'Synthèse mesures CT'!D29</f>
        <v>3.1302576492751928E-2</v>
      </c>
      <c r="Q33" s="269">
        <f>'Synthèse mesures CT'!E$5*'Synthèse mesures CT'!E29</f>
        <v>1.4698620641025641E-2</v>
      </c>
      <c r="R33" s="269" t="e">
        <f t="shared" si="0"/>
        <v>#N/A</v>
      </c>
      <c r="S33" s="1103">
        <f t="shared" si="22"/>
        <v>2119.5012534981456</v>
      </c>
      <c r="T33" s="1103">
        <f t="shared" si="33"/>
        <v>1109.9511777788659</v>
      </c>
      <c r="U33" s="267">
        <f>IF(Hypothèses!$H$1="France",'Synthèse mesures CT'!F$5*'Synthèse mesures CT'!F29,0)</f>
        <v>0</v>
      </c>
      <c r="V33" s="267">
        <f>IF(Hypothèses!$H$1="France",'Synthèse mesures CT'!H$5*'Synthèse mesures CT'!H29,0.0025)</f>
        <v>2.5000000000000001E-3</v>
      </c>
      <c r="W33" s="267">
        <f>IF(Hypothèses!$H$1="France",'Synthèse mesures CT'!G$5*'Synthèse mesures CT'!G29,0.0025)</f>
        <v>2.5000000000000001E-3</v>
      </c>
      <c r="X33" s="267">
        <f>IF(Hypothèses!$H$1="France",'Synthèse mesures CT'!I$5*'Synthèse mesures CT'!I29,0)</f>
        <v>0</v>
      </c>
      <c r="Y33" s="268">
        <f t="shared" si="37"/>
        <v>2108.903747230655</v>
      </c>
      <c r="Z33" s="311">
        <f>IF(Hypothèses!$H$1="France",Z32*($Z$42/$Z$27)^(1/15),Z32*($Z$42/$Z$13)^(1/30))</f>
        <v>3.6840314986403784E-2</v>
      </c>
      <c r="AA33" s="268">
        <f t="shared" si="24"/>
        <v>2030.8206534377057</v>
      </c>
      <c r="AB33" s="662">
        <f>'Synthèse scénarios'!R38</f>
        <v>0.31080000000000008</v>
      </c>
      <c r="AC33" s="662">
        <f>'Synthèse scénarios'!R81</f>
        <v>0.21118000000000015</v>
      </c>
      <c r="AD33" s="662">
        <f>'Synthèse scénarios'!R124</f>
        <v>0.25536666666666663</v>
      </c>
      <c r="AE33" s="268">
        <f t="shared" si="34"/>
        <v>1399.6415943492666</v>
      </c>
      <c r="AF33" s="268">
        <f t="shared" si="35"/>
        <v>1601.9519478447307</v>
      </c>
      <c r="AG33" s="268">
        <f t="shared" si="36"/>
        <v>1512.216752571497</v>
      </c>
      <c r="AH33" s="664">
        <f>'Synthèse scénarios'!T38</f>
        <v>0.63928558248609413</v>
      </c>
      <c r="AI33" s="664">
        <f>'Synthèse scénarios'!T81</f>
        <v>0.25317609054774048</v>
      </c>
      <c r="AJ33" s="664">
        <f>'Synthèse scénarios'!T124</f>
        <v>0.30127471684416074</v>
      </c>
      <c r="AK33" s="268">
        <f t="shared" si="26"/>
        <v>504.87090243393021</v>
      </c>
      <c r="AL33" s="268">
        <f t="shared" si="27"/>
        <v>1196.3760164440639</v>
      </c>
      <c r="AM33" s="268">
        <f t="shared" si="27"/>
        <v>1056.6240786335229</v>
      </c>
      <c r="AN33" s="666">
        <f>'Synthèse scénarios'!V38</f>
        <v>0</v>
      </c>
      <c r="AO33" s="666">
        <f>'Synthèse scénarios'!V81</f>
        <v>72.514214635182157</v>
      </c>
      <c r="AP33" s="666">
        <f>'Synthèse scénarios'!V124</f>
        <v>0</v>
      </c>
      <c r="AQ33" s="268">
        <f t="shared" si="28"/>
        <v>504.87090243393021</v>
      </c>
      <c r="AR33" s="268">
        <f t="shared" si="29"/>
        <v>1123.8618018088819</v>
      </c>
      <c r="AS33" s="1073">
        <f t="shared" si="29"/>
        <v>1056.6240786335229</v>
      </c>
      <c r="AT33" s="1093">
        <f>Trajectoires!$F$11</f>
        <v>1088.0952380952381</v>
      </c>
      <c r="AU33" s="1094">
        <f>Hypothèses!$J$87</f>
        <v>21597.620036212185</v>
      </c>
      <c r="AV33" s="1094">
        <f>Hypothèses!$E$86</f>
        <v>23159.851826716433</v>
      </c>
      <c r="AW33" s="1094">
        <f>Hypothèses!$E$87</f>
        <v>29941.465897522903</v>
      </c>
      <c r="AX33" s="1094">
        <f>Hypothèses!$E$88</f>
        <v>38079.402782490666</v>
      </c>
      <c r="AY33" s="1094">
        <f t="shared" si="2"/>
        <v>17891.234757102447</v>
      </c>
      <c r="AZ33" s="1094">
        <f t="shared" si="3"/>
        <v>18790.628272205038</v>
      </c>
      <c r="BA33" s="1094">
        <f t="shared" si="4"/>
        <v>26002.577499335486</v>
      </c>
      <c r="BB33" s="1094">
        <f t="shared" si="5"/>
        <v>32172.950392043596</v>
      </c>
      <c r="BC33" s="1094">
        <f t="shared" si="6"/>
        <v>24255.061666190843</v>
      </c>
      <c r="BD33" s="1094">
        <f t="shared" si="7"/>
        <v>30251.911296665512</v>
      </c>
      <c r="BE33" s="1097">
        <f t="shared" si="8"/>
        <v>24205.515502090177</v>
      </c>
      <c r="BF33" s="1097">
        <f t="shared" si="9"/>
        <v>26896.215209046215</v>
      </c>
      <c r="BG33" s="1097">
        <f t="shared" si="10"/>
        <v>33166.176333055446</v>
      </c>
      <c r="BH33" s="1097">
        <f t="shared" si="11"/>
        <v>33166.176333055446</v>
      </c>
      <c r="BI33" s="1097">
        <f t="shared" si="12"/>
        <v>25218.789954820619</v>
      </c>
      <c r="BJ33" s="1097">
        <f t="shared" si="13"/>
        <v>33011.172832342549</v>
      </c>
      <c r="BK33" s="1097">
        <f t="shared" si="14"/>
        <v>32443.786800012622</v>
      </c>
      <c r="BL33" s="1094">
        <f t="shared" si="15"/>
        <v>26985.474967130322</v>
      </c>
      <c r="BM33" s="1094">
        <f t="shared" si="16"/>
        <v>28881.04339231833</v>
      </c>
      <c r="BN33" s="1094">
        <f t="shared" si="17"/>
        <v>21533.907517008964</v>
      </c>
      <c r="BO33" s="1094">
        <f t="shared" si="18"/>
        <v>26732.618291760817</v>
      </c>
      <c r="BP33" s="1094">
        <f t="shared" si="19"/>
        <v>21533.907517008964</v>
      </c>
      <c r="BQ33" s="1094">
        <f t="shared" si="20"/>
        <v>25015.898360468302</v>
      </c>
      <c r="BR33" s="1095">
        <f t="shared" si="21"/>
        <v>24751.944630539267</v>
      </c>
      <c r="BS33" s="251"/>
      <c r="BT33" s="251"/>
      <c r="BU33" s="251"/>
      <c r="BV33" s="253"/>
      <c r="BW33" s="253"/>
      <c r="BX33" s="253"/>
      <c r="BY33" s="253"/>
      <c r="BZ33" s="253"/>
      <c r="CA33" s="253"/>
      <c r="CB33" s="253"/>
      <c r="CC33" s="265"/>
      <c r="CD33" s="265"/>
      <c r="CE33" s="254"/>
      <c r="CF33" s="254"/>
      <c r="CG33" s="1149"/>
      <c r="CH33" s="1149"/>
      <c r="CI33" s="1149"/>
      <c r="CJ33" s="1149"/>
      <c r="CK33" s="1149"/>
    </row>
    <row r="34" spans="1:89" ht="15">
      <c r="A34" s="250"/>
      <c r="B34" s="1087">
        <f t="shared" si="1"/>
        <v>2042</v>
      </c>
      <c r="C34" s="1104">
        <f>C33*(1-Hypothèses!$F$87)</f>
        <v>470.86809411517862</v>
      </c>
      <c r="D34" s="1098">
        <f t="shared" si="30"/>
        <v>501.51632858200566</v>
      </c>
      <c r="E34" s="1105">
        <f>Hypothèses!$K$49/2</f>
        <v>383.07402168788303</v>
      </c>
      <c r="F34" s="1103">
        <f>F33*(1+Hypothèses!$B$43)*(1-Hypothèses!$B$39)</f>
        <v>1385.054166239715</v>
      </c>
      <c r="G34" s="1103">
        <f>G33*(1+Hypothèses!$B$43)</f>
        <v>2204.2813036380717</v>
      </c>
      <c r="H34" s="1103">
        <f>H33*(1+Hypothèses!$B$43)*(1-Hypothèses!$B$39)</f>
        <v>1685.1301713367618</v>
      </c>
      <c r="I34" s="1102">
        <f>CA_Secteur!AJ34</f>
        <v>1043.3635486767143</v>
      </c>
      <c r="J34" s="1100">
        <f>CA_Secteur_HorsCOVID!AJ34</f>
        <v>1294.6972706246697</v>
      </c>
      <c r="K34" s="1100">
        <f>CA_Secteur!AL34</f>
        <v>0</v>
      </c>
      <c r="L34" s="1100">
        <f>CA_Secteur_HorsCOVID!AL34</f>
        <v>147.34609914968587</v>
      </c>
      <c r="M34" s="1100">
        <f t="shared" si="31"/>
        <v>1043.3635486767143</v>
      </c>
      <c r="N34" s="1103">
        <f t="shared" si="32"/>
        <v>1147.3511714749839</v>
      </c>
      <c r="O34" s="269">
        <f>'Synthèse mesures CT'!C$5*'Synthèse mesures CT'!C30</f>
        <v>6.6017073777157792E-2</v>
      </c>
      <c r="P34" s="269">
        <f>'Synthèse mesures CT'!D$5*'Synthèse mesures CT'!D30</f>
        <v>3.1302576492751928E-2</v>
      </c>
      <c r="Q34" s="269">
        <f>'Synthèse mesures CT'!E$5*'Synthèse mesures CT'!E30</f>
        <v>1.4698620641025641E-2</v>
      </c>
      <c r="R34" s="269" t="e">
        <f t="shared" si="0"/>
        <v>#N/A</v>
      </c>
      <c r="S34" s="1103">
        <f t="shared" si="22"/>
        <v>2204.2813036380717</v>
      </c>
      <c r="T34" s="1103">
        <f t="shared" si="33"/>
        <v>1109.9511777788659</v>
      </c>
      <c r="U34" s="267">
        <f>IF(Hypothèses!$H$1="France",'Synthèse mesures CT'!F$5*'Synthèse mesures CT'!F30,0)</f>
        <v>0</v>
      </c>
      <c r="V34" s="267">
        <f>IF(Hypothèses!$H$1="France",'Synthèse mesures CT'!H$5*'Synthèse mesures CT'!H30,0.0025)</f>
        <v>2.5000000000000001E-3</v>
      </c>
      <c r="W34" s="267">
        <f>IF(Hypothèses!$H$1="France",'Synthèse mesures CT'!G$5*'Synthèse mesures CT'!G30,0.0025)</f>
        <v>2.5000000000000001E-3</v>
      </c>
      <c r="X34" s="267">
        <f>IF(Hypothèses!$H$1="France",'Synthèse mesures CT'!I$5*'Synthèse mesures CT'!I30,0)</f>
        <v>0</v>
      </c>
      <c r="Y34" s="268">
        <f t="shared" si="37"/>
        <v>2193.2598971198813</v>
      </c>
      <c r="Z34" s="311">
        <f>IF(Hypothèses!$H$1="France",Z33*($Z$42/$Z$27)^(1/15),Z33*($Z$42/$Z$13)^(1/30))</f>
        <v>4.070905315369034E-2</v>
      </c>
      <c r="AA34" s="268">
        <f t="shared" si="24"/>
        <v>2103.5256923643933</v>
      </c>
      <c r="AB34" s="662">
        <f>'Synthèse scénarios'!R39</f>
        <v>0.3193666666666668</v>
      </c>
      <c r="AC34" s="662">
        <f>'Synthèse scénarios'!R82</f>
        <v>0.22624000000000022</v>
      </c>
      <c r="AD34" s="662">
        <f>'Synthèse scénarios'!R125</f>
        <v>0.26666666666666672</v>
      </c>
      <c r="AE34" s="268">
        <f t="shared" si="34"/>
        <v>1431.7297037462847</v>
      </c>
      <c r="AF34" s="268">
        <f t="shared" si="35"/>
        <v>1627.6240397238726</v>
      </c>
      <c r="AG34" s="268">
        <f t="shared" si="36"/>
        <v>1542.5855077338883</v>
      </c>
      <c r="AH34" s="664">
        <f>'Synthèse scénarios'!T39</f>
        <v>0.67231446951448859</v>
      </c>
      <c r="AI34" s="664">
        <f>'Synthèse scénarios'!T82</f>
        <v>0.30567016225089183</v>
      </c>
      <c r="AJ34" s="664">
        <f>'Synthèse scénarios'!T125</f>
        <v>0.37190353286898037</v>
      </c>
      <c r="AK34" s="268">
        <f t="shared" si="26"/>
        <v>469.15710748396538</v>
      </c>
      <c r="AL34" s="268">
        <f t="shared" si="27"/>
        <v>1130.1079354180245</v>
      </c>
      <c r="AM34" s="268">
        <f t="shared" si="27"/>
        <v>968.89250765516545</v>
      </c>
      <c r="AN34" s="666">
        <f>'Synthèse scénarios'!V39</f>
        <v>0</v>
      </c>
      <c r="AO34" s="666">
        <f>'Synthèse scénarios'!V82</f>
        <v>12.384561684694631</v>
      </c>
      <c r="AP34" s="666">
        <f>'Synthèse scénarios'!V125</f>
        <v>0</v>
      </c>
      <c r="AQ34" s="268">
        <f t="shared" si="28"/>
        <v>469.15710748396538</v>
      </c>
      <c r="AR34" s="268">
        <f t="shared" si="29"/>
        <v>1117.7233737333299</v>
      </c>
      <c r="AS34" s="1073">
        <f t="shared" si="29"/>
        <v>968.89250765516545</v>
      </c>
      <c r="AT34" s="1093">
        <f>Trajectoires!$F$11</f>
        <v>1088.0952380952381</v>
      </c>
      <c r="AU34" s="1094">
        <f>Hypothèses!$J$87</f>
        <v>21597.620036212185</v>
      </c>
      <c r="AV34" s="1094">
        <f>Hypothèses!$E$86</f>
        <v>23159.851826716433</v>
      </c>
      <c r="AW34" s="1094">
        <f>Hypothèses!$E$87</f>
        <v>29941.465897522903</v>
      </c>
      <c r="AX34" s="1094">
        <f>Hypothèses!$E$88</f>
        <v>38079.402782490666</v>
      </c>
      <c r="AY34" s="1094">
        <f t="shared" si="2"/>
        <v>18362.102851217627</v>
      </c>
      <c r="AZ34" s="1094">
        <f t="shared" si="3"/>
        <v>19292.144600787044</v>
      </c>
      <c r="BA34" s="1094">
        <f t="shared" si="4"/>
        <v>27387.631665575202</v>
      </c>
      <c r="BB34" s="1094">
        <f t="shared" si="5"/>
        <v>33858.080563380361</v>
      </c>
      <c r="BC34" s="1094">
        <f t="shared" si="6"/>
        <v>25298.425214867559</v>
      </c>
      <c r="BD34" s="1094">
        <f t="shared" si="7"/>
        <v>31546.608567290183</v>
      </c>
      <c r="BE34" s="1097">
        <f t="shared" si="8"/>
        <v>25248.879050766889</v>
      </c>
      <c r="BF34" s="1097">
        <f t="shared" si="9"/>
        <v>28043.566380521199</v>
      </c>
      <c r="BG34" s="1097">
        <f t="shared" si="10"/>
        <v>35370.457636693514</v>
      </c>
      <c r="BH34" s="1097">
        <f t="shared" si="11"/>
        <v>35370.457636693514</v>
      </c>
      <c r="BI34" s="1097">
        <f t="shared" si="12"/>
        <v>26328.741132599484</v>
      </c>
      <c r="BJ34" s="1097">
        <f t="shared" si="13"/>
        <v>35204.432729462431</v>
      </c>
      <c r="BK34" s="1097">
        <f t="shared" si="14"/>
        <v>34547.312492377016</v>
      </c>
      <c r="BL34" s="1094">
        <f t="shared" si="15"/>
        <v>28417.204670876607</v>
      </c>
      <c r="BM34" s="1094">
        <f t="shared" si="16"/>
        <v>30508.667432042203</v>
      </c>
      <c r="BN34" s="1094">
        <f t="shared" si="17"/>
        <v>22003.06462449293</v>
      </c>
      <c r="BO34" s="1094">
        <f t="shared" si="18"/>
        <v>27862.726227178842</v>
      </c>
      <c r="BP34" s="1094">
        <f t="shared" si="19"/>
        <v>22003.06462449293</v>
      </c>
      <c r="BQ34" s="1094">
        <f t="shared" si="20"/>
        <v>26133.621734201632</v>
      </c>
      <c r="BR34" s="1095">
        <f t="shared" si="21"/>
        <v>25720.837138194431</v>
      </c>
      <c r="BS34" s="251"/>
      <c r="BT34" s="251"/>
      <c r="BU34" s="251"/>
      <c r="BV34" s="253"/>
      <c r="BW34" s="253"/>
      <c r="BX34" s="253"/>
      <c r="BY34" s="253"/>
      <c r="BZ34" s="253"/>
      <c r="CA34" s="253"/>
      <c r="CB34" s="253"/>
      <c r="CC34" s="265"/>
      <c r="CD34" s="265"/>
      <c r="CE34" s="254"/>
      <c r="CF34" s="254"/>
      <c r="CG34" s="1149"/>
      <c r="CH34" s="1149"/>
      <c r="CI34" s="1149"/>
      <c r="CJ34" s="1149"/>
      <c r="CK34" s="1149"/>
    </row>
    <row r="35" spans="1:89" ht="15">
      <c r="A35" s="250"/>
      <c r="B35" s="1087">
        <f t="shared" si="1"/>
        <v>2043</v>
      </c>
      <c r="C35" s="1104">
        <f>C34*(1-Hypothèses!$F$87)</f>
        <v>454.90566572467407</v>
      </c>
      <c r="D35" s="1098">
        <f t="shared" si="30"/>
        <v>484.90848159544674</v>
      </c>
      <c r="E35" s="1105">
        <f>Hypothèses!$K$49/2</f>
        <v>383.07402168788303</v>
      </c>
      <c r="F35" s="1103">
        <f>F34*(1+Hypothèses!$B$43)*(1-Hypothèses!$B$39)</f>
        <v>1411.6472062315177</v>
      </c>
      <c r="G35" s="1103">
        <f>G34*(1+Hypothèses!$B$43)</f>
        <v>2292.4525557835946</v>
      </c>
      <c r="H35" s="1103">
        <f>H34*(1+Hypothèses!$B$43)*(1-Hypothèses!$B$39)</f>
        <v>1717.4846706264277</v>
      </c>
      <c r="I35" s="1102">
        <f>CA_Secteur!AJ35</f>
        <v>1006.2810973918581</v>
      </c>
      <c r="J35" s="1100">
        <f>CA_Secteur_HorsCOVID!AJ35</f>
        <v>1250.6453185901985</v>
      </c>
      <c r="K35" s="1100">
        <f>CA_Secteur!AL35</f>
        <v>0</v>
      </c>
      <c r="L35" s="1100">
        <f>CA_Secteur_HorsCOVID!AL35</f>
        <v>105.21528116480511</v>
      </c>
      <c r="M35" s="1100">
        <f t="shared" si="31"/>
        <v>1006.2810973918581</v>
      </c>
      <c r="N35" s="1103">
        <f t="shared" si="32"/>
        <v>1145.4300374253935</v>
      </c>
      <c r="O35" s="269">
        <f>'Synthèse mesures CT'!C$5*'Synthèse mesures CT'!C31</f>
        <v>6.6017073777157792E-2</v>
      </c>
      <c r="P35" s="269">
        <f>'Synthèse mesures CT'!D$5*'Synthèse mesures CT'!D31</f>
        <v>3.1302576492751928E-2</v>
      </c>
      <c r="Q35" s="269">
        <f>'Synthèse mesures CT'!E$5*'Synthèse mesures CT'!E31</f>
        <v>1.4698620641025641E-2</v>
      </c>
      <c r="R35" s="269" t="e">
        <f t="shared" si="0"/>
        <v>#N/A</v>
      </c>
      <c r="S35" s="1103">
        <f t="shared" si="22"/>
        <v>2292.4525557835946</v>
      </c>
      <c r="T35" s="1103">
        <f t="shared" si="33"/>
        <v>1109.9511777788659</v>
      </c>
      <c r="U35" s="267">
        <f>IF(Hypothèses!$H$1="France",'Synthèse mesures CT'!F$5*'Synthèse mesures CT'!F31,0)</f>
        <v>0</v>
      </c>
      <c r="V35" s="267">
        <f>IF(Hypothèses!$H$1="France",'Synthèse mesures CT'!H$5*'Synthèse mesures CT'!H31,0.0025)</f>
        <v>2.5000000000000001E-3</v>
      </c>
      <c r="W35" s="267">
        <f>IF(Hypothèses!$H$1="France",'Synthèse mesures CT'!G$5*'Synthèse mesures CT'!G31,0.0025)</f>
        <v>2.5000000000000001E-3</v>
      </c>
      <c r="X35" s="267">
        <f>IF(Hypothèses!$H$1="France",'Synthèse mesures CT'!I$5*'Synthèse mesures CT'!I31,0)</f>
        <v>0</v>
      </c>
      <c r="Y35" s="268">
        <f t="shared" si="37"/>
        <v>2280.9902930046765</v>
      </c>
      <c r="Z35" s="311">
        <f>IF(Hypothèses!$H$1="France",Z34*($Z$42/$Z$27)^(1/15),Z34*($Z$42/$Z$13)^(1/30))</f>
        <v>4.4984061870306985E-2</v>
      </c>
      <c r="AA35" s="268">
        <f t="shared" si="24"/>
        <v>2177.8664654005638</v>
      </c>
      <c r="AB35" s="662">
        <f>'Synthèse scénarios'!R40</f>
        <v>0.3279333333333333</v>
      </c>
      <c r="AC35" s="662">
        <f>'Synthèse scénarios'!R83</f>
        <v>0.24129999999999996</v>
      </c>
      <c r="AD35" s="662">
        <f>'Synthèse scénarios'!R126</f>
        <v>0.2779666666666667</v>
      </c>
      <c r="AE35" s="268">
        <f t="shared" si="34"/>
        <v>1463.6714558468723</v>
      </c>
      <c r="AF35" s="268">
        <f t="shared" si="35"/>
        <v>1652.3472872994078</v>
      </c>
      <c r="AG35" s="268">
        <f t="shared" si="36"/>
        <v>1572.4921835680536</v>
      </c>
      <c r="AH35" s="664">
        <f>'Synthèse scénarios'!T40</f>
        <v>0.70534335654288294</v>
      </c>
      <c r="AI35" s="664">
        <f>'Synthèse scénarios'!T83</f>
        <v>0.361828963825373</v>
      </c>
      <c r="AJ35" s="664">
        <f>'Synthèse scénarios'!T126</f>
        <v>0.44612928809484798</v>
      </c>
      <c r="AK35" s="268">
        <f t="shared" si="26"/>
        <v>431.28051830383129</v>
      </c>
      <c r="AL35" s="268">
        <f t="shared" si="27"/>
        <v>1054.4801804561971</v>
      </c>
      <c r="AM35" s="268">
        <f t="shared" si="27"/>
        <v>870.95736517812486</v>
      </c>
      <c r="AN35" s="666">
        <f>'Synthèse scénarios'!V40</f>
        <v>0</v>
      </c>
      <c r="AO35" s="666">
        <f>'Synthèse scénarios'!V83</f>
        <v>0</v>
      </c>
      <c r="AP35" s="666">
        <f>'Synthèse scénarios'!V126</f>
        <v>0</v>
      </c>
      <c r="AQ35" s="268">
        <f t="shared" si="28"/>
        <v>431.28051830383129</v>
      </c>
      <c r="AR35" s="268">
        <f t="shared" si="29"/>
        <v>1054.4801804561971</v>
      </c>
      <c r="AS35" s="1073">
        <f t="shared" si="29"/>
        <v>870.95736517812486</v>
      </c>
      <c r="AT35" s="1093">
        <f>Trajectoires!$F$11</f>
        <v>1088.0952380952381</v>
      </c>
      <c r="AU35" s="1094">
        <f>Hypothèses!$J$87</f>
        <v>21597.620036212185</v>
      </c>
      <c r="AV35" s="1094">
        <f>Hypothèses!$E$86</f>
        <v>23159.851826716433</v>
      </c>
      <c r="AW35" s="1094">
        <f>Hypothèses!$E$87</f>
        <v>29941.465897522903</v>
      </c>
      <c r="AX35" s="1094">
        <f>Hypothèses!$E$88</f>
        <v>38079.402782490666</v>
      </c>
      <c r="AY35" s="1094">
        <f t="shared" si="2"/>
        <v>18817.0085169423</v>
      </c>
      <c r="AZ35" s="1094">
        <f t="shared" si="3"/>
        <v>19777.053082382492</v>
      </c>
      <c r="BA35" s="1094">
        <f t="shared" si="4"/>
        <v>28799.27887180672</v>
      </c>
      <c r="BB35" s="1094">
        <f t="shared" si="5"/>
        <v>35575.56523400679</v>
      </c>
      <c r="BC35" s="1094">
        <f t="shared" si="6"/>
        <v>26304.706312259415</v>
      </c>
      <c r="BD35" s="1094">
        <f t="shared" si="7"/>
        <v>32797.253885880382</v>
      </c>
      <c r="BE35" s="1097">
        <f t="shared" si="8"/>
        <v>26255.160148158746</v>
      </c>
      <c r="BF35" s="1097">
        <f t="shared" si="9"/>
        <v>29188.996417946593</v>
      </c>
      <c r="BG35" s="1097">
        <f t="shared" si="10"/>
        <v>37662.910192477109</v>
      </c>
      <c r="BH35" s="1097">
        <f t="shared" si="11"/>
        <v>37662.910192477109</v>
      </c>
      <c r="BI35" s="1097">
        <f t="shared" si="12"/>
        <v>27438.692310378348</v>
      </c>
      <c r="BJ35" s="1097">
        <f t="shared" si="13"/>
        <v>37485.423022467105</v>
      </c>
      <c r="BK35" s="1097">
        <f t="shared" si="14"/>
        <v>36725.178957777578</v>
      </c>
      <c r="BL35" s="1094">
        <f t="shared" si="15"/>
        <v>29880.87612672348</v>
      </c>
      <c r="BM35" s="1094">
        <f t="shared" si="16"/>
        <v>32161.014719341609</v>
      </c>
      <c r="BN35" s="1094">
        <f t="shared" si="17"/>
        <v>22434.345142796763</v>
      </c>
      <c r="BO35" s="1094">
        <f t="shared" si="18"/>
        <v>28917.20640763504</v>
      </c>
      <c r="BP35" s="1094">
        <f t="shared" si="19"/>
        <v>22434.345142796763</v>
      </c>
      <c r="BQ35" s="1094">
        <f t="shared" si="20"/>
        <v>27188.101914657829</v>
      </c>
      <c r="BR35" s="1095">
        <f t="shared" si="21"/>
        <v>26591.794503372555</v>
      </c>
      <c r="BS35" s="251"/>
      <c r="BT35" s="251"/>
      <c r="BU35" s="251"/>
      <c r="BV35" s="253"/>
      <c r="BW35" s="253"/>
      <c r="BX35" s="253"/>
      <c r="BY35" s="253"/>
      <c r="BZ35" s="253"/>
      <c r="CA35" s="253"/>
      <c r="CB35" s="253"/>
      <c r="CC35" s="265"/>
      <c r="CD35" s="265"/>
      <c r="CE35" s="254"/>
      <c r="CF35" s="254"/>
      <c r="CG35" s="1149"/>
      <c r="CH35" s="1149"/>
      <c r="CI35" s="1149"/>
      <c r="CJ35" s="1149"/>
      <c r="CK35" s="1149"/>
    </row>
    <row r="36" spans="1:89" ht="15">
      <c r="A36" s="250"/>
      <c r="B36" s="1087">
        <f t="shared" si="1"/>
        <v>2044</v>
      </c>
      <c r="C36" s="1104">
        <f>C35*(1-Hypothèses!$F$87)</f>
        <v>439.48436365660757</v>
      </c>
      <c r="D36" s="1098">
        <f t="shared" si="30"/>
        <v>468.85060789153016</v>
      </c>
      <c r="E36" s="1105">
        <f>Hypothèses!$K$49/2</f>
        <v>383.07402168788303</v>
      </c>
      <c r="F36" s="1103">
        <f>F35*(1+Hypothèses!$B$43)*(1-Hypothèses!$B$39)</f>
        <v>1438.7508325911629</v>
      </c>
      <c r="G36" s="1103">
        <f>G35*(1+Hypothèses!$B$43)</f>
        <v>2384.1506580149385</v>
      </c>
      <c r="H36" s="1103">
        <f>H35*(1+Hypothèses!$B$43)*(1-Hypothèses!$B$39)</f>
        <v>1750.4603763024552</v>
      </c>
      <c r="I36" s="1102">
        <f>CA_Secteur!AJ36</f>
        <v>957.84303545064245</v>
      </c>
      <c r="J36" s="1100">
        <f>CA_Secteur_HorsCOVID!AJ36</f>
        <v>1192.262078433301</v>
      </c>
      <c r="K36" s="1100">
        <f>CA_Secteur!AL36</f>
        <v>0</v>
      </c>
      <c r="L36" s="1100">
        <f>CA_Secteur_HorsCOVID!AL36</f>
        <v>50.042809011308577</v>
      </c>
      <c r="M36" s="1100">
        <f t="shared" si="31"/>
        <v>957.84303545064245</v>
      </c>
      <c r="N36" s="1103">
        <f t="shared" si="32"/>
        <v>1142.2192694219925</v>
      </c>
      <c r="O36" s="269">
        <f>'Synthèse mesures CT'!C$5*'Synthèse mesures CT'!C32</f>
        <v>6.6017073777157792E-2</v>
      </c>
      <c r="P36" s="269">
        <f>'Synthèse mesures CT'!D$5*'Synthèse mesures CT'!D32</f>
        <v>3.1302576492751928E-2</v>
      </c>
      <c r="Q36" s="269">
        <f>'Synthèse mesures CT'!E$5*'Synthèse mesures CT'!E32</f>
        <v>1.4698620641025641E-2</v>
      </c>
      <c r="R36" s="269" t="e">
        <f t="shared" si="0"/>
        <v>#N/A</v>
      </c>
      <c r="S36" s="1103">
        <f t="shared" si="22"/>
        <v>2384.1506580149385</v>
      </c>
      <c r="T36" s="1103">
        <f t="shared" si="33"/>
        <v>1109.9511777788659</v>
      </c>
      <c r="U36" s="267">
        <f>IF(Hypothèses!$H$1="France",'Synthèse mesures CT'!F$5*'Synthèse mesures CT'!F32,0)</f>
        <v>0</v>
      </c>
      <c r="V36" s="267">
        <f>IF(Hypothèses!$H$1="France",'Synthèse mesures CT'!H$5*'Synthèse mesures CT'!H32,0.0025)</f>
        <v>2.5000000000000001E-3</v>
      </c>
      <c r="W36" s="267">
        <f>IF(Hypothèses!$H$1="France",'Synthèse mesures CT'!G$5*'Synthèse mesures CT'!G32,0.0025)</f>
        <v>2.5000000000000001E-3</v>
      </c>
      <c r="X36" s="267">
        <f>IF(Hypothèses!$H$1="France",'Synthèse mesures CT'!I$5*'Synthèse mesures CT'!I32,0)</f>
        <v>0</v>
      </c>
      <c r="Y36" s="268">
        <f t="shared" si="37"/>
        <v>2372.2299047248639</v>
      </c>
      <c r="Z36" s="311">
        <f>IF(Hypothèses!$H$1="France",Z35*($Z$42/$Z$27)^(1/15),Z35*($Z$42/$Z$13)^(1/30))</f>
        <v>4.9708005114045925E-2</v>
      </c>
      <c r="AA36" s="268">
        <f t="shared" si="24"/>
        <v>2253.7185316236014</v>
      </c>
      <c r="AB36" s="662">
        <f>'Synthèse scénarios'!R41</f>
        <v>0.33650000000000013</v>
      </c>
      <c r="AC36" s="662">
        <f>'Synthèse scénarios'!R84</f>
        <v>0.25636000000000003</v>
      </c>
      <c r="AD36" s="662">
        <f>'Synthèse scénarios'!R127</f>
        <v>0.28926666666666667</v>
      </c>
      <c r="AE36" s="268">
        <f t="shared" si="34"/>
        <v>1495.3422457322592</v>
      </c>
      <c r="AF36" s="268">
        <f t="shared" si="35"/>
        <v>1675.9552488565748</v>
      </c>
      <c r="AG36" s="268">
        <f t="shared" si="36"/>
        <v>1601.7928843759476</v>
      </c>
      <c r="AH36" s="664">
        <f>'Synthèse scénarios'!T41</f>
        <v>0.73837224357127751</v>
      </c>
      <c r="AI36" s="664">
        <f>'Synthèse scénarios'!T84</f>
        <v>0.42221072648680652</v>
      </c>
      <c r="AJ36" s="664">
        <f>'Synthèse scénarios'!T127</f>
        <v>0.52447466351488903</v>
      </c>
      <c r="AK36" s="268">
        <f t="shared" si="26"/>
        <v>391.2230368440184</v>
      </c>
      <c r="AL36" s="268">
        <f t="shared" si="27"/>
        <v>968.34896567746387</v>
      </c>
      <c r="AM36" s="268">
        <f t="shared" si="27"/>
        <v>761.69310032232886</v>
      </c>
      <c r="AN36" s="666">
        <f>'Synthèse scénarios'!V41</f>
        <v>0</v>
      </c>
      <c r="AO36" s="666">
        <f>'Synthèse scénarios'!V84</f>
        <v>0</v>
      </c>
      <c r="AP36" s="666">
        <f>'Synthèse scénarios'!V127</f>
        <v>0</v>
      </c>
      <c r="AQ36" s="268">
        <f t="shared" si="28"/>
        <v>391.2230368440184</v>
      </c>
      <c r="AR36" s="268">
        <f t="shared" si="29"/>
        <v>968.34896567746387</v>
      </c>
      <c r="AS36" s="1073">
        <f t="shared" si="29"/>
        <v>761.69310032232886</v>
      </c>
      <c r="AT36" s="1093">
        <f>Trajectoires!$F$11</f>
        <v>1088.0952380952381</v>
      </c>
      <c r="AU36" s="1094">
        <f>Hypothèses!$J$87</f>
        <v>21597.620036212185</v>
      </c>
      <c r="AV36" s="1094">
        <f>Hypothèses!$E$86</f>
        <v>23159.851826716433</v>
      </c>
      <c r="AW36" s="1094">
        <f>Hypothèses!$E$87</f>
        <v>29941.465897522903</v>
      </c>
      <c r="AX36" s="1094">
        <f>Hypothèses!$E$88</f>
        <v>38079.402782490666</v>
      </c>
      <c r="AY36" s="1094">
        <f t="shared" si="2"/>
        <v>19256.492880598908</v>
      </c>
      <c r="AZ36" s="1094">
        <f t="shared" si="3"/>
        <v>20245.903690274023</v>
      </c>
      <c r="BA36" s="1094">
        <f t="shared" si="4"/>
        <v>30238.029704397883</v>
      </c>
      <c r="BB36" s="1094">
        <f t="shared" si="5"/>
        <v>37326.025610309247</v>
      </c>
      <c r="BC36" s="1094">
        <f t="shared" si="6"/>
        <v>27262.549347710057</v>
      </c>
      <c r="BD36" s="1094">
        <f t="shared" si="7"/>
        <v>33989.515964313679</v>
      </c>
      <c r="BE36" s="1097">
        <f t="shared" si="8"/>
        <v>27213.003183609388</v>
      </c>
      <c r="BF36" s="1097">
        <f t="shared" si="9"/>
        <v>30331.215687368585</v>
      </c>
      <c r="BG36" s="1097">
        <f t="shared" si="10"/>
        <v>40047.060850492046</v>
      </c>
      <c r="BH36" s="1097">
        <f t="shared" si="11"/>
        <v>40047.060850492046</v>
      </c>
      <c r="BI36" s="1097">
        <f t="shared" si="12"/>
        <v>28548.643488157213</v>
      </c>
      <c r="BJ36" s="1097">
        <f t="shared" si="13"/>
        <v>39857.652927191972</v>
      </c>
      <c r="BK36" s="1097">
        <f t="shared" si="14"/>
        <v>38978.897489401177</v>
      </c>
      <c r="BL36" s="1094">
        <f t="shared" si="15"/>
        <v>31376.21837245574</v>
      </c>
      <c r="BM36" s="1094">
        <f t="shared" si="16"/>
        <v>33836.96996819818</v>
      </c>
      <c r="BN36" s="1094">
        <f t="shared" si="17"/>
        <v>22825.568179640781</v>
      </c>
      <c r="BO36" s="1094">
        <f t="shared" si="18"/>
        <v>29885.555373312505</v>
      </c>
      <c r="BP36" s="1094">
        <f t="shared" si="19"/>
        <v>22825.568179640781</v>
      </c>
      <c r="BQ36" s="1094">
        <f t="shared" si="20"/>
        <v>28156.450880335295</v>
      </c>
      <c r="BR36" s="1095">
        <f t="shared" si="21"/>
        <v>27353.487603694884</v>
      </c>
      <c r="BS36" s="251"/>
      <c r="BT36" s="251"/>
      <c r="BU36" s="251"/>
      <c r="BV36" s="253"/>
      <c r="BW36" s="253"/>
      <c r="BX36" s="253"/>
      <c r="BY36" s="253"/>
      <c r="BZ36" s="253"/>
      <c r="CA36" s="253"/>
      <c r="CB36" s="253"/>
      <c r="CC36" s="265"/>
      <c r="CD36" s="265"/>
      <c r="CE36" s="254"/>
      <c r="CF36" s="254"/>
      <c r="CG36" s="1149"/>
      <c r="CH36" s="1149"/>
      <c r="CI36" s="1149"/>
      <c r="CJ36" s="1149"/>
      <c r="CK36" s="1149"/>
    </row>
    <row r="37" spans="1:89" ht="15">
      <c r="A37" s="250"/>
      <c r="B37" s="1087">
        <f t="shared" si="1"/>
        <v>2045</v>
      </c>
      <c r="C37" s="1104">
        <f>C36*(1-Hypothèses!$F$87)</f>
        <v>424.58584372864857</v>
      </c>
      <c r="D37" s="1098">
        <f t="shared" si="30"/>
        <v>453.32449495831105</v>
      </c>
      <c r="E37" s="1105">
        <f>Hypothèses!$K$49/2</f>
        <v>383.07402168788303</v>
      </c>
      <c r="F37" s="1103">
        <f>F36*(1+Hypothèses!$B$43)*(1-Hypothèses!$B$39)</f>
        <v>1466.3748485769133</v>
      </c>
      <c r="G37" s="1103">
        <f>G36*(1+Hypothèses!$B$43)</f>
        <v>2479.516684335536</v>
      </c>
      <c r="H37" s="1103">
        <f>H36*(1+Hypothèses!$B$43)*(1-Hypothèses!$B$39)</f>
        <v>1784.0692155274623</v>
      </c>
      <c r="I37" s="1102">
        <f>CA_Secteur!AJ37</f>
        <v>895.84785012469024</v>
      </c>
      <c r="J37" s="1100">
        <f>CA_Secteur_HorsCOVID!AJ37</f>
        <v>1116.6333226770239</v>
      </c>
      <c r="K37" s="1100">
        <f>CA_Secteur!AL37</f>
        <v>0</v>
      </c>
      <c r="L37" s="1100">
        <f>CA_Secteur_HorsCOVID!AL37</f>
        <v>0</v>
      </c>
      <c r="M37" s="1100">
        <f t="shared" si="31"/>
        <v>895.84785012469024</v>
      </c>
      <c r="N37" s="1103">
        <f t="shared" si="32"/>
        <v>1116.6333226770239</v>
      </c>
      <c r="O37" s="269">
        <f>'Synthèse mesures CT'!C$5*'Synthèse mesures CT'!C33</f>
        <v>6.6017073777157792E-2</v>
      </c>
      <c r="P37" s="269">
        <f>'Synthèse mesures CT'!D$5*'Synthèse mesures CT'!D33</f>
        <v>3.1302576492751928E-2</v>
      </c>
      <c r="Q37" s="269">
        <f>'Synthèse mesures CT'!E$5*'Synthèse mesures CT'!E33</f>
        <v>1.4698620641025641E-2</v>
      </c>
      <c r="R37" s="269" t="e">
        <f t="shared" si="0"/>
        <v>#N/A</v>
      </c>
      <c r="S37" s="1103">
        <f t="shared" si="22"/>
        <v>2479.516684335536</v>
      </c>
      <c r="T37" s="1103">
        <f t="shared" si="33"/>
        <v>1109.9511777788659</v>
      </c>
      <c r="U37" s="267">
        <f>IF(Hypothèses!$H$1="France",'Synthèse mesures CT'!F$5*'Synthèse mesures CT'!F33,0)</f>
        <v>0</v>
      </c>
      <c r="V37" s="267">
        <f>IF(Hypothèses!$H$1="France",'Synthèse mesures CT'!H$5*'Synthèse mesures CT'!H33,0.0025)</f>
        <v>2.5000000000000001E-3</v>
      </c>
      <c r="W37" s="267">
        <f>IF(Hypothèses!$H$1="France",'Synthèse mesures CT'!G$5*'Synthèse mesures CT'!G33,0.0025)</f>
        <v>2.5000000000000001E-3</v>
      </c>
      <c r="X37" s="267">
        <f>IF(Hypothèses!$H$1="France",'Synthèse mesures CT'!I$5*'Synthèse mesures CT'!I33,0)</f>
        <v>0</v>
      </c>
      <c r="Y37" s="268">
        <f t="shared" si="37"/>
        <v>2467.1191009138583</v>
      </c>
      <c r="Z37" s="311">
        <f>IF(Hypothèses!$H$1="France",Z36*($Z$42/$Z$27)^(1/15),Z36*($Z$42/$Z$13)^(1/30))</f>
        <v>5.4928027165305732E-2</v>
      </c>
      <c r="AA37" s="268">
        <f t="shared" si="24"/>
        <v>2330.9241411198473</v>
      </c>
      <c r="AB37" s="662">
        <f>'Synthèse scénarios'!R42</f>
        <v>0.34450000000000003</v>
      </c>
      <c r="AC37" s="662">
        <f>'Synthèse scénarios'!R85</f>
        <v>0.26314000000000015</v>
      </c>
      <c r="AD37" s="662">
        <f>'Synthèse scénarios'!R128</f>
        <v>0.30003333333333337</v>
      </c>
      <c r="AE37" s="268">
        <f t="shared" si="34"/>
        <v>1527.9207745040599</v>
      </c>
      <c r="AF37" s="268">
        <f t="shared" si="35"/>
        <v>1717.5647626255702</v>
      </c>
      <c r="AG37" s="268">
        <f t="shared" si="36"/>
        <v>1631.5692013125224</v>
      </c>
      <c r="AH37" s="664">
        <f>'Synthèse scénarios'!T42</f>
        <v>0.77132146304455396</v>
      </c>
      <c r="AI37" s="664">
        <f>'Synthèse scénarios'!T85</f>
        <v>0.48378537773603442</v>
      </c>
      <c r="AJ37" s="664">
        <f>'Synthèse scénarios'!T128</f>
        <v>0.60571413687629383</v>
      </c>
      <c r="AK37" s="268">
        <f t="shared" si="26"/>
        <v>349.40268729742041</v>
      </c>
      <c r="AL37" s="268">
        <f t="shared" si="27"/>
        <v>886.63204515265659</v>
      </c>
      <c r="AM37" s="268">
        <f t="shared" si="27"/>
        <v>643.30467078556376</v>
      </c>
      <c r="AN37" s="666">
        <f>'Synthèse scénarios'!V42</f>
        <v>0</v>
      </c>
      <c r="AO37" s="666">
        <f>'Synthèse scénarios'!V85</f>
        <v>0</v>
      </c>
      <c r="AP37" s="666">
        <f>'Synthèse scénarios'!V128</f>
        <v>0</v>
      </c>
      <c r="AQ37" s="268">
        <f t="shared" si="28"/>
        <v>349.40268729742041</v>
      </c>
      <c r="AR37" s="268">
        <f t="shared" si="29"/>
        <v>886.63204515265659</v>
      </c>
      <c r="AS37" s="1073">
        <f t="shared" si="29"/>
        <v>643.30467078556376</v>
      </c>
      <c r="AT37" s="1093">
        <f>Trajectoires!$F$11</f>
        <v>1088.0952380952381</v>
      </c>
      <c r="AU37" s="1094">
        <f>Hypothèses!$J$87</f>
        <v>21597.620036212185</v>
      </c>
      <c r="AV37" s="1094">
        <f>Hypothèses!$E$86</f>
        <v>23159.851826716433</v>
      </c>
      <c r="AW37" s="1094">
        <f>Hypothèses!$E$87</f>
        <v>29941.465897522903</v>
      </c>
      <c r="AX37" s="1094">
        <f>Hypothèses!$E$88</f>
        <v>38079.402782490666</v>
      </c>
      <c r="AY37" s="1094">
        <f t="shared" si="2"/>
        <v>19681.078724327555</v>
      </c>
      <c r="AZ37" s="1094">
        <f t="shared" si="3"/>
        <v>20699.228185232332</v>
      </c>
      <c r="BA37" s="1094">
        <f t="shared" si="4"/>
        <v>31704.404552974796</v>
      </c>
      <c r="BB37" s="1094">
        <f t="shared" si="5"/>
        <v>39110.094825836706</v>
      </c>
      <c r="BC37" s="1094">
        <f t="shared" si="6"/>
        <v>28158.397197834747</v>
      </c>
      <c r="BD37" s="1094">
        <f t="shared" si="7"/>
        <v>35106.149286990702</v>
      </c>
      <c r="BE37" s="1097">
        <f t="shared" si="8"/>
        <v>28108.851033734078</v>
      </c>
      <c r="BF37" s="1097">
        <f t="shared" si="9"/>
        <v>31447.849010045611</v>
      </c>
      <c r="BG37" s="1097">
        <f t="shared" si="10"/>
        <v>42526.577534827578</v>
      </c>
      <c r="BH37" s="1097">
        <f t="shared" si="11"/>
        <v>42526.577534827578</v>
      </c>
      <c r="BI37" s="1097">
        <f t="shared" si="12"/>
        <v>29658.594665936078</v>
      </c>
      <c r="BJ37" s="1097">
        <f t="shared" si="13"/>
        <v>42324.772028105828</v>
      </c>
      <c r="BK37" s="1097">
        <f t="shared" si="14"/>
        <v>41309.821630521023</v>
      </c>
      <c r="BL37" s="1094">
        <f t="shared" si="15"/>
        <v>32904.139146959802</v>
      </c>
      <c r="BM37" s="1094">
        <f t="shared" si="16"/>
        <v>35554.534730823747</v>
      </c>
      <c r="BN37" s="1094">
        <f t="shared" si="17"/>
        <v>23174.970866938202</v>
      </c>
      <c r="BO37" s="1094">
        <f t="shared" si="18"/>
        <v>30772.187418465161</v>
      </c>
      <c r="BP37" s="1094">
        <f t="shared" si="19"/>
        <v>23174.970866938202</v>
      </c>
      <c r="BQ37" s="1094">
        <f t="shared" si="20"/>
        <v>29043.08292548795</v>
      </c>
      <c r="BR37" s="1095">
        <f t="shared" si="21"/>
        <v>27996.792274480449</v>
      </c>
      <c r="BS37" s="251"/>
      <c r="BT37" s="251"/>
      <c r="BU37" s="251"/>
      <c r="BV37" s="253"/>
      <c r="BW37" s="253"/>
      <c r="BX37" s="253"/>
      <c r="BY37" s="253"/>
      <c r="BZ37" s="253"/>
      <c r="CA37" s="253"/>
      <c r="CB37" s="253"/>
      <c r="CC37" s="265"/>
      <c r="CD37" s="265"/>
      <c r="CE37" s="254"/>
      <c r="CF37" s="254"/>
      <c r="CG37" s="1149"/>
      <c r="CH37" s="1149"/>
      <c r="CI37" s="1149"/>
      <c r="CJ37" s="1149"/>
      <c r="CK37" s="1149"/>
    </row>
    <row r="38" spans="1:89" ht="15">
      <c r="A38" s="250"/>
      <c r="B38" s="1087">
        <f t="shared" si="1"/>
        <v>2046</v>
      </c>
      <c r="C38" s="1104">
        <f>C37*(1-Hypothèses!$F$87)</f>
        <v>410.19238362624736</v>
      </c>
      <c r="D38" s="1098">
        <f t="shared" si="30"/>
        <v>438.31253339603529</v>
      </c>
      <c r="E38" s="1105">
        <f>Hypothèses!$K$49/2</f>
        <v>383.07402168788303</v>
      </c>
      <c r="F38" s="1103">
        <f>F37*(1+Hypothèses!$B$43)*(1-Hypothèses!$B$39)</f>
        <v>1494.52924566959</v>
      </c>
      <c r="G38" s="1103">
        <f>G37*(1+Hypothèses!$B$43)</f>
        <v>2578.6973517089573</v>
      </c>
      <c r="H38" s="1103">
        <f>H37*(1+Hypothèses!$B$43)*(1-Hypothèses!$B$39)</f>
        <v>1818.3233444655898</v>
      </c>
      <c r="I38" s="1102">
        <f>CA_Secteur!AJ38</f>
        <v>817.68212882446255</v>
      </c>
      <c r="J38" s="1100">
        <f>CA_Secteur_HorsCOVID!AJ38</f>
        <v>1020.2724138812692</v>
      </c>
      <c r="K38" s="1100">
        <f>CA_Secteur!AL38</f>
        <v>0</v>
      </c>
      <c r="L38" s="1100">
        <f>CA_Secteur_HorsCOVID!AL38</f>
        <v>0</v>
      </c>
      <c r="M38" s="1100">
        <f t="shared" si="31"/>
        <v>817.68212882446255</v>
      </c>
      <c r="N38" s="1103">
        <f t="shared" si="32"/>
        <v>1020.2724138812692</v>
      </c>
      <c r="O38" s="269">
        <f>'Synthèse mesures CT'!C$5*'Synthèse mesures CT'!C34</f>
        <v>6.6017073777157792E-2</v>
      </c>
      <c r="P38" s="269">
        <f>'Synthèse mesures CT'!D$5*'Synthèse mesures CT'!D34</f>
        <v>3.1302576492751928E-2</v>
      </c>
      <c r="Q38" s="269">
        <f>'Synthèse mesures CT'!E$5*'Synthèse mesures CT'!E34</f>
        <v>1.4698620641025641E-2</v>
      </c>
      <c r="R38" s="269" t="e">
        <f t="shared" si="0"/>
        <v>#N/A</v>
      </c>
      <c r="S38" s="1103">
        <f t="shared" si="22"/>
        <v>2578.6973517089573</v>
      </c>
      <c r="T38" s="1103">
        <f t="shared" si="33"/>
        <v>1109.9511777788659</v>
      </c>
      <c r="U38" s="267">
        <f>IF(Hypothèses!$H$1="France",'Synthèse mesures CT'!F$5*'Synthèse mesures CT'!F34,0)</f>
        <v>0</v>
      </c>
      <c r="V38" s="267">
        <f>IF(Hypothèses!$H$1="France",'Synthèse mesures CT'!H$5*'Synthèse mesures CT'!H34,0.0025)</f>
        <v>2.5000000000000001E-3</v>
      </c>
      <c r="W38" s="267">
        <f>IF(Hypothèses!$H$1="France",'Synthèse mesures CT'!G$5*'Synthèse mesures CT'!G34,0.0025)</f>
        <v>2.5000000000000001E-3</v>
      </c>
      <c r="X38" s="267">
        <f>IF(Hypothèses!$H$1="France",'Synthèse mesures CT'!I$5*'Synthèse mesures CT'!I34,0)</f>
        <v>0</v>
      </c>
      <c r="Y38" s="268">
        <f t="shared" si="37"/>
        <v>2565.8038649504124</v>
      </c>
      <c r="Z38" s="311">
        <f>IF(Hypothèses!$H$1="France",Z37*($Z$42/$Z$27)^(1/15),Z37*($Z$42/$Z$13)^(1/30))</f>
        <v>6.0696223100291546E-2</v>
      </c>
      <c r="AA38" s="268">
        <f t="shared" si="24"/>
        <v>2409.2866751829547</v>
      </c>
      <c r="AB38" s="662">
        <f>'Synthèse scénarios'!R43</f>
        <v>0.35250000000000015</v>
      </c>
      <c r="AC38" s="662">
        <f>'Synthèse scénarios'!R86</f>
        <v>0.26992000000000016</v>
      </c>
      <c r="AD38" s="662">
        <f>'Synthèse scénarios'!R129</f>
        <v>0.31080000000000008</v>
      </c>
      <c r="AE38" s="268">
        <f t="shared" si="34"/>
        <v>1560.0131221809629</v>
      </c>
      <c r="AF38" s="268">
        <f t="shared" si="35"/>
        <v>1758.9720158175712</v>
      </c>
      <c r="AG38" s="268">
        <f t="shared" si="36"/>
        <v>1660.4803765360921</v>
      </c>
      <c r="AH38" s="664">
        <f>'Synthèse scénarios'!T43</f>
        <v>0.80427068251783052</v>
      </c>
      <c r="AI38" s="664">
        <f>'Synthèse scénarios'!T86</f>
        <v>0.54672461887274459</v>
      </c>
      <c r="AJ38" s="664">
        <f>'Synthèse scénarios'!T129</f>
        <v>0.63876023070032506</v>
      </c>
      <c r="AK38" s="268">
        <f t="shared" si="26"/>
        <v>305.34030366770816</v>
      </c>
      <c r="AL38" s="268">
        <f t="shared" si="27"/>
        <v>797.29871086188632</v>
      </c>
      <c r="AM38" s="268">
        <f t="shared" si="27"/>
        <v>599.83154814653528</v>
      </c>
      <c r="AN38" s="666">
        <f>'Synthèse scénarios'!V43</f>
        <v>0</v>
      </c>
      <c r="AO38" s="666">
        <f>'Synthèse scénarios'!V86</f>
        <v>0</v>
      </c>
      <c r="AP38" s="666">
        <f>'Synthèse scénarios'!V129</f>
        <v>0</v>
      </c>
      <c r="AQ38" s="268">
        <f t="shared" si="28"/>
        <v>305.34030366770816</v>
      </c>
      <c r="AR38" s="268">
        <f t="shared" si="29"/>
        <v>797.29871086188632</v>
      </c>
      <c r="AS38" s="1073">
        <f t="shared" si="29"/>
        <v>599.83154814653528</v>
      </c>
      <c r="AT38" s="1093">
        <f>Trajectoires!$F$11</f>
        <v>1088.0952380952381</v>
      </c>
      <c r="AU38" s="1094">
        <f>Hypothèses!$J$87</f>
        <v>21597.620036212185</v>
      </c>
      <c r="AV38" s="1094">
        <f>Hypothèses!$E$86</f>
        <v>23159.851826716433</v>
      </c>
      <c r="AW38" s="1094">
        <f>Hypothèses!$E$87</f>
        <v>29941.465897522903</v>
      </c>
      <c r="AX38" s="1094">
        <f>Hypothèses!$E$88</f>
        <v>38079.402782490666</v>
      </c>
      <c r="AY38" s="1094">
        <f t="shared" si="2"/>
        <v>20091.271107953802</v>
      </c>
      <c r="AZ38" s="1094">
        <f t="shared" si="3"/>
        <v>21137.540718628366</v>
      </c>
      <c r="BA38" s="1094">
        <f t="shared" si="4"/>
        <v>33198.933798644386</v>
      </c>
      <c r="BB38" s="1094">
        <f t="shared" si="5"/>
        <v>40928.418170302299</v>
      </c>
      <c r="BC38" s="1094">
        <f t="shared" si="6"/>
        <v>28976.079326659208</v>
      </c>
      <c r="BD38" s="1094">
        <f t="shared" si="7"/>
        <v>36126.421700871972</v>
      </c>
      <c r="BE38" s="1097">
        <f t="shared" si="8"/>
        <v>28926.533162558539</v>
      </c>
      <c r="BF38" s="1097">
        <f t="shared" si="9"/>
        <v>32468.121423926881</v>
      </c>
      <c r="BG38" s="1097">
        <f t="shared" si="10"/>
        <v>45105.274886536536</v>
      </c>
      <c r="BH38" s="1097">
        <f t="shared" si="11"/>
        <v>45105.274886536536</v>
      </c>
      <c r="BI38" s="1097">
        <f t="shared" si="12"/>
        <v>30768.545843714943</v>
      </c>
      <c r="BJ38" s="1097">
        <f t="shared" si="13"/>
        <v>44890.575893056244</v>
      </c>
      <c r="BK38" s="1097">
        <f t="shared" si="14"/>
        <v>43719.10830570398</v>
      </c>
      <c r="BL38" s="1094">
        <f t="shared" si="15"/>
        <v>34464.152269140766</v>
      </c>
      <c r="BM38" s="1094">
        <f t="shared" si="16"/>
        <v>37313.506746641317</v>
      </c>
      <c r="BN38" s="1094">
        <f t="shared" si="17"/>
        <v>23480.31117060591</v>
      </c>
      <c r="BO38" s="1094">
        <f t="shared" si="18"/>
        <v>31569.486129327048</v>
      </c>
      <c r="BP38" s="1094">
        <f t="shared" si="19"/>
        <v>23480.31117060591</v>
      </c>
      <c r="BQ38" s="1094">
        <f t="shared" si="20"/>
        <v>29840.381636349837</v>
      </c>
      <c r="BR38" s="1095">
        <f t="shared" si="21"/>
        <v>28596.623822626985</v>
      </c>
      <c r="BS38" s="251"/>
      <c r="BT38" s="251"/>
      <c r="BU38" s="251"/>
      <c r="BV38" s="253"/>
      <c r="BW38" s="253"/>
      <c r="BX38" s="253"/>
      <c r="BY38" s="253"/>
      <c r="BZ38" s="253"/>
      <c r="CA38" s="253"/>
      <c r="CB38" s="253"/>
      <c r="CC38" s="265"/>
      <c r="CD38" s="265"/>
      <c r="CE38" s="254"/>
      <c r="CF38" s="254"/>
      <c r="CG38" s="1149"/>
      <c r="CH38" s="1149"/>
      <c r="CI38" s="1149"/>
      <c r="CJ38" s="1149"/>
      <c r="CK38" s="1149"/>
    </row>
    <row r="39" spans="1:89" ht="15">
      <c r="A39" s="250"/>
      <c r="B39" s="1087">
        <f t="shared" si="1"/>
        <v>2047</v>
      </c>
      <c r="C39" s="1104">
        <f>C38*(1-Hypothèses!$F$87)</f>
        <v>396.28686182131759</v>
      </c>
      <c r="D39" s="1098">
        <f t="shared" si="30"/>
        <v>423.79769694491853</v>
      </c>
      <c r="E39" s="1105">
        <f>Hypothèses!$K$49/2</f>
        <v>383.07402168788303</v>
      </c>
      <c r="F39" s="1103">
        <f>F38*(1+Hypothèses!$B$43)*(1-Hypothèses!$B$39)</f>
        <v>1523.2242071864462</v>
      </c>
      <c r="G39" s="1103">
        <f>G38*(1+Hypothèses!$B$43)</f>
        <v>2681.8452457773155</v>
      </c>
      <c r="H39" s="1103">
        <f>H38*(1+Hypothèses!$B$43)*(1-Hypothèses!$B$39)</f>
        <v>1853.2351526793291</v>
      </c>
      <c r="I39" s="1102">
        <f>CA_Secteur!AJ39</f>
        <v>720.24376835638861</v>
      </c>
      <c r="J39" s="1100">
        <f>CA_Secteur_HorsCOVID!AJ39</f>
        <v>899.00824545302623</v>
      </c>
      <c r="K39" s="1100">
        <f>CA_Secteur!AL39</f>
        <v>0</v>
      </c>
      <c r="L39" s="1100">
        <f>CA_Secteur_HorsCOVID!AL39</f>
        <v>0</v>
      </c>
      <c r="M39" s="1100">
        <f t="shared" si="31"/>
        <v>720.24376835638861</v>
      </c>
      <c r="N39" s="1103">
        <f t="shared" si="32"/>
        <v>899.00824545302623</v>
      </c>
      <c r="O39" s="269">
        <f>'Synthèse mesures CT'!C$5*'Synthèse mesures CT'!C35</f>
        <v>6.6017073777157792E-2</v>
      </c>
      <c r="P39" s="269">
        <f>'Synthèse mesures CT'!D$5*'Synthèse mesures CT'!D35</f>
        <v>3.1302576492751928E-2</v>
      </c>
      <c r="Q39" s="269">
        <f>'Synthèse mesures CT'!E$5*'Synthèse mesures CT'!E35</f>
        <v>1.4698620641025641E-2</v>
      </c>
      <c r="R39" s="269" t="e">
        <f t="shared" si="0"/>
        <v>#N/A</v>
      </c>
      <c r="S39" s="1103">
        <f t="shared" si="22"/>
        <v>2681.8452457773155</v>
      </c>
      <c r="T39" s="1103">
        <f t="shared" si="33"/>
        <v>1109.9511777788659</v>
      </c>
      <c r="U39" s="267">
        <f>IF(Hypothèses!$H$1="France",'Synthèse mesures CT'!F$5*'Synthèse mesures CT'!F35,0)</f>
        <v>0</v>
      </c>
      <c r="V39" s="267">
        <f>IF(Hypothèses!$H$1="France",'Synthèse mesures CT'!H$5*'Synthèse mesures CT'!H35,0.0025)</f>
        <v>2.5000000000000001E-3</v>
      </c>
      <c r="W39" s="267">
        <f>IF(Hypothèses!$H$1="France",'Synthèse mesures CT'!G$5*'Synthèse mesures CT'!G35,0.0025)</f>
        <v>2.5000000000000001E-3</v>
      </c>
      <c r="X39" s="267">
        <f>IF(Hypothèses!$H$1="France",'Synthèse mesures CT'!I$5*'Synthèse mesures CT'!I35,0)</f>
        <v>0</v>
      </c>
      <c r="Y39" s="268">
        <f t="shared" si="37"/>
        <v>2668.4360195484292</v>
      </c>
      <c r="Z39" s="311">
        <f>IF(Hypothèses!$H$1="France",Z38*($Z$42/$Z$27)^(1/15),Z38*($Z$42/$Z$13)^(1/30))</f>
        <v>6.707015869245192E-2</v>
      </c>
      <c r="AA39" s="268">
        <f t="shared" si="24"/>
        <v>2488.5642333255469</v>
      </c>
      <c r="AB39" s="662">
        <f>'Synthèse scénarios'!R44</f>
        <v>0.36050000000000015</v>
      </c>
      <c r="AC39" s="662">
        <f>'Synthèse scénarios'!R87</f>
        <v>0.27670000000000017</v>
      </c>
      <c r="AD39" s="662">
        <f>'Synthèse scénarios'!R130</f>
        <v>0.3193666666666668</v>
      </c>
      <c r="AE39" s="268">
        <f t="shared" si="34"/>
        <v>1591.4368272116869</v>
      </c>
      <c r="AF39" s="268">
        <f t="shared" si="35"/>
        <v>1799.9785099643677</v>
      </c>
      <c r="AG39" s="268">
        <f t="shared" si="36"/>
        <v>1693.7997693424777</v>
      </c>
      <c r="AH39" s="664">
        <f>'Synthèse scénarios'!T44</f>
        <v>0.83721990199110707</v>
      </c>
      <c r="AI39" s="664">
        <f>'Synthèse scénarios'!T87</f>
        <v>0.56647045911088068</v>
      </c>
      <c r="AJ39" s="664">
        <f>'Synthèse scénarios'!T130</f>
        <v>0.67180632452435618</v>
      </c>
      <c r="AK39" s="268">
        <f t="shared" si="26"/>
        <v>259.05424270847999</v>
      </c>
      <c r="AL39" s="268">
        <f t="shared" si="27"/>
        <v>780.3438570351334</v>
      </c>
      <c r="AM39" s="268">
        <f t="shared" si="27"/>
        <v>555.89437182030554</v>
      </c>
      <c r="AN39" s="666">
        <f>'Synthèse scénarios'!V44</f>
        <v>0</v>
      </c>
      <c r="AO39" s="666">
        <f>'Synthèse scénarios'!V87</f>
        <v>0</v>
      </c>
      <c r="AP39" s="666">
        <f>'Synthèse scénarios'!V130</f>
        <v>0</v>
      </c>
      <c r="AQ39" s="268">
        <f t="shared" si="28"/>
        <v>259.05424270847999</v>
      </c>
      <c r="AR39" s="268">
        <f t="shared" si="29"/>
        <v>780.3438570351334</v>
      </c>
      <c r="AS39" s="1073">
        <f t="shared" si="29"/>
        <v>555.89437182030554</v>
      </c>
      <c r="AT39" s="1093">
        <f>Trajectoires!$F$11</f>
        <v>1088.0952380952381</v>
      </c>
      <c r="AU39" s="1094">
        <f>Hypothèses!$J$87</f>
        <v>21597.620036212185</v>
      </c>
      <c r="AV39" s="1094">
        <f>Hypothèses!$E$86</f>
        <v>23159.851826716433</v>
      </c>
      <c r="AW39" s="1094">
        <f>Hypothèses!$E$87</f>
        <v>29941.465897522903</v>
      </c>
      <c r="AX39" s="1094">
        <f>Hypothèses!$E$88</f>
        <v>38079.402782490666</v>
      </c>
      <c r="AY39" s="1094">
        <f t="shared" si="2"/>
        <v>20487.55796977512</v>
      </c>
      <c r="AZ39" s="1094">
        <f t="shared" si="3"/>
        <v>21561.338415573286</v>
      </c>
      <c r="BA39" s="1094">
        <f t="shared" si="4"/>
        <v>34722.158005830832</v>
      </c>
      <c r="BB39" s="1094">
        <f t="shared" si="5"/>
        <v>42781.653322981627</v>
      </c>
      <c r="BC39" s="1094">
        <f t="shared" si="6"/>
        <v>29696.323095015596</v>
      </c>
      <c r="BD39" s="1094">
        <f t="shared" si="7"/>
        <v>37025.429946324999</v>
      </c>
      <c r="BE39" s="1097">
        <f t="shared" si="8"/>
        <v>29646.776930914926</v>
      </c>
      <c r="BF39" s="1097">
        <f t="shared" si="9"/>
        <v>33367.129669379909</v>
      </c>
      <c r="BG39" s="1097">
        <f t="shared" si="10"/>
        <v>47787.120132313852</v>
      </c>
      <c r="BH39" s="1097">
        <f t="shared" si="11"/>
        <v>47787.120132313852</v>
      </c>
      <c r="BI39" s="1097">
        <f t="shared" si="12"/>
        <v>31878.497021493808</v>
      </c>
      <c r="BJ39" s="1097">
        <f t="shared" si="13"/>
        <v>47559.01191260467</v>
      </c>
      <c r="BK39" s="1097">
        <f t="shared" si="14"/>
        <v>46207.672539029525</v>
      </c>
      <c r="BL39" s="1094">
        <f t="shared" si="15"/>
        <v>36055.589096352451</v>
      </c>
      <c r="BM39" s="1094">
        <f t="shared" si="16"/>
        <v>39113.485256605687</v>
      </c>
      <c r="BN39" s="1094">
        <f t="shared" si="17"/>
        <v>23739.36541331439</v>
      </c>
      <c r="BO39" s="1094">
        <f t="shared" si="18"/>
        <v>32349.82998636218</v>
      </c>
      <c r="BP39" s="1094">
        <f t="shared" si="19"/>
        <v>23739.36541331439</v>
      </c>
      <c r="BQ39" s="1094">
        <f t="shared" si="20"/>
        <v>30620.725493384969</v>
      </c>
      <c r="BR39" s="1095">
        <f t="shared" si="21"/>
        <v>29152.51819444729</v>
      </c>
      <c r="BS39" s="251"/>
      <c r="BT39" s="251"/>
      <c r="BU39" s="251"/>
      <c r="BV39" s="253"/>
      <c r="BW39" s="253"/>
      <c r="BX39" s="253"/>
      <c r="BY39" s="253"/>
      <c r="BZ39" s="253"/>
      <c r="CA39" s="253"/>
      <c r="CB39" s="253"/>
      <c r="CC39" s="265"/>
      <c r="CD39" s="265"/>
      <c r="CE39" s="254"/>
      <c r="CF39" s="254"/>
      <c r="CG39" s="1149"/>
      <c r="CH39" s="1149"/>
      <c r="CI39" s="1149"/>
      <c r="CJ39" s="1149"/>
      <c r="CK39" s="1149"/>
    </row>
    <row r="40" spans="1:89" ht="15">
      <c r="A40" s="250"/>
      <c r="B40" s="1087">
        <f t="shared" si="1"/>
        <v>2048</v>
      </c>
      <c r="C40" s="1104">
        <f>C39*(1-Hypothèses!$F$87)</f>
        <v>382.8527372055749</v>
      </c>
      <c r="D40" s="1098">
        <f t="shared" si="30"/>
        <v>409.76352317431042</v>
      </c>
      <c r="E40" s="1105">
        <f>Hypothèses!$K$49/2</f>
        <v>383.07402168788303</v>
      </c>
      <c r="F40" s="1103">
        <f>F39*(1+Hypothèses!$B$43)*(1-Hypothèses!$B$39)</f>
        <v>1552.4701119644258</v>
      </c>
      <c r="G40" s="1103">
        <f>G39*(1+Hypothèses!$B$43)</f>
        <v>2789.1190556084084</v>
      </c>
      <c r="H40" s="1103">
        <f>H39*(1+Hypothèses!$B$43)*(1-Hypothèses!$B$39)</f>
        <v>1888.8172676107722</v>
      </c>
      <c r="I40" s="1102">
        <f>CA_Secteur!AJ40</f>
        <v>599.85087329631335</v>
      </c>
      <c r="J40" s="1100">
        <f>CA_Secteur_HorsCOVID!AJ40</f>
        <v>747.85125206088105</v>
      </c>
      <c r="K40" s="1100">
        <f>CA_Secteur!AL40</f>
        <v>0</v>
      </c>
      <c r="L40" s="1100">
        <f>CA_Secteur_HorsCOVID!AL40</f>
        <v>0</v>
      </c>
      <c r="M40" s="1100">
        <f t="shared" si="31"/>
        <v>599.85087329631335</v>
      </c>
      <c r="N40" s="1103">
        <f t="shared" si="32"/>
        <v>747.85125206088105</v>
      </c>
      <c r="O40" s="269">
        <f>'Synthèse mesures CT'!C$5*'Synthèse mesures CT'!C36</f>
        <v>6.6017073777157792E-2</v>
      </c>
      <c r="P40" s="269">
        <f>'Synthèse mesures CT'!D$5*'Synthèse mesures CT'!D36</f>
        <v>3.1302576492751928E-2</v>
      </c>
      <c r="Q40" s="269">
        <f>'Synthèse mesures CT'!E$5*'Synthèse mesures CT'!E36</f>
        <v>1.4698620641025641E-2</v>
      </c>
      <c r="R40" s="269" t="e">
        <f t="shared" si="0"/>
        <v>#N/A</v>
      </c>
      <c r="S40" s="1103">
        <f t="shared" si="22"/>
        <v>2789.1190556084084</v>
      </c>
      <c r="T40" s="1103">
        <f t="shared" si="33"/>
        <v>1109.9511777788659</v>
      </c>
      <c r="U40" s="267">
        <f>IF(Hypothèses!$H$1="France",'Synthèse mesures CT'!F$5*'Synthèse mesures CT'!F36,0)</f>
        <v>0</v>
      </c>
      <c r="V40" s="267">
        <f>IF(Hypothèses!$H$1="France",'Synthèse mesures CT'!H$5*'Synthèse mesures CT'!H36,0.0025)</f>
        <v>2.5000000000000001E-3</v>
      </c>
      <c r="W40" s="267">
        <f>IF(Hypothèses!$H$1="France",'Synthèse mesures CT'!G$5*'Synthèse mesures CT'!G36,0.0025)</f>
        <v>2.5000000000000001E-3</v>
      </c>
      <c r="X40" s="267">
        <f>IF(Hypothèses!$H$1="France",'Synthèse mesures CT'!I$5*'Synthèse mesures CT'!I36,0)</f>
        <v>0</v>
      </c>
      <c r="Y40" s="268">
        <f t="shared" si="37"/>
        <v>2775.1734603303662</v>
      </c>
      <c r="Z40" s="311">
        <f>IF(Hypothèses!$H$1="France",Z39*($Z$42/$Z$27)^(1/15),Z39*($Z$42/$Z$13)^(1/30))</f>
        <v>7.4113444910694548E-2</v>
      </c>
      <c r="AA40" s="268">
        <f t="shared" si="24"/>
        <v>2568.4622388531639</v>
      </c>
      <c r="AB40" s="662">
        <f>'Synthèse scénarios'!R45</f>
        <v>0.36850000000000005</v>
      </c>
      <c r="AC40" s="662">
        <f>'Synthèse scénarios'!R88</f>
        <v>0.28348000000000018</v>
      </c>
      <c r="AD40" s="662">
        <f>'Synthèse scénarios'!R131</f>
        <v>0.32793333333333341</v>
      </c>
      <c r="AE40" s="268">
        <f t="shared" si="34"/>
        <v>1621.9839038357729</v>
      </c>
      <c r="AF40" s="268">
        <f t="shared" si="35"/>
        <v>1840.3545633830686</v>
      </c>
      <c r="AG40" s="268">
        <f t="shared" si="36"/>
        <v>1726.1778553252495</v>
      </c>
      <c r="AH40" s="664">
        <f>'Synthèse scénarios'!T45</f>
        <v>0.87016912146438363</v>
      </c>
      <c r="AI40" s="664">
        <f>'Synthèse scénarios'!T88</f>
        <v>0.58621629934901687</v>
      </c>
      <c r="AJ40" s="664">
        <f>'Synthèse scénarios'!T131</f>
        <v>0.7048524183483873</v>
      </c>
      <c r="AK40" s="268">
        <f t="shared" si="26"/>
        <v>210.58359520562709</v>
      </c>
      <c r="AL40" s="268">
        <f t="shared" si="27"/>
        <v>761.50872174657036</v>
      </c>
      <c r="AM40" s="268">
        <f t="shared" si="27"/>
        <v>509.47721949981479</v>
      </c>
      <c r="AN40" s="666">
        <f>'Synthèse scénarios'!V45</f>
        <v>0</v>
      </c>
      <c r="AO40" s="666">
        <f>'Synthèse scénarios'!V88</f>
        <v>0</v>
      </c>
      <c r="AP40" s="666">
        <f>'Synthèse scénarios'!V131</f>
        <v>0</v>
      </c>
      <c r="AQ40" s="268">
        <f t="shared" si="28"/>
        <v>210.58359520562709</v>
      </c>
      <c r="AR40" s="268">
        <f t="shared" si="29"/>
        <v>761.50872174657036</v>
      </c>
      <c r="AS40" s="1073">
        <f t="shared" si="29"/>
        <v>509.47721949981479</v>
      </c>
      <c r="AT40" s="1093">
        <f>Trajectoires!$F$11</f>
        <v>1088.0952380952381</v>
      </c>
      <c r="AU40" s="1094">
        <f>Hypothèses!$J$87</f>
        <v>21597.620036212185</v>
      </c>
      <c r="AV40" s="1094">
        <f>Hypothèses!$E$86</f>
        <v>23159.851826716433</v>
      </c>
      <c r="AW40" s="1094">
        <f>Hypothèses!$E$87</f>
        <v>29941.465897522903</v>
      </c>
      <c r="AX40" s="1094">
        <f>Hypothèses!$E$88</f>
        <v>38079.402782490666</v>
      </c>
      <c r="AY40" s="1094">
        <f t="shared" si="2"/>
        <v>20870.410706980696</v>
      </c>
      <c r="AZ40" s="1094">
        <f t="shared" si="3"/>
        <v>21971.101938747597</v>
      </c>
      <c r="BA40" s="1094">
        <f t="shared" si="4"/>
        <v>36274.628117795255</v>
      </c>
      <c r="BB40" s="1094">
        <f t="shared" si="5"/>
        <v>44670.470590592398</v>
      </c>
      <c r="BC40" s="1094">
        <f t="shared" si="6"/>
        <v>30296.173968311909</v>
      </c>
      <c r="BD40" s="1094">
        <f t="shared" si="7"/>
        <v>37773.281198385877</v>
      </c>
      <c r="BE40" s="1097">
        <f t="shared" si="8"/>
        <v>30246.627804211239</v>
      </c>
      <c r="BF40" s="1097">
        <f t="shared" si="9"/>
        <v>34114.980921440787</v>
      </c>
      <c r="BG40" s="1097">
        <f t="shared" si="10"/>
        <v>50576.239187922263</v>
      </c>
      <c r="BH40" s="1097">
        <f t="shared" si="11"/>
        <v>50576.239187922263</v>
      </c>
      <c r="BI40" s="1097">
        <f t="shared" si="12"/>
        <v>32988.448199272672</v>
      </c>
      <c r="BJ40" s="1097">
        <f t="shared" si="13"/>
        <v>50334.185372935033</v>
      </c>
      <c r="BK40" s="1097">
        <f t="shared" si="14"/>
        <v>48776.134777882689</v>
      </c>
      <c r="BL40" s="1094">
        <f t="shared" si="15"/>
        <v>37677.573000188226</v>
      </c>
      <c r="BM40" s="1094">
        <f t="shared" si="16"/>
        <v>40953.839819988752</v>
      </c>
      <c r="BN40" s="1094">
        <f t="shared" si="17"/>
        <v>23949.949008520016</v>
      </c>
      <c r="BO40" s="1094">
        <f t="shared" si="18"/>
        <v>33111.338708108749</v>
      </c>
      <c r="BP40" s="1094">
        <f t="shared" si="19"/>
        <v>23949.949008520016</v>
      </c>
      <c r="BQ40" s="1094">
        <f t="shared" si="20"/>
        <v>31382.234215131539</v>
      </c>
      <c r="BR40" s="1095">
        <f t="shared" si="21"/>
        <v>29661.995413947105</v>
      </c>
      <c r="BS40" s="251"/>
      <c r="BT40" s="251"/>
      <c r="BU40" s="251"/>
      <c r="BV40" s="253"/>
      <c r="BW40" s="253"/>
      <c r="BX40" s="253"/>
      <c r="BY40" s="253"/>
      <c r="BZ40" s="253"/>
      <c r="CA40" s="253"/>
      <c r="CB40" s="253"/>
      <c r="CC40" s="265"/>
      <c r="CD40" s="265"/>
      <c r="CE40" s="254"/>
      <c r="CF40" s="254"/>
      <c r="CG40" s="1149"/>
      <c r="CH40" s="1149"/>
      <c r="CI40" s="1149"/>
      <c r="CJ40" s="1149"/>
      <c r="CK40" s="1149"/>
    </row>
    <row r="41" spans="1:89" ht="15">
      <c r="A41" s="250"/>
      <c r="B41" s="1087">
        <f t="shared" si="1"/>
        <v>2049</v>
      </c>
      <c r="C41" s="1104">
        <f>C40*(1-Hypothèses!$F$87)</f>
        <v>369.87402941430588</v>
      </c>
      <c r="D41" s="1098">
        <f t="shared" si="30"/>
        <v>396.19409481134244</v>
      </c>
      <c r="E41" s="1105">
        <f>Hypothèses!$K$49/2</f>
        <v>383.07402168788303</v>
      </c>
      <c r="F41" s="1103">
        <f>F40*(1+Hypothèses!$B$43)*(1-Hypothèses!$B$39)</f>
        <v>1582.2775381141428</v>
      </c>
      <c r="G41" s="1103">
        <f>G40*(1+Hypothèses!$B$43)</f>
        <v>2900.6838178327448</v>
      </c>
      <c r="H41" s="1103">
        <f>H40*(1+Hypothèses!$B$43)*(1-Hypothèses!$B$39)</f>
        <v>1925.082559148899</v>
      </c>
      <c r="I41" s="1102">
        <f>CA_Secteur!AJ41</f>
        <v>452.13367657398271</v>
      </c>
      <c r="J41" s="1100">
        <f>CA_Secteur_HorsCOVID!AJ41</f>
        <v>560.83319793165026</v>
      </c>
      <c r="K41" s="1100">
        <f>CA_Secteur!AL41</f>
        <v>0</v>
      </c>
      <c r="L41" s="1100">
        <f>CA_Secteur_HorsCOVID!AL41</f>
        <v>0</v>
      </c>
      <c r="M41" s="1100">
        <f t="shared" si="31"/>
        <v>452.13367657398271</v>
      </c>
      <c r="N41" s="1103">
        <f t="shared" si="32"/>
        <v>560.83319793165026</v>
      </c>
      <c r="O41" s="269">
        <f>'Synthèse mesures CT'!C$5*'Synthèse mesures CT'!C37</f>
        <v>6.6017073777157792E-2</v>
      </c>
      <c r="P41" s="269">
        <f>'Synthèse mesures CT'!D$5*'Synthèse mesures CT'!D37</f>
        <v>3.1302576492751928E-2</v>
      </c>
      <c r="Q41" s="269">
        <f>'Synthèse mesures CT'!E$5*'Synthèse mesures CT'!E37</f>
        <v>1.4698620641025641E-2</v>
      </c>
      <c r="R41" s="269" t="e">
        <f t="shared" si="0"/>
        <v>#N/A</v>
      </c>
      <c r="S41" s="1103">
        <f t="shared" si="22"/>
        <v>2900.6838178327448</v>
      </c>
      <c r="T41" s="1103">
        <f t="shared" si="33"/>
        <v>1109.9511777788659</v>
      </c>
      <c r="U41" s="267">
        <f>IF(Hypothèses!$H$1="France",'Synthèse mesures CT'!F$5*'Synthèse mesures CT'!F37,0)</f>
        <v>0</v>
      </c>
      <c r="V41" s="267">
        <f>IF(Hypothèses!$H$1="France",'Synthèse mesures CT'!H$5*'Synthèse mesures CT'!H37,0.0025)</f>
        <v>2.5000000000000001E-3</v>
      </c>
      <c r="W41" s="267">
        <f>IF(Hypothèses!$H$1="France",'Synthèse mesures CT'!G$5*'Synthèse mesures CT'!G37,0.0025)</f>
        <v>2.5000000000000001E-3</v>
      </c>
      <c r="X41" s="267">
        <f>IF(Hypothèses!$H$1="France",'Synthèse mesures CT'!I$5*'Synthèse mesures CT'!I37,0)</f>
        <v>0</v>
      </c>
      <c r="Y41" s="268">
        <f t="shared" si="37"/>
        <v>2886.180398743581</v>
      </c>
      <c r="Z41" s="311">
        <f>IF(Hypothèses!$H$1="France",Z40*($Z$42/$Z$27)^(1/15),Z40*($Z$42/$Z$13)^(1/30))</f>
        <v>8.1896372747791282E-2</v>
      </c>
      <c r="AA41" s="268">
        <f t="shared" si="24"/>
        <v>2648.6249155748642</v>
      </c>
      <c r="AB41" s="662">
        <f>'Synthèse scénarios'!R46</f>
        <v>0.37649999999999995</v>
      </c>
      <c r="AC41" s="662">
        <f>'Synthèse scénarios'!R89</f>
        <v>0.29026000000000007</v>
      </c>
      <c r="AD41" s="662">
        <f>'Synthèse scénarios'!R132</f>
        <v>0.3364999999999998</v>
      </c>
      <c r="AE41" s="268">
        <f t="shared" si="34"/>
        <v>1651.417634860928</v>
      </c>
      <c r="AF41" s="268">
        <f t="shared" si="35"/>
        <v>1879.8350475801039</v>
      </c>
      <c r="AG41" s="268">
        <f t="shared" si="36"/>
        <v>1757.362631483923</v>
      </c>
      <c r="AH41" s="664">
        <f>'Synthèse scénarios'!T46</f>
        <v>0.90311834093766008</v>
      </c>
      <c r="AI41" s="664">
        <f>'Synthèse scénarios'!T89</f>
        <v>0.60596213958715306</v>
      </c>
      <c r="AJ41" s="664">
        <f>'Synthèse scénarios'!T132</f>
        <v>0.73789851217241853</v>
      </c>
      <c r="AK41" s="268">
        <f t="shared" si="26"/>
        <v>159.99208027013219</v>
      </c>
      <c r="AL41" s="268">
        <f t="shared" si="27"/>
        <v>740.72618007754647</v>
      </c>
      <c r="AM41" s="268">
        <f t="shared" si="27"/>
        <v>460.60736036453</v>
      </c>
      <c r="AN41" s="666">
        <f>'Synthèse scénarios'!V46</f>
        <v>0</v>
      </c>
      <c r="AO41" s="666">
        <f>'Synthèse scénarios'!V89</f>
        <v>0</v>
      </c>
      <c r="AP41" s="666">
        <f>'Synthèse scénarios'!V132</f>
        <v>0</v>
      </c>
      <c r="AQ41" s="268">
        <f t="shared" si="28"/>
        <v>159.99208027013219</v>
      </c>
      <c r="AR41" s="268">
        <f t="shared" si="29"/>
        <v>740.72618007754647</v>
      </c>
      <c r="AS41" s="1073">
        <f t="shared" si="29"/>
        <v>460.60736036453</v>
      </c>
      <c r="AT41" s="1093">
        <f>Trajectoires!$F$11</f>
        <v>1088.0952380952381</v>
      </c>
      <c r="AU41" s="1094">
        <f>Hypothèses!$J$87</f>
        <v>21597.620036212185</v>
      </c>
      <c r="AV41" s="1094">
        <f>Hypothèses!$E$86</f>
        <v>23159.851826716433</v>
      </c>
      <c r="AW41" s="1094">
        <f>Hypothèses!$E$87</f>
        <v>29941.465897522903</v>
      </c>
      <c r="AX41" s="1094">
        <f>Hypothèses!$E$88</f>
        <v>38079.402782490666</v>
      </c>
      <c r="AY41" s="1094">
        <f t="shared" si="2"/>
        <v>21240.284736395002</v>
      </c>
      <c r="AZ41" s="1094">
        <f t="shared" si="3"/>
        <v>22367.296033558938</v>
      </c>
      <c r="BA41" s="1094">
        <f t="shared" si="4"/>
        <v>37856.905655909395</v>
      </c>
      <c r="BB41" s="1094">
        <f t="shared" si="5"/>
        <v>46595.553149741296</v>
      </c>
      <c r="BC41" s="1094">
        <f t="shared" si="6"/>
        <v>30748.307644885892</v>
      </c>
      <c r="BD41" s="1094">
        <f t="shared" si="7"/>
        <v>38334.114396317527</v>
      </c>
      <c r="BE41" s="1097">
        <f t="shared" si="8"/>
        <v>30698.761480785222</v>
      </c>
      <c r="BF41" s="1097">
        <f t="shared" si="9"/>
        <v>34675.814119372437</v>
      </c>
      <c r="BG41" s="1097">
        <f t="shared" si="10"/>
        <v>53476.923005755008</v>
      </c>
      <c r="BH41" s="1097">
        <f t="shared" si="11"/>
        <v>53476.923005755008</v>
      </c>
      <c r="BI41" s="1097">
        <f t="shared" si="12"/>
        <v>34098.399377051537</v>
      </c>
      <c r="BJ41" s="1097">
        <f t="shared" si="13"/>
        <v>53220.365771678611</v>
      </c>
      <c r="BK41" s="1097">
        <f t="shared" si="14"/>
        <v>51424.759693457556</v>
      </c>
      <c r="BL41" s="1094">
        <f t="shared" si="15"/>
        <v>39328.990635049151</v>
      </c>
      <c r="BM41" s="1094">
        <f t="shared" si="16"/>
        <v>42833.674867568858</v>
      </c>
      <c r="BN41" s="1094">
        <f t="shared" si="17"/>
        <v>24109.941088790147</v>
      </c>
      <c r="BO41" s="1094">
        <f t="shared" si="18"/>
        <v>33852.064888186294</v>
      </c>
      <c r="BP41" s="1094">
        <f t="shared" si="19"/>
        <v>24109.941088790147</v>
      </c>
      <c r="BQ41" s="1094">
        <f t="shared" si="20"/>
        <v>32122.960395209084</v>
      </c>
      <c r="BR41" s="1095">
        <f t="shared" si="21"/>
        <v>30122.602774311636</v>
      </c>
      <c r="BS41" s="251"/>
      <c r="BT41" s="251"/>
      <c r="BU41" s="251"/>
      <c r="BV41" s="253"/>
      <c r="BW41" s="253"/>
      <c r="BX41" s="253"/>
      <c r="BY41" s="253"/>
      <c r="BZ41" s="253"/>
      <c r="CA41" s="253"/>
      <c r="CB41" s="253"/>
      <c r="CC41" s="265"/>
      <c r="CD41" s="265"/>
      <c r="CE41" s="254"/>
      <c r="CF41" s="254"/>
      <c r="CG41" s="1149"/>
      <c r="CH41" s="1149"/>
      <c r="CI41" s="1149"/>
      <c r="CJ41" s="1149"/>
      <c r="CK41" s="1149"/>
    </row>
    <row r="42" spans="1:89" ht="15.95" thickBot="1">
      <c r="A42" s="273"/>
      <c r="B42" s="1108">
        <f t="shared" si="1"/>
        <v>2050</v>
      </c>
      <c r="C42" s="1109">
        <f>C41*(1-Hypothèses!$F$87)</f>
        <v>357.33529981716089</v>
      </c>
      <c r="D42" s="1110">
        <f>Hypothèses!$K$49/2</f>
        <v>383.07402168788303</v>
      </c>
      <c r="E42" s="1110">
        <f>Hypothèses!$K$49/2</f>
        <v>383.07402168788303</v>
      </c>
      <c r="F42" s="1111">
        <f>F41*(1+Hypothèses!$B$43)*(1-Hypothèses!$B$39)</f>
        <v>1612.6572668459344</v>
      </c>
      <c r="G42" s="1111">
        <f>G41*(1+Hypothèses!$B$43)</f>
        <v>3016.7111705460547</v>
      </c>
      <c r="H42" s="1111">
        <f>H41*(1+Hypothèses!$B$43)*(1-Hypothèses!$B$39)</f>
        <v>1962.0441442845579</v>
      </c>
      <c r="I42" s="1112">
        <f>CA_Secteur!AJ42</f>
        <v>271.90631837398172</v>
      </c>
      <c r="J42" s="1112">
        <f>CA_Secteur_HorsCOVID!AJ42</f>
        <v>330.81561143060333</v>
      </c>
      <c r="K42" s="1112">
        <f>CA_Secteur!AL42</f>
        <v>0</v>
      </c>
      <c r="L42" s="1112">
        <f>CA_Secteur_HorsCOVID!AL42</f>
        <v>0</v>
      </c>
      <c r="M42" s="1111">
        <f t="shared" si="31"/>
        <v>271.90631837398172</v>
      </c>
      <c r="N42" s="1111">
        <f t="shared" si="32"/>
        <v>330.81561143060333</v>
      </c>
      <c r="O42" s="276">
        <f>'Synthèse mesures CT'!C$5*'Synthèse mesures CT'!C38</f>
        <v>6.6017073777157792E-2</v>
      </c>
      <c r="P42" s="276">
        <f>'Synthèse mesures CT'!D$5*'Synthèse mesures CT'!D38</f>
        <v>3.1302576492751928E-2</v>
      </c>
      <c r="Q42" s="276">
        <f>'Synthèse mesures CT'!E$5*'Synthèse mesures CT'!E38</f>
        <v>1.4698620641025641E-2</v>
      </c>
      <c r="R42" s="276" t="e">
        <f t="shared" si="0"/>
        <v>#N/A</v>
      </c>
      <c r="S42" s="1111">
        <f t="shared" si="22"/>
        <v>3016.7111705460547</v>
      </c>
      <c r="T42" s="1111">
        <f t="shared" si="33"/>
        <v>1109.9511777788659</v>
      </c>
      <c r="U42" s="274">
        <f>IF(Hypothèses!$H$1="France",'Synthèse mesures CT'!F$5*'Synthèse mesures CT'!F38,0)</f>
        <v>0</v>
      </c>
      <c r="V42" s="274">
        <f>IF(Hypothèses!$H$1="France",'Synthèse mesures CT'!H$5*'Synthèse mesures CT'!H38,0.0025)</f>
        <v>2.5000000000000001E-3</v>
      </c>
      <c r="W42" s="274">
        <f>IF(Hypothèses!$H$1="France",'Synthèse mesures CT'!G$5*'Synthèse mesures CT'!G38,0.0025)</f>
        <v>2.5000000000000001E-3</v>
      </c>
      <c r="X42" s="274">
        <f>IF(Hypothèses!$H$1="France",'Synthèse mesures CT'!I$5*'Synthèse mesures CT'!I38,0)</f>
        <v>0</v>
      </c>
      <c r="Y42" s="275">
        <f>IF($T$1,T42,S42*(1-SUM(U42:X42)))</f>
        <v>3001.6276146933246</v>
      </c>
      <c r="Z42" s="638">
        <f>Hypothèses!$B$41-X42-U42</f>
        <v>0.1</v>
      </c>
      <c r="AA42" s="275">
        <f>Y42-S42*Z42</f>
        <v>2699.9564976387192</v>
      </c>
      <c r="AB42" s="663">
        <f>'Synthèse scénarios'!R47</f>
        <v>0.37650000000000006</v>
      </c>
      <c r="AC42" s="663">
        <f>'Synthèse scénarios'!R90</f>
        <v>0.29704000000000019</v>
      </c>
      <c r="AD42" s="663">
        <f>'Synthèse scénarios'!R133</f>
        <v>0.34450000000000003</v>
      </c>
      <c r="AE42" s="275">
        <f t="shared" si="34"/>
        <v>1683.4228762777414</v>
      </c>
      <c r="AF42" s="275">
        <f t="shared" si="35"/>
        <v>1897.9614195801134</v>
      </c>
      <c r="AG42" s="275">
        <f t="shared" si="36"/>
        <v>1769.8214842021803</v>
      </c>
      <c r="AH42" s="665">
        <f>'Synthèse scénarios'!T47</f>
        <v>0.90311834093766008</v>
      </c>
      <c r="AI42" s="665">
        <f>'Synthèse scénarios'!T90</f>
        <v>0.62624247952772572</v>
      </c>
      <c r="AJ42" s="665">
        <f>'Synthèse scénarios'!T133</f>
        <v>0.77132146304455407</v>
      </c>
      <c r="AK42" s="275">
        <f t="shared" si="26"/>
        <v>163.09280115728379</v>
      </c>
      <c r="AL42" s="275">
        <f t="shared" si="27"/>
        <v>709.37735413430096</v>
      </c>
      <c r="AM42" s="275">
        <f t="shared" si="27"/>
        <v>404.72018767967046</v>
      </c>
      <c r="AN42" s="667">
        <f>'Synthèse scénarios'!V47</f>
        <v>0</v>
      </c>
      <c r="AO42" s="667">
        <f>'Synthèse scénarios'!V90</f>
        <v>0</v>
      </c>
      <c r="AP42" s="667">
        <f>'Synthèse scénarios'!V133</f>
        <v>0</v>
      </c>
      <c r="AQ42" s="275">
        <f t="shared" si="28"/>
        <v>163.09280115728379</v>
      </c>
      <c r="AR42" s="275">
        <f t="shared" si="29"/>
        <v>709.37735413430096</v>
      </c>
      <c r="AS42" s="1074">
        <f t="shared" si="29"/>
        <v>404.72018767967046</v>
      </c>
      <c r="AT42" s="1113">
        <f>Trajectoires!$F$11</f>
        <v>1088.0952380952381</v>
      </c>
      <c r="AU42" s="1114">
        <f>Hypothèses!$J$87</f>
        <v>21597.620036212185</v>
      </c>
      <c r="AV42" s="1114">
        <f>Hypothèses!$E$86</f>
        <v>23159.851826716433</v>
      </c>
      <c r="AW42" s="1114">
        <f>Hypothèses!$E$87</f>
        <v>29941.465897522903</v>
      </c>
      <c r="AX42" s="1114">
        <f>Hypothèses!$E$88</f>
        <v>38079.402782490666</v>
      </c>
      <c r="AY42" s="1114">
        <f t="shared" si="2"/>
        <v>21597.620036212164</v>
      </c>
      <c r="AZ42" s="1114">
        <f t="shared" si="3"/>
        <v>22750.370055246822</v>
      </c>
      <c r="BA42" s="1114">
        <f t="shared" si="4"/>
        <v>39469.562922755329</v>
      </c>
      <c r="BB42" s="1114">
        <f t="shared" si="5"/>
        <v>48557.597294025851</v>
      </c>
      <c r="BC42" s="1114">
        <f t="shared" si="6"/>
        <v>31020.213963259874</v>
      </c>
      <c r="BD42" s="1114">
        <f t="shared" si="7"/>
        <v>38664.930007748131</v>
      </c>
      <c r="BE42" s="1115">
        <f t="shared" si="8"/>
        <v>30970.667799159204</v>
      </c>
      <c r="BF42" s="1115">
        <f t="shared" si="9"/>
        <v>35006.629730803041</v>
      </c>
      <c r="BG42" s="1115">
        <f t="shared" si="10"/>
        <v>56493.634176301064</v>
      </c>
      <c r="BH42" s="1115">
        <f t="shared" si="11"/>
        <v>56493.634176301064</v>
      </c>
      <c r="BI42" s="1115">
        <f t="shared" si="12"/>
        <v>35208.350554830402</v>
      </c>
      <c r="BJ42" s="1115">
        <f t="shared" si="13"/>
        <v>56221.993386371934</v>
      </c>
      <c r="BK42" s="1115">
        <f t="shared" si="14"/>
        <v>54124.716191096275</v>
      </c>
      <c r="BL42" s="1114">
        <f t="shared" si="15"/>
        <v>41012.413511326893</v>
      </c>
      <c r="BM42" s="1114">
        <f t="shared" si="16"/>
        <v>44731.636287148969</v>
      </c>
      <c r="BN42" s="1114">
        <f t="shared" si="17"/>
        <v>24273.03388994743</v>
      </c>
      <c r="BO42" s="1114">
        <f t="shared" si="18"/>
        <v>34561.442242320598</v>
      </c>
      <c r="BP42" s="1114">
        <f t="shared" si="19"/>
        <v>24273.03388994743</v>
      </c>
      <c r="BQ42" s="1114">
        <f t="shared" si="20"/>
        <v>32832.337749343387</v>
      </c>
      <c r="BR42" s="1116">
        <f t="shared" si="21"/>
        <v>30527.322961991307</v>
      </c>
      <c r="BS42" s="251"/>
      <c r="BT42" s="251"/>
      <c r="BU42" s="251"/>
      <c r="BV42" s="253"/>
      <c r="BW42" s="253"/>
      <c r="BX42" s="253"/>
      <c r="BY42" s="253"/>
      <c r="BZ42" s="253"/>
      <c r="CA42" s="253"/>
      <c r="CB42" s="253"/>
      <c r="CC42" s="265"/>
      <c r="CD42" s="265"/>
      <c r="CE42" s="254"/>
      <c r="CF42" s="254"/>
      <c r="CG42" s="1149"/>
      <c r="CH42" s="1149"/>
      <c r="CI42" s="1149"/>
      <c r="CJ42" s="1149"/>
      <c r="CK42" s="1149"/>
    </row>
    <row r="43" spans="1:89">
      <c r="A43" s="27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4"/>
      <c r="CD43" s="254"/>
      <c r="CE43" s="254"/>
      <c r="CF43" s="254"/>
      <c r="CG43" s="254"/>
      <c r="CH43" s="254"/>
      <c r="CI43" s="254"/>
      <c r="CJ43" s="254"/>
      <c r="CK43" s="254"/>
    </row>
    <row r="44" spans="1:89" ht="15" thickBot="1">
      <c r="A44" s="277"/>
      <c r="B44" s="253"/>
      <c r="C44" s="253"/>
      <c r="D44" s="253"/>
      <c r="E44" s="253"/>
      <c r="F44" s="253"/>
      <c r="G44" s="253"/>
      <c r="H44" s="253"/>
      <c r="I44" s="253"/>
      <c r="J44" s="253"/>
      <c r="K44" s="253"/>
      <c r="L44" s="253"/>
      <c r="M44" s="253"/>
      <c r="N44" s="253"/>
      <c r="O44" s="253"/>
      <c r="P44" s="253"/>
      <c r="Q44" s="253"/>
      <c r="R44" s="253"/>
      <c r="S44" s="253"/>
      <c r="T44" s="253"/>
      <c r="U44" s="253"/>
      <c r="V44" s="253"/>
      <c r="W44" s="253"/>
      <c r="X44" s="1062"/>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301"/>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4"/>
      <c r="CD44" s="254"/>
      <c r="CE44" s="254"/>
      <c r="CF44" s="254"/>
      <c r="CG44" s="254"/>
      <c r="CH44" s="254"/>
      <c r="CI44" s="254"/>
      <c r="CJ44" s="254"/>
      <c r="CK44" s="254"/>
    </row>
    <row r="45" spans="1:89" ht="15" thickBot="1">
      <c r="A45" s="277"/>
      <c r="B45" s="253"/>
      <c r="C45" s="253"/>
      <c r="D45" s="253"/>
      <c r="E45" s="253"/>
      <c r="F45" s="253"/>
      <c r="G45" s="253"/>
      <c r="H45" s="253"/>
      <c r="I45" s="253"/>
      <c r="J45" s="253"/>
      <c r="K45" s="253"/>
      <c r="L45" s="253"/>
      <c r="M45" s="253"/>
      <c r="N45" s="253"/>
      <c r="O45" s="1060"/>
      <c r="P45" s="1052" t="s">
        <v>360</v>
      </c>
      <c r="Q45" s="1053" t="s">
        <v>361</v>
      </c>
      <c r="R45" s="1054" t="s">
        <v>362</v>
      </c>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4"/>
      <c r="CD45" s="254"/>
      <c r="CE45" s="254"/>
      <c r="CF45" s="254"/>
      <c r="CG45" s="254"/>
      <c r="CH45" s="254"/>
      <c r="CI45" s="254"/>
      <c r="CJ45" s="254"/>
      <c r="CK45" s="254"/>
    </row>
    <row r="46" spans="1:89">
      <c r="A46" s="277"/>
      <c r="B46" s="253"/>
      <c r="C46" s="253"/>
      <c r="D46" s="253"/>
      <c r="E46" s="253"/>
      <c r="F46" s="253"/>
      <c r="G46" s="253"/>
      <c r="H46" s="253"/>
      <c r="I46" s="253"/>
      <c r="J46" s="253"/>
      <c r="K46" s="253"/>
      <c r="L46" s="253"/>
      <c r="M46" s="253"/>
      <c r="N46" s="253"/>
      <c r="O46" s="1049">
        <v>2025</v>
      </c>
      <c r="P46" s="1050">
        <v>2.52E-2</v>
      </c>
      <c r="Q46" s="1051">
        <v>-8.0000000000000002E-3</v>
      </c>
      <c r="R46" s="1055">
        <v>6.9999999999999999E-4</v>
      </c>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4"/>
      <c r="CD46" s="254"/>
      <c r="CE46" s="254"/>
      <c r="CF46" s="254"/>
      <c r="CG46" s="254"/>
      <c r="CH46" s="254"/>
      <c r="CI46" s="254"/>
      <c r="CJ46" s="254"/>
      <c r="CK46" s="254"/>
    </row>
    <row r="47" spans="1:89">
      <c r="A47" s="277"/>
      <c r="B47" s="253"/>
      <c r="C47" s="253"/>
      <c r="D47" s="253"/>
      <c r="E47" s="253"/>
      <c r="F47" s="253"/>
      <c r="G47" s="253"/>
      <c r="H47" s="253"/>
      <c r="I47" s="253"/>
      <c r="J47" s="253"/>
      <c r="K47" s="253"/>
      <c r="L47" s="253"/>
      <c r="M47" s="253"/>
      <c r="N47" s="253"/>
      <c r="O47" s="1047">
        <v>2030</v>
      </c>
      <c r="P47" s="1046">
        <v>1.2E-2</v>
      </c>
      <c r="Q47" s="1045">
        <v>-4.5199999999999997E-2</v>
      </c>
      <c r="R47" s="1056">
        <v>-3.04E-2</v>
      </c>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4"/>
      <c r="CD47" s="254"/>
      <c r="CE47" s="254"/>
      <c r="CF47" s="254"/>
      <c r="CG47" s="254"/>
      <c r="CH47" s="254"/>
      <c r="CI47" s="254"/>
      <c r="CJ47" s="254"/>
      <c r="CK47" s="254"/>
    </row>
    <row r="48" spans="1:89" ht="15" thickBot="1">
      <c r="A48" s="277"/>
      <c r="B48" s="253"/>
      <c r="C48" s="253"/>
      <c r="D48" s="253"/>
      <c r="E48" s="253"/>
      <c r="F48" s="253"/>
      <c r="G48" s="253"/>
      <c r="H48" s="253"/>
      <c r="I48" s="253"/>
      <c r="J48" s="253"/>
      <c r="K48" s="253"/>
      <c r="L48" s="253"/>
      <c r="M48" s="253"/>
      <c r="N48" s="253"/>
      <c r="O48" s="1048">
        <v>2035</v>
      </c>
      <c r="P48" s="1057">
        <v>-3.0099999999999998E-2</v>
      </c>
      <c r="Q48" s="1058">
        <v>-0.15609999999999999</v>
      </c>
      <c r="R48" s="1059">
        <v>-0.1265</v>
      </c>
      <c r="S48" s="253"/>
      <c r="T48" s="253"/>
      <c r="U48" s="1149"/>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4"/>
      <c r="CD48" s="254"/>
      <c r="CE48" s="254"/>
      <c r="CF48" s="254"/>
      <c r="CG48" s="254"/>
      <c r="CH48" s="254"/>
      <c r="CI48" s="254"/>
      <c r="CJ48" s="254"/>
      <c r="CK48" s="254"/>
    </row>
    <row r="49" spans="1:89">
      <c r="A49" s="277"/>
      <c r="B49" s="253"/>
      <c r="C49" s="253"/>
      <c r="D49" s="253"/>
      <c r="E49" s="253"/>
      <c r="F49" s="253"/>
      <c r="G49" s="253"/>
      <c r="H49" s="253"/>
      <c r="I49" s="253"/>
      <c r="J49" s="253"/>
      <c r="K49" s="253"/>
      <c r="L49" s="253"/>
      <c r="M49" s="253"/>
      <c r="N49" s="253"/>
      <c r="O49" s="253"/>
      <c r="P49" s="257"/>
      <c r="Q49" s="257"/>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4"/>
      <c r="CD49" s="254"/>
      <c r="CE49" s="254"/>
      <c r="CF49" s="254"/>
      <c r="CG49" s="254"/>
      <c r="CH49" s="254"/>
      <c r="CI49" s="254"/>
      <c r="CJ49" s="254"/>
      <c r="CK49" s="254"/>
    </row>
    <row r="50" spans="1:89">
      <c r="A50" s="27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4"/>
      <c r="CD50" s="254"/>
      <c r="CE50" s="254"/>
      <c r="CF50" s="254"/>
      <c r="CG50" s="254"/>
      <c r="CH50" s="254"/>
      <c r="CI50" s="254"/>
      <c r="CJ50" s="254"/>
      <c r="CK50" s="254"/>
    </row>
    <row r="51" spans="1:89">
      <c r="A51" s="27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4"/>
      <c r="CD51" s="254"/>
      <c r="CE51" s="254"/>
      <c r="CF51" s="254"/>
      <c r="CG51" s="254"/>
      <c r="CH51" s="254"/>
      <c r="CI51" s="254"/>
      <c r="CJ51" s="254"/>
      <c r="CK51" s="254"/>
    </row>
    <row r="52" spans="1:89">
      <c r="A52" s="27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4"/>
      <c r="CD52" s="254"/>
      <c r="CE52" s="254"/>
      <c r="CF52" s="254"/>
      <c r="CG52" s="254"/>
      <c r="CH52" s="254"/>
      <c r="CI52" s="254"/>
      <c r="CJ52" s="254"/>
      <c r="CK52" s="254"/>
    </row>
    <row r="53" spans="1:89">
      <c r="A53" s="27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4"/>
      <c r="CD53" s="254"/>
      <c r="CE53" s="254"/>
      <c r="CF53" s="254"/>
      <c r="CG53" s="254"/>
      <c r="CH53" s="254"/>
      <c r="CI53" s="254"/>
      <c r="CJ53" s="254"/>
      <c r="CK53" s="254"/>
    </row>
    <row r="54" spans="1:89">
      <c r="A54" s="27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4"/>
      <c r="CD54" s="254"/>
      <c r="CE54" s="254"/>
      <c r="CF54" s="254"/>
      <c r="CG54" s="254"/>
      <c r="CH54" s="254"/>
      <c r="CI54" s="254"/>
      <c r="CJ54" s="254"/>
      <c r="CK54" s="254"/>
    </row>
    <row r="55" spans="1:89">
      <c r="A55" s="27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4"/>
      <c r="CD55" s="254"/>
      <c r="CE55" s="254"/>
      <c r="CF55" s="254"/>
      <c r="CG55" s="254"/>
      <c r="CH55" s="254"/>
      <c r="CI55" s="254"/>
      <c r="CJ55" s="254"/>
      <c r="CK55" s="254"/>
    </row>
    <row r="56" spans="1:89">
      <c r="A56" s="27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4"/>
      <c r="CD56" s="254"/>
      <c r="CE56" s="254"/>
      <c r="CF56" s="254"/>
      <c r="CG56" s="254"/>
      <c r="CH56" s="254"/>
      <c r="CI56" s="254"/>
      <c r="CJ56" s="254"/>
      <c r="CK56" s="254"/>
    </row>
    <row r="57" spans="1:89">
      <c r="A57" s="27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4"/>
      <c r="CD57" s="254"/>
      <c r="CE57" s="254"/>
      <c r="CF57" s="254"/>
      <c r="CG57" s="254"/>
      <c r="CH57" s="254"/>
      <c r="CI57" s="254"/>
      <c r="CJ57" s="254"/>
      <c r="CK57" s="254"/>
    </row>
    <row r="58" spans="1:89">
      <c r="A58" s="27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4"/>
      <c r="CD58" s="254"/>
      <c r="CE58" s="254"/>
      <c r="CF58" s="254"/>
      <c r="CG58" s="254"/>
      <c r="CH58" s="254"/>
      <c r="CI58" s="254"/>
      <c r="CJ58" s="254"/>
      <c r="CK58" s="254"/>
    </row>
    <row r="59" spans="1:89">
      <c r="A59" s="27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4"/>
      <c r="CD59" s="254"/>
      <c r="CE59" s="254"/>
      <c r="CF59" s="254"/>
      <c r="CG59" s="254"/>
      <c r="CH59" s="254"/>
      <c r="CI59" s="254"/>
      <c r="CJ59" s="254"/>
      <c r="CK59" s="254"/>
    </row>
    <row r="60" spans="1:89">
      <c r="A60" s="27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4"/>
      <c r="CD60" s="254"/>
      <c r="CE60" s="254"/>
      <c r="CF60" s="254"/>
      <c r="CG60" s="254"/>
      <c r="CH60" s="254"/>
      <c r="CI60" s="254"/>
      <c r="CJ60" s="254"/>
      <c r="CK60" s="254"/>
    </row>
    <row r="61" spans="1:89">
      <c r="A61" s="27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4"/>
      <c r="CD61" s="254"/>
      <c r="CE61" s="254"/>
      <c r="CF61" s="254"/>
      <c r="CG61" s="254"/>
      <c r="CH61" s="254"/>
      <c r="CI61" s="254"/>
      <c r="CJ61" s="254"/>
      <c r="CK61" s="254"/>
    </row>
    <row r="62" spans="1:89">
      <c r="A62" s="27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4"/>
      <c r="CD62" s="254"/>
      <c r="CE62" s="254"/>
      <c r="CF62" s="254"/>
      <c r="CG62" s="254"/>
      <c r="CH62" s="254"/>
      <c r="CI62" s="254"/>
      <c r="CJ62" s="254"/>
      <c r="CK62" s="254"/>
    </row>
    <row r="63" spans="1:89">
      <c r="A63" s="27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4"/>
      <c r="CD63" s="254"/>
      <c r="CE63" s="254"/>
      <c r="CF63" s="254"/>
      <c r="CG63" s="254"/>
      <c r="CH63" s="254"/>
      <c r="CI63" s="254"/>
      <c r="CJ63" s="254"/>
      <c r="CK63" s="254"/>
    </row>
    <row r="64" spans="1:89">
      <c r="A64" s="27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row>
    <row r="65" spans="1:89">
      <c r="A65" s="27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row>
    <row r="66" spans="1:89">
      <c r="A66" s="278"/>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row>
    <row r="67" spans="1:89">
      <c r="A67" s="278"/>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row>
    <row r="68" spans="1:89">
      <c r="A68" s="278"/>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row>
    <row r="69" spans="1:89">
      <c r="A69" s="278"/>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row>
    <row r="70" spans="1:89">
      <c r="A70" s="278"/>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row>
    <row r="71" spans="1:89">
      <c r="A71" s="278"/>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row>
    <row r="72" spans="1:89">
      <c r="A72" s="278"/>
      <c r="B72" s="254"/>
      <c r="C72" s="265"/>
      <c r="D72" s="265"/>
      <c r="E72" s="265"/>
      <c r="F72" s="265"/>
      <c r="G72" s="265"/>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row>
    <row r="73" spans="1:89">
      <c r="A73" s="278"/>
      <c r="B73" s="254"/>
      <c r="C73" s="265"/>
      <c r="D73" s="265"/>
      <c r="E73" s="265"/>
      <c r="F73" s="265"/>
      <c r="G73" s="265"/>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row>
    <row r="74" spans="1:89">
      <c r="A74" s="278"/>
      <c r="B74" s="254"/>
      <c r="C74" s="265"/>
      <c r="D74" s="265"/>
      <c r="E74" s="265"/>
      <c r="F74" s="265"/>
      <c r="G74" s="265"/>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row>
    <row r="75" spans="1:89">
      <c r="A75" s="278"/>
      <c r="B75" s="254"/>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row>
    <row r="76" spans="1:89">
      <c r="A76" s="278"/>
      <c r="B76" s="254"/>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row>
    <row r="77" spans="1:89">
      <c r="A77" s="278"/>
      <c r="B77" s="254"/>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row>
    <row r="78" spans="1:89">
      <c r="A78" s="278"/>
      <c r="B78" s="254"/>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row>
    <row r="79" spans="1:89">
      <c r="A79" s="278"/>
      <c r="B79" s="254"/>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row>
    <row r="80" spans="1:89">
      <c r="A80" s="278"/>
      <c r="B80" s="254"/>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row>
    <row r="81" spans="1:89">
      <c r="A81" s="278"/>
      <c r="B81" s="254"/>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row>
    <row r="82" spans="1:89">
      <c r="A82" s="278"/>
      <c r="B82" s="254"/>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row>
    <row r="83" spans="1:89">
      <c r="A83" s="278"/>
      <c r="B83" s="254"/>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row>
    <row r="84" spans="1:89">
      <c r="A84" s="278"/>
      <c r="B84" s="254"/>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row>
    <row r="85" spans="1:89">
      <c r="A85" s="278"/>
      <c r="B85" s="254"/>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row>
    <row r="86" spans="1:89">
      <c r="A86" s="278"/>
      <c r="B86" s="254"/>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row>
    <row r="87" spans="1:89">
      <c r="A87" s="278"/>
      <c r="B87" s="254"/>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row>
    <row r="88" spans="1:89">
      <c r="A88" s="278"/>
      <c r="B88" s="254"/>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row>
    <row r="89" spans="1:89">
      <c r="A89" s="278"/>
      <c r="B89" s="254"/>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row>
    <row r="90" spans="1:89">
      <c r="A90" s="278"/>
      <c r="B90" s="254"/>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row>
    <row r="91" spans="1:89">
      <c r="A91" s="278"/>
      <c r="B91" s="254"/>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row>
    <row r="92" spans="1:89">
      <c r="A92" s="278"/>
      <c r="B92" s="254"/>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5"/>
      <c r="BB92" s="265"/>
      <c r="BC92" s="265"/>
      <c r="BD92" s="265"/>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row>
    <row r="93" spans="1:89">
      <c r="A93" s="1149"/>
      <c r="B93" s="1149"/>
      <c r="C93" s="265"/>
      <c r="D93" s="265"/>
      <c r="E93" s="265"/>
      <c r="F93" s="265"/>
      <c r="G93" s="265"/>
      <c r="H93" s="1149"/>
      <c r="I93" s="1149"/>
      <c r="J93" s="1149"/>
      <c r="K93" s="1149"/>
      <c r="L93" s="1149"/>
      <c r="M93" s="1149"/>
      <c r="N93" s="1149"/>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c r="CB93" s="1149"/>
      <c r="CC93" s="1149"/>
      <c r="CD93" s="1149"/>
      <c r="CE93" s="1149"/>
      <c r="CF93" s="1149"/>
      <c r="CG93" s="1149"/>
      <c r="CH93" s="1149"/>
      <c r="CI93" s="1149"/>
      <c r="CJ93" s="1149"/>
      <c r="CK93" s="1149"/>
    </row>
    <row r="94" spans="1:89">
      <c r="A94" s="1149"/>
      <c r="B94" s="1149"/>
      <c r="C94" s="265"/>
      <c r="D94" s="265"/>
      <c r="E94" s="265"/>
      <c r="F94" s="265"/>
      <c r="G94" s="265"/>
      <c r="H94" s="1149"/>
      <c r="I94" s="1149"/>
      <c r="J94" s="1149"/>
      <c r="K94" s="1149"/>
      <c r="L94" s="1149"/>
      <c r="M94" s="1149"/>
      <c r="N94" s="1149"/>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c r="CB94" s="1149"/>
      <c r="CC94" s="1149"/>
      <c r="CD94" s="1149"/>
      <c r="CE94" s="1149"/>
      <c r="CF94" s="1149"/>
      <c r="CG94" s="1149"/>
      <c r="CH94" s="1149"/>
      <c r="CI94" s="1149"/>
      <c r="CJ94" s="1149"/>
      <c r="CK94" s="1149"/>
    </row>
  </sheetData>
  <mergeCells count="8">
    <mergeCell ref="AT3:BR4"/>
    <mergeCell ref="A14:A16"/>
    <mergeCell ref="A17:A20"/>
    <mergeCell ref="B3:B5"/>
    <mergeCell ref="F4:N4"/>
    <mergeCell ref="C4:E4"/>
    <mergeCell ref="O4:AR4"/>
    <mergeCell ref="C3:AS3"/>
  </mergeCells>
  <dataValidations count="1">
    <dataValidation type="list" allowBlank="1" showInputMessage="1" showErrorMessage="1" sqref="R1 T1 P1" xr:uid="{C134B33F-2BF3-F448-AC8E-F61D089BC3A1}">
      <formula1>"VRAI,FAUX"</formula1>
    </dataValidation>
  </dataValidation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6:Q189"/>
  <sheetViews>
    <sheetView topLeftCell="A116" zoomScale="92" zoomScaleNormal="110" workbookViewId="0">
      <selection activeCell="E143" sqref="E143"/>
    </sheetView>
  </sheetViews>
  <sheetFormatPr defaultColWidth="11.125" defaultRowHeight="14.1"/>
  <cols>
    <col min="1" max="16384" width="11.125" style="108"/>
  </cols>
  <sheetData>
    <row r="6" spans="17:17">
      <c r="Q6" s="1149"/>
    </row>
    <row r="61" spans="1:5">
      <c r="A61" s="1149" t="s">
        <v>363</v>
      </c>
      <c r="B61" s="1149"/>
      <c r="C61" s="1149"/>
      <c r="D61" s="281">
        <f>(Trajectoires!G42/Trajectoires!G10)^(1/32)-1</f>
        <v>3.2699314400135737E-2</v>
      </c>
      <c r="E61" s="308">
        <f>(Trajectoires!G42/Trajectoires!G16)^(1/26)-1</f>
        <v>4.0000000000000036E-2</v>
      </c>
    </row>
    <row r="143" spans="1:11">
      <c r="A143" s="1149" t="s">
        <v>364</v>
      </c>
      <c r="B143" s="1149"/>
      <c r="C143" s="1149"/>
      <c r="D143" s="282"/>
      <c r="E143" s="310">
        <f>1-(Trajectoires!AE42/Trajectoires!AE16)^(1/26)/(1+$E$61)</f>
        <v>2.0149639988427337E-2</v>
      </c>
      <c r="F143" s="1149"/>
      <c r="G143" s="1149" t="s">
        <v>365</v>
      </c>
      <c r="H143" s="1149"/>
      <c r="I143" s="1149"/>
      <c r="J143" s="282"/>
      <c r="K143" s="310">
        <f>1-(Trajectoires!AF42/Trajectoires!AF16)^(1/26)/(1+$E$61)</f>
        <v>1.5618647983945966E-2</v>
      </c>
    </row>
    <row r="166" spans="1:4">
      <c r="A166" s="1149" t="s">
        <v>366</v>
      </c>
      <c r="B166" s="1149"/>
      <c r="C166" s="1149"/>
      <c r="D166" s="282">
        <f>1-(Trajectoires!AF42/Trajectoires!AF10)^(1/32)</f>
        <v>-1.7852716907637234E-2</v>
      </c>
    </row>
    <row r="167" spans="1:4" s="1061" customFormat="1">
      <c r="A167" s="1149"/>
      <c r="B167" s="1149"/>
      <c r="C167" s="1149"/>
      <c r="D167" s="282"/>
    </row>
    <row r="168" spans="1:4" s="1061" customFormat="1">
      <c r="A168" s="1149"/>
      <c r="B168" s="1149"/>
      <c r="C168" s="1149"/>
      <c r="D168" s="282"/>
    </row>
    <row r="169" spans="1:4" s="1061" customFormat="1">
      <c r="A169" s="1149"/>
      <c r="B169" s="1149"/>
      <c r="C169" s="1149"/>
      <c r="D169" s="282"/>
    </row>
    <row r="170" spans="1:4" s="1061" customFormat="1">
      <c r="A170" s="1149"/>
      <c r="B170" s="1149"/>
      <c r="C170" s="1149"/>
      <c r="D170" s="282"/>
    </row>
    <row r="171" spans="1:4" s="1061" customFormat="1">
      <c r="A171" s="1149"/>
      <c r="B171" s="1149"/>
      <c r="C171" s="1149"/>
      <c r="D171" s="282"/>
    </row>
    <row r="172" spans="1:4" s="1061" customFormat="1">
      <c r="A172" s="1149"/>
      <c r="B172" s="1149"/>
      <c r="C172" s="1149"/>
      <c r="D172" s="282"/>
    </row>
    <row r="173" spans="1:4" s="1061" customFormat="1">
      <c r="A173" s="1149"/>
      <c r="B173" s="1149"/>
      <c r="C173" s="1149"/>
      <c r="D173" s="282"/>
    </row>
    <row r="174" spans="1:4" s="1061" customFormat="1">
      <c r="A174" s="1149"/>
      <c r="B174" s="1149"/>
      <c r="C174" s="1149"/>
      <c r="D174" s="282"/>
    </row>
    <row r="175" spans="1:4" s="1061" customFormat="1">
      <c r="A175" s="1149"/>
      <c r="B175" s="1149"/>
      <c r="C175" s="1149"/>
      <c r="D175" s="282"/>
    </row>
    <row r="176" spans="1:4" s="1061" customFormat="1">
      <c r="A176" s="1149"/>
      <c r="B176" s="1149"/>
      <c r="C176" s="1149"/>
      <c r="D176" s="282"/>
    </row>
    <row r="177" spans="1:4" s="1061" customFormat="1">
      <c r="A177" s="1149"/>
      <c r="B177" s="1149"/>
      <c r="C177" s="1149"/>
      <c r="D177" s="282"/>
    </row>
    <row r="178" spans="1:4" s="1061" customFormat="1">
      <c r="A178" s="1149"/>
      <c r="B178" s="1149"/>
      <c r="C178" s="1149"/>
      <c r="D178" s="282"/>
    </row>
    <row r="179" spans="1:4" s="1061" customFormat="1">
      <c r="A179" s="1149"/>
      <c r="B179" s="1149"/>
      <c r="C179" s="1149"/>
      <c r="D179" s="282"/>
    </row>
    <row r="180" spans="1:4" s="1061" customFormat="1">
      <c r="A180" s="1149"/>
      <c r="B180" s="1149"/>
      <c r="C180" s="1149"/>
      <c r="D180" s="282"/>
    </row>
    <row r="181" spans="1:4" s="1061" customFormat="1">
      <c r="A181" s="1149"/>
      <c r="B181" s="1149"/>
      <c r="C181" s="1149"/>
      <c r="D181" s="282"/>
    </row>
    <row r="182" spans="1:4" s="1061" customFormat="1">
      <c r="A182" s="1149"/>
      <c r="B182" s="1149"/>
      <c r="C182" s="1149"/>
      <c r="D182" s="282"/>
    </row>
    <row r="183" spans="1:4" s="1061" customFormat="1">
      <c r="A183" s="1149"/>
      <c r="B183" s="1149"/>
      <c r="C183" s="1149"/>
      <c r="D183" s="282"/>
    </row>
    <row r="184" spans="1:4" s="1061" customFormat="1">
      <c r="A184" s="1149"/>
      <c r="B184" s="1149"/>
      <c r="C184" s="1149"/>
      <c r="D184" s="282"/>
    </row>
    <row r="185" spans="1:4" s="1061" customFormat="1">
      <c r="A185" s="1149"/>
      <c r="B185" s="1149"/>
      <c r="C185" s="1149"/>
      <c r="D185" s="282"/>
    </row>
    <row r="186" spans="1:4" s="1061" customFormat="1">
      <c r="A186" s="1149"/>
      <c r="B186" s="1149"/>
      <c r="C186" s="1149"/>
      <c r="D186" s="282"/>
    </row>
    <row r="187" spans="1:4" s="1061" customFormat="1">
      <c r="A187" s="1149"/>
      <c r="B187" s="1149"/>
      <c r="C187" s="1149"/>
      <c r="D187" s="282"/>
    </row>
    <row r="188" spans="1:4" s="1061" customFormat="1">
      <c r="A188" s="1149"/>
      <c r="B188" s="1149"/>
      <c r="C188" s="1149"/>
      <c r="D188" s="282"/>
    </row>
    <row r="189" spans="1:4">
      <c r="A189" s="1149"/>
      <c r="B189" s="1149"/>
      <c r="C189" s="1149"/>
      <c r="D189" s="28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outlinePr summaryBelow="0" summaryRight="0"/>
  </sheetPr>
  <dimension ref="A1:Z997"/>
  <sheetViews>
    <sheetView topLeftCell="A3" zoomScale="70" zoomScaleNormal="70" workbookViewId="0">
      <pane xSplit="2" ySplit="5" topLeftCell="C8" activePane="bottomRight" state="frozen"/>
      <selection pane="bottomRight" activeCell="R28" sqref="R28"/>
      <selection pane="bottomLeft" activeCell="A8" sqref="A8"/>
      <selection pane="topRight" activeCell="C3" sqref="C3"/>
    </sheetView>
  </sheetViews>
  <sheetFormatPr defaultColWidth="12.625" defaultRowHeight="15" customHeight="1"/>
  <cols>
    <col min="1" max="2" width="12.625" style="108"/>
    <col min="3" max="14" width="10.875" style="108" customWidth="1"/>
    <col min="15" max="16384" width="12.625" style="108"/>
  </cols>
  <sheetData>
    <row r="1" spans="1:26">
      <c r="A1" s="328" t="s">
        <v>367</v>
      </c>
      <c r="B1" s="329" t="s">
        <v>368</v>
      </c>
      <c r="C1" s="1149"/>
      <c r="D1" s="1149"/>
      <c r="E1" s="1149"/>
      <c r="F1" s="1149"/>
      <c r="G1" s="1149"/>
      <c r="H1" s="111"/>
      <c r="I1" s="330"/>
      <c r="J1" s="1149"/>
      <c r="K1" s="1149"/>
      <c r="L1" s="1149"/>
      <c r="M1" s="1149"/>
      <c r="N1" s="1149"/>
      <c r="O1" s="1149"/>
      <c r="P1" s="1149"/>
      <c r="Q1" s="1149"/>
      <c r="R1" s="1149"/>
      <c r="S1" s="1149"/>
      <c r="T1" s="1149"/>
      <c r="U1" s="1149"/>
      <c r="V1" s="1149"/>
      <c r="W1" s="1149"/>
      <c r="X1" s="1149"/>
      <c r="Y1" s="1149"/>
      <c r="Z1" s="1149"/>
    </row>
    <row r="2" spans="1:26">
      <c r="A2" s="1149"/>
      <c r="B2" s="1149"/>
      <c r="C2" s="1149"/>
      <c r="D2" s="1149"/>
      <c r="E2" s="1149"/>
      <c r="F2" s="1149"/>
      <c r="G2" s="1149"/>
      <c r="H2" s="111"/>
      <c r="I2" s="118"/>
      <c r="J2" s="1149"/>
      <c r="K2" s="1149"/>
      <c r="L2" s="1149"/>
      <c r="M2" s="1149"/>
      <c r="N2" s="1149"/>
      <c r="O2" s="1149"/>
      <c r="P2" s="1149"/>
      <c r="Q2" s="1149"/>
      <c r="R2" s="1149"/>
      <c r="S2" s="1149"/>
      <c r="T2" s="1149"/>
      <c r="U2" s="1149"/>
      <c r="V2" s="1149"/>
      <c r="W2" s="1149"/>
      <c r="X2" s="1149"/>
      <c r="Y2" s="1149"/>
      <c r="Z2" s="1149"/>
    </row>
    <row r="3" spans="1:26" ht="15" customHeight="1" thickBot="1">
      <c r="A3" s="1149"/>
      <c r="B3" s="331"/>
      <c r="C3" s="1199" t="s">
        <v>369</v>
      </c>
      <c r="D3" s="1200"/>
      <c r="E3" s="1200"/>
      <c r="F3" s="1200"/>
      <c r="G3" s="1200"/>
      <c r="H3" s="1200"/>
      <c r="I3" s="1200"/>
      <c r="J3" s="1200"/>
      <c r="K3" s="1200"/>
      <c r="L3" s="1200"/>
      <c r="M3" s="1200"/>
      <c r="N3" s="1200"/>
      <c r="O3" s="1199" t="s">
        <v>370</v>
      </c>
      <c r="P3" s="1200"/>
      <c r="Q3" s="1200"/>
      <c r="R3" s="1200"/>
      <c r="S3" s="1200"/>
      <c r="T3" s="1200"/>
      <c r="U3" s="1200"/>
      <c r="V3" s="1200"/>
      <c r="W3" s="1200"/>
      <c r="X3" s="1200"/>
      <c r="Y3" s="1200"/>
      <c r="Z3" s="1200"/>
    </row>
    <row r="4" spans="1:26" hidden="1">
      <c r="A4" s="1149"/>
      <c r="B4" s="332"/>
      <c r="C4" s="333" t="str">
        <f>$C3</f>
        <v>INDUS</v>
      </c>
      <c r="D4" s="333" t="str">
        <f t="shared" ref="D4:N4" si="0">$C3</f>
        <v>INDUS</v>
      </c>
      <c r="E4" s="333" t="str">
        <f t="shared" si="0"/>
        <v>INDUS</v>
      </c>
      <c r="F4" s="333" t="str">
        <f t="shared" si="0"/>
        <v>INDUS</v>
      </c>
      <c r="G4" s="333" t="str">
        <f t="shared" si="0"/>
        <v>INDUS</v>
      </c>
      <c r="H4" s="333" t="str">
        <f t="shared" si="0"/>
        <v>INDUS</v>
      </c>
      <c r="I4" s="333" t="str">
        <f t="shared" si="0"/>
        <v>INDUS</v>
      </c>
      <c r="J4" s="333" t="str">
        <f t="shared" si="0"/>
        <v>INDUS</v>
      </c>
      <c r="K4" s="333" t="str">
        <f t="shared" si="0"/>
        <v>INDUS</v>
      </c>
      <c r="L4" s="333" t="str">
        <f t="shared" si="0"/>
        <v>INDUS</v>
      </c>
      <c r="M4" s="333" t="str">
        <f t="shared" si="0"/>
        <v>INDUS</v>
      </c>
      <c r="N4" s="333" t="str">
        <f t="shared" si="0"/>
        <v>INDUS</v>
      </c>
      <c r="O4" s="333" t="str">
        <f>$O3</f>
        <v>INDUS+5</v>
      </c>
      <c r="P4" s="333" t="str">
        <f t="shared" ref="P4:Z4" si="1">$O3</f>
        <v>INDUS+5</v>
      </c>
      <c r="Q4" s="333" t="str">
        <f t="shared" si="1"/>
        <v>INDUS+5</v>
      </c>
      <c r="R4" s="333" t="str">
        <f t="shared" si="1"/>
        <v>INDUS+5</v>
      </c>
      <c r="S4" s="333" t="str">
        <f t="shared" si="1"/>
        <v>INDUS+5</v>
      </c>
      <c r="T4" s="333" t="str">
        <f t="shared" si="1"/>
        <v>INDUS+5</v>
      </c>
      <c r="U4" s="333" t="str">
        <f t="shared" si="1"/>
        <v>INDUS+5</v>
      </c>
      <c r="V4" s="333" t="str">
        <f t="shared" si="1"/>
        <v>INDUS+5</v>
      </c>
      <c r="W4" s="333" t="str">
        <f t="shared" si="1"/>
        <v>INDUS+5</v>
      </c>
      <c r="X4" s="333" t="str">
        <f t="shared" si="1"/>
        <v>INDUS+5</v>
      </c>
      <c r="Y4" s="333" t="str">
        <f t="shared" si="1"/>
        <v>INDUS+5</v>
      </c>
      <c r="Z4" s="333" t="str">
        <f t="shared" si="1"/>
        <v>INDUS+5</v>
      </c>
    </row>
    <row r="5" spans="1:26" ht="14.1">
      <c r="A5" s="1149"/>
      <c r="B5" s="1149"/>
      <c r="C5" s="1201" t="s">
        <v>371</v>
      </c>
      <c r="D5" s="1202"/>
      <c r="E5" s="1203"/>
      <c r="F5" s="1201" t="s">
        <v>372</v>
      </c>
      <c r="G5" s="1202"/>
      <c r="H5" s="1203"/>
      <c r="I5" s="1201" t="s">
        <v>373</v>
      </c>
      <c r="J5" s="1202"/>
      <c r="K5" s="1203"/>
      <c r="L5" s="1201" t="s">
        <v>374</v>
      </c>
      <c r="M5" s="1202"/>
      <c r="N5" s="1203"/>
      <c r="O5" s="1201" t="s">
        <v>371</v>
      </c>
      <c r="P5" s="1202"/>
      <c r="Q5" s="1203"/>
      <c r="R5" s="1201" t="s">
        <v>372</v>
      </c>
      <c r="S5" s="1202"/>
      <c r="T5" s="1203"/>
      <c r="U5" s="1201" t="s">
        <v>373</v>
      </c>
      <c r="V5" s="1202"/>
      <c r="W5" s="1203"/>
      <c r="X5" s="1201" t="s">
        <v>374</v>
      </c>
      <c r="Y5" s="1202"/>
      <c r="Z5" s="1203"/>
    </row>
    <row r="6" spans="1:26" ht="30" hidden="1">
      <c r="A6" s="1149"/>
      <c r="B6" s="1149"/>
      <c r="C6" s="333" t="str">
        <f>$C5</f>
        <v>Commuters</v>
      </c>
      <c r="D6" s="333" t="str">
        <f t="shared" ref="D6:E6" si="2">$C5</f>
        <v>Commuters</v>
      </c>
      <c r="E6" s="333" t="str">
        <f t="shared" si="2"/>
        <v>Commuters</v>
      </c>
      <c r="F6" s="333" t="str">
        <f>$F5</f>
        <v>Regional</v>
      </c>
      <c r="G6" s="333" t="str">
        <f t="shared" ref="G6:H6" si="3">$F5</f>
        <v>Regional</v>
      </c>
      <c r="H6" s="333" t="str">
        <f t="shared" si="3"/>
        <v>Regional</v>
      </c>
      <c r="I6" s="333" t="str">
        <f>$I5</f>
        <v>CMC</v>
      </c>
      <c r="J6" s="333" t="str">
        <f t="shared" ref="J6:K6" si="4">$I5</f>
        <v>CMC</v>
      </c>
      <c r="K6" s="333" t="str">
        <f t="shared" si="4"/>
        <v>CMC</v>
      </c>
      <c r="L6" s="333" t="str">
        <f>$L5</f>
        <v xml:space="preserve">Long Courrier </v>
      </c>
      <c r="M6" s="333" t="str">
        <f t="shared" ref="M6:N6" si="5">$L5</f>
        <v xml:space="preserve">Long Courrier </v>
      </c>
      <c r="N6" s="333" t="str">
        <f t="shared" si="5"/>
        <v xml:space="preserve">Long Courrier </v>
      </c>
      <c r="O6" s="333" t="str">
        <f>$O5</f>
        <v>Commuters</v>
      </c>
      <c r="P6" s="333" t="str">
        <f t="shared" ref="P6:Q6" si="6">$O5</f>
        <v>Commuters</v>
      </c>
      <c r="Q6" s="333" t="str">
        <f t="shared" si="6"/>
        <v>Commuters</v>
      </c>
      <c r="R6" s="333" t="str">
        <f>$R5</f>
        <v>Regional</v>
      </c>
      <c r="S6" s="333" t="str">
        <f t="shared" ref="S6:T6" si="7">$R5</f>
        <v>Regional</v>
      </c>
      <c r="T6" s="333" t="str">
        <f t="shared" si="7"/>
        <v>Regional</v>
      </c>
      <c r="U6" s="333" t="str">
        <f>$U5</f>
        <v>CMC</v>
      </c>
      <c r="V6" s="333" t="str">
        <f t="shared" ref="V6:W6" si="8">$U5</f>
        <v>CMC</v>
      </c>
      <c r="W6" s="333" t="str">
        <f t="shared" si="8"/>
        <v>CMC</v>
      </c>
      <c r="X6" s="333" t="str">
        <f>$X5</f>
        <v xml:space="preserve">Long Courrier </v>
      </c>
      <c r="Y6" s="333" t="str">
        <f t="shared" ref="Y6:Z6" si="9">$X5</f>
        <v xml:space="preserve">Long Courrier </v>
      </c>
      <c r="Z6" s="333" t="str">
        <f t="shared" si="9"/>
        <v xml:space="preserve">Long Courrier </v>
      </c>
    </row>
    <row r="7" spans="1:26" ht="45.95" thickBot="1">
      <c r="A7" s="1149"/>
      <c r="B7" s="1149"/>
      <c r="C7" s="334" t="s">
        <v>375</v>
      </c>
      <c r="D7" s="335" t="s">
        <v>376</v>
      </c>
      <c r="E7" s="336" t="s">
        <v>377</v>
      </c>
      <c r="F7" s="334" t="s">
        <v>375</v>
      </c>
      <c r="G7" s="335" t="s">
        <v>376</v>
      </c>
      <c r="H7" s="336" t="s">
        <v>377</v>
      </c>
      <c r="I7" s="334" t="s">
        <v>375</v>
      </c>
      <c r="J7" s="335" t="s">
        <v>376</v>
      </c>
      <c r="K7" s="337" t="s">
        <v>377</v>
      </c>
      <c r="L7" s="334" t="s">
        <v>375</v>
      </c>
      <c r="M7" s="335" t="s">
        <v>376</v>
      </c>
      <c r="N7" s="336" t="s">
        <v>377</v>
      </c>
      <c r="O7" s="334" t="s">
        <v>375</v>
      </c>
      <c r="P7" s="335" t="s">
        <v>376</v>
      </c>
      <c r="Q7" s="336" t="s">
        <v>377</v>
      </c>
      <c r="R7" s="334" t="s">
        <v>375</v>
      </c>
      <c r="S7" s="335" t="s">
        <v>376</v>
      </c>
      <c r="T7" s="336" t="s">
        <v>377</v>
      </c>
      <c r="U7" s="334" t="s">
        <v>375</v>
      </c>
      <c r="V7" s="335" t="s">
        <v>376</v>
      </c>
      <c r="W7" s="337" t="s">
        <v>377</v>
      </c>
      <c r="X7" s="334" t="s">
        <v>375</v>
      </c>
      <c r="Y7" s="335" t="s">
        <v>376</v>
      </c>
      <c r="Z7" s="336" t="s">
        <v>377</v>
      </c>
    </row>
    <row r="8" spans="1:26" ht="15" customHeight="1">
      <c r="A8" s="1149"/>
      <c r="B8" s="338">
        <v>2020</v>
      </c>
      <c r="C8" s="339">
        <v>1</v>
      </c>
      <c r="D8" s="340">
        <v>0.5</v>
      </c>
      <c r="E8" s="341">
        <v>0</v>
      </c>
      <c r="F8" s="339">
        <v>1</v>
      </c>
      <c r="G8" s="340">
        <v>0.5</v>
      </c>
      <c r="H8" s="341">
        <v>0</v>
      </c>
      <c r="I8" s="342">
        <v>0.8</v>
      </c>
      <c r="J8" s="343">
        <v>0.5</v>
      </c>
      <c r="K8" s="344">
        <v>0</v>
      </c>
      <c r="L8" s="342">
        <v>0.75</v>
      </c>
      <c r="M8" s="343">
        <v>0.5</v>
      </c>
      <c r="N8" s="344">
        <v>0</v>
      </c>
      <c r="O8" s="339">
        <v>1</v>
      </c>
      <c r="P8" s="340">
        <v>0.5</v>
      </c>
      <c r="Q8" s="341">
        <v>0</v>
      </c>
      <c r="R8" s="339">
        <v>1</v>
      </c>
      <c r="S8" s="340">
        <v>0.5</v>
      </c>
      <c r="T8" s="341">
        <v>0</v>
      </c>
      <c r="U8" s="342">
        <v>0.8</v>
      </c>
      <c r="V8" s="343">
        <v>0.5</v>
      </c>
      <c r="W8" s="344">
        <v>0</v>
      </c>
      <c r="X8" s="342">
        <v>0.75</v>
      </c>
      <c r="Y8" s="343">
        <v>0.5</v>
      </c>
      <c r="Z8" s="344">
        <v>0</v>
      </c>
    </row>
    <row r="9" spans="1:26" ht="14.1">
      <c r="A9" s="1149"/>
      <c r="B9" s="345">
        <v>2021</v>
      </c>
      <c r="C9" s="346">
        <v>1</v>
      </c>
      <c r="D9" s="347">
        <v>0.5</v>
      </c>
      <c r="E9" s="348">
        <v>0</v>
      </c>
      <c r="F9" s="346">
        <v>1</v>
      </c>
      <c r="G9" s="347">
        <v>0.5</v>
      </c>
      <c r="H9" s="348">
        <v>0</v>
      </c>
      <c r="I9" s="346">
        <v>0.8</v>
      </c>
      <c r="J9" s="347">
        <v>0.5</v>
      </c>
      <c r="K9" s="348">
        <v>0</v>
      </c>
      <c r="L9" s="346">
        <v>0.75</v>
      </c>
      <c r="M9" s="347">
        <v>0.5</v>
      </c>
      <c r="N9" s="348">
        <v>0</v>
      </c>
      <c r="O9" s="346">
        <v>1</v>
      </c>
      <c r="P9" s="347">
        <v>0.5</v>
      </c>
      <c r="Q9" s="348">
        <v>0</v>
      </c>
      <c r="R9" s="346">
        <v>1</v>
      </c>
      <c r="S9" s="347">
        <v>0.5</v>
      </c>
      <c r="T9" s="348">
        <v>0</v>
      </c>
      <c r="U9" s="346">
        <v>0.8</v>
      </c>
      <c r="V9" s="347">
        <v>0.5</v>
      </c>
      <c r="W9" s="348">
        <v>0</v>
      </c>
      <c r="X9" s="346">
        <v>0.75</v>
      </c>
      <c r="Y9" s="347">
        <v>0.5</v>
      </c>
      <c r="Z9" s="348">
        <v>0</v>
      </c>
    </row>
    <row r="10" spans="1:26" ht="14.1" customHeight="1">
      <c r="A10" s="1149"/>
      <c r="B10" s="345">
        <v>2022</v>
      </c>
      <c r="C10" s="346">
        <v>1</v>
      </c>
      <c r="D10" s="347">
        <v>0.5</v>
      </c>
      <c r="E10" s="348">
        <v>0</v>
      </c>
      <c r="F10" s="346">
        <v>1</v>
      </c>
      <c r="G10" s="347">
        <v>0.5</v>
      </c>
      <c r="H10" s="348">
        <v>0</v>
      </c>
      <c r="I10" s="346">
        <v>0.8</v>
      </c>
      <c r="J10" s="347">
        <v>0.5</v>
      </c>
      <c r="K10" s="348">
        <v>0</v>
      </c>
      <c r="L10" s="346">
        <v>0.75</v>
      </c>
      <c r="M10" s="347">
        <v>0.5</v>
      </c>
      <c r="N10" s="348">
        <v>0</v>
      </c>
      <c r="O10" s="346">
        <v>1</v>
      </c>
      <c r="P10" s="347">
        <v>0.5</v>
      </c>
      <c r="Q10" s="348">
        <v>0</v>
      </c>
      <c r="R10" s="346">
        <v>1</v>
      </c>
      <c r="S10" s="347">
        <v>0.5</v>
      </c>
      <c r="T10" s="348">
        <v>0</v>
      </c>
      <c r="U10" s="346">
        <v>0.8</v>
      </c>
      <c r="V10" s="347">
        <v>0.5</v>
      </c>
      <c r="W10" s="348">
        <v>0</v>
      </c>
      <c r="X10" s="346">
        <v>0.75</v>
      </c>
      <c r="Y10" s="347">
        <v>0.5</v>
      </c>
      <c r="Z10" s="348">
        <v>0</v>
      </c>
    </row>
    <row r="11" spans="1:26" ht="14.1">
      <c r="A11" s="1149"/>
      <c r="B11" s="345">
        <v>2023</v>
      </c>
      <c r="C11" s="346">
        <v>1</v>
      </c>
      <c r="D11" s="347">
        <v>0.5</v>
      </c>
      <c r="E11" s="348">
        <v>0</v>
      </c>
      <c r="F11" s="346">
        <v>1</v>
      </c>
      <c r="G11" s="347">
        <v>0.5</v>
      </c>
      <c r="H11" s="348">
        <v>0</v>
      </c>
      <c r="I11" s="346">
        <v>0.8</v>
      </c>
      <c r="J11" s="347">
        <v>0.5</v>
      </c>
      <c r="K11" s="348">
        <v>0</v>
      </c>
      <c r="L11" s="346">
        <v>0.75</v>
      </c>
      <c r="M11" s="347">
        <v>0.5</v>
      </c>
      <c r="N11" s="348">
        <v>0</v>
      </c>
      <c r="O11" s="346">
        <v>1</v>
      </c>
      <c r="P11" s="347">
        <v>0.5</v>
      </c>
      <c r="Q11" s="348">
        <v>0</v>
      </c>
      <c r="R11" s="346">
        <v>1</v>
      </c>
      <c r="S11" s="347">
        <v>0.5</v>
      </c>
      <c r="T11" s="348">
        <v>0</v>
      </c>
      <c r="U11" s="346">
        <v>0.8</v>
      </c>
      <c r="V11" s="347">
        <v>0.5</v>
      </c>
      <c r="W11" s="348">
        <v>0</v>
      </c>
      <c r="X11" s="346">
        <v>0.75</v>
      </c>
      <c r="Y11" s="347">
        <v>0.5</v>
      </c>
      <c r="Z11" s="348">
        <v>0</v>
      </c>
    </row>
    <row r="12" spans="1:26" ht="14.1">
      <c r="A12" s="1149"/>
      <c r="B12" s="345">
        <v>2024</v>
      </c>
      <c r="C12" s="346">
        <v>1</v>
      </c>
      <c r="D12" s="347">
        <v>0.5</v>
      </c>
      <c r="E12" s="348">
        <v>0</v>
      </c>
      <c r="F12" s="346">
        <v>1</v>
      </c>
      <c r="G12" s="347">
        <v>0.5</v>
      </c>
      <c r="H12" s="348">
        <v>0</v>
      </c>
      <c r="I12" s="346">
        <v>0.8</v>
      </c>
      <c r="J12" s="347">
        <v>0.5</v>
      </c>
      <c r="K12" s="348">
        <v>0</v>
      </c>
      <c r="L12" s="346">
        <v>0.75</v>
      </c>
      <c r="M12" s="347">
        <v>0.5</v>
      </c>
      <c r="N12" s="348">
        <v>0</v>
      </c>
      <c r="O12" s="346">
        <v>1</v>
      </c>
      <c r="P12" s="347">
        <v>0.5</v>
      </c>
      <c r="Q12" s="348">
        <v>0</v>
      </c>
      <c r="R12" s="346">
        <v>1</v>
      </c>
      <c r="S12" s="347">
        <v>0.5</v>
      </c>
      <c r="T12" s="348">
        <v>0</v>
      </c>
      <c r="U12" s="346">
        <v>0.8</v>
      </c>
      <c r="V12" s="347">
        <v>0.5</v>
      </c>
      <c r="W12" s="348">
        <v>0</v>
      </c>
      <c r="X12" s="346">
        <v>0.75</v>
      </c>
      <c r="Y12" s="347">
        <v>0.5</v>
      </c>
      <c r="Z12" s="348">
        <v>0</v>
      </c>
    </row>
    <row r="13" spans="1:26" ht="14.1">
      <c r="A13" s="1149"/>
      <c r="B13" s="345">
        <v>2025</v>
      </c>
      <c r="C13" s="346">
        <v>0.5</v>
      </c>
      <c r="D13" s="347">
        <v>0.25</v>
      </c>
      <c r="E13" s="348">
        <v>0</v>
      </c>
      <c r="F13" s="346">
        <v>0.9</v>
      </c>
      <c r="G13" s="347">
        <v>0.5</v>
      </c>
      <c r="H13" s="348">
        <v>0</v>
      </c>
      <c r="I13" s="346">
        <v>0.8</v>
      </c>
      <c r="J13" s="347">
        <v>0.5</v>
      </c>
      <c r="K13" s="348">
        <v>0</v>
      </c>
      <c r="L13" s="346">
        <v>0.75</v>
      </c>
      <c r="M13" s="347">
        <v>0.5</v>
      </c>
      <c r="N13" s="348">
        <v>0</v>
      </c>
      <c r="O13" s="346">
        <v>1</v>
      </c>
      <c r="P13" s="347">
        <v>0.5</v>
      </c>
      <c r="Q13" s="348">
        <v>0</v>
      </c>
      <c r="R13" s="346">
        <v>1</v>
      </c>
      <c r="S13" s="347">
        <v>0.5</v>
      </c>
      <c r="T13" s="348">
        <v>0</v>
      </c>
      <c r="U13" s="346">
        <v>0.8</v>
      </c>
      <c r="V13" s="347">
        <v>0.5</v>
      </c>
      <c r="W13" s="348">
        <v>0</v>
      </c>
      <c r="X13" s="346">
        <v>0.75</v>
      </c>
      <c r="Y13" s="347">
        <v>0.5</v>
      </c>
      <c r="Z13" s="348">
        <v>0</v>
      </c>
    </row>
    <row r="14" spans="1:26" ht="14.1">
      <c r="A14" s="1149"/>
      <c r="B14" s="345">
        <v>2026</v>
      </c>
      <c r="C14" s="346">
        <f>C13</f>
        <v>0.5</v>
      </c>
      <c r="D14" s="347">
        <v>0.25</v>
      </c>
      <c r="E14" s="348">
        <v>0</v>
      </c>
      <c r="F14" s="346">
        <v>0.9</v>
      </c>
      <c r="G14" s="347">
        <v>0.5</v>
      </c>
      <c r="H14" s="348">
        <v>0</v>
      </c>
      <c r="I14" s="346">
        <v>0.8</v>
      </c>
      <c r="J14" s="347">
        <v>0.5</v>
      </c>
      <c r="K14" s="348">
        <v>0</v>
      </c>
      <c r="L14" s="346">
        <v>0.75</v>
      </c>
      <c r="M14" s="347">
        <v>0.5</v>
      </c>
      <c r="N14" s="348">
        <v>0</v>
      </c>
      <c r="O14" s="346">
        <v>1</v>
      </c>
      <c r="P14" s="347">
        <v>0.5</v>
      </c>
      <c r="Q14" s="348">
        <v>0</v>
      </c>
      <c r="R14" s="346">
        <v>1</v>
      </c>
      <c r="S14" s="347">
        <v>0.5</v>
      </c>
      <c r="T14" s="348">
        <v>0</v>
      </c>
      <c r="U14" s="346">
        <v>0.8</v>
      </c>
      <c r="V14" s="347">
        <v>0.5</v>
      </c>
      <c r="W14" s="348">
        <v>0</v>
      </c>
      <c r="X14" s="346">
        <v>0.75</v>
      </c>
      <c r="Y14" s="347">
        <v>0.5</v>
      </c>
      <c r="Z14" s="348">
        <v>0</v>
      </c>
    </row>
    <row r="15" spans="1:26" ht="14.1">
      <c r="A15" s="1149"/>
      <c r="B15" s="345">
        <v>2027</v>
      </c>
      <c r="C15" s="346">
        <f t="shared" ref="C15:C17" si="10">C14</f>
        <v>0.5</v>
      </c>
      <c r="D15" s="347">
        <v>0.25</v>
      </c>
      <c r="E15" s="348">
        <v>0</v>
      </c>
      <c r="F15" s="346">
        <v>0.9</v>
      </c>
      <c r="G15" s="347">
        <v>0.5</v>
      </c>
      <c r="H15" s="348">
        <v>0</v>
      </c>
      <c r="I15" s="346">
        <v>0.75</v>
      </c>
      <c r="J15" s="347">
        <v>0.5</v>
      </c>
      <c r="K15" s="348">
        <v>0</v>
      </c>
      <c r="L15" s="346">
        <v>0.75</v>
      </c>
      <c r="M15" s="347">
        <v>0.5</v>
      </c>
      <c r="N15" s="348">
        <v>0</v>
      </c>
      <c r="O15" s="346">
        <v>1</v>
      </c>
      <c r="P15" s="347">
        <v>0.5</v>
      </c>
      <c r="Q15" s="348">
        <v>0</v>
      </c>
      <c r="R15" s="346">
        <v>1</v>
      </c>
      <c r="S15" s="347">
        <v>0.5</v>
      </c>
      <c r="T15" s="348">
        <v>0</v>
      </c>
      <c r="U15" s="346">
        <v>0.8</v>
      </c>
      <c r="V15" s="347">
        <v>0.5</v>
      </c>
      <c r="W15" s="348">
        <v>0</v>
      </c>
      <c r="X15" s="346">
        <v>0.75</v>
      </c>
      <c r="Y15" s="347">
        <v>0.5</v>
      </c>
      <c r="Z15" s="348">
        <v>0</v>
      </c>
    </row>
    <row r="16" spans="1:26" ht="14.1">
      <c r="A16" s="1149"/>
      <c r="B16" s="345">
        <v>2028</v>
      </c>
      <c r="C16" s="346">
        <f t="shared" si="10"/>
        <v>0.5</v>
      </c>
      <c r="D16" s="347">
        <v>0.25</v>
      </c>
      <c r="E16" s="348">
        <v>0</v>
      </c>
      <c r="F16" s="346">
        <v>0.9</v>
      </c>
      <c r="G16" s="347">
        <v>0.5</v>
      </c>
      <c r="H16" s="348">
        <v>0</v>
      </c>
      <c r="I16" s="346">
        <v>0.75</v>
      </c>
      <c r="J16" s="347">
        <v>0.5</v>
      </c>
      <c r="K16" s="348">
        <v>0</v>
      </c>
      <c r="L16" s="346">
        <v>0.75</v>
      </c>
      <c r="M16" s="347">
        <v>0.5</v>
      </c>
      <c r="N16" s="348">
        <v>0</v>
      </c>
      <c r="O16" s="346">
        <v>1</v>
      </c>
      <c r="P16" s="347">
        <v>0.5</v>
      </c>
      <c r="Q16" s="348">
        <v>0</v>
      </c>
      <c r="R16" s="346">
        <v>1</v>
      </c>
      <c r="S16" s="347">
        <v>0.5</v>
      </c>
      <c r="T16" s="348">
        <v>0</v>
      </c>
      <c r="U16" s="346">
        <v>0.8</v>
      </c>
      <c r="V16" s="347">
        <v>0.5</v>
      </c>
      <c r="W16" s="348">
        <v>0</v>
      </c>
      <c r="X16" s="346">
        <v>0.75</v>
      </c>
      <c r="Y16" s="347">
        <v>0.5</v>
      </c>
      <c r="Z16" s="348">
        <v>0</v>
      </c>
    </row>
    <row r="17" spans="2:26" ht="14.1">
      <c r="B17" s="345">
        <v>2029</v>
      </c>
      <c r="C17" s="346">
        <f t="shared" si="10"/>
        <v>0.5</v>
      </c>
      <c r="D17" s="347">
        <v>0.25</v>
      </c>
      <c r="E17" s="348">
        <v>0</v>
      </c>
      <c r="F17" s="346">
        <v>0.9</v>
      </c>
      <c r="G17" s="347">
        <v>0.5</v>
      </c>
      <c r="H17" s="348">
        <v>0</v>
      </c>
      <c r="I17" s="346">
        <v>0.75</v>
      </c>
      <c r="J17" s="347">
        <v>0.5</v>
      </c>
      <c r="K17" s="348">
        <v>0</v>
      </c>
      <c r="L17" s="346">
        <v>0.75</v>
      </c>
      <c r="M17" s="347">
        <v>0.5</v>
      </c>
      <c r="N17" s="348">
        <v>0</v>
      </c>
      <c r="O17" s="346">
        <v>1</v>
      </c>
      <c r="P17" s="347">
        <v>0.5</v>
      </c>
      <c r="Q17" s="348">
        <v>0</v>
      </c>
      <c r="R17" s="346">
        <v>1</v>
      </c>
      <c r="S17" s="347">
        <v>0.5</v>
      </c>
      <c r="T17" s="348">
        <v>0</v>
      </c>
      <c r="U17" s="346">
        <v>0.8</v>
      </c>
      <c r="V17" s="347">
        <v>0.5</v>
      </c>
      <c r="W17" s="348">
        <v>0</v>
      </c>
      <c r="X17" s="346">
        <v>0.75</v>
      </c>
      <c r="Y17" s="347">
        <v>0.5</v>
      </c>
      <c r="Z17" s="348">
        <v>0</v>
      </c>
    </row>
    <row r="18" spans="2:26" ht="14.1">
      <c r="B18" s="345">
        <v>2030</v>
      </c>
      <c r="C18" s="346">
        <v>0.85</v>
      </c>
      <c r="D18" s="347">
        <v>0</v>
      </c>
      <c r="E18" s="348">
        <v>1</v>
      </c>
      <c r="F18" s="346">
        <v>0.5</v>
      </c>
      <c r="G18" s="347">
        <v>0.25</v>
      </c>
      <c r="H18" s="348">
        <v>0</v>
      </c>
      <c r="I18" s="346">
        <v>0.75</v>
      </c>
      <c r="J18" s="347">
        <v>0.5</v>
      </c>
      <c r="K18" s="348">
        <v>0</v>
      </c>
      <c r="L18" s="346">
        <v>0.75</v>
      </c>
      <c r="M18" s="347">
        <v>0.5</v>
      </c>
      <c r="N18" s="348">
        <v>0</v>
      </c>
      <c r="O18" s="346">
        <v>0.5</v>
      </c>
      <c r="P18" s="347">
        <v>0.25</v>
      </c>
      <c r="Q18" s="348">
        <v>0</v>
      </c>
      <c r="R18" s="346">
        <v>0.9</v>
      </c>
      <c r="S18" s="347">
        <v>0.5</v>
      </c>
      <c r="T18" s="348">
        <v>0</v>
      </c>
      <c r="U18" s="346">
        <v>0.8</v>
      </c>
      <c r="V18" s="347">
        <v>0.5</v>
      </c>
      <c r="W18" s="348">
        <v>0</v>
      </c>
      <c r="X18" s="346">
        <v>0.75</v>
      </c>
      <c r="Y18" s="347">
        <v>0.5</v>
      </c>
      <c r="Z18" s="348">
        <v>0</v>
      </c>
    </row>
    <row r="19" spans="2:26" ht="14.1">
      <c r="B19" s="345">
        <v>2031</v>
      </c>
      <c r="C19" s="346">
        <f>C18</f>
        <v>0.85</v>
      </c>
      <c r="D19" s="347">
        <v>0</v>
      </c>
      <c r="E19" s="348">
        <v>1</v>
      </c>
      <c r="F19" s="346">
        <f>F18</f>
        <v>0.5</v>
      </c>
      <c r="G19" s="347">
        <v>0.25</v>
      </c>
      <c r="H19" s="348">
        <v>0</v>
      </c>
      <c r="I19" s="346">
        <v>0.75</v>
      </c>
      <c r="J19" s="347">
        <v>0.5</v>
      </c>
      <c r="K19" s="348">
        <v>0</v>
      </c>
      <c r="L19" s="346">
        <v>0.75</v>
      </c>
      <c r="M19" s="347">
        <v>0.5</v>
      </c>
      <c r="N19" s="348">
        <v>0</v>
      </c>
      <c r="O19" s="346">
        <v>0.5</v>
      </c>
      <c r="P19" s="347">
        <v>0.25</v>
      </c>
      <c r="Q19" s="348">
        <v>0</v>
      </c>
      <c r="R19" s="346">
        <v>0.9</v>
      </c>
      <c r="S19" s="347">
        <v>0.5</v>
      </c>
      <c r="T19" s="348">
        <v>0</v>
      </c>
      <c r="U19" s="346">
        <v>0.8</v>
      </c>
      <c r="V19" s="347">
        <v>0.5</v>
      </c>
      <c r="W19" s="348">
        <v>0</v>
      </c>
      <c r="X19" s="346">
        <v>0.75</v>
      </c>
      <c r="Y19" s="347">
        <v>0.5</v>
      </c>
      <c r="Z19" s="348">
        <v>0</v>
      </c>
    </row>
    <row r="20" spans="2:26" ht="14.1">
      <c r="B20" s="345">
        <v>2032</v>
      </c>
      <c r="C20" s="346">
        <f t="shared" ref="C20:C38" si="11">C19</f>
        <v>0.85</v>
      </c>
      <c r="D20" s="347">
        <v>0</v>
      </c>
      <c r="E20" s="348">
        <v>1</v>
      </c>
      <c r="F20" s="346">
        <f t="shared" ref="F20:F22" si="12">F19</f>
        <v>0.5</v>
      </c>
      <c r="G20" s="347">
        <v>0.25</v>
      </c>
      <c r="H20" s="348">
        <v>0</v>
      </c>
      <c r="I20" s="346">
        <v>0.75</v>
      </c>
      <c r="J20" s="347">
        <v>0.5</v>
      </c>
      <c r="K20" s="348">
        <v>0</v>
      </c>
      <c r="L20" s="346">
        <v>0.75</v>
      </c>
      <c r="M20" s="347">
        <v>0.5</v>
      </c>
      <c r="N20" s="348">
        <v>0</v>
      </c>
      <c r="O20" s="346">
        <v>0.5</v>
      </c>
      <c r="P20" s="347">
        <v>0.25</v>
      </c>
      <c r="Q20" s="348">
        <v>0</v>
      </c>
      <c r="R20" s="346">
        <v>0.9</v>
      </c>
      <c r="S20" s="347">
        <v>0.5</v>
      </c>
      <c r="T20" s="348">
        <v>0</v>
      </c>
      <c r="U20" s="346">
        <v>0.75</v>
      </c>
      <c r="V20" s="347">
        <v>0.5</v>
      </c>
      <c r="W20" s="348">
        <v>0</v>
      </c>
      <c r="X20" s="346">
        <v>0.75</v>
      </c>
      <c r="Y20" s="347">
        <v>0.5</v>
      </c>
      <c r="Z20" s="348">
        <v>0</v>
      </c>
    </row>
    <row r="21" spans="2:26" ht="14.1">
      <c r="B21" s="345">
        <v>2033</v>
      </c>
      <c r="C21" s="346">
        <f t="shared" si="11"/>
        <v>0.85</v>
      </c>
      <c r="D21" s="347">
        <v>0</v>
      </c>
      <c r="E21" s="348">
        <v>1</v>
      </c>
      <c r="F21" s="346">
        <f t="shared" si="12"/>
        <v>0.5</v>
      </c>
      <c r="G21" s="347">
        <v>0.25</v>
      </c>
      <c r="H21" s="348">
        <v>0</v>
      </c>
      <c r="I21" s="346">
        <v>0.75</v>
      </c>
      <c r="J21" s="347">
        <v>0.5</v>
      </c>
      <c r="K21" s="348">
        <v>0</v>
      </c>
      <c r="L21" s="346">
        <v>0.75</v>
      </c>
      <c r="M21" s="347">
        <v>0.5</v>
      </c>
      <c r="N21" s="348">
        <v>0</v>
      </c>
      <c r="O21" s="346">
        <v>0.5</v>
      </c>
      <c r="P21" s="347">
        <v>0.25</v>
      </c>
      <c r="Q21" s="348">
        <v>0</v>
      </c>
      <c r="R21" s="346">
        <v>0.9</v>
      </c>
      <c r="S21" s="347">
        <v>0.5</v>
      </c>
      <c r="T21" s="348">
        <v>0</v>
      </c>
      <c r="U21" s="346">
        <v>0.75</v>
      </c>
      <c r="V21" s="347">
        <v>0.5</v>
      </c>
      <c r="W21" s="348">
        <v>0</v>
      </c>
      <c r="X21" s="346">
        <v>0.75</v>
      </c>
      <c r="Y21" s="347">
        <v>0.5</v>
      </c>
      <c r="Z21" s="348">
        <v>0</v>
      </c>
    </row>
    <row r="22" spans="2:26" ht="14.1">
      <c r="B22" s="345">
        <v>2034</v>
      </c>
      <c r="C22" s="346">
        <f t="shared" si="11"/>
        <v>0.85</v>
      </c>
      <c r="D22" s="347">
        <v>0</v>
      </c>
      <c r="E22" s="348">
        <v>1</v>
      </c>
      <c r="F22" s="346">
        <f t="shared" si="12"/>
        <v>0.5</v>
      </c>
      <c r="G22" s="347">
        <v>0.25</v>
      </c>
      <c r="H22" s="348">
        <v>0</v>
      </c>
      <c r="I22" s="346">
        <v>0.75</v>
      </c>
      <c r="J22" s="347">
        <v>0.5</v>
      </c>
      <c r="K22" s="348">
        <v>0</v>
      </c>
      <c r="L22" s="346">
        <v>0.75</v>
      </c>
      <c r="M22" s="347">
        <v>0.5</v>
      </c>
      <c r="N22" s="348">
        <v>0</v>
      </c>
      <c r="O22" s="346">
        <v>0.5</v>
      </c>
      <c r="P22" s="347">
        <v>0.25</v>
      </c>
      <c r="Q22" s="348">
        <v>0</v>
      </c>
      <c r="R22" s="346">
        <v>0.9</v>
      </c>
      <c r="S22" s="347">
        <v>0.5</v>
      </c>
      <c r="T22" s="348">
        <v>0</v>
      </c>
      <c r="U22" s="346">
        <v>0.75</v>
      </c>
      <c r="V22" s="347">
        <v>0.5</v>
      </c>
      <c r="W22" s="348">
        <v>0</v>
      </c>
      <c r="X22" s="346">
        <v>0.75</v>
      </c>
      <c r="Y22" s="347">
        <v>0.5</v>
      </c>
      <c r="Z22" s="348">
        <v>0</v>
      </c>
    </row>
    <row r="23" spans="2:26" ht="14.1">
      <c r="B23" s="345">
        <v>2035</v>
      </c>
      <c r="C23" s="346">
        <f t="shared" si="11"/>
        <v>0.85</v>
      </c>
      <c r="D23" s="347">
        <v>0</v>
      </c>
      <c r="E23" s="348">
        <v>1</v>
      </c>
      <c r="F23" s="346">
        <v>0.85</v>
      </c>
      <c r="G23" s="347">
        <v>0</v>
      </c>
      <c r="H23" s="348">
        <v>1</v>
      </c>
      <c r="I23" s="346">
        <v>0.63749999999999996</v>
      </c>
      <c r="J23" s="347">
        <v>0</v>
      </c>
      <c r="K23" s="348">
        <v>1</v>
      </c>
      <c r="L23" s="346">
        <v>0.5625</v>
      </c>
      <c r="M23" s="347">
        <v>1</v>
      </c>
      <c r="N23" s="348">
        <v>0</v>
      </c>
      <c r="O23" s="346">
        <v>0.85</v>
      </c>
      <c r="P23" s="347">
        <v>0</v>
      </c>
      <c r="Q23" s="348">
        <v>1</v>
      </c>
      <c r="R23" s="346">
        <v>0.5</v>
      </c>
      <c r="S23" s="347">
        <v>0.25</v>
      </c>
      <c r="T23" s="348">
        <v>0</v>
      </c>
      <c r="U23" s="346">
        <v>0.75</v>
      </c>
      <c r="V23" s="347">
        <v>0.5</v>
      </c>
      <c r="W23" s="348">
        <v>0</v>
      </c>
      <c r="X23" s="346">
        <v>0.75</v>
      </c>
      <c r="Y23" s="347">
        <v>0.5</v>
      </c>
      <c r="Z23" s="348">
        <v>0</v>
      </c>
    </row>
    <row r="24" spans="2:26" ht="14.1">
      <c r="B24" s="345">
        <v>2036</v>
      </c>
      <c r="C24" s="346">
        <f t="shared" si="11"/>
        <v>0.85</v>
      </c>
      <c r="D24" s="347">
        <v>0</v>
      </c>
      <c r="E24" s="348">
        <v>1</v>
      </c>
      <c r="F24" s="346">
        <f>F23</f>
        <v>0.85</v>
      </c>
      <c r="G24" s="347">
        <v>0</v>
      </c>
      <c r="H24" s="348">
        <v>1</v>
      </c>
      <c r="I24" s="346">
        <v>0.63749999999999996</v>
      </c>
      <c r="J24" s="347">
        <v>0</v>
      </c>
      <c r="K24" s="348">
        <v>1</v>
      </c>
      <c r="L24" s="346">
        <v>0.5625</v>
      </c>
      <c r="M24" s="347">
        <v>1</v>
      </c>
      <c r="N24" s="348">
        <v>0</v>
      </c>
      <c r="O24" s="346">
        <v>0.85</v>
      </c>
      <c r="P24" s="347">
        <v>0</v>
      </c>
      <c r="Q24" s="348">
        <v>1</v>
      </c>
      <c r="R24" s="346">
        <v>0.5</v>
      </c>
      <c r="S24" s="347">
        <v>0.25</v>
      </c>
      <c r="T24" s="348">
        <v>0</v>
      </c>
      <c r="U24" s="346">
        <v>0.75</v>
      </c>
      <c r="V24" s="347">
        <v>0.5</v>
      </c>
      <c r="W24" s="348">
        <v>0</v>
      </c>
      <c r="X24" s="346">
        <v>0.75</v>
      </c>
      <c r="Y24" s="347">
        <v>0.5</v>
      </c>
      <c r="Z24" s="348">
        <v>0</v>
      </c>
    </row>
    <row r="25" spans="2:26" ht="14.1">
      <c r="B25" s="345">
        <v>2037</v>
      </c>
      <c r="C25" s="346">
        <f t="shared" si="11"/>
        <v>0.85</v>
      </c>
      <c r="D25" s="347">
        <v>0</v>
      </c>
      <c r="E25" s="348">
        <v>1</v>
      </c>
      <c r="F25" s="346">
        <f t="shared" ref="F25:F38" si="13">F24</f>
        <v>0.85</v>
      </c>
      <c r="G25" s="347">
        <v>0</v>
      </c>
      <c r="H25" s="348">
        <v>1</v>
      </c>
      <c r="I25" s="346">
        <v>0.63749999999999996</v>
      </c>
      <c r="J25" s="347">
        <v>0</v>
      </c>
      <c r="K25" s="348">
        <v>1</v>
      </c>
      <c r="L25" s="346">
        <v>0.5625</v>
      </c>
      <c r="M25" s="347">
        <v>1</v>
      </c>
      <c r="N25" s="348">
        <v>0</v>
      </c>
      <c r="O25" s="346">
        <v>0.85</v>
      </c>
      <c r="P25" s="347">
        <v>0</v>
      </c>
      <c r="Q25" s="348">
        <v>1</v>
      </c>
      <c r="R25" s="346">
        <v>0.5</v>
      </c>
      <c r="S25" s="347">
        <v>0.25</v>
      </c>
      <c r="T25" s="348">
        <v>0</v>
      </c>
      <c r="U25" s="346">
        <v>0.75</v>
      </c>
      <c r="V25" s="347">
        <v>0.5</v>
      </c>
      <c r="W25" s="348">
        <v>0</v>
      </c>
      <c r="X25" s="346">
        <v>0.75</v>
      </c>
      <c r="Y25" s="347">
        <v>0.5</v>
      </c>
      <c r="Z25" s="348">
        <v>0</v>
      </c>
    </row>
    <row r="26" spans="2:26" ht="14.1">
      <c r="B26" s="345">
        <v>2038</v>
      </c>
      <c r="C26" s="346">
        <f t="shared" si="11"/>
        <v>0.85</v>
      </c>
      <c r="D26" s="347">
        <v>0</v>
      </c>
      <c r="E26" s="348">
        <v>1</v>
      </c>
      <c r="F26" s="346">
        <f t="shared" si="13"/>
        <v>0.85</v>
      </c>
      <c r="G26" s="347">
        <v>0</v>
      </c>
      <c r="H26" s="348">
        <v>1</v>
      </c>
      <c r="I26" s="346">
        <v>0.63749999999999996</v>
      </c>
      <c r="J26" s="347">
        <v>0</v>
      </c>
      <c r="K26" s="348">
        <v>1</v>
      </c>
      <c r="L26" s="346">
        <v>0.5625</v>
      </c>
      <c r="M26" s="347">
        <v>1</v>
      </c>
      <c r="N26" s="348">
        <v>0</v>
      </c>
      <c r="O26" s="346">
        <v>0.85</v>
      </c>
      <c r="P26" s="347">
        <v>0</v>
      </c>
      <c r="Q26" s="348">
        <v>1</v>
      </c>
      <c r="R26" s="346">
        <v>0.5</v>
      </c>
      <c r="S26" s="347">
        <v>0.25</v>
      </c>
      <c r="T26" s="348">
        <v>0</v>
      </c>
      <c r="U26" s="346">
        <v>0.75</v>
      </c>
      <c r="V26" s="347">
        <v>0.5</v>
      </c>
      <c r="W26" s="348">
        <v>0</v>
      </c>
      <c r="X26" s="346">
        <v>0.75</v>
      </c>
      <c r="Y26" s="347">
        <v>0.5</v>
      </c>
      <c r="Z26" s="348">
        <v>0</v>
      </c>
    </row>
    <row r="27" spans="2:26" ht="14.1">
      <c r="B27" s="345">
        <v>2039</v>
      </c>
      <c r="C27" s="346">
        <f t="shared" si="11"/>
        <v>0.85</v>
      </c>
      <c r="D27" s="347">
        <v>0</v>
      </c>
      <c r="E27" s="348">
        <v>1</v>
      </c>
      <c r="F27" s="346">
        <f t="shared" si="13"/>
        <v>0.85</v>
      </c>
      <c r="G27" s="347">
        <v>0</v>
      </c>
      <c r="H27" s="348">
        <v>1</v>
      </c>
      <c r="I27" s="346">
        <v>0.63749999999999996</v>
      </c>
      <c r="J27" s="347">
        <v>0</v>
      </c>
      <c r="K27" s="348">
        <v>1</v>
      </c>
      <c r="L27" s="346">
        <v>0.5625</v>
      </c>
      <c r="M27" s="347">
        <v>1</v>
      </c>
      <c r="N27" s="348">
        <v>0</v>
      </c>
      <c r="O27" s="346">
        <v>0.85</v>
      </c>
      <c r="P27" s="347">
        <v>0</v>
      </c>
      <c r="Q27" s="348">
        <v>1</v>
      </c>
      <c r="R27" s="346">
        <v>0.5</v>
      </c>
      <c r="S27" s="347">
        <v>0.25</v>
      </c>
      <c r="T27" s="348">
        <v>0</v>
      </c>
      <c r="U27" s="346">
        <v>0.75</v>
      </c>
      <c r="V27" s="347">
        <v>0.5</v>
      </c>
      <c r="W27" s="348">
        <v>0</v>
      </c>
      <c r="X27" s="346">
        <v>0.75</v>
      </c>
      <c r="Y27" s="347">
        <v>0.5</v>
      </c>
      <c r="Z27" s="348">
        <v>0</v>
      </c>
    </row>
    <row r="28" spans="2:26" ht="14.1">
      <c r="B28" s="345">
        <v>2040</v>
      </c>
      <c r="C28" s="346">
        <f t="shared" si="11"/>
        <v>0.85</v>
      </c>
      <c r="D28" s="347">
        <v>0</v>
      </c>
      <c r="E28" s="348">
        <v>1</v>
      </c>
      <c r="F28" s="346">
        <f t="shared" si="13"/>
        <v>0.85</v>
      </c>
      <c r="G28" s="347">
        <v>0</v>
      </c>
      <c r="H28" s="348">
        <v>1</v>
      </c>
      <c r="I28" s="346">
        <v>0.63749999999999996</v>
      </c>
      <c r="J28" s="347">
        <v>0</v>
      </c>
      <c r="K28" s="348">
        <v>1</v>
      </c>
      <c r="L28" s="346">
        <v>0.5625</v>
      </c>
      <c r="M28" s="347">
        <v>1</v>
      </c>
      <c r="N28" s="348">
        <v>0</v>
      </c>
      <c r="O28" s="346">
        <v>0.85</v>
      </c>
      <c r="P28" s="347">
        <v>0</v>
      </c>
      <c r="Q28" s="348">
        <v>1</v>
      </c>
      <c r="R28" s="346">
        <v>0.85</v>
      </c>
      <c r="S28" s="347">
        <v>0</v>
      </c>
      <c r="T28" s="348">
        <v>1</v>
      </c>
      <c r="U28" s="346">
        <v>0.63749999999999996</v>
      </c>
      <c r="V28" s="347">
        <v>0</v>
      </c>
      <c r="W28" s="348">
        <v>1</v>
      </c>
      <c r="X28" s="346">
        <v>0.5625</v>
      </c>
      <c r="Y28" s="347">
        <v>1</v>
      </c>
      <c r="Z28" s="348">
        <v>0</v>
      </c>
    </row>
    <row r="29" spans="2:26" ht="14.1">
      <c r="B29" s="345">
        <v>2041</v>
      </c>
      <c r="C29" s="346">
        <f t="shared" si="11"/>
        <v>0.85</v>
      </c>
      <c r="D29" s="347">
        <v>0</v>
      </c>
      <c r="E29" s="348">
        <v>1</v>
      </c>
      <c r="F29" s="346">
        <f t="shared" si="13"/>
        <v>0.85</v>
      </c>
      <c r="G29" s="347">
        <v>0</v>
      </c>
      <c r="H29" s="348">
        <v>1</v>
      </c>
      <c r="I29" s="346">
        <v>0.63749999999999996</v>
      </c>
      <c r="J29" s="347">
        <v>0</v>
      </c>
      <c r="K29" s="348">
        <v>1</v>
      </c>
      <c r="L29" s="346">
        <v>0.5625</v>
      </c>
      <c r="M29" s="347">
        <v>1</v>
      </c>
      <c r="N29" s="348">
        <v>0</v>
      </c>
      <c r="O29" s="346">
        <v>0.85</v>
      </c>
      <c r="P29" s="347">
        <v>0</v>
      </c>
      <c r="Q29" s="348">
        <v>1</v>
      </c>
      <c r="R29" s="346">
        <v>0.85</v>
      </c>
      <c r="S29" s="347">
        <v>0</v>
      </c>
      <c r="T29" s="348">
        <v>1</v>
      </c>
      <c r="U29" s="346">
        <v>0.63749999999999996</v>
      </c>
      <c r="V29" s="347">
        <v>0</v>
      </c>
      <c r="W29" s="348">
        <v>1</v>
      </c>
      <c r="X29" s="346">
        <v>0.5625</v>
      </c>
      <c r="Y29" s="347">
        <v>1</v>
      </c>
      <c r="Z29" s="348">
        <v>0</v>
      </c>
    </row>
    <row r="30" spans="2:26" ht="14.1">
      <c r="B30" s="345">
        <v>2042</v>
      </c>
      <c r="C30" s="346">
        <f t="shared" si="11"/>
        <v>0.85</v>
      </c>
      <c r="D30" s="347">
        <v>0</v>
      </c>
      <c r="E30" s="348">
        <v>1</v>
      </c>
      <c r="F30" s="346">
        <f t="shared" si="13"/>
        <v>0.85</v>
      </c>
      <c r="G30" s="347">
        <v>0</v>
      </c>
      <c r="H30" s="348">
        <v>1</v>
      </c>
      <c r="I30" s="346">
        <v>0.63749999999999996</v>
      </c>
      <c r="J30" s="347">
        <v>0</v>
      </c>
      <c r="K30" s="348">
        <v>1</v>
      </c>
      <c r="L30" s="346">
        <v>0.5625</v>
      </c>
      <c r="M30" s="347">
        <v>1</v>
      </c>
      <c r="N30" s="348">
        <v>0</v>
      </c>
      <c r="O30" s="346">
        <v>0.85</v>
      </c>
      <c r="P30" s="347">
        <v>0</v>
      </c>
      <c r="Q30" s="348">
        <v>1</v>
      </c>
      <c r="R30" s="346">
        <v>0.85</v>
      </c>
      <c r="S30" s="347">
        <v>0</v>
      </c>
      <c r="T30" s="348">
        <v>1</v>
      </c>
      <c r="U30" s="346">
        <v>0.63749999999999996</v>
      </c>
      <c r="V30" s="347">
        <v>0</v>
      </c>
      <c r="W30" s="348">
        <v>1</v>
      </c>
      <c r="X30" s="346">
        <v>0.5625</v>
      </c>
      <c r="Y30" s="347">
        <v>1</v>
      </c>
      <c r="Z30" s="348">
        <v>0</v>
      </c>
    </row>
    <row r="31" spans="2:26" ht="14.1">
      <c r="B31" s="345">
        <v>2043</v>
      </c>
      <c r="C31" s="346">
        <f t="shared" si="11"/>
        <v>0.85</v>
      </c>
      <c r="D31" s="347">
        <v>0</v>
      </c>
      <c r="E31" s="348">
        <v>1</v>
      </c>
      <c r="F31" s="346">
        <f t="shared" si="13"/>
        <v>0.85</v>
      </c>
      <c r="G31" s="347">
        <v>0</v>
      </c>
      <c r="H31" s="348">
        <v>1</v>
      </c>
      <c r="I31" s="346">
        <v>0.63749999999999996</v>
      </c>
      <c r="J31" s="347">
        <v>0</v>
      </c>
      <c r="K31" s="348">
        <v>1</v>
      </c>
      <c r="L31" s="346">
        <v>0.5625</v>
      </c>
      <c r="M31" s="347">
        <v>1</v>
      </c>
      <c r="N31" s="348">
        <v>0</v>
      </c>
      <c r="O31" s="346">
        <v>0.85</v>
      </c>
      <c r="P31" s="347">
        <v>0</v>
      </c>
      <c r="Q31" s="348">
        <v>1</v>
      </c>
      <c r="R31" s="346">
        <v>0.85</v>
      </c>
      <c r="S31" s="347">
        <v>0</v>
      </c>
      <c r="T31" s="348">
        <v>1</v>
      </c>
      <c r="U31" s="346">
        <v>0.63749999999999996</v>
      </c>
      <c r="V31" s="347">
        <v>0</v>
      </c>
      <c r="W31" s="348">
        <v>1</v>
      </c>
      <c r="X31" s="346">
        <v>0.5625</v>
      </c>
      <c r="Y31" s="347">
        <v>1</v>
      </c>
      <c r="Z31" s="348">
        <v>0</v>
      </c>
    </row>
    <row r="32" spans="2:26" ht="14.1">
      <c r="B32" s="345">
        <v>2044</v>
      </c>
      <c r="C32" s="346">
        <f t="shared" si="11"/>
        <v>0.85</v>
      </c>
      <c r="D32" s="347">
        <v>0</v>
      </c>
      <c r="E32" s="348">
        <v>1</v>
      </c>
      <c r="F32" s="346">
        <f t="shared" si="13"/>
        <v>0.85</v>
      </c>
      <c r="G32" s="347">
        <v>0</v>
      </c>
      <c r="H32" s="348">
        <v>1</v>
      </c>
      <c r="I32" s="346">
        <v>0.63749999999999996</v>
      </c>
      <c r="J32" s="347">
        <v>0</v>
      </c>
      <c r="K32" s="348">
        <v>1</v>
      </c>
      <c r="L32" s="346">
        <v>0.5625</v>
      </c>
      <c r="M32" s="347">
        <v>1</v>
      </c>
      <c r="N32" s="348">
        <v>0</v>
      </c>
      <c r="O32" s="346">
        <v>0.85</v>
      </c>
      <c r="P32" s="347">
        <v>0</v>
      </c>
      <c r="Q32" s="348">
        <v>1</v>
      </c>
      <c r="R32" s="346">
        <v>0.85</v>
      </c>
      <c r="S32" s="347">
        <v>0</v>
      </c>
      <c r="T32" s="348">
        <v>1</v>
      </c>
      <c r="U32" s="346">
        <v>0.63749999999999996</v>
      </c>
      <c r="V32" s="347">
        <v>0</v>
      </c>
      <c r="W32" s="348">
        <v>1</v>
      </c>
      <c r="X32" s="346">
        <v>0.5625</v>
      </c>
      <c r="Y32" s="347">
        <v>1</v>
      </c>
      <c r="Z32" s="348">
        <v>0</v>
      </c>
    </row>
    <row r="33" spans="2:26" ht="14.1">
      <c r="B33" s="345">
        <v>2045</v>
      </c>
      <c r="C33" s="346">
        <f t="shared" si="11"/>
        <v>0.85</v>
      </c>
      <c r="D33" s="347">
        <v>0</v>
      </c>
      <c r="E33" s="348">
        <v>1</v>
      </c>
      <c r="F33" s="346">
        <f t="shared" si="13"/>
        <v>0.85</v>
      </c>
      <c r="G33" s="347">
        <v>0</v>
      </c>
      <c r="H33" s="348">
        <v>1</v>
      </c>
      <c r="I33" s="346">
        <v>0.63749999999999996</v>
      </c>
      <c r="J33" s="347">
        <v>0</v>
      </c>
      <c r="K33" s="348">
        <v>1</v>
      </c>
      <c r="L33" s="346">
        <v>0.5625</v>
      </c>
      <c r="M33" s="347">
        <v>1</v>
      </c>
      <c r="N33" s="348">
        <v>0</v>
      </c>
      <c r="O33" s="346">
        <v>0.85</v>
      </c>
      <c r="P33" s="347">
        <v>0</v>
      </c>
      <c r="Q33" s="348">
        <v>1</v>
      </c>
      <c r="R33" s="346">
        <v>0.85</v>
      </c>
      <c r="S33" s="347">
        <v>0</v>
      </c>
      <c r="T33" s="348">
        <v>1</v>
      </c>
      <c r="U33" s="346">
        <v>0.63749999999999996</v>
      </c>
      <c r="V33" s="347">
        <v>0</v>
      </c>
      <c r="W33" s="348">
        <v>1</v>
      </c>
      <c r="X33" s="346">
        <v>0.5625</v>
      </c>
      <c r="Y33" s="347">
        <v>1</v>
      </c>
      <c r="Z33" s="348">
        <v>0</v>
      </c>
    </row>
    <row r="34" spans="2:26" ht="14.1">
      <c r="B34" s="345">
        <v>2046</v>
      </c>
      <c r="C34" s="346">
        <f t="shared" si="11"/>
        <v>0.85</v>
      </c>
      <c r="D34" s="347">
        <v>0</v>
      </c>
      <c r="E34" s="348">
        <v>1</v>
      </c>
      <c r="F34" s="346">
        <f t="shared" si="13"/>
        <v>0.85</v>
      </c>
      <c r="G34" s="347">
        <v>0</v>
      </c>
      <c r="H34" s="348">
        <v>1</v>
      </c>
      <c r="I34" s="346">
        <v>0.63749999999999996</v>
      </c>
      <c r="J34" s="347">
        <v>0</v>
      </c>
      <c r="K34" s="348">
        <v>1</v>
      </c>
      <c r="L34" s="346">
        <v>0.5625</v>
      </c>
      <c r="M34" s="347">
        <v>1</v>
      </c>
      <c r="N34" s="348">
        <v>0</v>
      </c>
      <c r="O34" s="346">
        <v>0.85</v>
      </c>
      <c r="P34" s="347">
        <v>0</v>
      </c>
      <c r="Q34" s="348">
        <v>1</v>
      </c>
      <c r="R34" s="346">
        <v>0.85</v>
      </c>
      <c r="S34" s="347">
        <v>0</v>
      </c>
      <c r="T34" s="348">
        <v>1</v>
      </c>
      <c r="U34" s="346">
        <v>0.63749999999999996</v>
      </c>
      <c r="V34" s="347">
        <v>0</v>
      </c>
      <c r="W34" s="348">
        <v>1</v>
      </c>
      <c r="X34" s="346">
        <v>0.5625</v>
      </c>
      <c r="Y34" s="347">
        <v>1</v>
      </c>
      <c r="Z34" s="348">
        <v>0</v>
      </c>
    </row>
    <row r="35" spans="2:26" ht="14.1">
      <c r="B35" s="345">
        <v>2047</v>
      </c>
      <c r="C35" s="346">
        <f t="shared" si="11"/>
        <v>0.85</v>
      </c>
      <c r="D35" s="347">
        <v>0</v>
      </c>
      <c r="E35" s="348">
        <v>1</v>
      </c>
      <c r="F35" s="346">
        <f t="shared" si="13"/>
        <v>0.85</v>
      </c>
      <c r="G35" s="347">
        <v>0</v>
      </c>
      <c r="H35" s="348">
        <v>1</v>
      </c>
      <c r="I35" s="346">
        <v>0.63749999999999996</v>
      </c>
      <c r="J35" s="347">
        <v>0</v>
      </c>
      <c r="K35" s="348">
        <v>1</v>
      </c>
      <c r="L35" s="346">
        <v>0.5625</v>
      </c>
      <c r="M35" s="347">
        <v>1</v>
      </c>
      <c r="N35" s="348">
        <v>0</v>
      </c>
      <c r="O35" s="346">
        <v>0.85</v>
      </c>
      <c r="P35" s="347">
        <v>0</v>
      </c>
      <c r="Q35" s="348">
        <v>1</v>
      </c>
      <c r="R35" s="346">
        <v>0.85</v>
      </c>
      <c r="S35" s="347">
        <v>0</v>
      </c>
      <c r="T35" s="348">
        <v>1</v>
      </c>
      <c r="U35" s="346">
        <v>0.63749999999999996</v>
      </c>
      <c r="V35" s="347">
        <v>0</v>
      </c>
      <c r="W35" s="348">
        <v>1</v>
      </c>
      <c r="X35" s="346">
        <v>0.5625</v>
      </c>
      <c r="Y35" s="347">
        <v>1</v>
      </c>
      <c r="Z35" s="348">
        <v>0</v>
      </c>
    </row>
    <row r="36" spans="2:26" ht="14.1">
      <c r="B36" s="345">
        <v>2048</v>
      </c>
      <c r="C36" s="346">
        <f t="shared" si="11"/>
        <v>0.85</v>
      </c>
      <c r="D36" s="347">
        <v>0</v>
      </c>
      <c r="E36" s="348">
        <v>1</v>
      </c>
      <c r="F36" s="346">
        <f t="shared" si="13"/>
        <v>0.85</v>
      </c>
      <c r="G36" s="347">
        <v>0</v>
      </c>
      <c r="H36" s="348">
        <v>1</v>
      </c>
      <c r="I36" s="346">
        <v>0.63749999999999996</v>
      </c>
      <c r="J36" s="347">
        <v>0</v>
      </c>
      <c r="K36" s="348">
        <v>1</v>
      </c>
      <c r="L36" s="346">
        <v>0.5625</v>
      </c>
      <c r="M36" s="347">
        <v>1</v>
      </c>
      <c r="N36" s="348">
        <v>0</v>
      </c>
      <c r="O36" s="346">
        <v>0.85</v>
      </c>
      <c r="P36" s="347">
        <v>0</v>
      </c>
      <c r="Q36" s="348">
        <v>1</v>
      </c>
      <c r="R36" s="346">
        <v>0.85</v>
      </c>
      <c r="S36" s="347">
        <v>0</v>
      </c>
      <c r="T36" s="348">
        <v>1</v>
      </c>
      <c r="U36" s="346">
        <v>0.63749999999999996</v>
      </c>
      <c r="V36" s="347">
        <v>0</v>
      </c>
      <c r="W36" s="348">
        <v>1</v>
      </c>
      <c r="X36" s="346">
        <v>0.5625</v>
      </c>
      <c r="Y36" s="347">
        <v>1</v>
      </c>
      <c r="Z36" s="348">
        <v>0</v>
      </c>
    </row>
    <row r="37" spans="2:26" ht="14.1">
      <c r="B37" s="345">
        <v>2049</v>
      </c>
      <c r="C37" s="346">
        <f t="shared" si="11"/>
        <v>0.85</v>
      </c>
      <c r="D37" s="347">
        <v>0</v>
      </c>
      <c r="E37" s="348">
        <v>1</v>
      </c>
      <c r="F37" s="346">
        <f t="shared" si="13"/>
        <v>0.85</v>
      </c>
      <c r="G37" s="347">
        <v>0</v>
      </c>
      <c r="H37" s="348">
        <v>1</v>
      </c>
      <c r="I37" s="346">
        <v>0.63749999999999996</v>
      </c>
      <c r="J37" s="347">
        <v>0</v>
      </c>
      <c r="K37" s="348">
        <v>1</v>
      </c>
      <c r="L37" s="346">
        <v>0.5625</v>
      </c>
      <c r="M37" s="347">
        <v>1</v>
      </c>
      <c r="N37" s="348">
        <v>0</v>
      </c>
      <c r="O37" s="346">
        <v>0.85</v>
      </c>
      <c r="P37" s="347">
        <v>0</v>
      </c>
      <c r="Q37" s="348">
        <v>1</v>
      </c>
      <c r="R37" s="346">
        <v>0.85</v>
      </c>
      <c r="S37" s="347">
        <v>0</v>
      </c>
      <c r="T37" s="348">
        <v>1</v>
      </c>
      <c r="U37" s="346">
        <v>0.63749999999999996</v>
      </c>
      <c r="V37" s="347">
        <v>0</v>
      </c>
      <c r="W37" s="348">
        <v>1</v>
      </c>
      <c r="X37" s="346">
        <v>0.5625</v>
      </c>
      <c r="Y37" s="347">
        <v>1</v>
      </c>
      <c r="Z37" s="348">
        <v>0</v>
      </c>
    </row>
    <row r="38" spans="2:26" thickBot="1">
      <c r="B38" s="349">
        <v>2050</v>
      </c>
      <c r="C38" s="350">
        <f t="shared" si="11"/>
        <v>0.85</v>
      </c>
      <c r="D38" s="351">
        <v>0</v>
      </c>
      <c r="E38" s="352">
        <v>1</v>
      </c>
      <c r="F38" s="350">
        <f t="shared" si="13"/>
        <v>0.85</v>
      </c>
      <c r="G38" s="351">
        <v>0</v>
      </c>
      <c r="H38" s="352">
        <v>1</v>
      </c>
      <c r="I38" s="350">
        <v>0.63749999999999996</v>
      </c>
      <c r="J38" s="351">
        <v>0</v>
      </c>
      <c r="K38" s="352">
        <v>1</v>
      </c>
      <c r="L38" s="350">
        <v>0.5625</v>
      </c>
      <c r="M38" s="351">
        <v>1</v>
      </c>
      <c r="N38" s="352">
        <v>0</v>
      </c>
      <c r="O38" s="350">
        <v>0.85</v>
      </c>
      <c r="P38" s="351">
        <v>0</v>
      </c>
      <c r="Q38" s="352">
        <v>1</v>
      </c>
      <c r="R38" s="350">
        <v>0.85</v>
      </c>
      <c r="S38" s="351">
        <v>0</v>
      </c>
      <c r="T38" s="352">
        <v>1</v>
      </c>
      <c r="U38" s="350">
        <v>0.63749999999999996</v>
      </c>
      <c r="V38" s="351">
        <v>0</v>
      </c>
      <c r="W38" s="352">
        <v>1</v>
      </c>
      <c r="X38" s="350">
        <v>0.5625</v>
      </c>
      <c r="Y38" s="351">
        <v>1</v>
      </c>
      <c r="Z38" s="352">
        <v>0</v>
      </c>
    </row>
    <row r="39" spans="2:26">
      <c r="B39" s="353"/>
      <c r="C39" s="353"/>
      <c r="D39" s="353"/>
      <c r="E39" s="353"/>
      <c r="F39" s="353"/>
      <c r="G39" s="1149"/>
      <c r="H39" s="1149"/>
      <c r="I39" s="1149"/>
      <c r="J39" s="1149"/>
      <c r="K39" s="1149"/>
      <c r="L39" s="1149"/>
      <c r="M39" s="1149"/>
      <c r="N39" s="1149"/>
      <c r="O39" s="1149"/>
      <c r="P39" s="1149"/>
      <c r="Q39" s="1149"/>
      <c r="R39" s="1149"/>
      <c r="S39" s="1149"/>
      <c r="T39" s="1149"/>
      <c r="U39" s="1149"/>
      <c r="V39" s="1149"/>
      <c r="W39" s="1149"/>
      <c r="X39" s="1149"/>
      <c r="Y39" s="1149"/>
      <c r="Z39" s="1149"/>
    </row>
    <row r="40" spans="2:26">
      <c r="B40" s="353"/>
      <c r="C40" s="353"/>
      <c r="D40" s="353"/>
      <c r="E40" s="353"/>
      <c r="F40" s="353"/>
      <c r="G40" s="1149"/>
      <c r="H40" s="1149"/>
      <c r="I40" s="1149"/>
      <c r="J40" s="1149"/>
      <c r="K40" s="1149"/>
      <c r="L40" s="1149"/>
      <c r="M40" s="1149"/>
      <c r="N40" s="1149"/>
      <c r="O40" s="1149"/>
      <c r="P40" s="1149"/>
      <c r="Q40" s="1149"/>
      <c r="R40" s="1149"/>
      <c r="S40" s="1149"/>
      <c r="T40" s="1149"/>
      <c r="U40" s="1149"/>
      <c r="V40" s="1149"/>
      <c r="W40" s="1149"/>
      <c r="X40" s="1149"/>
      <c r="Y40" s="1149"/>
      <c r="Z40" s="1149"/>
    </row>
    <row r="41" spans="2:26">
      <c r="B41" s="353"/>
      <c r="C41" s="353"/>
      <c r="D41" s="353"/>
      <c r="E41" s="353"/>
      <c r="F41" s="353"/>
      <c r="G41" s="1149"/>
      <c r="H41" s="1149"/>
      <c r="I41" s="1149"/>
      <c r="J41" s="1149"/>
      <c r="K41" s="1149"/>
      <c r="L41" s="1149"/>
      <c r="M41" s="1149"/>
      <c r="N41" s="1149"/>
      <c r="O41" s="1149"/>
      <c r="P41" s="1149"/>
      <c r="Q41" s="1149"/>
      <c r="R41" s="1149"/>
      <c r="S41" s="1149"/>
      <c r="T41" s="1149"/>
      <c r="U41" s="1149"/>
      <c r="V41" s="1149"/>
      <c r="W41" s="1149"/>
      <c r="X41" s="1149"/>
      <c r="Y41" s="1149"/>
      <c r="Z41" s="1149"/>
    </row>
    <row r="42" spans="2:26">
      <c r="B42" s="353"/>
      <c r="C42" s="353"/>
      <c r="D42" s="353"/>
      <c r="E42" s="353"/>
      <c r="F42" s="353"/>
      <c r="G42" s="1149"/>
      <c r="H42" s="1149"/>
      <c r="I42" s="1149"/>
      <c r="J42" s="1149"/>
      <c r="K42" s="1149"/>
      <c r="L42" s="1149"/>
      <c r="M42" s="1149"/>
      <c r="N42" s="1149"/>
      <c r="O42" s="1149"/>
      <c r="P42" s="1149"/>
      <c r="Q42" s="1149"/>
      <c r="R42" s="1149"/>
      <c r="S42" s="1149"/>
      <c r="T42" s="1149"/>
      <c r="U42" s="1149"/>
      <c r="V42" s="1149"/>
      <c r="W42" s="1149"/>
      <c r="X42" s="1149"/>
      <c r="Y42" s="1149"/>
      <c r="Z42" s="1149"/>
    </row>
    <row r="43" spans="2:26">
      <c r="B43" s="353"/>
      <c r="C43" s="353"/>
      <c r="D43" s="353"/>
      <c r="E43" s="353"/>
      <c r="F43" s="353"/>
      <c r="G43" s="1149"/>
      <c r="H43" s="1149"/>
      <c r="I43" s="1149"/>
      <c r="J43" s="1149"/>
      <c r="K43" s="1149"/>
      <c r="L43" s="1149"/>
      <c r="M43" s="1149"/>
      <c r="N43" s="1149"/>
      <c r="O43" s="1149"/>
      <c r="P43" s="1149"/>
      <c r="Q43" s="1149"/>
      <c r="R43" s="1149"/>
      <c r="S43" s="1149"/>
      <c r="T43" s="1149"/>
      <c r="U43" s="1149"/>
      <c r="V43" s="1149"/>
      <c r="W43" s="1149"/>
      <c r="X43" s="1149"/>
      <c r="Y43" s="1149"/>
      <c r="Z43" s="1149"/>
    </row>
    <row r="44" spans="2:26">
      <c r="B44" s="353"/>
      <c r="C44" s="353"/>
      <c r="D44" s="353"/>
      <c r="E44" s="353"/>
      <c r="F44" s="353"/>
      <c r="G44" s="1149"/>
      <c r="H44" s="1149"/>
      <c r="I44" s="1149"/>
      <c r="J44" s="1149"/>
      <c r="K44" s="1149"/>
      <c r="L44" s="1149"/>
      <c r="M44" s="1149"/>
      <c r="N44" s="1149"/>
      <c r="O44" s="1149"/>
      <c r="P44" s="1149"/>
      <c r="Q44" s="1149"/>
      <c r="R44" s="1149"/>
      <c r="S44" s="1149"/>
      <c r="T44" s="1149"/>
      <c r="U44" s="1149"/>
      <c r="V44" s="1149"/>
      <c r="W44" s="1149"/>
      <c r="X44" s="1149"/>
      <c r="Y44" s="1149"/>
      <c r="Z44" s="1149"/>
    </row>
    <row r="45" spans="2:26">
      <c r="B45" s="353"/>
      <c r="C45" s="353"/>
      <c r="D45" s="353"/>
      <c r="E45" s="353"/>
      <c r="F45" s="353"/>
      <c r="G45" s="1149"/>
      <c r="H45" s="1149"/>
      <c r="I45" s="1149"/>
      <c r="J45" s="1149"/>
      <c r="K45" s="1149"/>
      <c r="L45" s="1149"/>
      <c r="M45" s="1149"/>
      <c r="N45" s="1149"/>
      <c r="O45" s="1149"/>
      <c r="P45" s="1149"/>
      <c r="Q45" s="1149"/>
      <c r="R45" s="1149"/>
      <c r="S45" s="1149"/>
      <c r="T45" s="1149"/>
      <c r="U45" s="1149"/>
      <c r="V45" s="1149"/>
      <c r="W45" s="1149"/>
      <c r="X45" s="1149"/>
      <c r="Y45" s="1149"/>
      <c r="Z45" s="1149"/>
    </row>
    <row r="46" spans="2:26">
      <c r="B46" s="353"/>
      <c r="C46" s="353"/>
      <c r="D46" s="353"/>
      <c r="E46" s="353"/>
      <c r="F46" s="353"/>
      <c r="G46" s="1149"/>
      <c r="H46" s="1149"/>
      <c r="I46" s="1149"/>
      <c r="J46" s="1149"/>
      <c r="K46" s="1149"/>
      <c r="L46" s="1149"/>
      <c r="M46" s="1149"/>
      <c r="N46" s="1149"/>
      <c r="O46" s="1149"/>
      <c r="P46" s="1149"/>
      <c r="Q46" s="1149"/>
      <c r="R46" s="1149"/>
      <c r="S46" s="1149"/>
      <c r="T46" s="1149"/>
      <c r="U46" s="1149"/>
      <c r="V46" s="1149"/>
      <c r="W46" s="1149"/>
      <c r="X46" s="1149"/>
      <c r="Y46" s="1149"/>
      <c r="Z46" s="1149"/>
    </row>
    <row r="47" spans="2:26">
      <c r="B47" s="353"/>
      <c r="C47" s="353"/>
      <c r="D47" s="353"/>
      <c r="E47" s="353"/>
      <c r="F47" s="353"/>
      <c r="G47" s="1149"/>
      <c r="H47" s="1149"/>
      <c r="I47" s="1149"/>
      <c r="J47" s="1149"/>
      <c r="K47" s="1149"/>
      <c r="L47" s="1149"/>
      <c r="M47" s="1149"/>
      <c r="N47" s="1149"/>
      <c r="O47" s="1149"/>
      <c r="P47" s="1149"/>
      <c r="Q47" s="1149"/>
      <c r="R47" s="1149"/>
      <c r="S47" s="1149"/>
      <c r="T47" s="1149"/>
      <c r="U47" s="1149"/>
      <c r="V47" s="1149"/>
      <c r="W47" s="1149"/>
      <c r="X47" s="1149"/>
      <c r="Y47" s="1149"/>
      <c r="Z47" s="1149"/>
    </row>
    <row r="48" spans="2:26">
      <c r="B48" s="353"/>
      <c r="C48" s="353"/>
      <c r="D48" s="353"/>
      <c r="E48" s="353"/>
      <c r="F48" s="353"/>
      <c r="G48" s="1149"/>
      <c r="H48" s="1149"/>
      <c r="I48" s="1149"/>
      <c r="J48" s="1149"/>
      <c r="K48" s="1149"/>
      <c r="L48" s="1149"/>
      <c r="M48" s="1149"/>
      <c r="N48" s="1149"/>
      <c r="O48" s="1149"/>
      <c r="P48" s="1149"/>
      <c r="Q48" s="1149"/>
      <c r="R48" s="1149"/>
      <c r="S48" s="1149"/>
      <c r="T48" s="1149"/>
      <c r="U48" s="1149"/>
      <c r="V48" s="1149"/>
      <c r="W48" s="1149"/>
      <c r="X48" s="1149"/>
      <c r="Y48" s="1149"/>
      <c r="Z48" s="1149"/>
    </row>
    <row r="49" spans="2:6">
      <c r="B49" s="353"/>
      <c r="C49" s="353"/>
      <c r="D49" s="353"/>
      <c r="E49" s="353"/>
      <c r="F49" s="353"/>
    </row>
    <row r="50" spans="2:6">
      <c r="B50" s="353"/>
      <c r="C50" s="353"/>
      <c r="D50" s="353"/>
      <c r="E50" s="353"/>
      <c r="F50" s="353"/>
    </row>
    <row r="51" spans="2:6">
      <c r="B51" s="353"/>
      <c r="C51" s="353"/>
      <c r="D51" s="353"/>
      <c r="E51" s="353"/>
      <c r="F51" s="353"/>
    </row>
    <row r="52" spans="2:6">
      <c r="B52" s="353"/>
      <c r="C52" s="353"/>
      <c r="D52" s="353"/>
      <c r="E52" s="353"/>
      <c r="F52" s="353"/>
    </row>
    <row r="53" spans="2:6">
      <c r="B53" s="353"/>
      <c r="C53" s="353"/>
      <c r="D53" s="353"/>
      <c r="E53" s="353"/>
      <c r="F53" s="353"/>
    </row>
    <row r="54" spans="2:6">
      <c r="B54" s="353"/>
      <c r="C54" s="353"/>
      <c r="D54" s="353"/>
      <c r="E54" s="353"/>
      <c r="F54" s="353"/>
    </row>
    <row r="55" spans="2:6">
      <c r="B55" s="353"/>
      <c r="C55" s="353"/>
      <c r="D55" s="353"/>
      <c r="E55" s="353"/>
      <c r="F55" s="353"/>
    </row>
    <row r="56" spans="2:6">
      <c r="B56" s="353"/>
      <c r="C56" s="353"/>
      <c r="D56" s="353"/>
      <c r="E56" s="353"/>
      <c r="F56" s="353"/>
    </row>
    <row r="57" spans="2:6">
      <c r="B57" s="353"/>
      <c r="C57" s="353"/>
      <c r="D57" s="353"/>
      <c r="E57" s="353"/>
      <c r="F57" s="353"/>
    </row>
    <row r="58" spans="2:6">
      <c r="B58" s="353"/>
      <c r="C58" s="353"/>
      <c r="D58" s="353"/>
      <c r="E58" s="353"/>
      <c r="F58" s="353"/>
    </row>
    <row r="59" spans="2:6">
      <c r="B59" s="353"/>
      <c r="C59" s="353"/>
      <c r="D59" s="353"/>
      <c r="E59" s="353"/>
      <c r="F59" s="353"/>
    </row>
    <row r="60" spans="2:6">
      <c r="B60" s="353"/>
      <c r="C60" s="353"/>
      <c r="D60" s="353"/>
      <c r="E60" s="353"/>
      <c r="F60" s="353"/>
    </row>
    <row r="61" spans="2:6">
      <c r="B61" s="353"/>
      <c r="C61" s="353"/>
      <c r="D61" s="353"/>
      <c r="E61" s="353"/>
      <c r="F61" s="353"/>
    </row>
    <row r="62" spans="2:6">
      <c r="B62" s="353"/>
      <c r="C62" s="353"/>
      <c r="D62" s="353"/>
      <c r="E62" s="353"/>
      <c r="F62" s="353"/>
    </row>
    <row r="63" spans="2:6">
      <c r="B63" s="353"/>
      <c r="C63" s="353"/>
      <c r="D63" s="353"/>
      <c r="E63" s="353"/>
      <c r="F63" s="353"/>
    </row>
    <row r="64" spans="2:6">
      <c r="B64" s="353"/>
      <c r="C64" s="353"/>
      <c r="D64" s="353"/>
      <c r="E64" s="353"/>
      <c r="F64" s="353"/>
    </row>
    <row r="65" spans="2:6">
      <c r="B65" s="353"/>
      <c r="C65" s="353"/>
      <c r="D65" s="353"/>
      <c r="E65" s="353"/>
      <c r="F65" s="353"/>
    </row>
    <row r="66" spans="2:6">
      <c r="B66" s="353"/>
      <c r="C66" s="353"/>
      <c r="D66" s="353"/>
      <c r="E66" s="353"/>
      <c r="F66" s="353"/>
    </row>
    <row r="67" spans="2:6">
      <c r="B67" s="353"/>
      <c r="C67" s="353"/>
      <c r="D67" s="353"/>
      <c r="E67" s="353"/>
      <c r="F67" s="353"/>
    </row>
    <row r="68" spans="2:6">
      <c r="B68" s="353"/>
      <c r="C68" s="353"/>
      <c r="D68" s="353"/>
      <c r="E68" s="353"/>
      <c r="F68" s="353"/>
    </row>
    <row r="69" spans="2:6">
      <c r="B69" s="353"/>
      <c r="C69" s="353"/>
      <c r="D69" s="353"/>
      <c r="E69" s="353"/>
      <c r="F69" s="353"/>
    </row>
    <row r="70" spans="2:6">
      <c r="B70" s="353"/>
      <c r="C70" s="353"/>
      <c r="D70" s="353"/>
      <c r="E70" s="353"/>
      <c r="F70" s="353"/>
    </row>
    <row r="71" spans="2:6">
      <c r="B71" s="353"/>
      <c r="C71" s="353"/>
      <c r="D71" s="353"/>
      <c r="E71" s="353"/>
      <c r="F71" s="353"/>
    </row>
    <row r="72" spans="2:6">
      <c r="B72" s="353"/>
      <c r="C72" s="353"/>
      <c r="D72" s="353"/>
      <c r="E72" s="353"/>
      <c r="F72" s="353"/>
    </row>
    <row r="73" spans="2:6">
      <c r="B73" s="353"/>
      <c r="C73" s="353"/>
      <c r="D73" s="353"/>
      <c r="E73" s="353"/>
      <c r="F73" s="353"/>
    </row>
    <row r="74" spans="2:6">
      <c r="B74" s="353"/>
      <c r="C74" s="353"/>
      <c r="D74" s="353"/>
      <c r="E74" s="353"/>
      <c r="F74" s="353"/>
    </row>
    <row r="75" spans="2:6">
      <c r="B75" s="353"/>
      <c r="C75" s="353"/>
      <c r="D75" s="353"/>
      <c r="E75" s="353"/>
      <c r="F75" s="353"/>
    </row>
    <row r="76" spans="2:6">
      <c r="B76" s="353"/>
      <c r="C76" s="353"/>
      <c r="D76" s="353"/>
      <c r="E76" s="353"/>
      <c r="F76" s="353"/>
    </row>
    <row r="77" spans="2:6">
      <c r="B77" s="353"/>
      <c r="C77" s="353"/>
      <c r="D77" s="353"/>
      <c r="E77" s="353"/>
      <c r="F77" s="353"/>
    </row>
    <row r="78" spans="2:6">
      <c r="B78" s="353"/>
      <c r="C78" s="353"/>
      <c r="D78" s="353"/>
      <c r="E78" s="353"/>
      <c r="F78" s="353"/>
    </row>
    <row r="79" spans="2:6">
      <c r="B79" s="353"/>
      <c r="C79" s="353"/>
      <c r="D79" s="353"/>
      <c r="E79" s="353"/>
      <c r="F79" s="353"/>
    </row>
    <row r="80" spans="2:6">
      <c r="B80" s="353"/>
      <c r="C80" s="353"/>
      <c r="D80" s="353"/>
      <c r="E80" s="353"/>
      <c r="F80" s="353"/>
    </row>
    <row r="81" spans="2:6">
      <c r="B81" s="353"/>
      <c r="C81" s="353"/>
      <c r="D81" s="353"/>
      <c r="E81" s="353"/>
      <c r="F81" s="353"/>
    </row>
    <row r="82" spans="2:6">
      <c r="B82" s="353"/>
      <c r="C82" s="353"/>
      <c r="D82" s="353"/>
      <c r="E82" s="353"/>
      <c r="F82" s="353"/>
    </row>
    <row r="83" spans="2:6">
      <c r="B83" s="353"/>
      <c r="C83" s="353"/>
      <c r="D83" s="353"/>
      <c r="E83" s="353"/>
      <c r="F83" s="353"/>
    </row>
    <row r="84" spans="2:6">
      <c r="B84" s="353"/>
      <c r="C84" s="353"/>
      <c r="D84" s="353"/>
      <c r="E84" s="353"/>
      <c r="F84" s="353"/>
    </row>
    <row r="85" spans="2:6">
      <c r="B85" s="353"/>
      <c r="C85" s="353"/>
      <c r="D85" s="353"/>
      <c r="E85" s="353"/>
      <c r="F85" s="353"/>
    </row>
    <row r="86" spans="2:6">
      <c r="B86" s="353"/>
      <c r="C86" s="353"/>
      <c r="D86" s="353"/>
      <c r="E86" s="353"/>
      <c r="F86" s="353"/>
    </row>
    <row r="87" spans="2:6">
      <c r="B87" s="353"/>
      <c r="C87" s="353"/>
      <c r="D87" s="353"/>
      <c r="E87" s="353"/>
      <c r="F87" s="353"/>
    </row>
    <row r="88" spans="2:6">
      <c r="B88" s="353"/>
      <c r="C88" s="353"/>
      <c r="D88" s="353"/>
      <c r="E88" s="353"/>
      <c r="F88" s="353"/>
    </row>
    <row r="89" spans="2:6">
      <c r="B89" s="353"/>
      <c r="C89" s="353"/>
      <c r="D89" s="353"/>
      <c r="E89" s="353"/>
      <c r="F89" s="353"/>
    </row>
    <row r="90" spans="2:6">
      <c r="B90" s="353"/>
      <c r="C90" s="353"/>
      <c r="D90" s="353"/>
      <c r="E90" s="353"/>
      <c r="F90" s="353"/>
    </row>
    <row r="91" spans="2:6">
      <c r="B91" s="353"/>
      <c r="C91" s="353"/>
      <c r="D91" s="353"/>
      <c r="E91" s="353"/>
      <c r="F91" s="353"/>
    </row>
    <row r="92" spans="2:6">
      <c r="B92" s="353"/>
      <c r="C92" s="353"/>
      <c r="D92" s="353"/>
      <c r="E92" s="353"/>
      <c r="F92" s="353"/>
    </row>
    <row r="93" spans="2:6">
      <c r="B93" s="353"/>
      <c r="C93" s="353"/>
      <c r="D93" s="353"/>
      <c r="E93" s="353"/>
      <c r="F93" s="353"/>
    </row>
    <row r="94" spans="2:6">
      <c r="B94" s="353"/>
      <c r="C94" s="353"/>
      <c r="D94" s="353"/>
      <c r="E94" s="353"/>
      <c r="F94" s="353"/>
    </row>
    <row r="95" spans="2:6">
      <c r="B95" s="353"/>
      <c r="C95" s="353"/>
      <c r="D95" s="353"/>
      <c r="E95" s="353"/>
      <c r="F95" s="353"/>
    </row>
    <row r="96" spans="2:6">
      <c r="B96" s="353"/>
      <c r="C96" s="353"/>
      <c r="D96" s="353"/>
      <c r="E96" s="353"/>
      <c r="F96" s="353"/>
    </row>
    <row r="97" spans="2:6">
      <c r="B97" s="353"/>
      <c r="C97" s="353"/>
      <c r="D97" s="353"/>
      <c r="E97" s="353"/>
      <c r="F97" s="353"/>
    </row>
    <row r="98" spans="2:6">
      <c r="B98" s="353"/>
      <c r="C98" s="353"/>
      <c r="D98" s="353"/>
      <c r="E98" s="353"/>
      <c r="F98" s="353"/>
    </row>
    <row r="99" spans="2:6">
      <c r="B99" s="353"/>
      <c r="C99" s="353"/>
      <c r="D99" s="353"/>
      <c r="E99" s="353"/>
      <c r="F99" s="353"/>
    </row>
    <row r="100" spans="2:6">
      <c r="B100" s="353"/>
      <c r="C100" s="353"/>
      <c r="D100" s="353"/>
      <c r="E100" s="353"/>
      <c r="F100" s="353"/>
    </row>
    <row r="101" spans="2:6">
      <c r="B101" s="353"/>
      <c r="C101" s="353"/>
      <c r="D101" s="353"/>
      <c r="E101" s="353"/>
      <c r="F101" s="353"/>
    </row>
    <row r="102" spans="2:6">
      <c r="B102" s="353"/>
      <c r="C102" s="353"/>
      <c r="D102" s="353"/>
      <c r="E102" s="353"/>
      <c r="F102" s="353"/>
    </row>
    <row r="103" spans="2:6">
      <c r="B103" s="353"/>
      <c r="C103" s="353"/>
      <c r="D103" s="353"/>
      <c r="E103" s="353"/>
      <c r="F103" s="353"/>
    </row>
    <row r="104" spans="2:6">
      <c r="B104" s="353"/>
      <c r="C104" s="353"/>
      <c r="D104" s="353"/>
      <c r="E104" s="353"/>
      <c r="F104" s="353"/>
    </row>
    <row r="105" spans="2:6">
      <c r="B105" s="353"/>
      <c r="C105" s="353"/>
      <c r="D105" s="353"/>
      <c r="E105" s="353"/>
      <c r="F105" s="353"/>
    </row>
    <row r="106" spans="2:6">
      <c r="B106" s="353"/>
      <c r="C106" s="353"/>
      <c r="D106" s="353"/>
      <c r="E106" s="353"/>
      <c r="F106" s="353"/>
    </row>
    <row r="107" spans="2:6">
      <c r="B107" s="353"/>
      <c r="C107" s="353"/>
      <c r="D107" s="353"/>
      <c r="E107" s="353"/>
      <c r="F107" s="353"/>
    </row>
    <row r="108" spans="2:6">
      <c r="B108" s="353"/>
      <c r="C108" s="353"/>
      <c r="D108" s="353"/>
      <c r="E108" s="353"/>
      <c r="F108" s="353"/>
    </row>
    <row r="109" spans="2:6">
      <c r="B109" s="353"/>
      <c r="C109" s="353"/>
      <c r="D109" s="353"/>
      <c r="E109" s="353"/>
      <c r="F109" s="353"/>
    </row>
    <row r="110" spans="2:6">
      <c r="B110" s="353"/>
      <c r="C110" s="353"/>
      <c r="D110" s="353"/>
      <c r="E110" s="353"/>
      <c r="F110" s="353"/>
    </row>
    <row r="111" spans="2:6">
      <c r="B111" s="353"/>
      <c r="C111" s="353"/>
      <c r="D111" s="353"/>
      <c r="E111" s="353"/>
      <c r="F111" s="353"/>
    </row>
    <row r="112" spans="2:6">
      <c r="B112" s="353"/>
      <c r="C112" s="353"/>
      <c r="D112" s="353"/>
      <c r="E112" s="353"/>
      <c r="F112" s="353"/>
    </row>
    <row r="113" spans="2:6">
      <c r="B113" s="353"/>
      <c r="C113" s="353"/>
      <c r="D113" s="353"/>
      <c r="E113" s="353"/>
      <c r="F113" s="353"/>
    </row>
    <row r="114" spans="2:6">
      <c r="B114" s="353"/>
      <c r="C114" s="353"/>
      <c r="D114" s="353"/>
      <c r="E114" s="353"/>
      <c r="F114" s="353"/>
    </row>
    <row r="115" spans="2:6">
      <c r="B115" s="353"/>
      <c r="C115" s="353"/>
      <c r="D115" s="353"/>
      <c r="E115" s="353"/>
      <c r="F115" s="353"/>
    </row>
    <row r="116" spans="2:6">
      <c r="B116" s="353"/>
      <c r="C116" s="353"/>
      <c r="D116" s="353"/>
      <c r="E116" s="353"/>
      <c r="F116" s="353"/>
    </row>
    <row r="117" spans="2:6">
      <c r="B117" s="353"/>
      <c r="C117" s="353"/>
      <c r="D117" s="353"/>
      <c r="E117" s="353"/>
      <c r="F117" s="353"/>
    </row>
    <row r="118" spans="2:6">
      <c r="B118" s="353"/>
      <c r="C118" s="353"/>
      <c r="D118" s="353"/>
      <c r="E118" s="353"/>
      <c r="F118" s="353"/>
    </row>
    <row r="119" spans="2:6">
      <c r="B119" s="353"/>
      <c r="C119" s="353"/>
      <c r="D119" s="353"/>
      <c r="E119" s="353"/>
      <c r="F119" s="353"/>
    </row>
    <row r="120" spans="2:6">
      <c r="B120" s="353"/>
      <c r="C120" s="353"/>
      <c r="D120" s="353"/>
      <c r="E120" s="353"/>
      <c r="F120" s="353"/>
    </row>
    <row r="121" spans="2:6">
      <c r="B121" s="353"/>
      <c r="C121" s="353"/>
      <c r="D121" s="353"/>
      <c r="E121" s="353"/>
      <c r="F121" s="353"/>
    </row>
    <row r="122" spans="2:6">
      <c r="B122" s="353"/>
      <c r="C122" s="353"/>
      <c r="D122" s="353"/>
      <c r="E122" s="353"/>
      <c r="F122" s="353"/>
    </row>
    <row r="123" spans="2:6">
      <c r="B123" s="353"/>
      <c r="C123" s="353"/>
      <c r="D123" s="353"/>
      <c r="E123" s="353"/>
      <c r="F123" s="353"/>
    </row>
    <row r="124" spans="2:6">
      <c r="B124" s="353"/>
      <c r="C124" s="353"/>
      <c r="D124" s="353"/>
      <c r="E124" s="353"/>
      <c r="F124" s="353"/>
    </row>
    <row r="125" spans="2:6">
      <c r="B125" s="353"/>
      <c r="C125" s="353"/>
      <c r="D125" s="353"/>
      <c r="E125" s="353"/>
      <c r="F125" s="353"/>
    </row>
    <row r="126" spans="2:6">
      <c r="B126" s="353"/>
      <c r="C126" s="353"/>
      <c r="D126" s="353"/>
      <c r="E126" s="353"/>
      <c r="F126" s="353"/>
    </row>
    <row r="127" spans="2:6">
      <c r="B127" s="353"/>
      <c r="C127" s="353"/>
      <c r="D127" s="353"/>
      <c r="E127" s="353"/>
      <c r="F127" s="353"/>
    </row>
    <row r="128" spans="2:6">
      <c r="B128" s="353"/>
      <c r="C128" s="353"/>
      <c r="D128" s="353"/>
      <c r="E128" s="353"/>
      <c r="F128" s="353"/>
    </row>
    <row r="129" spans="2:6">
      <c r="B129" s="353"/>
      <c r="C129" s="353"/>
      <c r="D129" s="353"/>
      <c r="E129" s="353"/>
      <c r="F129" s="353"/>
    </row>
    <row r="130" spans="2:6">
      <c r="B130" s="353"/>
      <c r="C130" s="353"/>
      <c r="D130" s="353"/>
      <c r="E130" s="353"/>
      <c r="F130" s="353"/>
    </row>
    <row r="131" spans="2:6">
      <c r="B131" s="353"/>
      <c r="C131" s="353"/>
      <c r="D131" s="353"/>
      <c r="E131" s="353"/>
      <c r="F131" s="353"/>
    </row>
    <row r="132" spans="2:6">
      <c r="B132" s="353"/>
      <c r="C132" s="353"/>
      <c r="D132" s="353"/>
      <c r="E132" s="353"/>
      <c r="F132" s="353"/>
    </row>
    <row r="133" spans="2:6">
      <c r="B133" s="353"/>
      <c r="C133" s="353"/>
      <c r="D133" s="353"/>
      <c r="E133" s="353"/>
      <c r="F133" s="353"/>
    </row>
    <row r="134" spans="2:6">
      <c r="B134" s="353"/>
      <c r="C134" s="353"/>
      <c r="D134" s="353"/>
      <c r="E134" s="353"/>
      <c r="F134" s="353"/>
    </row>
    <row r="135" spans="2:6">
      <c r="B135" s="353"/>
      <c r="C135" s="353"/>
      <c r="D135" s="353"/>
      <c r="E135" s="353"/>
      <c r="F135" s="353"/>
    </row>
    <row r="136" spans="2:6">
      <c r="B136" s="353"/>
      <c r="C136" s="353"/>
      <c r="D136" s="353"/>
      <c r="E136" s="353"/>
      <c r="F136" s="353"/>
    </row>
    <row r="137" spans="2:6">
      <c r="B137" s="353"/>
      <c r="C137" s="353"/>
      <c r="D137" s="353"/>
      <c r="E137" s="353"/>
      <c r="F137" s="353"/>
    </row>
    <row r="138" spans="2:6">
      <c r="B138" s="353"/>
      <c r="C138" s="353"/>
      <c r="D138" s="353"/>
      <c r="E138" s="353"/>
      <c r="F138" s="353"/>
    </row>
    <row r="139" spans="2:6">
      <c r="B139" s="353"/>
      <c r="C139" s="353"/>
      <c r="D139" s="353"/>
      <c r="E139" s="353"/>
      <c r="F139" s="353"/>
    </row>
    <row r="140" spans="2:6">
      <c r="B140" s="353"/>
      <c r="C140" s="353"/>
      <c r="D140" s="353"/>
      <c r="E140" s="353"/>
      <c r="F140" s="353"/>
    </row>
    <row r="141" spans="2:6">
      <c r="B141" s="353"/>
      <c r="C141" s="353"/>
      <c r="D141" s="353"/>
      <c r="E141" s="353"/>
      <c r="F141" s="353"/>
    </row>
    <row r="142" spans="2:6">
      <c r="B142" s="353"/>
      <c r="C142" s="353"/>
      <c r="D142" s="353"/>
      <c r="E142" s="353"/>
      <c r="F142" s="353"/>
    </row>
    <row r="143" spans="2:6">
      <c r="B143" s="353"/>
      <c r="C143" s="353"/>
      <c r="D143" s="353"/>
      <c r="E143" s="353"/>
      <c r="F143" s="353"/>
    </row>
    <row r="144" spans="2:6">
      <c r="B144" s="353"/>
      <c r="C144" s="353"/>
      <c r="D144" s="353"/>
      <c r="E144" s="353"/>
      <c r="F144" s="353"/>
    </row>
    <row r="145" spans="2:6">
      <c r="B145" s="353"/>
      <c r="C145" s="353"/>
      <c r="D145" s="353"/>
      <c r="E145" s="353"/>
      <c r="F145" s="353"/>
    </row>
    <row r="146" spans="2:6">
      <c r="B146" s="353"/>
      <c r="C146" s="353"/>
      <c r="D146" s="353"/>
      <c r="E146" s="353"/>
      <c r="F146" s="353"/>
    </row>
    <row r="147" spans="2:6">
      <c r="B147" s="353"/>
      <c r="C147" s="353"/>
      <c r="D147" s="353"/>
      <c r="E147" s="353"/>
      <c r="F147" s="353"/>
    </row>
    <row r="148" spans="2:6">
      <c r="B148" s="353"/>
      <c r="C148" s="353"/>
      <c r="D148" s="353"/>
      <c r="E148" s="353"/>
      <c r="F148" s="353"/>
    </row>
    <row r="149" spans="2:6">
      <c r="B149" s="353"/>
      <c r="C149" s="353"/>
      <c r="D149" s="353"/>
      <c r="E149" s="353"/>
      <c r="F149" s="353"/>
    </row>
    <row r="150" spans="2:6">
      <c r="B150" s="353"/>
      <c r="C150" s="353"/>
      <c r="D150" s="353"/>
      <c r="E150" s="353"/>
      <c r="F150" s="353"/>
    </row>
    <row r="151" spans="2:6">
      <c r="B151" s="353"/>
      <c r="C151" s="353"/>
      <c r="D151" s="353"/>
      <c r="E151" s="353"/>
      <c r="F151" s="353"/>
    </row>
    <row r="152" spans="2:6">
      <c r="B152" s="353"/>
      <c r="C152" s="353"/>
      <c r="D152" s="353"/>
      <c r="E152" s="353"/>
      <c r="F152" s="353"/>
    </row>
    <row r="153" spans="2:6">
      <c r="B153" s="353"/>
      <c r="C153" s="353"/>
      <c r="D153" s="353"/>
      <c r="E153" s="353"/>
      <c r="F153" s="353"/>
    </row>
    <row r="154" spans="2:6">
      <c r="B154" s="353"/>
      <c r="C154" s="353"/>
      <c r="D154" s="353"/>
      <c r="E154" s="353"/>
      <c r="F154" s="353"/>
    </row>
    <row r="155" spans="2:6">
      <c r="B155" s="353"/>
      <c r="C155" s="353"/>
      <c r="D155" s="353"/>
      <c r="E155" s="353"/>
      <c r="F155" s="353"/>
    </row>
    <row r="156" spans="2:6">
      <c r="B156" s="353"/>
      <c r="C156" s="353"/>
      <c r="D156" s="353"/>
      <c r="E156" s="353"/>
      <c r="F156" s="353"/>
    </row>
    <row r="157" spans="2:6">
      <c r="B157" s="353"/>
      <c r="C157" s="353"/>
      <c r="D157" s="353"/>
      <c r="E157" s="353"/>
      <c r="F157" s="353"/>
    </row>
    <row r="158" spans="2:6">
      <c r="B158" s="353"/>
      <c r="C158" s="353"/>
      <c r="D158" s="353"/>
      <c r="E158" s="353"/>
      <c r="F158" s="353"/>
    </row>
    <row r="159" spans="2:6">
      <c r="B159" s="353"/>
      <c r="C159" s="353"/>
      <c r="D159" s="353"/>
      <c r="E159" s="353"/>
      <c r="F159" s="353"/>
    </row>
    <row r="160" spans="2:6">
      <c r="B160" s="353"/>
      <c r="C160" s="353"/>
      <c r="D160" s="353"/>
      <c r="E160" s="353"/>
      <c r="F160" s="353"/>
    </row>
    <row r="161" spans="2:6">
      <c r="B161" s="353"/>
      <c r="C161" s="353"/>
      <c r="D161" s="353"/>
      <c r="E161" s="353"/>
      <c r="F161" s="353"/>
    </row>
    <row r="162" spans="2:6">
      <c r="B162" s="353"/>
      <c r="C162" s="353"/>
      <c r="D162" s="353"/>
      <c r="E162" s="353"/>
      <c r="F162" s="353"/>
    </row>
    <row r="163" spans="2:6">
      <c r="B163" s="353"/>
      <c r="C163" s="353"/>
      <c r="D163" s="353"/>
      <c r="E163" s="353"/>
      <c r="F163" s="353"/>
    </row>
    <row r="164" spans="2:6">
      <c r="B164" s="353"/>
      <c r="C164" s="353"/>
      <c r="D164" s="353"/>
      <c r="E164" s="353"/>
      <c r="F164" s="353"/>
    </row>
    <row r="165" spans="2:6">
      <c r="B165" s="353"/>
      <c r="C165" s="353"/>
      <c r="D165" s="353"/>
      <c r="E165" s="353"/>
      <c r="F165" s="353"/>
    </row>
    <row r="166" spans="2:6">
      <c r="B166" s="353"/>
      <c r="C166" s="353"/>
      <c r="D166" s="353"/>
      <c r="E166" s="353"/>
      <c r="F166" s="353"/>
    </row>
    <row r="167" spans="2:6">
      <c r="B167" s="353"/>
      <c r="C167" s="353"/>
      <c r="D167" s="353"/>
      <c r="E167" s="353"/>
      <c r="F167" s="353"/>
    </row>
    <row r="168" spans="2:6">
      <c r="B168" s="353"/>
      <c r="C168" s="353"/>
      <c r="D168" s="353"/>
      <c r="E168" s="353"/>
      <c r="F168" s="353"/>
    </row>
    <row r="169" spans="2:6">
      <c r="B169" s="353"/>
      <c r="C169" s="353"/>
      <c r="D169" s="353"/>
      <c r="E169" s="353"/>
      <c r="F169" s="353"/>
    </row>
    <row r="170" spans="2:6">
      <c r="B170" s="353"/>
      <c r="C170" s="353"/>
      <c r="D170" s="353"/>
      <c r="E170" s="353"/>
      <c r="F170" s="353"/>
    </row>
    <row r="171" spans="2:6">
      <c r="B171" s="353"/>
      <c r="C171" s="353"/>
      <c r="D171" s="353"/>
      <c r="E171" s="353"/>
      <c r="F171" s="353"/>
    </row>
    <row r="172" spans="2:6">
      <c r="B172" s="353"/>
      <c r="C172" s="353"/>
      <c r="D172" s="353"/>
      <c r="E172" s="353"/>
      <c r="F172" s="353"/>
    </row>
    <row r="173" spans="2:6">
      <c r="B173" s="353"/>
      <c r="C173" s="353"/>
      <c r="D173" s="353"/>
      <c r="E173" s="353"/>
      <c r="F173" s="353"/>
    </row>
    <row r="174" spans="2:6">
      <c r="B174" s="353"/>
      <c r="C174" s="353"/>
      <c r="D174" s="353"/>
      <c r="E174" s="353"/>
      <c r="F174" s="353"/>
    </row>
    <row r="175" spans="2:6">
      <c r="B175" s="353"/>
      <c r="C175" s="353"/>
      <c r="D175" s="353"/>
      <c r="E175" s="353"/>
      <c r="F175" s="353"/>
    </row>
    <row r="176" spans="2:6">
      <c r="B176" s="353"/>
      <c r="C176" s="353"/>
      <c r="D176" s="353"/>
      <c r="E176" s="353"/>
      <c r="F176" s="353"/>
    </row>
    <row r="177" spans="2:6">
      <c r="B177" s="353"/>
      <c r="C177" s="353"/>
      <c r="D177" s="353"/>
      <c r="E177" s="353"/>
      <c r="F177" s="353"/>
    </row>
    <row r="178" spans="2:6">
      <c r="B178" s="353"/>
      <c r="C178" s="353"/>
      <c r="D178" s="353"/>
      <c r="E178" s="353"/>
      <c r="F178" s="353"/>
    </row>
    <row r="179" spans="2:6">
      <c r="B179" s="353"/>
      <c r="C179" s="353"/>
      <c r="D179" s="353"/>
      <c r="E179" s="353"/>
      <c r="F179" s="353"/>
    </row>
    <row r="180" spans="2:6">
      <c r="B180" s="353"/>
      <c r="C180" s="353"/>
      <c r="D180" s="353"/>
      <c r="E180" s="353"/>
      <c r="F180" s="353"/>
    </row>
    <row r="181" spans="2:6">
      <c r="B181" s="353"/>
      <c r="C181" s="353"/>
      <c r="D181" s="353"/>
      <c r="E181" s="353"/>
      <c r="F181" s="353"/>
    </row>
    <row r="182" spans="2:6">
      <c r="B182" s="353"/>
      <c r="C182" s="353"/>
      <c r="D182" s="353"/>
      <c r="E182" s="353"/>
      <c r="F182" s="353"/>
    </row>
    <row r="183" spans="2:6">
      <c r="B183" s="353"/>
      <c r="C183" s="353"/>
      <c r="D183" s="353"/>
      <c r="E183" s="353"/>
      <c r="F183" s="353"/>
    </row>
    <row r="184" spans="2:6">
      <c r="B184" s="353"/>
      <c r="C184" s="353"/>
      <c r="D184" s="353"/>
      <c r="E184" s="353"/>
      <c r="F184" s="353"/>
    </row>
    <row r="185" spans="2:6">
      <c r="B185" s="353"/>
      <c r="C185" s="353"/>
      <c r="D185" s="353"/>
      <c r="E185" s="353"/>
      <c r="F185" s="353"/>
    </row>
    <row r="186" spans="2:6">
      <c r="B186" s="353"/>
      <c r="C186" s="353"/>
      <c r="D186" s="353"/>
      <c r="E186" s="353"/>
      <c r="F186" s="353"/>
    </row>
    <row r="187" spans="2:6">
      <c r="B187" s="353"/>
      <c r="C187" s="353"/>
      <c r="D187" s="353"/>
      <c r="E187" s="353"/>
      <c r="F187" s="353"/>
    </row>
    <row r="188" spans="2:6">
      <c r="B188" s="353"/>
      <c r="C188" s="353"/>
      <c r="D188" s="353"/>
      <c r="E188" s="353"/>
      <c r="F188" s="353"/>
    </row>
    <row r="189" spans="2:6">
      <c r="B189" s="353"/>
      <c r="C189" s="353"/>
      <c r="D189" s="353"/>
      <c r="E189" s="353"/>
      <c r="F189" s="353"/>
    </row>
    <row r="190" spans="2:6">
      <c r="B190" s="353"/>
      <c r="C190" s="353"/>
      <c r="D190" s="353"/>
      <c r="E190" s="353"/>
      <c r="F190" s="353"/>
    </row>
    <row r="191" spans="2:6">
      <c r="B191" s="353"/>
      <c r="C191" s="353"/>
      <c r="D191" s="353"/>
      <c r="E191" s="353"/>
      <c r="F191" s="353"/>
    </row>
    <row r="192" spans="2:6">
      <c r="B192" s="353"/>
      <c r="C192" s="353"/>
      <c r="D192" s="353"/>
      <c r="E192" s="353"/>
      <c r="F192" s="353"/>
    </row>
    <row r="193" spans="2:6">
      <c r="B193" s="353"/>
      <c r="C193" s="353"/>
      <c r="D193" s="353"/>
      <c r="E193" s="353"/>
      <c r="F193" s="353"/>
    </row>
    <row r="194" spans="2:6">
      <c r="B194" s="353"/>
      <c r="C194" s="353"/>
      <c r="D194" s="353"/>
      <c r="E194" s="353"/>
      <c r="F194" s="353"/>
    </row>
    <row r="195" spans="2:6">
      <c r="B195" s="353"/>
      <c r="C195" s="353"/>
      <c r="D195" s="353"/>
      <c r="E195" s="353"/>
      <c r="F195" s="353"/>
    </row>
    <row r="196" spans="2:6">
      <c r="B196" s="353"/>
      <c r="C196" s="353"/>
      <c r="D196" s="353"/>
      <c r="E196" s="353"/>
      <c r="F196" s="353"/>
    </row>
    <row r="197" spans="2:6">
      <c r="B197" s="353"/>
      <c r="C197" s="353"/>
      <c r="D197" s="353"/>
      <c r="E197" s="353"/>
      <c r="F197" s="353"/>
    </row>
    <row r="198" spans="2:6">
      <c r="B198" s="353"/>
      <c r="C198" s="353"/>
      <c r="D198" s="353"/>
      <c r="E198" s="353"/>
      <c r="F198" s="353"/>
    </row>
    <row r="199" spans="2:6">
      <c r="B199" s="353"/>
      <c r="C199" s="353"/>
      <c r="D199" s="353"/>
      <c r="E199" s="353"/>
      <c r="F199" s="353"/>
    </row>
    <row r="200" spans="2:6">
      <c r="B200" s="353"/>
      <c r="C200" s="353"/>
      <c r="D200" s="353"/>
      <c r="E200" s="353"/>
      <c r="F200" s="353"/>
    </row>
    <row r="201" spans="2:6">
      <c r="B201" s="353"/>
      <c r="C201" s="353"/>
      <c r="D201" s="353"/>
      <c r="E201" s="353"/>
      <c r="F201" s="353"/>
    </row>
    <row r="202" spans="2:6">
      <c r="B202" s="353"/>
      <c r="C202" s="353"/>
      <c r="D202" s="353"/>
      <c r="E202" s="353"/>
      <c r="F202" s="353"/>
    </row>
    <row r="203" spans="2:6">
      <c r="B203" s="353"/>
      <c r="C203" s="353"/>
      <c r="D203" s="353"/>
      <c r="E203" s="353"/>
      <c r="F203" s="353"/>
    </row>
    <row r="204" spans="2:6">
      <c r="B204" s="353"/>
      <c r="C204" s="353"/>
      <c r="D204" s="353"/>
      <c r="E204" s="353"/>
      <c r="F204" s="353"/>
    </row>
    <row r="205" spans="2:6">
      <c r="B205" s="353"/>
      <c r="C205" s="353"/>
      <c r="D205" s="353"/>
      <c r="E205" s="353"/>
      <c r="F205" s="353"/>
    </row>
    <row r="206" spans="2:6">
      <c r="B206" s="353"/>
      <c r="C206" s="353"/>
      <c r="D206" s="353"/>
      <c r="E206" s="353"/>
      <c r="F206" s="353"/>
    </row>
    <row r="207" spans="2:6">
      <c r="B207" s="353"/>
      <c r="C207" s="353"/>
      <c r="D207" s="353"/>
      <c r="E207" s="353"/>
      <c r="F207" s="353"/>
    </row>
    <row r="208" spans="2:6">
      <c r="B208" s="353"/>
      <c r="C208" s="353"/>
      <c r="D208" s="353"/>
      <c r="E208" s="353"/>
      <c r="F208" s="353"/>
    </row>
    <row r="209" spans="2:6">
      <c r="B209" s="353"/>
      <c r="C209" s="353"/>
      <c r="D209" s="353"/>
      <c r="E209" s="353"/>
      <c r="F209" s="353"/>
    </row>
    <row r="210" spans="2:6">
      <c r="B210" s="353"/>
      <c r="C210" s="353"/>
      <c r="D210" s="353"/>
      <c r="E210" s="353"/>
      <c r="F210" s="353"/>
    </row>
    <row r="211" spans="2:6">
      <c r="B211" s="353"/>
      <c r="C211" s="353"/>
      <c r="D211" s="353"/>
      <c r="E211" s="353"/>
      <c r="F211" s="353"/>
    </row>
    <row r="212" spans="2:6">
      <c r="B212" s="353"/>
      <c r="C212" s="353"/>
      <c r="D212" s="353"/>
      <c r="E212" s="353"/>
      <c r="F212" s="353"/>
    </row>
    <row r="213" spans="2:6">
      <c r="B213" s="353"/>
      <c r="C213" s="353"/>
      <c r="D213" s="353"/>
      <c r="E213" s="353"/>
      <c r="F213" s="353"/>
    </row>
    <row r="214" spans="2:6">
      <c r="B214" s="353"/>
      <c r="C214" s="353"/>
      <c r="D214" s="353"/>
      <c r="E214" s="353"/>
      <c r="F214" s="353"/>
    </row>
    <row r="215" spans="2:6">
      <c r="B215" s="353"/>
      <c r="C215" s="353"/>
      <c r="D215" s="353"/>
      <c r="E215" s="353"/>
      <c r="F215" s="353"/>
    </row>
    <row r="216" spans="2:6">
      <c r="B216" s="353"/>
      <c r="C216" s="353"/>
      <c r="D216" s="353"/>
      <c r="E216" s="353"/>
      <c r="F216" s="353"/>
    </row>
    <row r="217" spans="2:6">
      <c r="B217" s="353"/>
      <c r="C217" s="353"/>
      <c r="D217" s="353"/>
      <c r="E217" s="353"/>
      <c r="F217" s="353"/>
    </row>
    <row r="218" spans="2:6">
      <c r="B218" s="353"/>
      <c r="C218" s="353"/>
      <c r="D218" s="353"/>
      <c r="E218" s="353"/>
      <c r="F218" s="353"/>
    </row>
    <row r="219" spans="2:6">
      <c r="B219" s="353"/>
      <c r="C219" s="353"/>
      <c r="D219" s="353"/>
      <c r="E219" s="353"/>
      <c r="F219" s="353"/>
    </row>
    <row r="220" spans="2:6">
      <c r="B220" s="353"/>
      <c r="C220" s="353"/>
      <c r="D220" s="353"/>
      <c r="E220" s="353"/>
      <c r="F220" s="353"/>
    </row>
    <row r="221" spans="2:6">
      <c r="B221" s="353"/>
      <c r="C221" s="353"/>
      <c r="D221" s="353"/>
      <c r="E221" s="353"/>
      <c r="F221" s="353"/>
    </row>
    <row r="222" spans="2:6">
      <c r="B222" s="353"/>
      <c r="C222" s="353"/>
      <c r="D222" s="353"/>
      <c r="E222" s="353"/>
      <c r="F222" s="353"/>
    </row>
    <row r="223" spans="2:6">
      <c r="B223" s="353"/>
      <c r="C223" s="353"/>
      <c r="D223" s="353"/>
      <c r="E223" s="353"/>
      <c r="F223" s="353"/>
    </row>
    <row r="224" spans="2:6">
      <c r="B224" s="353"/>
      <c r="C224" s="353"/>
      <c r="D224" s="353"/>
      <c r="E224" s="353"/>
      <c r="F224" s="353"/>
    </row>
    <row r="225" spans="2:6">
      <c r="B225" s="353"/>
      <c r="C225" s="353"/>
      <c r="D225" s="353"/>
      <c r="E225" s="353"/>
      <c r="F225" s="353"/>
    </row>
    <row r="226" spans="2:6">
      <c r="B226" s="353"/>
      <c r="C226" s="353"/>
      <c r="D226" s="353"/>
      <c r="E226" s="353"/>
      <c r="F226" s="353"/>
    </row>
    <row r="227" spans="2:6">
      <c r="B227" s="353"/>
      <c r="C227" s="353"/>
      <c r="D227" s="353"/>
      <c r="E227" s="353"/>
      <c r="F227" s="353"/>
    </row>
    <row r="228" spans="2:6">
      <c r="B228" s="353"/>
      <c r="C228" s="353"/>
      <c r="D228" s="353"/>
      <c r="E228" s="353"/>
      <c r="F228" s="353"/>
    </row>
    <row r="229" spans="2:6">
      <c r="B229" s="353"/>
      <c r="C229" s="353"/>
      <c r="D229" s="353"/>
      <c r="E229" s="353"/>
      <c r="F229" s="353"/>
    </row>
    <row r="230" spans="2:6">
      <c r="B230" s="353"/>
      <c r="C230" s="353"/>
      <c r="D230" s="353"/>
      <c r="E230" s="353"/>
      <c r="F230" s="353"/>
    </row>
    <row r="231" spans="2:6">
      <c r="B231" s="353"/>
      <c r="C231" s="353"/>
      <c r="D231" s="353"/>
      <c r="E231" s="353"/>
      <c r="F231" s="353"/>
    </row>
    <row r="232" spans="2:6">
      <c r="B232" s="353"/>
      <c r="C232" s="353"/>
      <c r="D232" s="353"/>
      <c r="E232" s="353"/>
      <c r="F232" s="353"/>
    </row>
    <row r="233" spans="2:6">
      <c r="B233" s="353"/>
      <c r="C233" s="353"/>
      <c r="D233" s="353"/>
      <c r="E233" s="353"/>
      <c r="F233" s="353"/>
    </row>
    <row r="234" spans="2:6">
      <c r="B234" s="353"/>
      <c r="C234" s="353"/>
      <c r="D234" s="353"/>
      <c r="E234" s="353"/>
      <c r="F234" s="353"/>
    </row>
    <row r="235" spans="2:6">
      <c r="B235" s="353"/>
      <c r="C235" s="353"/>
      <c r="D235" s="353"/>
      <c r="E235" s="353"/>
      <c r="F235" s="353"/>
    </row>
    <row r="236" spans="2:6">
      <c r="B236" s="353"/>
      <c r="C236" s="353"/>
      <c r="D236" s="353"/>
      <c r="E236" s="353"/>
      <c r="F236" s="353"/>
    </row>
    <row r="237" spans="2:6">
      <c r="B237" s="353"/>
      <c r="C237" s="353"/>
      <c r="D237" s="353"/>
      <c r="E237" s="353"/>
      <c r="F237" s="353"/>
    </row>
    <row r="238" spans="2:6">
      <c r="B238" s="353"/>
      <c r="C238" s="353"/>
      <c r="D238" s="353"/>
      <c r="E238" s="353"/>
      <c r="F238" s="353"/>
    </row>
    <row r="239" spans="2:6">
      <c r="B239" s="353"/>
      <c r="C239" s="353"/>
      <c r="D239" s="353"/>
      <c r="E239" s="353"/>
      <c r="F239" s="353"/>
    </row>
    <row r="240" spans="2:6">
      <c r="B240" s="353"/>
      <c r="C240" s="353"/>
      <c r="D240" s="353"/>
      <c r="E240" s="353"/>
      <c r="F240" s="353"/>
    </row>
    <row r="241" spans="2:6">
      <c r="B241" s="353"/>
      <c r="C241" s="353"/>
      <c r="D241" s="353"/>
      <c r="E241" s="353"/>
      <c r="F241" s="353"/>
    </row>
    <row r="242" spans="2:6">
      <c r="B242" s="353"/>
      <c r="C242" s="353"/>
      <c r="D242" s="353"/>
      <c r="E242" s="353"/>
      <c r="F242" s="353"/>
    </row>
    <row r="243" spans="2:6">
      <c r="B243" s="353"/>
      <c r="C243" s="353"/>
      <c r="D243" s="353"/>
      <c r="E243" s="353"/>
      <c r="F243" s="353"/>
    </row>
    <row r="244" spans="2:6">
      <c r="B244" s="353"/>
      <c r="C244" s="353"/>
      <c r="D244" s="353"/>
      <c r="E244" s="353"/>
      <c r="F244" s="353"/>
    </row>
    <row r="245" spans="2:6">
      <c r="B245" s="353"/>
      <c r="C245" s="353"/>
      <c r="D245" s="353"/>
      <c r="E245" s="353"/>
      <c r="F245" s="353"/>
    </row>
    <row r="246" spans="2:6">
      <c r="B246" s="353"/>
      <c r="C246" s="353"/>
      <c r="D246" s="353"/>
      <c r="E246" s="353"/>
      <c r="F246" s="353"/>
    </row>
    <row r="247" spans="2:6">
      <c r="B247" s="353"/>
      <c r="C247" s="353"/>
      <c r="D247" s="353"/>
      <c r="E247" s="353"/>
      <c r="F247" s="353"/>
    </row>
    <row r="248" spans="2:6">
      <c r="B248" s="353"/>
      <c r="C248" s="353"/>
      <c r="D248" s="353"/>
      <c r="E248" s="353"/>
      <c r="F248" s="353"/>
    </row>
    <row r="249" spans="2:6">
      <c r="B249" s="353"/>
      <c r="C249" s="353"/>
      <c r="D249" s="353"/>
      <c r="E249" s="353"/>
      <c r="F249" s="353"/>
    </row>
    <row r="250" spans="2:6">
      <c r="B250" s="353"/>
      <c r="C250" s="353"/>
      <c r="D250" s="353"/>
      <c r="E250" s="353"/>
      <c r="F250" s="353"/>
    </row>
    <row r="251" spans="2:6">
      <c r="B251" s="353"/>
      <c r="C251" s="353"/>
      <c r="D251" s="353"/>
      <c r="E251" s="353"/>
      <c r="F251" s="353"/>
    </row>
    <row r="252" spans="2:6">
      <c r="B252" s="353"/>
      <c r="C252" s="353"/>
      <c r="D252" s="353"/>
      <c r="E252" s="353"/>
      <c r="F252" s="353"/>
    </row>
    <row r="253" spans="2:6">
      <c r="B253" s="353"/>
      <c r="C253" s="353"/>
      <c r="D253" s="353"/>
      <c r="E253" s="353"/>
      <c r="F253" s="353"/>
    </row>
    <row r="254" spans="2:6">
      <c r="B254" s="353"/>
      <c r="C254" s="353"/>
      <c r="D254" s="353"/>
      <c r="E254" s="353"/>
      <c r="F254" s="353"/>
    </row>
    <row r="255" spans="2:6">
      <c r="B255" s="353"/>
      <c r="C255" s="353"/>
      <c r="D255" s="353"/>
      <c r="E255" s="353"/>
      <c r="F255" s="353"/>
    </row>
    <row r="256" spans="2:6">
      <c r="B256" s="353"/>
      <c r="C256" s="353"/>
      <c r="D256" s="353"/>
      <c r="E256" s="353"/>
      <c r="F256" s="353"/>
    </row>
    <row r="257" spans="2:6">
      <c r="B257" s="353"/>
      <c r="C257" s="353"/>
      <c r="D257" s="353"/>
      <c r="E257" s="353"/>
      <c r="F257" s="353"/>
    </row>
    <row r="258" spans="2:6">
      <c r="B258" s="353"/>
      <c r="C258" s="353"/>
      <c r="D258" s="353"/>
      <c r="E258" s="353"/>
      <c r="F258" s="353"/>
    </row>
    <row r="259" spans="2:6">
      <c r="B259" s="353"/>
      <c r="C259" s="353"/>
      <c r="D259" s="353"/>
      <c r="E259" s="353"/>
      <c r="F259" s="353"/>
    </row>
    <row r="260" spans="2:6">
      <c r="B260" s="353"/>
      <c r="C260" s="353"/>
      <c r="D260" s="353"/>
      <c r="E260" s="353"/>
      <c r="F260" s="353"/>
    </row>
    <row r="261" spans="2:6">
      <c r="B261" s="353"/>
      <c r="C261" s="353"/>
      <c r="D261" s="353"/>
      <c r="E261" s="353"/>
      <c r="F261" s="353"/>
    </row>
    <row r="262" spans="2:6">
      <c r="B262" s="353"/>
      <c r="C262" s="353"/>
      <c r="D262" s="353"/>
      <c r="E262" s="353"/>
      <c r="F262" s="353"/>
    </row>
    <row r="263" spans="2:6">
      <c r="B263" s="353"/>
      <c r="C263" s="353"/>
      <c r="D263" s="353"/>
      <c r="E263" s="353"/>
      <c r="F263" s="353"/>
    </row>
    <row r="264" spans="2:6">
      <c r="B264" s="353"/>
      <c r="C264" s="353"/>
      <c r="D264" s="353"/>
      <c r="E264" s="353"/>
      <c r="F264" s="353"/>
    </row>
    <row r="265" spans="2:6">
      <c r="B265" s="353"/>
      <c r="C265" s="353"/>
      <c r="D265" s="353"/>
      <c r="E265" s="353"/>
      <c r="F265" s="353"/>
    </row>
    <row r="266" spans="2:6">
      <c r="B266" s="353"/>
      <c r="C266" s="353"/>
      <c r="D266" s="353"/>
      <c r="E266" s="353"/>
      <c r="F266" s="353"/>
    </row>
    <row r="267" spans="2:6">
      <c r="B267" s="353"/>
      <c r="C267" s="353"/>
      <c r="D267" s="353"/>
      <c r="E267" s="353"/>
      <c r="F267" s="353"/>
    </row>
    <row r="268" spans="2:6">
      <c r="B268" s="353"/>
      <c r="C268" s="353"/>
      <c r="D268" s="353"/>
      <c r="E268" s="353"/>
      <c r="F268" s="353"/>
    </row>
    <row r="269" spans="2:6">
      <c r="B269" s="353"/>
      <c r="C269" s="353"/>
      <c r="D269" s="353"/>
      <c r="E269" s="353"/>
      <c r="F269" s="353"/>
    </row>
    <row r="270" spans="2:6">
      <c r="B270" s="353"/>
      <c r="C270" s="353"/>
      <c r="D270" s="353"/>
      <c r="E270" s="353"/>
      <c r="F270" s="353"/>
    </row>
    <row r="271" spans="2:6">
      <c r="B271" s="353"/>
      <c r="C271" s="353"/>
      <c r="D271" s="353"/>
      <c r="E271" s="353"/>
      <c r="F271" s="353"/>
    </row>
    <row r="272" spans="2:6">
      <c r="B272" s="353"/>
      <c r="C272" s="353"/>
      <c r="D272" s="353"/>
      <c r="E272" s="353"/>
      <c r="F272" s="353"/>
    </row>
    <row r="273" spans="2:6">
      <c r="B273" s="353"/>
      <c r="C273" s="353"/>
      <c r="D273" s="353"/>
      <c r="E273" s="353"/>
      <c r="F273" s="353"/>
    </row>
    <row r="274" spans="2:6">
      <c r="B274" s="353"/>
      <c r="C274" s="353"/>
      <c r="D274" s="353"/>
      <c r="E274" s="353"/>
      <c r="F274" s="353"/>
    </row>
    <row r="275" spans="2:6">
      <c r="B275" s="353"/>
      <c r="C275" s="353"/>
      <c r="D275" s="353"/>
      <c r="E275" s="353"/>
      <c r="F275" s="353"/>
    </row>
    <row r="276" spans="2:6">
      <c r="B276" s="353"/>
      <c r="C276" s="353"/>
      <c r="D276" s="353"/>
      <c r="E276" s="353"/>
      <c r="F276" s="353"/>
    </row>
    <row r="277" spans="2:6">
      <c r="B277" s="353"/>
      <c r="C277" s="353"/>
      <c r="D277" s="353"/>
      <c r="E277" s="353"/>
      <c r="F277" s="353"/>
    </row>
    <row r="278" spans="2:6">
      <c r="B278" s="353"/>
      <c r="C278" s="353"/>
      <c r="D278" s="353"/>
      <c r="E278" s="353"/>
      <c r="F278" s="353"/>
    </row>
    <row r="279" spans="2:6">
      <c r="B279" s="353"/>
      <c r="C279" s="353"/>
      <c r="D279" s="353"/>
      <c r="E279" s="353"/>
      <c r="F279" s="353"/>
    </row>
    <row r="280" spans="2:6">
      <c r="B280" s="353"/>
      <c r="C280" s="353"/>
      <c r="D280" s="353"/>
      <c r="E280" s="353"/>
      <c r="F280" s="353"/>
    </row>
    <row r="281" spans="2:6">
      <c r="B281" s="353"/>
      <c r="C281" s="353"/>
      <c r="D281" s="353"/>
      <c r="E281" s="353"/>
      <c r="F281" s="353"/>
    </row>
    <row r="282" spans="2:6">
      <c r="B282" s="353"/>
      <c r="C282" s="353"/>
      <c r="D282" s="353"/>
      <c r="E282" s="353"/>
      <c r="F282" s="353"/>
    </row>
    <row r="283" spans="2:6">
      <c r="B283" s="353"/>
      <c r="C283" s="353"/>
      <c r="D283" s="353"/>
      <c r="E283" s="353"/>
      <c r="F283" s="353"/>
    </row>
    <row r="284" spans="2:6">
      <c r="B284" s="353"/>
      <c r="C284" s="353"/>
      <c r="D284" s="353"/>
      <c r="E284" s="353"/>
      <c r="F284" s="353"/>
    </row>
    <row r="285" spans="2:6">
      <c r="B285" s="353"/>
      <c r="C285" s="353"/>
      <c r="D285" s="353"/>
      <c r="E285" s="353"/>
      <c r="F285" s="353"/>
    </row>
    <row r="286" spans="2:6">
      <c r="B286" s="353"/>
      <c r="C286" s="353"/>
      <c r="D286" s="353"/>
      <c r="E286" s="353"/>
      <c r="F286" s="353"/>
    </row>
    <row r="287" spans="2:6">
      <c r="B287" s="353"/>
      <c r="C287" s="353"/>
      <c r="D287" s="353"/>
      <c r="E287" s="353"/>
      <c r="F287" s="353"/>
    </row>
    <row r="288" spans="2:6">
      <c r="B288" s="353"/>
      <c r="C288" s="353"/>
      <c r="D288" s="353"/>
      <c r="E288" s="353"/>
      <c r="F288" s="353"/>
    </row>
    <row r="289" spans="2:6">
      <c r="B289" s="353"/>
      <c r="C289" s="353"/>
      <c r="D289" s="353"/>
      <c r="E289" s="353"/>
      <c r="F289" s="353"/>
    </row>
    <row r="290" spans="2:6">
      <c r="B290" s="353"/>
      <c r="C290" s="353"/>
      <c r="D290" s="353"/>
      <c r="E290" s="353"/>
      <c r="F290" s="353"/>
    </row>
    <row r="291" spans="2:6">
      <c r="B291" s="353"/>
      <c r="C291" s="353"/>
      <c r="D291" s="353"/>
      <c r="E291" s="353"/>
      <c r="F291" s="353"/>
    </row>
    <row r="292" spans="2:6">
      <c r="B292" s="353"/>
      <c r="C292" s="353"/>
      <c r="D292" s="353"/>
      <c r="E292" s="353"/>
      <c r="F292" s="353"/>
    </row>
    <row r="293" spans="2:6">
      <c r="B293" s="353"/>
      <c r="C293" s="353"/>
      <c r="D293" s="353"/>
      <c r="E293" s="353"/>
      <c r="F293" s="353"/>
    </row>
    <row r="294" spans="2:6">
      <c r="B294" s="353"/>
      <c r="C294" s="353"/>
      <c r="D294" s="353"/>
      <c r="E294" s="353"/>
      <c r="F294" s="353"/>
    </row>
    <row r="295" spans="2:6">
      <c r="B295" s="353"/>
      <c r="C295" s="353"/>
      <c r="D295" s="353"/>
      <c r="E295" s="353"/>
      <c r="F295" s="353"/>
    </row>
    <row r="296" spans="2:6">
      <c r="B296" s="353"/>
      <c r="C296" s="353"/>
      <c r="D296" s="353"/>
      <c r="E296" s="353"/>
      <c r="F296" s="353"/>
    </row>
    <row r="297" spans="2:6">
      <c r="B297" s="353"/>
      <c r="C297" s="353"/>
      <c r="D297" s="353"/>
      <c r="E297" s="353"/>
      <c r="F297" s="353"/>
    </row>
    <row r="298" spans="2:6">
      <c r="B298" s="353"/>
      <c r="C298" s="353"/>
      <c r="D298" s="353"/>
      <c r="E298" s="353"/>
      <c r="F298" s="353"/>
    </row>
    <row r="299" spans="2:6">
      <c r="B299" s="353"/>
      <c r="C299" s="353"/>
      <c r="D299" s="353"/>
      <c r="E299" s="353"/>
      <c r="F299" s="353"/>
    </row>
    <row r="300" spans="2:6">
      <c r="B300" s="353"/>
      <c r="C300" s="353"/>
      <c r="D300" s="353"/>
      <c r="E300" s="353"/>
      <c r="F300" s="353"/>
    </row>
    <row r="301" spans="2:6">
      <c r="B301" s="353"/>
      <c r="C301" s="353"/>
      <c r="D301" s="353"/>
      <c r="E301" s="353"/>
      <c r="F301" s="353"/>
    </row>
    <row r="302" spans="2:6">
      <c r="B302" s="353"/>
      <c r="C302" s="353"/>
      <c r="D302" s="353"/>
      <c r="E302" s="353"/>
      <c r="F302" s="353"/>
    </row>
    <row r="303" spans="2:6">
      <c r="B303" s="353"/>
      <c r="C303" s="353"/>
      <c r="D303" s="353"/>
      <c r="E303" s="353"/>
      <c r="F303" s="353"/>
    </row>
    <row r="304" spans="2:6">
      <c r="B304" s="353"/>
      <c r="C304" s="353"/>
      <c r="D304" s="353"/>
      <c r="E304" s="353"/>
      <c r="F304" s="353"/>
    </row>
    <row r="305" spans="2:6">
      <c r="B305" s="353"/>
      <c r="C305" s="353"/>
      <c r="D305" s="353"/>
      <c r="E305" s="353"/>
      <c r="F305" s="353"/>
    </row>
    <row r="306" spans="2:6">
      <c r="B306" s="353"/>
      <c r="C306" s="353"/>
      <c r="D306" s="353"/>
      <c r="E306" s="353"/>
      <c r="F306" s="353"/>
    </row>
    <row r="307" spans="2:6">
      <c r="B307" s="353"/>
      <c r="C307" s="353"/>
      <c r="D307" s="353"/>
      <c r="E307" s="353"/>
      <c r="F307" s="353"/>
    </row>
    <row r="308" spans="2:6">
      <c r="B308" s="353"/>
      <c r="C308" s="353"/>
      <c r="D308" s="353"/>
      <c r="E308" s="353"/>
      <c r="F308" s="353"/>
    </row>
    <row r="309" spans="2:6">
      <c r="B309" s="353"/>
      <c r="C309" s="353"/>
      <c r="D309" s="353"/>
      <c r="E309" s="353"/>
      <c r="F309" s="353"/>
    </row>
    <row r="310" spans="2:6">
      <c r="B310" s="353"/>
      <c r="C310" s="353"/>
      <c r="D310" s="353"/>
      <c r="E310" s="353"/>
      <c r="F310" s="353"/>
    </row>
    <row r="311" spans="2:6">
      <c r="B311" s="353"/>
      <c r="C311" s="353"/>
      <c r="D311" s="353"/>
      <c r="E311" s="353"/>
      <c r="F311" s="353"/>
    </row>
    <row r="312" spans="2:6">
      <c r="B312" s="353"/>
      <c r="C312" s="353"/>
      <c r="D312" s="353"/>
      <c r="E312" s="353"/>
      <c r="F312" s="353"/>
    </row>
    <row r="313" spans="2:6">
      <c r="B313" s="353"/>
      <c r="C313" s="353"/>
      <c r="D313" s="353"/>
      <c r="E313" s="353"/>
      <c r="F313" s="353"/>
    </row>
    <row r="314" spans="2:6">
      <c r="B314" s="353"/>
      <c r="C314" s="353"/>
      <c r="D314" s="353"/>
      <c r="E314" s="353"/>
      <c r="F314" s="353"/>
    </row>
    <row r="315" spans="2:6">
      <c r="B315" s="353"/>
      <c r="C315" s="353"/>
      <c r="D315" s="353"/>
      <c r="E315" s="353"/>
      <c r="F315" s="353"/>
    </row>
    <row r="316" spans="2:6">
      <c r="B316" s="353"/>
      <c r="C316" s="353"/>
      <c r="D316" s="353"/>
      <c r="E316" s="353"/>
      <c r="F316" s="353"/>
    </row>
    <row r="317" spans="2:6">
      <c r="B317" s="353"/>
      <c r="C317" s="353"/>
      <c r="D317" s="353"/>
      <c r="E317" s="353"/>
      <c r="F317" s="353"/>
    </row>
    <row r="318" spans="2:6">
      <c r="B318" s="353"/>
      <c r="C318" s="353"/>
      <c r="D318" s="353"/>
      <c r="E318" s="353"/>
      <c r="F318" s="353"/>
    </row>
    <row r="319" spans="2:6">
      <c r="B319" s="353"/>
      <c r="C319" s="353"/>
      <c r="D319" s="353"/>
      <c r="E319" s="353"/>
      <c r="F319" s="353"/>
    </row>
    <row r="320" spans="2:6">
      <c r="B320" s="353"/>
      <c r="C320" s="353"/>
      <c r="D320" s="353"/>
      <c r="E320" s="353"/>
      <c r="F320" s="353"/>
    </row>
    <row r="321" spans="2:6">
      <c r="B321" s="353"/>
      <c r="C321" s="353"/>
      <c r="D321" s="353"/>
      <c r="E321" s="353"/>
      <c r="F321" s="353"/>
    </row>
    <row r="322" spans="2:6">
      <c r="B322" s="353"/>
      <c r="C322" s="353"/>
      <c r="D322" s="353"/>
      <c r="E322" s="353"/>
      <c r="F322" s="353"/>
    </row>
    <row r="323" spans="2:6">
      <c r="B323" s="353"/>
      <c r="C323" s="353"/>
      <c r="D323" s="353"/>
      <c r="E323" s="353"/>
      <c r="F323" s="353"/>
    </row>
    <row r="324" spans="2:6">
      <c r="B324" s="353"/>
      <c r="C324" s="353"/>
      <c r="D324" s="353"/>
      <c r="E324" s="353"/>
      <c r="F324" s="353"/>
    </row>
    <row r="325" spans="2:6">
      <c r="B325" s="353"/>
      <c r="C325" s="353"/>
      <c r="D325" s="353"/>
      <c r="E325" s="353"/>
      <c r="F325" s="353"/>
    </row>
    <row r="326" spans="2:6">
      <c r="B326" s="353"/>
      <c r="C326" s="353"/>
      <c r="D326" s="353"/>
      <c r="E326" s="353"/>
      <c r="F326" s="353"/>
    </row>
    <row r="327" spans="2:6">
      <c r="B327" s="353"/>
      <c r="C327" s="353"/>
      <c r="D327" s="353"/>
      <c r="E327" s="353"/>
      <c r="F327" s="353"/>
    </row>
    <row r="328" spans="2:6">
      <c r="B328" s="353"/>
      <c r="C328" s="353"/>
      <c r="D328" s="353"/>
      <c r="E328" s="353"/>
      <c r="F328" s="353"/>
    </row>
    <row r="329" spans="2:6">
      <c r="B329" s="353"/>
      <c r="C329" s="353"/>
      <c r="D329" s="353"/>
      <c r="E329" s="353"/>
      <c r="F329" s="353"/>
    </row>
    <row r="330" spans="2:6">
      <c r="B330" s="353"/>
      <c r="C330" s="353"/>
      <c r="D330" s="353"/>
      <c r="E330" s="353"/>
      <c r="F330" s="353"/>
    </row>
    <row r="331" spans="2:6">
      <c r="B331" s="353"/>
      <c r="C331" s="353"/>
      <c r="D331" s="353"/>
      <c r="E331" s="353"/>
      <c r="F331" s="353"/>
    </row>
    <row r="332" spans="2:6">
      <c r="B332" s="353"/>
      <c r="C332" s="353"/>
      <c r="D332" s="353"/>
      <c r="E332" s="353"/>
      <c r="F332" s="353"/>
    </row>
    <row r="333" spans="2:6">
      <c r="B333" s="353"/>
      <c r="C333" s="353"/>
      <c r="D333" s="353"/>
      <c r="E333" s="353"/>
      <c r="F333" s="353"/>
    </row>
    <row r="334" spans="2:6">
      <c r="B334" s="353"/>
      <c r="C334" s="353"/>
      <c r="D334" s="353"/>
      <c r="E334" s="353"/>
      <c r="F334" s="353"/>
    </row>
    <row r="335" spans="2:6">
      <c r="B335" s="353"/>
      <c r="C335" s="353"/>
      <c r="D335" s="353"/>
      <c r="E335" s="353"/>
      <c r="F335" s="353"/>
    </row>
    <row r="336" spans="2:6">
      <c r="B336" s="353"/>
      <c r="C336" s="353"/>
      <c r="D336" s="353"/>
      <c r="E336" s="353"/>
      <c r="F336" s="353"/>
    </row>
    <row r="337" spans="2:6">
      <c r="B337" s="353"/>
      <c r="C337" s="353"/>
      <c r="D337" s="353"/>
      <c r="E337" s="353"/>
      <c r="F337" s="353"/>
    </row>
    <row r="338" spans="2:6">
      <c r="B338" s="353"/>
      <c r="C338" s="353"/>
      <c r="D338" s="353"/>
      <c r="E338" s="353"/>
      <c r="F338" s="353"/>
    </row>
    <row r="339" spans="2:6">
      <c r="B339" s="353"/>
      <c r="C339" s="353"/>
      <c r="D339" s="353"/>
      <c r="E339" s="353"/>
      <c r="F339" s="353"/>
    </row>
    <row r="340" spans="2:6">
      <c r="B340" s="353"/>
      <c r="C340" s="353"/>
      <c r="D340" s="353"/>
      <c r="E340" s="353"/>
      <c r="F340" s="353"/>
    </row>
    <row r="341" spans="2:6">
      <c r="B341" s="353"/>
      <c r="C341" s="353"/>
      <c r="D341" s="353"/>
      <c r="E341" s="353"/>
      <c r="F341" s="353"/>
    </row>
    <row r="342" spans="2:6">
      <c r="B342" s="353"/>
      <c r="C342" s="353"/>
      <c r="D342" s="353"/>
      <c r="E342" s="353"/>
      <c r="F342" s="353"/>
    </row>
    <row r="343" spans="2:6">
      <c r="B343" s="353"/>
      <c r="C343" s="353"/>
      <c r="D343" s="353"/>
      <c r="E343" s="353"/>
      <c r="F343" s="353"/>
    </row>
    <row r="344" spans="2:6">
      <c r="B344" s="353"/>
      <c r="C344" s="353"/>
      <c r="D344" s="353"/>
      <c r="E344" s="353"/>
      <c r="F344" s="353"/>
    </row>
    <row r="345" spans="2:6">
      <c r="B345" s="353"/>
      <c r="C345" s="353"/>
      <c r="D345" s="353"/>
      <c r="E345" s="353"/>
      <c r="F345" s="353"/>
    </row>
    <row r="346" spans="2:6">
      <c r="B346" s="353"/>
      <c r="C346" s="353"/>
      <c r="D346" s="353"/>
      <c r="E346" s="353"/>
      <c r="F346" s="353"/>
    </row>
    <row r="347" spans="2:6">
      <c r="B347" s="353"/>
      <c r="C347" s="353"/>
      <c r="D347" s="353"/>
      <c r="E347" s="353"/>
      <c r="F347" s="353"/>
    </row>
    <row r="348" spans="2:6">
      <c r="B348" s="353"/>
      <c r="C348" s="353"/>
      <c r="D348" s="353"/>
      <c r="E348" s="353"/>
      <c r="F348" s="353"/>
    </row>
    <row r="349" spans="2:6">
      <c r="B349" s="353"/>
      <c r="C349" s="353"/>
      <c r="D349" s="353"/>
      <c r="E349" s="353"/>
      <c r="F349" s="353"/>
    </row>
    <row r="350" spans="2:6">
      <c r="B350" s="353"/>
      <c r="C350" s="353"/>
      <c r="D350" s="353"/>
      <c r="E350" s="353"/>
      <c r="F350" s="353"/>
    </row>
    <row r="351" spans="2:6">
      <c r="B351" s="353"/>
      <c r="C351" s="353"/>
      <c r="D351" s="353"/>
      <c r="E351" s="353"/>
      <c r="F351" s="353"/>
    </row>
    <row r="352" spans="2:6">
      <c r="B352" s="353"/>
      <c r="C352" s="353"/>
      <c r="D352" s="353"/>
      <c r="E352" s="353"/>
      <c r="F352" s="353"/>
    </row>
    <row r="353" spans="2:6">
      <c r="B353" s="353"/>
      <c r="C353" s="353"/>
      <c r="D353" s="353"/>
      <c r="E353" s="353"/>
      <c r="F353" s="353"/>
    </row>
    <row r="354" spans="2:6">
      <c r="B354" s="353"/>
      <c r="C354" s="353"/>
      <c r="D354" s="353"/>
      <c r="E354" s="353"/>
      <c r="F354" s="353"/>
    </row>
    <row r="355" spans="2:6">
      <c r="B355" s="353"/>
      <c r="C355" s="353"/>
      <c r="D355" s="353"/>
      <c r="E355" s="353"/>
      <c r="F355" s="353"/>
    </row>
    <row r="356" spans="2:6">
      <c r="B356" s="353"/>
      <c r="C356" s="353"/>
      <c r="D356" s="353"/>
      <c r="E356" s="353"/>
      <c r="F356" s="353"/>
    </row>
    <row r="357" spans="2:6">
      <c r="B357" s="353"/>
      <c r="C357" s="353"/>
      <c r="D357" s="353"/>
      <c r="E357" s="353"/>
      <c r="F357" s="353"/>
    </row>
    <row r="358" spans="2:6">
      <c r="B358" s="353"/>
      <c r="C358" s="353"/>
      <c r="D358" s="353"/>
      <c r="E358" s="353"/>
      <c r="F358" s="353"/>
    </row>
    <row r="359" spans="2:6">
      <c r="B359" s="353"/>
      <c r="C359" s="353"/>
      <c r="D359" s="353"/>
      <c r="E359" s="353"/>
      <c r="F359" s="353"/>
    </row>
    <row r="360" spans="2:6">
      <c r="B360" s="353"/>
      <c r="C360" s="353"/>
      <c r="D360" s="353"/>
      <c r="E360" s="353"/>
      <c r="F360" s="353"/>
    </row>
    <row r="361" spans="2:6">
      <c r="B361" s="353"/>
      <c r="C361" s="353"/>
      <c r="D361" s="353"/>
      <c r="E361" s="353"/>
      <c r="F361" s="353"/>
    </row>
    <row r="362" spans="2:6">
      <c r="B362" s="353"/>
      <c r="C362" s="353"/>
      <c r="D362" s="353"/>
      <c r="E362" s="353"/>
      <c r="F362" s="353"/>
    </row>
    <row r="363" spans="2:6">
      <c r="B363" s="353"/>
      <c r="C363" s="353"/>
      <c r="D363" s="353"/>
      <c r="E363" s="353"/>
      <c r="F363" s="353"/>
    </row>
    <row r="364" spans="2:6">
      <c r="B364" s="353"/>
      <c r="C364" s="353"/>
      <c r="D364" s="353"/>
      <c r="E364" s="353"/>
      <c r="F364" s="353"/>
    </row>
    <row r="365" spans="2:6">
      <c r="B365" s="353"/>
      <c r="C365" s="353"/>
      <c r="D365" s="353"/>
      <c r="E365" s="353"/>
      <c r="F365" s="353"/>
    </row>
    <row r="366" spans="2:6">
      <c r="B366" s="353"/>
      <c r="C366" s="353"/>
      <c r="D366" s="353"/>
      <c r="E366" s="353"/>
      <c r="F366" s="353"/>
    </row>
    <row r="367" spans="2:6">
      <c r="B367" s="353"/>
      <c r="C367" s="353"/>
      <c r="D367" s="353"/>
      <c r="E367" s="353"/>
      <c r="F367" s="353"/>
    </row>
    <row r="368" spans="2:6">
      <c r="B368" s="353"/>
      <c r="C368" s="353"/>
      <c r="D368" s="353"/>
      <c r="E368" s="353"/>
      <c r="F368" s="353"/>
    </row>
    <row r="369" spans="2:6">
      <c r="B369" s="353"/>
      <c r="C369" s="353"/>
      <c r="D369" s="353"/>
      <c r="E369" s="353"/>
      <c r="F369" s="353"/>
    </row>
    <row r="370" spans="2:6">
      <c r="B370" s="353"/>
      <c r="C370" s="353"/>
      <c r="D370" s="353"/>
      <c r="E370" s="353"/>
      <c r="F370" s="353"/>
    </row>
    <row r="371" spans="2:6">
      <c r="B371" s="353"/>
      <c r="C371" s="353"/>
      <c r="D371" s="353"/>
      <c r="E371" s="353"/>
      <c r="F371" s="353"/>
    </row>
    <row r="372" spans="2:6">
      <c r="B372" s="353"/>
      <c r="C372" s="353"/>
      <c r="D372" s="353"/>
      <c r="E372" s="353"/>
      <c r="F372" s="353"/>
    </row>
    <row r="373" spans="2:6">
      <c r="B373" s="353"/>
      <c r="C373" s="353"/>
      <c r="D373" s="353"/>
      <c r="E373" s="353"/>
      <c r="F373" s="353"/>
    </row>
    <row r="374" spans="2:6">
      <c r="B374" s="353"/>
      <c r="C374" s="353"/>
      <c r="D374" s="353"/>
      <c r="E374" s="353"/>
      <c r="F374" s="353"/>
    </row>
    <row r="375" spans="2:6">
      <c r="B375" s="353"/>
      <c r="C375" s="353"/>
      <c r="D375" s="353"/>
      <c r="E375" s="353"/>
      <c r="F375" s="353"/>
    </row>
    <row r="376" spans="2:6">
      <c r="B376" s="353"/>
      <c r="C376" s="353"/>
      <c r="D376" s="353"/>
      <c r="E376" s="353"/>
      <c r="F376" s="353"/>
    </row>
    <row r="377" spans="2:6">
      <c r="B377" s="353"/>
      <c r="C377" s="353"/>
      <c r="D377" s="353"/>
      <c r="E377" s="353"/>
      <c r="F377" s="353"/>
    </row>
    <row r="378" spans="2:6">
      <c r="B378" s="353"/>
      <c r="C378" s="353"/>
      <c r="D378" s="353"/>
      <c r="E378" s="353"/>
      <c r="F378" s="353"/>
    </row>
    <row r="379" spans="2:6">
      <c r="B379" s="353"/>
      <c r="C379" s="353"/>
      <c r="D379" s="353"/>
      <c r="E379" s="353"/>
      <c r="F379" s="353"/>
    </row>
    <row r="380" spans="2:6">
      <c r="B380" s="353"/>
      <c r="C380" s="353"/>
      <c r="D380" s="353"/>
      <c r="E380" s="353"/>
      <c r="F380" s="353"/>
    </row>
    <row r="381" spans="2:6">
      <c r="B381" s="353"/>
      <c r="C381" s="353"/>
      <c r="D381" s="353"/>
      <c r="E381" s="353"/>
      <c r="F381" s="353"/>
    </row>
    <row r="382" spans="2:6">
      <c r="B382" s="353"/>
      <c r="C382" s="353"/>
      <c r="D382" s="353"/>
      <c r="E382" s="353"/>
      <c r="F382" s="353"/>
    </row>
    <row r="383" spans="2:6">
      <c r="B383" s="353"/>
      <c r="C383" s="353"/>
      <c r="D383" s="353"/>
      <c r="E383" s="353"/>
      <c r="F383" s="353"/>
    </row>
    <row r="384" spans="2:6">
      <c r="B384" s="353"/>
      <c r="C384" s="353"/>
      <c r="D384" s="353"/>
      <c r="E384" s="353"/>
      <c r="F384" s="353"/>
    </row>
    <row r="385" spans="2:6">
      <c r="B385" s="353"/>
      <c r="C385" s="353"/>
      <c r="D385" s="353"/>
      <c r="E385" s="353"/>
      <c r="F385" s="353"/>
    </row>
    <row r="386" spans="2:6">
      <c r="B386" s="353"/>
      <c r="C386" s="353"/>
      <c r="D386" s="353"/>
      <c r="E386" s="353"/>
      <c r="F386" s="353"/>
    </row>
    <row r="387" spans="2:6">
      <c r="B387" s="353"/>
      <c r="C387" s="353"/>
      <c r="D387" s="353"/>
      <c r="E387" s="353"/>
      <c r="F387" s="353"/>
    </row>
    <row r="388" spans="2:6">
      <c r="B388" s="353"/>
      <c r="C388" s="353"/>
      <c r="D388" s="353"/>
      <c r="E388" s="353"/>
      <c r="F388" s="353"/>
    </row>
    <row r="389" spans="2:6">
      <c r="B389" s="353"/>
      <c r="C389" s="353"/>
      <c r="D389" s="353"/>
      <c r="E389" s="353"/>
      <c r="F389" s="353"/>
    </row>
    <row r="390" spans="2:6">
      <c r="B390" s="353"/>
      <c r="C390" s="353"/>
      <c r="D390" s="353"/>
      <c r="E390" s="353"/>
      <c r="F390" s="353"/>
    </row>
    <row r="391" spans="2:6">
      <c r="B391" s="353"/>
      <c r="C391" s="353"/>
      <c r="D391" s="353"/>
      <c r="E391" s="353"/>
      <c r="F391" s="353"/>
    </row>
    <row r="392" spans="2:6">
      <c r="B392" s="353"/>
      <c r="C392" s="353"/>
      <c r="D392" s="353"/>
      <c r="E392" s="353"/>
      <c r="F392" s="353"/>
    </row>
    <row r="393" spans="2:6">
      <c r="B393" s="353"/>
      <c r="C393" s="353"/>
      <c r="D393" s="353"/>
      <c r="E393" s="353"/>
      <c r="F393" s="353"/>
    </row>
    <row r="394" spans="2:6">
      <c r="B394" s="353"/>
      <c r="C394" s="353"/>
      <c r="D394" s="353"/>
      <c r="E394" s="353"/>
      <c r="F394" s="353"/>
    </row>
    <row r="395" spans="2:6">
      <c r="B395" s="353"/>
      <c r="C395" s="353"/>
      <c r="D395" s="353"/>
      <c r="E395" s="353"/>
      <c r="F395" s="353"/>
    </row>
    <row r="396" spans="2:6">
      <c r="B396" s="353"/>
      <c r="C396" s="353"/>
      <c r="D396" s="353"/>
      <c r="E396" s="353"/>
      <c r="F396" s="353"/>
    </row>
    <row r="397" spans="2:6">
      <c r="B397" s="353"/>
      <c r="C397" s="353"/>
      <c r="D397" s="353"/>
      <c r="E397" s="353"/>
      <c r="F397" s="353"/>
    </row>
    <row r="398" spans="2:6">
      <c r="B398" s="353"/>
      <c r="C398" s="353"/>
      <c r="D398" s="353"/>
      <c r="E398" s="353"/>
      <c r="F398" s="353"/>
    </row>
    <row r="399" spans="2:6">
      <c r="B399" s="353"/>
      <c r="C399" s="353"/>
      <c r="D399" s="353"/>
      <c r="E399" s="353"/>
      <c r="F399" s="353"/>
    </row>
    <row r="400" spans="2:6">
      <c r="B400" s="353"/>
      <c r="C400" s="353"/>
      <c r="D400" s="353"/>
      <c r="E400" s="353"/>
      <c r="F400" s="353"/>
    </row>
    <row r="401" spans="2:6">
      <c r="B401" s="353"/>
      <c r="C401" s="353"/>
      <c r="D401" s="353"/>
      <c r="E401" s="353"/>
      <c r="F401" s="353"/>
    </row>
    <row r="402" spans="2:6">
      <c r="B402" s="353"/>
      <c r="C402" s="353"/>
      <c r="D402" s="353"/>
      <c r="E402" s="353"/>
      <c r="F402" s="353"/>
    </row>
    <row r="403" spans="2:6">
      <c r="B403" s="353"/>
      <c r="C403" s="353"/>
      <c r="D403" s="353"/>
      <c r="E403" s="353"/>
      <c r="F403" s="353"/>
    </row>
    <row r="404" spans="2:6">
      <c r="B404" s="353"/>
      <c r="C404" s="353"/>
      <c r="D404" s="353"/>
      <c r="E404" s="353"/>
      <c r="F404" s="353"/>
    </row>
    <row r="405" spans="2:6">
      <c r="B405" s="353"/>
      <c r="C405" s="353"/>
      <c r="D405" s="353"/>
      <c r="E405" s="353"/>
      <c r="F405" s="353"/>
    </row>
    <row r="406" spans="2:6">
      <c r="B406" s="353"/>
      <c r="C406" s="353"/>
      <c r="D406" s="353"/>
      <c r="E406" s="353"/>
      <c r="F406" s="353"/>
    </row>
    <row r="407" spans="2:6">
      <c r="B407" s="353"/>
      <c r="C407" s="353"/>
      <c r="D407" s="353"/>
      <c r="E407" s="353"/>
      <c r="F407" s="353"/>
    </row>
    <row r="408" spans="2:6">
      <c r="B408" s="353"/>
      <c r="C408" s="353"/>
      <c r="D408" s="353"/>
      <c r="E408" s="353"/>
      <c r="F408" s="353"/>
    </row>
    <row r="409" spans="2:6">
      <c r="B409" s="353"/>
      <c r="C409" s="353"/>
      <c r="D409" s="353"/>
      <c r="E409" s="353"/>
      <c r="F409" s="353"/>
    </row>
    <row r="410" spans="2:6">
      <c r="B410" s="353"/>
      <c r="C410" s="353"/>
      <c r="D410" s="353"/>
      <c r="E410" s="353"/>
      <c r="F410" s="353"/>
    </row>
    <row r="411" spans="2:6">
      <c r="B411" s="353"/>
      <c r="C411" s="353"/>
      <c r="D411" s="353"/>
      <c r="E411" s="353"/>
      <c r="F411" s="353"/>
    </row>
    <row r="412" spans="2:6">
      <c r="B412" s="353"/>
      <c r="C412" s="353"/>
      <c r="D412" s="353"/>
      <c r="E412" s="353"/>
      <c r="F412" s="353"/>
    </row>
    <row r="413" spans="2:6">
      <c r="B413" s="353"/>
      <c r="C413" s="353"/>
      <c r="D413" s="353"/>
      <c r="E413" s="353"/>
      <c r="F413" s="353"/>
    </row>
    <row r="414" spans="2:6">
      <c r="B414" s="353"/>
      <c r="C414" s="353"/>
      <c r="D414" s="353"/>
      <c r="E414" s="353"/>
      <c r="F414" s="353"/>
    </row>
    <row r="415" spans="2:6">
      <c r="B415" s="353"/>
      <c r="C415" s="353"/>
      <c r="D415" s="353"/>
      <c r="E415" s="353"/>
      <c r="F415" s="353"/>
    </row>
    <row r="416" spans="2:6">
      <c r="B416" s="353"/>
      <c r="C416" s="353"/>
      <c r="D416" s="353"/>
      <c r="E416" s="353"/>
      <c r="F416" s="353"/>
    </row>
    <row r="417" spans="2:6">
      <c r="B417" s="353"/>
      <c r="C417" s="353"/>
      <c r="D417" s="353"/>
      <c r="E417" s="353"/>
      <c r="F417" s="353"/>
    </row>
    <row r="418" spans="2:6">
      <c r="B418" s="353"/>
      <c r="C418" s="353"/>
      <c r="D418" s="353"/>
      <c r="E418" s="353"/>
      <c r="F418" s="353"/>
    </row>
    <row r="419" spans="2:6">
      <c r="B419" s="353"/>
      <c r="C419" s="353"/>
      <c r="D419" s="353"/>
      <c r="E419" s="353"/>
      <c r="F419" s="353"/>
    </row>
    <row r="420" spans="2:6">
      <c r="B420" s="353"/>
      <c r="C420" s="353"/>
      <c r="D420" s="353"/>
      <c r="E420" s="353"/>
      <c r="F420" s="353"/>
    </row>
    <row r="421" spans="2:6">
      <c r="B421" s="353"/>
      <c r="C421" s="353"/>
      <c r="D421" s="353"/>
      <c r="E421" s="353"/>
      <c r="F421" s="353"/>
    </row>
    <row r="422" spans="2:6">
      <c r="B422" s="353"/>
      <c r="C422" s="353"/>
      <c r="D422" s="353"/>
      <c r="E422" s="353"/>
      <c r="F422" s="353"/>
    </row>
    <row r="423" spans="2:6">
      <c r="B423" s="353"/>
      <c r="C423" s="353"/>
      <c r="D423" s="353"/>
      <c r="E423" s="353"/>
      <c r="F423" s="353"/>
    </row>
    <row r="424" spans="2:6">
      <c r="B424" s="353"/>
      <c r="C424" s="353"/>
      <c r="D424" s="353"/>
      <c r="E424" s="353"/>
      <c r="F424" s="353"/>
    </row>
    <row r="425" spans="2:6">
      <c r="B425" s="353"/>
      <c r="C425" s="353"/>
      <c r="D425" s="353"/>
      <c r="E425" s="353"/>
      <c r="F425" s="353"/>
    </row>
    <row r="426" spans="2:6">
      <c r="B426" s="353"/>
      <c r="C426" s="353"/>
      <c r="D426" s="353"/>
      <c r="E426" s="353"/>
      <c r="F426" s="353"/>
    </row>
    <row r="427" spans="2:6">
      <c r="B427" s="353"/>
      <c r="C427" s="353"/>
      <c r="D427" s="353"/>
      <c r="E427" s="353"/>
      <c r="F427" s="353"/>
    </row>
    <row r="428" spans="2:6">
      <c r="B428" s="353"/>
      <c r="C428" s="353"/>
      <c r="D428" s="353"/>
      <c r="E428" s="353"/>
      <c r="F428" s="353"/>
    </row>
    <row r="429" spans="2:6">
      <c r="B429" s="353"/>
      <c r="C429" s="353"/>
      <c r="D429" s="353"/>
      <c r="E429" s="353"/>
      <c r="F429" s="353"/>
    </row>
    <row r="430" spans="2:6">
      <c r="B430" s="353"/>
      <c r="C430" s="353"/>
      <c r="D430" s="353"/>
      <c r="E430" s="353"/>
      <c r="F430" s="353"/>
    </row>
    <row r="431" spans="2:6">
      <c r="B431" s="353"/>
      <c r="C431" s="353"/>
      <c r="D431" s="353"/>
      <c r="E431" s="353"/>
      <c r="F431" s="353"/>
    </row>
    <row r="432" spans="2:6">
      <c r="B432" s="353"/>
      <c r="C432" s="353"/>
      <c r="D432" s="353"/>
      <c r="E432" s="353"/>
      <c r="F432" s="353"/>
    </row>
    <row r="433" spans="2:6">
      <c r="B433" s="353"/>
      <c r="C433" s="353"/>
      <c r="D433" s="353"/>
      <c r="E433" s="353"/>
      <c r="F433" s="353"/>
    </row>
    <row r="434" spans="2:6">
      <c r="B434" s="353"/>
      <c r="C434" s="353"/>
      <c r="D434" s="353"/>
      <c r="E434" s="353"/>
      <c r="F434" s="353"/>
    </row>
    <row r="435" spans="2:6">
      <c r="B435" s="353"/>
      <c r="C435" s="353"/>
      <c r="D435" s="353"/>
      <c r="E435" s="353"/>
      <c r="F435" s="353"/>
    </row>
    <row r="436" spans="2:6">
      <c r="B436" s="353"/>
      <c r="C436" s="353"/>
      <c r="D436" s="353"/>
      <c r="E436" s="353"/>
      <c r="F436" s="353"/>
    </row>
    <row r="437" spans="2:6">
      <c r="B437" s="353"/>
      <c r="C437" s="353"/>
      <c r="D437" s="353"/>
      <c r="E437" s="353"/>
      <c r="F437" s="353"/>
    </row>
    <row r="438" spans="2:6">
      <c r="B438" s="353"/>
      <c r="C438" s="353"/>
      <c r="D438" s="353"/>
      <c r="E438" s="353"/>
      <c r="F438" s="353"/>
    </row>
    <row r="439" spans="2:6">
      <c r="B439" s="353"/>
      <c r="C439" s="353"/>
      <c r="D439" s="353"/>
      <c r="E439" s="353"/>
      <c r="F439" s="353"/>
    </row>
    <row r="440" spans="2:6">
      <c r="B440" s="353"/>
      <c r="C440" s="353"/>
      <c r="D440" s="353"/>
      <c r="E440" s="353"/>
      <c r="F440" s="353"/>
    </row>
    <row r="441" spans="2:6">
      <c r="B441" s="353"/>
      <c r="C441" s="353"/>
      <c r="D441" s="353"/>
      <c r="E441" s="353"/>
      <c r="F441" s="353"/>
    </row>
    <row r="442" spans="2:6">
      <c r="B442" s="353"/>
      <c r="C442" s="353"/>
      <c r="D442" s="353"/>
      <c r="E442" s="353"/>
      <c r="F442" s="353"/>
    </row>
    <row r="443" spans="2:6">
      <c r="B443" s="353"/>
      <c r="C443" s="353"/>
      <c r="D443" s="353"/>
      <c r="E443" s="353"/>
      <c r="F443" s="353"/>
    </row>
    <row r="444" spans="2:6">
      <c r="B444" s="353"/>
      <c r="C444" s="353"/>
      <c r="D444" s="353"/>
      <c r="E444" s="353"/>
      <c r="F444" s="353"/>
    </row>
    <row r="445" spans="2:6">
      <c r="B445" s="353"/>
      <c r="C445" s="353"/>
      <c r="D445" s="353"/>
      <c r="E445" s="353"/>
      <c r="F445" s="353"/>
    </row>
    <row r="446" spans="2:6">
      <c r="B446" s="353"/>
      <c r="C446" s="353"/>
      <c r="D446" s="353"/>
      <c r="E446" s="353"/>
      <c r="F446" s="353"/>
    </row>
    <row r="447" spans="2:6">
      <c r="B447" s="353"/>
      <c r="C447" s="353"/>
      <c r="D447" s="353"/>
      <c r="E447" s="353"/>
      <c r="F447" s="353"/>
    </row>
    <row r="448" spans="2:6">
      <c r="B448" s="353"/>
      <c r="C448" s="353"/>
      <c r="D448" s="353"/>
      <c r="E448" s="353"/>
      <c r="F448" s="353"/>
    </row>
    <row r="449" spans="2:6">
      <c r="B449" s="353"/>
      <c r="C449" s="353"/>
      <c r="D449" s="353"/>
      <c r="E449" s="353"/>
      <c r="F449" s="353"/>
    </row>
    <row r="450" spans="2:6">
      <c r="B450" s="353"/>
      <c r="C450" s="353"/>
      <c r="D450" s="353"/>
      <c r="E450" s="353"/>
      <c r="F450" s="353"/>
    </row>
    <row r="451" spans="2:6">
      <c r="B451" s="353"/>
      <c r="C451" s="353"/>
      <c r="D451" s="353"/>
      <c r="E451" s="353"/>
      <c r="F451" s="353"/>
    </row>
    <row r="452" spans="2:6">
      <c r="B452" s="353"/>
      <c r="C452" s="353"/>
      <c r="D452" s="353"/>
      <c r="E452" s="353"/>
      <c r="F452" s="353"/>
    </row>
    <row r="453" spans="2:6">
      <c r="B453" s="353"/>
      <c r="C453" s="353"/>
      <c r="D453" s="353"/>
      <c r="E453" s="353"/>
      <c r="F453" s="353"/>
    </row>
    <row r="454" spans="2:6">
      <c r="B454" s="353"/>
      <c r="C454" s="353"/>
      <c r="D454" s="353"/>
      <c r="E454" s="353"/>
      <c r="F454" s="353"/>
    </row>
    <row r="455" spans="2:6">
      <c r="B455" s="353"/>
      <c r="C455" s="353"/>
      <c r="D455" s="353"/>
      <c r="E455" s="353"/>
      <c r="F455" s="353"/>
    </row>
    <row r="456" spans="2:6">
      <c r="B456" s="353"/>
      <c r="C456" s="353"/>
      <c r="D456" s="353"/>
      <c r="E456" s="353"/>
      <c r="F456" s="353"/>
    </row>
    <row r="457" spans="2:6">
      <c r="B457" s="353"/>
      <c r="C457" s="353"/>
      <c r="D457" s="353"/>
      <c r="E457" s="353"/>
      <c r="F457" s="353"/>
    </row>
    <row r="458" spans="2:6">
      <c r="B458" s="353"/>
      <c r="C458" s="353"/>
      <c r="D458" s="353"/>
      <c r="E458" s="353"/>
      <c r="F458" s="353"/>
    </row>
    <row r="459" spans="2:6">
      <c r="B459" s="353"/>
      <c r="C459" s="353"/>
      <c r="D459" s="353"/>
      <c r="E459" s="353"/>
      <c r="F459" s="353"/>
    </row>
    <row r="460" spans="2:6">
      <c r="B460" s="353"/>
      <c r="C460" s="353"/>
      <c r="D460" s="353"/>
      <c r="E460" s="353"/>
      <c r="F460" s="353"/>
    </row>
    <row r="461" spans="2:6">
      <c r="B461" s="353"/>
      <c r="C461" s="353"/>
      <c r="D461" s="353"/>
      <c r="E461" s="353"/>
      <c r="F461" s="353"/>
    </row>
    <row r="462" spans="2:6">
      <c r="B462" s="353"/>
      <c r="C462" s="353"/>
      <c r="D462" s="353"/>
      <c r="E462" s="353"/>
      <c r="F462" s="353"/>
    </row>
    <row r="463" spans="2:6">
      <c r="B463" s="353"/>
      <c r="C463" s="353"/>
      <c r="D463" s="353"/>
      <c r="E463" s="353"/>
      <c r="F463" s="353"/>
    </row>
    <row r="464" spans="2:6">
      <c r="B464" s="353"/>
      <c r="C464" s="353"/>
      <c r="D464" s="353"/>
      <c r="E464" s="353"/>
      <c r="F464" s="353"/>
    </row>
    <row r="465" spans="2:6">
      <c r="B465" s="353"/>
      <c r="C465" s="353"/>
      <c r="D465" s="353"/>
      <c r="E465" s="353"/>
      <c r="F465" s="353"/>
    </row>
    <row r="466" spans="2:6">
      <c r="B466" s="353"/>
      <c r="C466" s="353"/>
      <c r="D466" s="353"/>
      <c r="E466" s="353"/>
      <c r="F466" s="353"/>
    </row>
    <row r="467" spans="2:6">
      <c r="B467" s="353"/>
      <c r="C467" s="353"/>
      <c r="D467" s="353"/>
      <c r="E467" s="353"/>
      <c r="F467" s="353"/>
    </row>
    <row r="468" spans="2:6">
      <c r="B468" s="353"/>
      <c r="C468" s="353"/>
      <c r="D468" s="353"/>
      <c r="E468" s="353"/>
      <c r="F468" s="353"/>
    </row>
    <row r="469" spans="2:6">
      <c r="B469" s="353"/>
      <c r="C469" s="353"/>
      <c r="D469" s="353"/>
      <c r="E469" s="353"/>
      <c r="F469" s="353"/>
    </row>
    <row r="470" spans="2:6">
      <c r="B470" s="353"/>
      <c r="C470" s="353"/>
      <c r="D470" s="353"/>
      <c r="E470" s="353"/>
      <c r="F470" s="353"/>
    </row>
    <row r="471" spans="2:6">
      <c r="B471" s="353"/>
      <c r="C471" s="353"/>
      <c r="D471" s="353"/>
      <c r="E471" s="353"/>
      <c r="F471" s="353"/>
    </row>
    <row r="472" spans="2:6">
      <c r="B472" s="353"/>
      <c r="C472" s="353"/>
      <c r="D472" s="353"/>
      <c r="E472" s="353"/>
      <c r="F472" s="353"/>
    </row>
    <row r="473" spans="2:6">
      <c r="B473" s="353"/>
      <c r="C473" s="353"/>
      <c r="D473" s="353"/>
      <c r="E473" s="353"/>
      <c r="F473" s="353"/>
    </row>
    <row r="474" spans="2:6">
      <c r="B474" s="353"/>
      <c r="C474" s="353"/>
      <c r="D474" s="353"/>
      <c r="E474" s="353"/>
      <c r="F474" s="353"/>
    </row>
    <row r="475" spans="2:6">
      <c r="B475" s="353"/>
      <c r="C475" s="353"/>
      <c r="D475" s="353"/>
      <c r="E475" s="353"/>
      <c r="F475" s="353"/>
    </row>
    <row r="476" spans="2:6">
      <c r="B476" s="353"/>
      <c r="C476" s="353"/>
      <c r="D476" s="353"/>
      <c r="E476" s="353"/>
      <c r="F476" s="353"/>
    </row>
    <row r="477" spans="2:6">
      <c r="B477" s="353"/>
      <c r="C477" s="353"/>
      <c r="D477" s="353"/>
      <c r="E477" s="353"/>
      <c r="F477" s="353"/>
    </row>
    <row r="478" spans="2:6">
      <c r="B478" s="353"/>
      <c r="C478" s="353"/>
      <c r="D478" s="353"/>
      <c r="E478" s="353"/>
      <c r="F478" s="353"/>
    </row>
    <row r="479" spans="2:6">
      <c r="B479" s="353"/>
      <c r="C479" s="353"/>
      <c r="D479" s="353"/>
      <c r="E479" s="353"/>
      <c r="F479" s="353"/>
    </row>
    <row r="480" spans="2:6">
      <c r="B480" s="353"/>
      <c r="C480" s="353"/>
      <c r="D480" s="353"/>
      <c r="E480" s="353"/>
      <c r="F480" s="353"/>
    </row>
    <row r="481" spans="2:6">
      <c r="B481" s="353"/>
      <c r="C481" s="353"/>
      <c r="D481" s="353"/>
      <c r="E481" s="353"/>
      <c r="F481" s="353"/>
    </row>
    <row r="482" spans="2:6">
      <c r="B482" s="353"/>
      <c r="C482" s="353"/>
      <c r="D482" s="353"/>
      <c r="E482" s="353"/>
      <c r="F482" s="353"/>
    </row>
    <row r="483" spans="2:6">
      <c r="B483" s="353"/>
      <c r="C483" s="353"/>
      <c r="D483" s="353"/>
      <c r="E483" s="353"/>
      <c r="F483" s="353"/>
    </row>
    <row r="484" spans="2:6">
      <c r="B484" s="353"/>
      <c r="C484" s="353"/>
      <c r="D484" s="353"/>
      <c r="E484" s="353"/>
      <c r="F484" s="353"/>
    </row>
    <row r="485" spans="2:6">
      <c r="B485" s="353"/>
      <c r="C485" s="353"/>
      <c r="D485" s="353"/>
      <c r="E485" s="353"/>
      <c r="F485" s="353"/>
    </row>
    <row r="486" spans="2:6">
      <c r="B486" s="353"/>
      <c r="C486" s="353"/>
      <c r="D486" s="353"/>
      <c r="E486" s="353"/>
      <c r="F486" s="353"/>
    </row>
    <row r="487" spans="2:6">
      <c r="B487" s="353"/>
      <c r="C487" s="353"/>
      <c r="D487" s="353"/>
      <c r="E487" s="353"/>
      <c r="F487" s="353"/>
    </row>
    <row r="488" spans="2:6">
      <c r="B488" s="353"/>
      <c r="C488" s="353"/>
      <c r="D488" s="353"/>
      <c r="E488" s="353"/>
      <c r="F488" s="353"/>
    </row>
    <row r="489" spans="2:6">
      <c r="B489" s="353"/>
      <c r="C489" s="353"/>
      <c r="D489" s="353"/>
      <c r="E489" s="353"/>
      <c r="F489" s="353"/>
    </row>
    <row r="490" spans="2:6">
      <c r="B490" s="353"/>
      <c r="C490" s="353"/>
      <c r="D490" s="353"/>
      <c r="E490" s="353"/>
      <c r="F490" s="353"/>
    </row>
    <row r="491" spans="2:6">
      <c r="B491" s="353"/>
      <c r="C491" s="353"/>
      <c r="D491" s="353"/>
      <c r="E491" s="353"/>
      <c r="F491" s="353"/>
    </row>
    <row r="492" spans="2:6">
      <c r="B492" s="353"/>
      <c r="C492" s="353"/>
      <c r="D492" s="353"/>
      <c r="E492" s="353"/>
      <c r="F492" s="353"/>
    </row>
    <row r="493" spans="2:6">
      <c r="B493" s="353"/>
      <c r="C493" s="353"/>
      <c r="D493" s="353"/>
      <c r="E493" s="353"/>
      <c r="F493" s="353"/>
    </row>
    <row r="494" spans="2:6">
      <c r="B494" s="353"/>
      <c r="C494" s="353"/>
      <c r="D494" s="353"/>
      <c r="E494" s="353"/>
      <c r="F494" s="353"/>
    </row>
    <row r="495" spans="2:6">
      <c r="B495" s="353"/>
      <c r="C495" s="353"/>
      <c r="D495" s="353"/>
      <c r="E495" s="353"/>
      <c r="F495" s="353"/>
    </row>
    <row r="496" spans="2:6">
      <c r="B496" s="353"/>
      <c r="C496" s="353"/>
      <c r="D496" s="353"/>
      <c r="E496" s="353"/>
      <c r="F496" s="353"/>
    </row>
    <row r="497" spans="2:6">
      <c r="B497" s="353"/>
      <c r="C497" s="353"/>
      <c r="D497" s="353"/>
      <c r="E497" s="353"/>
      <c r="F497" s="353"/>
    </row>
    <row r="498" spans="2:6">
      <c r="B498" s="353"/>
      <c r="C498" s="353"/>
      <c r="D498" s="353"/>
      <c r="E498" s="353"/>
      <c r="F498" s="353"/>
    </row>
    <row r="499" spans="2:6">
      <c r="B499" s="353"/>
      <c r="C499" s="353"/>
      <c r="D499" s="353"/>
      <c r="E499" s="353"/>
      <c r="F499" s="353"/>
    </row>
    <row r="500" spans="2:6">
      <c r="B500" s="353"/>
      <c r="C500" s="353"/>
      <c r="D500" s="353"/>
      <c r="E500" s="353"/>
      <c r="F500" s="353"/>
    </row>
    <row r="501" spans="2:6">
      <c r="B501" s="353"/>
      <c r="C501" s="353"/>
      <c r="D501" s="353"/>
      <c r="E501" s="353"/>
      <c r="F501" s="353"/>
    </row>
    <row r="502" spans="2:6">
      <c r="B502" s="353"/>
      <c r="C502" s="353"/>
      <c r="D502" s="353"/>
      <c r="E502" s="353"/>
      <c r="F502" s="353"/>
    </row>
    <row r="503" spans="2:6">
      <c r="B503" s="353"/>
      <c r="C503" s="353"/>
      <c r="D503" s="353"/>
      <c r="E503" s="353"/>
      <c r="F503" s="353"/>
    </row>
    <row r="504" spans="2:6">
      <c r="B504" s="353"/>
      <c r="C504" s="353"/>
      <c r="D504" s="353"/>
      <c r="E504" s="353"/>
      <c r="F504" s="353"/>
    </row>
    <row r="505" spans="2:6">
      <c r="B505" s="353"/>
      <c r="C505" s="353"/>
      <c r="D505" s="353"/>
      <c r="E505" s="353"/>
      <c r="F505" s="353"/>
    </row>
    <row r="506" spans="2:6">
      <c r="B506" s="353"/>
      <c r="C506" s="353"/>
      <c r="D506" s="353"/>
      <c r="E506" s="353"/>
      <c r="F506" s="353"/>
    </row>
    <row r="507" spans="2:6">
      <c r="B507" s="353"/>
      <c r="C507" s="353"/>
      <c r="D507" s="353"/>
      <c r="E507" s="353"/>
      <c r="F507" s="353"/>
    </row>
    <row r="508" spans="2:6">
      <c r="B508" s="353"/>
      <c r="C508" s="353"/>
      <c r="D508" s="353"/>
      <c r="E508" s="353"/>
      <c r="F508" s="353"/>
    </row>
    <row r="509" spans="2:6">
      <c r="B509" s="353"/>
      <c r="C509" s="353"/>
      <c r="D509" s="353"/>
      <c r="E509" s="353"/>
      <c r="F509" s="353"/>
    </row>
    <row r="510" spans="2:6">
      <c r="B510" s="353"/>
      <c r="C510" s="353"/>
      <c r="D510" s="353"/>
      <c r="E510" s="353"/>
      <c r="F510" s="353"/>
    </row>
    <row r="511" spans="2:6">
      <c r="B511" s="353"/>
      <c r="C511" s="353"/>
      <c r="D511" s="353"/>
      <c r="E511" s="353"/>
      <c r="F511" s="353"/>
    </row>
    <row r="512" spans="2:6">
      <c r="B512" s="353"/>
      <c r="C512" s="353"/>
      <c r="D512" s="353"/>
      <c r="E512" s="353"/>
      <c r="F512" s="353"/>
    </row>
    <row r="513" spans="2:6">
      <c r="B513" s="353"/>
      <c r="C513" s="353"/>
      <c r="D513" s="353"/>
      <c r="E513" s="353"/>
      <c r="F513" s="353"/>
    </row>
    <row r="514" spans="2:6">
      <c r="B514" s="353"/>
      <c r="C514" s="353"/>
      <c r="D514" s="353"/>
      <c r="E514" s="353"/>
      <c r="F514" s="353"/>
    </row>
    <row r="515" spans="2:6">
      <c r="B515" s="353"/>
      <c r="C515" s="353"/>
      <c r="D515" s="353"/>
      <c r="E515" s="353"/>
      <c r="F515" s="353"/>
    </row>
    <row r="516" spans="2:6">
      <c r="B516" s="353"/>
      <c r="C516" s="353"/>
      <c r="D516" s="353"/>
      <c r="E516" s="353"/>
      <c r="F516" s="353"/>
    </row>
    <row r="517" spans="2:6">
      <c r="B517" s="353"/>
      <c r="C517" s="353"/>
      <c r="D517" s="353"/>
      <c r="E517" s="353"/>
      <c r="F517" s="353"/>
    </row>
    <row r="518" spans="2:6">
      <c r="B518" s="353"/>
      <c r="C518" s="353"/>
      <c r="D518" s="353"/>
      <c r="E518" s="353"/>
      <c r="F518" s="353"/>
    </row>
    <row r="519" spans="2:6">
      <c r="B519" s="353"/>
      <c r="C519" s="353"/>
      <c r="D519" s="353"/>
      <c r="E519" s="353"/>
      <c r="F519" s="353"/>
    </row>
    <row r="520" spans="2:6">
      <c r="B520" s="353"/>
      <c r="C520" s="353"/>
      <c r="D520" s="353"/>
      <c r="E520" s="353"/>
      <c r="F520" s="353"/>
    </row>
    <row r="521" spans="2:6">
      <c r="B521" s="353"/>
      <c r="C521" s="353"/>
      <c r="D521" s="353"/>
      <c r="E521" s="353"/>
      <c r="F521" s="353"/>
    </row>
    <row r="522" spans="2:6">
      <c r="B522" s="353"/>
      <c r="C522" s="353"/>
      <c r="D522" s="353"/>
      <c r="E522" s="353"/>
      <c r="F522" s="353"/>
    </row>
    <row r="523" spans="2:6">
      <c r="B523" s="353"/>
      <c r="C523" s="353"/>
      <c r="D523" s="353"/>
      <c r="E523" s="353"/>
      <c r="F523" s="353"/>
    </row>
    <row r="524" spans="2:6">
      <c r="B524" s="353"/>
      <c r="C524" s="353"/>
      <c r="D524" s="353"/>
      <c r="E524" s="353"/>
      <c r="F524" s="353"/>
    </row>
    <row r="525" spans="2:6">
      <c r="B525" s="353"/>
      <c r="C525" s="353"/>
      <c r="D525" s="353"/>
      <c r="E525" s="353"/>
      <c r="F525" s="353"/>
    </row>
    <row r="526" spans="2:6">
      <c r="B526" s="353"/>
      <c r="C526" s="353"/>
      <c r="D526" s="353"/>
      <c r="E526" s="353"/>
      <c r="F526" s="353"/>
    </row>
    <row r="527" spans="2:6">
      <c r="B527" s="353"/>
      <c r="C527" s="353"/>
      <c r="D527" s="353"/>
      <c r="E527" s="353"/>
      <c r="F527" s="353"/>
    </row>
    <row r="528" spans="2:6">
      <c r="B528" s="353"/>
      <c r="C528" s="353"/>
      <c r="D528" s="353"/>
      <c r="E528" s="353"/>
      <c r="F528" s="353"/>
    </row>
    <row r="529" spans="2:6">
      <c r="B529" s="353"/>
      <c r="C529" s="353"/>
      <c r="D529" s="353"/>
      <c r="E529" s="353"/>
      <c r="F529" s="353"/>
    </row>
    <row r="530" spans="2:6">
      <c r="B530" s="353"/>
      <c r="C530" s="353"/>
      <c r="D530" s="353"/>
      <c r="E530" s="353"/>
      <c r="F530" s="353"/>
    </row>
    <row r="531" spans="2:6">
      <c r="B531" s="353"/>
      <c r="C531" s="353"/>
      <c r="D531" s="353"/>
      <c r="E531" s="353"/>
      <c r="F531" s="353"/>
    </row>
    <row r="532" spans="2:6">
      <c r="B532" s="353"/>
      <c r="C532" s="353"/>
      <c r="D532" s="353"/>
      <c r="E532" s="353"/>
      <c r="F532" s="353"/>
    </row>
    <row r="533" spans="2:6">
      <c r="B533" s="353"/>
      <c r="C533" s="353"/>
      <c r="D533" s="353"/>
      <c r="E533" s="353"/>
      <c r="F533" s="353"/>
    </row>
    <row r="534" spans="2:6">
      <c r="B534" s="353"/>
      <c r="C534" s="353"/>
      <c r="D534" s="353"/>
      <c r="E534" s="353"/>
      <c r="F534" s="353"/>
    </row>
    <row r="535" spans="2:6">
      <c r="B535" s="353"/>
      <c r="C535" s="353"/>
      <c r="D535" s="353"/>
      <c r="E535" s="353"/>
      <c r="F535" s="353"/>
    </row>
    <row r="536" spans="2:6">
      <c r="B536" s="353"/>
      <c r="C536" s="353"/>
      <c r="D536" s="353"/>
      <c r="E536" s="353"/>
      <c r="F536" s="353"/>
    </row>
    <row r="537" spans="2:6">
      <c r="B537" s="353"/>
      <c r="C537" s="353"/>
      <c r="D537" s="353"/>
      <c r="E537" s="353"/>
      <c r="F537" s="353"/>
    </row>
    <row r="538" spans="2:6">
      <c r="B538" s="353"/>
      <c r="C538" s="353"/>
      <c r="D538" s="353"/>
      <c r="E538" s="353"/>
      <c r="F538" s="353"/>
    </row>
    <row r="539" spans="2:6">
      <c r="B539" s="353"/>
      <c r="C539" s="353"/>
      <c r="D539" s="353"/>
      <c r="E539" s="353"/>
      <c r="F539" s="353"/>
    </row>
    <row r="540" spans="2:6">
      <c r="B540" s="353"/>
      <c r="C540" s="353"/>
      <c r="D540" s="353"/>
      <c r="E540" s="353"/>
      <c r="F540" s="353"/>
    </row>
    <row r="541" spans="2:6">
      <c r="B541" s="353"/>
      <c r="C541" s="353"/>
      <c r="D541" s="353"/>
      <c r="E541" s="353"/>
      <c r="F541" s="353"/>
    </row>
    <row r="542" spans="2:6">
      <c r="B542" s="353"/>
      <c r="C542" s="353"/>
      <c r="D542" s="353"/>
      <c r="E542" s="353"/>
      <c r="F542" s="353"/>
    </row>
    <row r="543" spans="2:6">
      <c r="B543" s="353"/>
      <c r="C543" s="353"/>
      <c r="D543" s="353"/>
      <c r="E543" s="353"/>
      <c r="F543" s="353"/>
    </row>
    <row r="544" spans="2:6">
      <c r="B544" s="353"/>
      <c r="C544" s="353"/>
      <c r="D544" s="353"/>
      <c r="E544" s="353"/>
      <c r="F544" s="353"/>
    </row>
    <row r="545" spans="2:6">
      <c r="B545" s="353"/>
      <c r="C545" s="353"/>
      <c r="D545" s="353"/>
      <c r="E545" s="353"/>
      <c r="F545" s="353"/>
    </row>
    <row r="546" spans="2:6">
      <c r="B546" s="353"/>
      <c r="C546" s="353"/>
      <c r="D546" s="353"/>
      <c r="E546" s="353"/>
      <c r="F546" s="353"/>
    </row>
    <row r="547" spans="2:6">
      <c r="B547" s="353"/>
      <c r="C547" s="353"/>
      <c r="D547" s="353"/>
      <c r="E547" s="353"/>
      <c r="F547" s="353"/>
    </row>
    <row r="548" spans="2:6">
      <c r="B548" s="353"/>
      <c r="C548" s="353"/>
      <c r="D548" s="353"/>
      <c r="E548" s="353"/>
      <c r="F548" s="353"/>
    </row>
    <row r="549" spans="2:6">
      <c r="B549" s="353"/>
      <c r="C549" s="353"/>
      <c r="D549" s="353"/>
      <c r="E549" s="353"/>
      <c r="F549" s="353"/>
    </row>
    <row r="550" spans="2:6">
      <c r="B550" s="353"/>
      <c r="C550" s="353"/>
      <c r="D550" s="353"/>
      <c r="E550" s="353"/>
      <c r="F550" s="353"/>
    </row>
    <row r="551" spans="2:6">
      <c r="B551" s="353"/>
      <c r="C551" s="353"/>
      <c r="D551" s="353"/>
      <c r="E551" s="353"/>
      <c r="F551" s="353"/>
    </row>
    <row r="552" spans="2:6">
      <c r="B552" s="353"/>
      <c r="C552" s="353"/>
      <c r="D552" s="353"/>
      <c r="E552" s="353"/>
      <c r="F552" s="353"/>
    </row>
    <row r="553" spans="2:6">
      <c r="B553" s="353"/>
      <c r="C553" s="353"/>
      <c r="D553" s="353"/>
      <c r="E553" s="353"/>
      <c r="F553" s="353"/>
    </row>
    <row r="554" spans="2:6">
      <c r="B554" s="353"/>
      <c r="C554" s="353"/>
      <c r="D554" s="353"/>
      <c r="E554" s="353"/>
      <c r="F554" s="353"/>
    </row>
    <row r="555" spans="2:6">
      <c r="B555" s="353"/>
      <c r="C555" s="353"/>
      <c r="D555" s="353"/>
      <c r="E555" s="353"/>
      <c r="F555" s="353"/>
    </row>
    <row r="556" spans="2:6">
      <c r="B556" s="353"/>
      <c r="C556" s="353"/>
      <c r="D556" s="353"/>
      <c r="E556" s="353"/>
      <c r="F556" s="353"/>
    </row>
    <row r="557" spans="2:6">
      <c r="B557" s="353"/>
      <c r="C557" s="353"/>
      <c r="D557" s="353"/>
      <c r="E557" s="353"/>
      <c r="F557" s="353"/>
    </row>
    <row r="558" spans="2:6">
      <c r="B558" s="353"/>
      <c r="C558" s="353"/>
      <c r="D558" s="353"/>
      <c r="E558" s="353"/>
      <c r="F558" s="353"/>
    </row>
    <row r="559" spans="2:6">
      <c r="B559" s="353"/>
      <c r="C559" s="353"/>
      <c r="D559" s="353"/>
      <c r="E559" s="353"/>
      <c r="F559" s="353"/>
    </row>
    <row r="560" spans="2:6">
      <c r="B560" s="353"/>
      <c r="C560" s="353"/>
      <c r="D560" s="353"/>
      <c r="E560" s="353"/>
      <c r="F560" s="353"/>
    </row>
    <row r="561" spans="2:6">
      <c r="B561" s="353"/>
      <c r="C561" s="353"/>
      <c r="D561" s="353"/>
      <c r="E561" s="353"/>
      <c r="F561" s="353"/>
    </row>
    <row r="562" spans="2:6">
      <c r="B562" s="353"/>
      <c r="C562" s="353"/>
      <c r="D562" s="353"/>
      <c r="E562" s="353"/>
      <c r="F562" s="353"/>
    </row>
    <row r="563" spans="2:6">
      <c r="B563" s="353"/>
      <c r="C563" s="353"/>
      <c r="D563" s="353"/>
      <c r="E563" s="353"/>
      <c r="F563" s="353"/>
    </row>
    <row r="564" spans="2:6">
      <c r="B564" s="353"/>
      <c r="C564" s="353"/>
      <c r="D564" s="353"/>
      <c r="E564" s="353"/>
      <c r="F564" s="353"/>
    </row>
    <row r="565" spans="2:6">
      <c r="B565" s="353"/>
      <c r="C565" s="353"/>
      <c r="D565" s="353"/>
      <c r="E565" s="353"/>
      <c r="F565" s="353"/>
    </row>
    <row r="566" spans="2:6">
      <c r="B566" s="353"/>
      <c r="C566" s="353"/>
      <c r="D566" s="353"/>
      <c r="E566" s="353"/>
      <c r="F566" s="353"/>
    </row>
    <row r="567" spans="2:6">
      <c r="B567" s="353"/>
      <c r="C567" s="353"/>
      <c r="D567" s="353"/>
      <c r="E567" s="353"/>
      <c r="F567" s="353"/>
    </row>
    <row r="568" spans="2:6">
      <c r="B568" s="353"/>
      <c r="C568" s="353"/>
      <c r="D568" s="353"/>
      <c r="E568" s="353"/>
      <c r="F568" s="353"/>
    </row>
    <row r="569" spans="2:6">
      <c r="B569" s="353"/>
      <c r="C569" s="353"/>
      <c r="D569" s="353"/>
      <c r="E569" s="353"/>
      <c r="F569" s="353"/>
    </row>
    <row r="570" spans="2:6">
      <c r="B570" s="353"/>
      <c r="C570" s="353"/>
      <c r="D570" s="353"/>
      <c r="E570" s="353"/>
      <c r="F570" s="353"/>
    </row>
    <row r="571" spans="2:6">
      <c r="B571" s="353"/>
      <c r="C571" s="353"/>
      <c r="D571" s="353"/>
      <c r="E571" s="353"/>
      <c r="F571" s="353"/>
    </row>
    <row r="572" spans="2:6">
      <c r="B572" s="353"/>
      <c r="C572" s="353"/>
      <c r="D572" s="353"/>
      <c r="E572" s="353"/>
      <c r="F572" s="353"/>
    </row>
    <row r="573" spans="2:6">
      <c r="B573" s="353"/>
      <c r="C573" s="353"/>
      <c r="D573" s="353"/>
      <c r="E573" s="353"/>
      <c r="F573" s="353"/>
    </row>
    <row r="574" spans="2:6">
      <c r="B574" s="353"/>
      <c r="C574" s="353"/>
      <c r="D574" s="353"/>
      <c r="E574" s="353"/>
      <c r="F574" s="353"/>
    </row>
    <row r="575" spans="2:6">
      <c r="B575" s="353"/>
      <c r="C575" s="353"/>
      <c r="D575" s="353"/>
      <c r="E575" s="353"/>
      <c r="F575" s="353"/>
    </row>
    <row r="576" spans="2:6">
      <c r="B576" s="353"/>
      <c r="C576" s="353"/>
      <c r="D576" s="353"/>
      <c r="E576" s="353"/>
      <c r="F576" s="353"/>
    </row>
    <row r="577" spans="2:6">
      <c r="B577" s="353"/>
      <c r="C577" s="353"/>
      <c r="D577" s="353"/>
      <c r="E577" s="353"/>
      <c r="F577" s="353"/>
    </row>
    <row r="578" spans="2:6">
      <c r="B578" s="353"/>
      <c r="C578" s="353"/>
      <c r="D578" s="353"/>
      <c r="E578" s="353"/>
      <c r="F578" s="353"/>
    </row>
    <row r="579" spans="2:6">
      <c r="B579" s="353"/>
      <c r="C579" s="353"/>
      <c r="D579" s="353"/>
      <c r="E579" s="353"/>
      <c r="F579" s="353"/>
    </row>
    <row r="580" spans="2:6">
      <c r="B580" s="353"/>
      <c r="C580" s="353"/>
      <c r="D580" s="353"/>
      <c r="E580" s="353"/>
      <c r="F580" s="353"/>
    </row>
    <row r="581" spans="2:6">
      <c r="B581" s="353"/>
      <c r="C581" s="353"/>
      <c r="D581" s="353"/>
      <c r="E581" s="353"/>
      <c r="F581" s="353"/>
    </row>
    <row r="582" spans="2:6">
      <c r="B582" s="353"/>
      <c r="C582" s="353"/>
      <c r="D582" s="353"/>
      <c r="E582" s="353"/>
      <c r="F582" s="353"/>
    </row>
    <row r="583" spans="2:6">
      <c r="B583" s="353"/>
      <c r="C583" s="353"/>
      <c r="D583" s="353"/>
      <c r="E583" s="353"/>
      <c r="F583" s="353"/>
    </row>
    <row r="584" spans="2:6">
      <c r="B584" s="353"/>
      <c r="C584" s="353"/>
      <c r="D584" s="353"/>
      <c r="E584" s="353"/>
      <c r="F584" s="353"/>
    </row>
    <row r="585" spans="2:6">
      <c r="B585" s="353"/>
      <c r="C585" s="353"/>
      <c r="D585" s="353"/>
      <c r="E585" s="353"/>
      <c r="F585" s="353"/>
    </row>
    <row r="586" spans="2:6">
      <c r="B586" s="353"/>
      <c r="C586" s="353"/>
      <c r="D586" s="353"/>
      <c r="E586" s="353"/>
      <c r="F586" s="353"/>
    </row>
    <row r="587" spans="2:6">
      <c r="B587" s="353"/>
      <c r="C587" s="353"/>
      <c r="D587" s="353"/>
      <c r="E587" s="353"/>
      <c r="F587" s="353"/>
    </row>
    <row r="588" spans="2:6">
      <c r="B588" s="353"/>
      <c r="C588" s="353"/>
      <c r="D588" s="353"/>
      <c r="E588" s="353"/>
      <c r="F588" s="353"/>
    </row>
    <row r="589" spans="2:6">
      <c r="B589" s="353"/>
      <c r="C589" s="353"/>
      <c r="D589" s="353"/>
      <c r="E589" s="353"/>
      <c r="F589" s="353"/>
    </row>
    <row r="590" spans="2:6">
      <c r="B590" s="353"/>
      <c r="C590" s="353"/>
      <c r="D590" s="353"/>
      <c r="E590" s="353"/>
      <c r="F590" s="353"/>
    </row>
    <row r="591" spans="2:6">
      <c r="B591" s="353"/>
      <c r="C591" s="353"/>
      <c r="D591" s="353"/>
      <c r="E591" s="353"/>
      <c r="F591" s="353"/>
    </row>
    <row r="592" spans="2:6">
      <c r="B592" s="353"/>
      <c r="C592" s="353"/>
      <c r="D592" s="353"/>
      <c r="E592" s="353"/>
      <c r="F592" s="353"/>
    </row>
    <row r="593" spans="2:6">
      <c r="B593" s="353"/>
      <c r="C593" s="353"/>
      <c r="D593" s="353"/>
      <c r="E593" s="353"/>
      <c r="F593" s="353"/>
    </row>
    <row r="594" spans="2:6">
      <c r="B594" s="353"/>
      <c r="C594" s="353"/>
      <c r="D594" s="353"/>
      <c r="E594" s="353"/>
      <c r="F594" s="353"/>
    </row>
    <row r="595" spans="2:6">
      <c r="B595" s="353"/>
      <c r="C595" s="353"/>
      <c r="D595" s="353"/>
      <c r="E595" s="353"/>
      <c r="F595" s="353"/>
    </row>
    <row r="596" spans="2:6">
      <c r="B596" s="353"/>
      <c r="C596" s="353"/>
      <c r="D596" s="353"/>
      <c r="E596" s="353"/>
      <c r="F596" s="353"/>
    </row>
    <row r="597" spans="2:6">
      <c r="B597" s="353"/>
      <c r="C597" s="353"/>
      <c r="D597" s="353"/>
      <c r="E597" s="353"/>
      <c r="F597" s="353"/>
    </row>
    <row r="598" spans="2:6">
      <c r="B598" s="353"/>
      <c r="C598" s="353"/>
      <c r="D598" s="353"/>
      <c r="E598" s="353"/>
      <c r="F598" s="353"/>
    </row>
    <row r="599" spans="2:6">
      <c r="B599" s="353"/>
      <c r="C599" s="353"/>
      <c r="D599" s="353"/>
      <c r="E599" s="353"/>
      <c r="F599" s="353"/>
    </row>
    <row r="600" spans="2:6">
      <c r="B600" s="353"/>
      <c r="C600" s="353"/>
      <c r="D600" s="353"/>
      <c r="E600" s="353"/>
      <c r="F600" s="353"/>
    </row>
    <row r="601" spans="2:6">
      <c r="B601" s="353"/>
      <c r="C601" s="353"/>
      <c r="D601" s="353"/>
      <c r="E601" s="353"/>
      <c r="F601" s="353"/>
    </row>
    <row r="602" spans="2:6">
      <c r="B602" s="353"/>
      <c r="C602" s="353"/>
      <c r="D602" s="353"/>
      <c r="E602" s="353"/>
      <c r="F602" s="353"/>
    </row>
    <row r="603" spans="2:6">
      <c r="B603" s="353"/>
      <c r="C603" s="353"/>
      <c r="D603" s="353"/>
      <c r="E603" s="353"/>
      <c r="F603" s="353"/>
    </row>
    <row r="604" spans="2:6">
      <c r="B604" s="353"/>
      <c r="C604" s="353"/>
      <c r="D604" s="353"/>
      <c r="E604" s="353"/>
      <c r="F604" s="353"/>
    </row>
    <row r="605" spans="2:6">
      <c r="B605" s="353"/>
      <c r="C605" s="353"/>
      <c r="D605" s="353"/>
      <c r="E605" s="353"/>
      <c r="F605" s="353"/>
    </row>
    <row r="606" spans="2:6">
      <c r="B606" s="353"/>
      <c r="C606" s="353"/>
      <c r="D606" s="353"/>
      <c r="E606" s="353"/>
      <c r="F606" s="353"/>
    </row>
    <row r="607" spans="2:6">
      <c r="B607" s="353"/>
      <c r="C607" s="353"/>
      <c r="D607" s="353"/>
      <c r="E607" s="353"/>
      <c r="F607" s="353"/>
    </row>
    <row r="608" spans="2:6">
      <c r="B608" s="353"/>
      <c r="C608" s="353"/>
      <c r="D608" s="353"/>
      <c r="E608" s="353"/>
      <c r="F608" s="353"/>
    </row>
    <row r="609" spans="2:6">
      <c r="B609" s="353"/>
      <c r="C609" s="353"/>
      <c r="D609" s="353"/>
      <c r="E609" s="353"/>
      <c r="F609" s="353"/>
    </row>
    <row r="610" spans="2:6">
      <c r="B610" s="353"/>
      <c r="C610" s="353"/>
      <c r="D610" s="353"/>
      <c r="E610" s="353"/>
      <c r="F610" s="353"/>
    </row>
    <row r="611" spans="2:6">
      <c r="B611" s="353"/>
      <c r="C611" s="353"/>
      <c r="D611" s="353"/>
      <c r="E611" s="353"/>
      <c r="F611" s="353"/>
    </row>
    <row r="612" spans="2:6">
      <c r="B612" s="353"/>
      <c r="C612" s="353"/>
      <c r="D612" s="353"/>
      <c r="E612" s="353"/>
      <c r="F612" s="353"/>
    </row>
    <row r="613" spans="2:6">
      <c r="B613" s="353"/>
      <c r="C613" s="353"/>
      <c r="D613" s="353"/>
      <c r="E613" s="353"/>
      <c r="F613" s="353"/>
    </row>
    <row r="614" spans="2:6">
      <c r="B614" s="353"/>
      <c r="C614" s="353"/>
      <c r="D614" s="353"/>
      <c r="E614" s="353"/>
      <c r="F614" s="353"/>
    </row>
    <row r="615" spans="2:6">
      <c r="B615" s="353"/>
      <c r="C615" s="353"/>
      <c r="D615" s="353"/>
      <c r="E615" s="353"/>
      <c r="F615" s="353"/>
    </row>
    <row r="616" spans="2:6">
      <c r="B616" s="353"/>
      <c r="C616" s="353"/>
      <c r="D616" s="353"/>
      <c r="E616" s="353"/>
      <c r="F616" s="353"/>
    </row>
    <row r="617" spans="2:6">
      <c r="B617" s="353"/>
      <c r="C617" s="353"/>
      <c r="D617" s="353"/>
      <c r="E617" s="353"/>
      <c r="F617" s="353"/>
    </row>
    <row r="618" spans="2:6">
      <c r="B618" s="353"/>
      <c r="C618" s="353"/>
      <c r="D618" s="353"/>
      <c r="E618" s="353"/>
      <c r="F618" s="353"/>
    </row>
    <row r="619" spans="2:6">
      <c r="B619" s="353"/>
      <c r="C619" s="353"/>
      <c r="D619" s="353"/>
      <c r="E619" s="353"/>
      <c r="F619" s="353"/>
    </row>
    <row r="620" spans="2:6">
      <c r="B620" s="353"/>
      <c r="C620" s="353"/>
      <c r="D620" s="353"/>
      <c r="E620" s="353"/>
      <c r="F620" s="353"/>
    </row>
    <row r="621" spans="2:6">
      <c r="B621" s="353"/>
      <c r="C621" s="353"/>
      <c r="D621" s="353"/>
      <c r="E621" s="353"/>
      <c r="F621" s="353"/>
    </row>
    <row r="622" spans="2:6">
      <c r="B622" s="353"/>
      <c r="C622" s="353"/>
      <c r="D622" s="353"/>
      <c r="E622" s="353"/>
      <c r="F622" s="353"/>
    </row>
    <row r="623" spans="2:6">
      <c r="B623" s="353"/>
      <c r="C623" s="353"/>
      <c r="D623" s="353"/>
      <c r="E623" s="353"/>
      <c r="F623" s="353"/>
    </row>
    <row r="624" spans="2:6">
      <c r="B624" s="353"/>
      <c r="C624" s="353"/>
      <c r="D624" s="353"/>
      <c r="E624" s="353"/>
      <c r="F624" s="353"/>
    </row>
    <row r="625" spans="2:6">
      <c r="B625" s="353"/>
      <c r="C625" s="353"/>
      <c r="D625" s="353"/>
      <c r="E625" s="353"/>
      <c r="F625" s="353"/>
    </row>
    <row r="626" spans="2:6">
      <c r="B626" s="353"/>
      <c r="C626" s="353"/>
      <c r="D626" s="353"/>
      <c r="E626" s="353"/>
      <c r="F626" s="353"/>
    </row>
    <row r="627" spans="2:6">
      <c r="B627" s="353"/>
      <c r="C627" s="353"/>
      <c r="D627" s="353"/>
      <c r="E627" s="353"/>
      <c r="F627" s="353"/>
    </row>
    <row r="628" spans="2:6">
      <c r="B628" s="353"/>
      <c r="C628" s="353"/>
      <c r="D628" s="353"/>
      <c r="E628" s="353"/>
      <c r="F628" s="353"/>
    </row>
    <row r="629" spans="2:6">
      <c r="B629" s="353"/>
      <c r="C629" s="353"/>
      <c r="D629" s="353"/>
      <c r="E629" s="353"/>
      <c r="F629" s="353"/>
    </row>
    <row r="630" spans="2:6">
      <c r="B630" s="353"/>
      <c r="C630" s="353"/>
      <c r="D630" s="353"/>
      <c r="E630" s="353"/>
      <c r="F630" s="353"/>
    </row>
    <row r="631" spans="2:6">
      <c r="B631" s="353"/>
      <c r="C631" s="353"/>
      <c r="D631" s="353"/>
      <c r="E631" s="353"/>
      <c r="F631" s="353"/>
    </row>
    <row r="632" spans="2:6">
      <c r="B632" s="353"/>
      <c r="C632" s="353"/>
      <c r="D632" s="353"/>
      <c r="E632" s="353"/>
      <c r="F632" s="353"/>
    </row>
    <row r="633" spans="2:6">
      <c r="B633" s="353"/>
      <c r="C633" s="353"/>
      <c r="D633" s="353"/>
      <c r="E633" s="353"/>
      <c r="F633" s="353"/>
    </row>
    <row r="634" spans="2:6">
      <c r="B634" s="353"/>
      <c r="C634" s="353"/>
      <c r="D634" s="353"/>
      <c r="E634" s="353"/>
      <c r="F634" s="353"/>
    </row>
    <row r="635" spans="2:6">
      <c r="B635" s="353"/>
      <c r="C635" s="353"/>
      <c r="D635" s="353"/>
      <c r="E635" s="353"/>
      <c r="F635" s="353"/>
    </row>
    <row r="636" spans="2:6">
      <c r="B636" s="353"/>
      <c r="C636" s="353"/>
      <c r="D636" s="353"/>
      <c r="E636" s="353"/>
      <c r="F636" s="353"/>
    </row>
    <row r="637" spans="2:6">
      <c r="B637" s="353"/>
      <c r="C637" s="353"/>
      <c r="D637" s="353"/>
      <c r="E637" s="353"/>
      <c r="F637" s="353"/>
    </row>
    <row r="638" spans="2:6">
      <c r="B638" s="353"/>
      <c r="C638" s="353"/>
      <c r="D638" s="353"/>
      <c r="E638" s="353"/>
      <c r="F638" s="353"/>
    </row>
    <row r="639" spans="2:6">
      <c r="B639" s="353"/>
      <c r="C639" s="353"/>
      <c r="D639" s="353"/>
      <c r="E639" s="353"/>
      <c r="F639" s="353"/>
    </row>
    <row r="640" spans="2:6">
      <c r="B640" s="353"/>
      <c r="C640" s="353"/>
      <c r="D640" s="353"/>
      <c r="E640" s="353"/>
      <c r="F640" s="353"/>
    </row>
    <row r="641" spans="2:6">
      <c r="B641" s="353"/>
      <c r="C641" s="353"/>
      <c r="D641" s="353"/>
      <c r="E641" s="353"/>
      <c r="F641" s="353"/>
    </row>
    <row r="642" spans="2:6">
      <c r="B642" s="353"/>
      <c r="C642" s="353"/>
      <c r="D642" s="353"/>
      <c r="E642" s="353"/>
      <c r="F642" s="353"/>
    </row>
    <row r="643" spans="2:6">
      <c r="B643" s="353"/>
      <c r="C643" s="353"/>
      <c r="D643" s="353"/>
      <c r="E643" s="353"/>
      <c r="F643" s="353"/>
    </row>
    <row r="644" spans="2:6">
      <c r="B644" s="353"/>
      <c r="C644" s="353"/>
      <c r="D644" s="353"/>
      <c r="E644" s="353"/>
      <c r="F644" s="353"/>
    </row>
    <row r="645" spans="2:6">
      <c r="B645" s="353"/>
      <c r="C645" s="353"/>
      <c r="D645" s="353"/>
      <c r="E645" s="353"/>
      <c r="F645" s="353"/>
    </row>
    <row r="646" spans="2:6">
      <c r="B646" s="353"/>
      <c r="C646" s="353"/>
      <c r="D646" s="353"/>
      <c r="E646" s="353"/>
      <c r="F646" s="353"/>
    </row>
    <row r="647" spans="2:6">
      <c r="B647" s="353"/>
      <c r="C647" s="353"/>
      <c r="D647" s="353"/>
      <c r="E647" s="353"/>
      <c r="F647" s="353"/>
    </row>
    <row r="648" spans="2:6">
      <c r="B648" s="353"/>
      <c r="C648" s="353"/>
      <c r="D648" s="353"/>
      <c r="E648" s="353"/>
      <c r="F648" s="353"/>
    </row>
    <row r="649" spans="2:6">
      <c r="B649" s="353"/>
      <c r="C649" s="353"/>
      <c r="D649" s="353"/>
      <c r="E649" s="353"/>
      <c r="F649" s="353"/>
    </row>
    <row r="650" spans="2:6">
      <c r="B650" s="353"/>
      <c r="C650" s="353"/>
      <c r="D650" s="353"/>
      <c r="E650" s="353"/>
      <c r="F650" s="353"/>
    </row>
    <row r="651" spans="2:6">
      <c r="B651" s="353"/>
      <c r="C651" s="353"/>
      <c r="D651" s="353"/>
      <c r="E651" s="353"/>
      <c r="F651" s="353"/>
    </row>
    <row r="652" spans="2:6">
      <c r="B652" s="353"/>
      <c r="C652" s="353"/>
      <c r="D652" s="353"/>
      <c r="E652" s="353"/>
      <c r="F652" s="353"/>
    </row>
    <row r="653" spans="2:6">
      <c r="B653" s="353"/>
      <c r="C653" s="353"/>
      <c r="D653" s="353"/>
      <c r="E653" s="353"/>
      <c r="F653" s="353"/>
    </row>
    <row r="654" spans="2:6">
      <c r="B654" s="353"/>
      <c r="C654" s="353"/>
      <c r="D654" s="353"/>
      <c r="E654" s="353"/>
      <c r="F654" s="353"/>
    </row>
    <row r="655" spans="2:6">
      <c r="B655" s="353"/>
      <c r="C655" s="353"/>
      <c r="D655" s="353"/>
      <c r="E655" s="353"/>
      <c r="F655" s="353"/>
    </row>
    <row r="656" spans="2:6">
      <c r="B656" s="353"/>
      <c r="C656" s="353"/>
      <c r="D656" s="353"/>
      <c r="E656" s="353"/>
      <c r="F656" s="353"/>
    </row>
    <row r="657" spans="2:6">
      <c r="B657" s="353"/>
      <c r="C657" s="353"/>
      <c r="D657" s="353"/>
      <c r="E657" s="353"/>
      <c r="F657" s="353"/>
    </row>
    <row r="658" spans="2:6">
      <c r="B658" s="353"/>
      <c r="C658" s="353"/>
      <c r="D658" s="353"/>
      <c r="E658" s="353"/>
      <c r="F658" s="353"/>
    </row>
    <row r="659" spans="2:6">
      <c r="B659" s="353"/>
      <c r="C659" s="353"/>
      <c r="D659" s="353"/>
      <c r="E659" s="353"/>
      <c r="F659" s="353"/>
    </row>
    <row r="660" spans="2:6">
      <c r="B660" s="353"/>
      <c r="C660" s="353"/>
      <c r="D660" s="353"/>
      <c r="E660" s="353"/>
      <c r="F660" s="353"/>
    </row>
    <row r="661" spans="2:6">
      <c r="B661" s="353"/>
      <c r="C661" s="353"/>
      <c r="D661" s="353"/>
      <c r="E661" s="353"/>
      <c r="F661" s="353"/>
    </row>
    <row r="662" spans="2:6">
      <c r="B662" s="353"/>
      <c r="C662" s="353"/>
      <c r="D662" s="353"/>
      <c r="E662" s="353"/>
      <c r="F662" s="353"/>
    </row>
    <row r="663" spans="2:6">
      <c r="B663" s="353"/>
      <c r="C663" s="353"/>
      <c r="D663" s="353"/>
      <c r="E663" s="353"/>
      <c r="F663" s="353"/>
    </row>
    <row r="664" spans="2:6">
      <c r="B664" s="353"/>
      <c r="C664" s="353"/>
      <c r="D664" s="353"/>
      <c r="E664" s="353"/>
      <c r="F664" s="353"/>
    </row>
    <row r="665" spans="2:6">
      <c r="B665" s="353"/>
      <c r="C665" s="353"/>
      <c r="D665" s="353"/>
      <c r="E665" s="353"/>
      <c r="F665" s="353"/>
    </row>
    <row r="666" spans="2:6">
      <c r="B666" s="353"/>
      <c r="C666" s="353"/>
      <c r="D666" s="353"/>
      <c r="E666" s="353"/>
      <c r="F666" s="353"/>
    </row>
    <row r="667" spans="2:6">
      <c r="B667" s="353"/>
      <c r="C667" s="353"/>
      <c r="D667" s="353"/>
      <c r="E667" s="353"/>
      <c r="F667" s="353"/>
    </row>
    <row r="668" spans="2:6">
      <c r="B668" s="353"/>
      <c r="C668" s="353"/>
      <c r="D668" s="353"/>
      <c r="E668" s="353"/>
      <c r="F668" s="353"/>
    </row>
    <row r="669" spans="2:6">
      <c r="B669" s="353"/>
      <c r="C669" s="353"/>
      <c r="D669" s="353"/>
      <c r="E669" s="353"/>
      <c r="F669" s="353"/>
    </row>
    <row r="670" spans="2:6">
      <c r="B670" s="353"/>
      <c r="C670" s="353"/>
      <c r="D670" s="353"/>
      <c r="E670" s="353"/>
      <c r="F670" s="353"/>
    </row>
    <row r="671" spans="2:6">
      <c r="B671" s="353"/>
      <c r="C671" s="353"/>
      <c r="D671" s="353"/>
      <c r="E671" s="353"/>
      <c r="F671" s="353"/>
    </row>
    <row r="672" spans="2:6">
      <c r="B672" s="353"/>
      <c r="C672" s="353"/>
      <c r="D672" s="353"/>
      <c r="E672" s="353"/>
      <c r="F672" s="353"/>
    </row>
    <row r="673" spans="2:6">
      <c r="B673" s="353"/>
      <c r="C673" s="353"/>
      <c r="D673" s="353"/>
      <c r="E673" s="353"/>
      <c r="F673" s="353"/>
    </row>
    <row r="674" spans="2:6">
      <c r="B674" s="353"/>
      <c r="C674" s="353"/>
      <c r="D674" s="353"/>
      <c r="E674" s="353"/>
      <c r="F674" s="353"/>
    </row>
    <row r="675" spans="2:6">
      <c r="B675" s="353"/>
      <c r="C675" s="353"/>
      <c r="D675" s="353"/>
      <c r="E675" s="353"/>
      <c r="F675" s="353"/>
    </row>
    <row r="676" spans="2:6">
      <c r="B676" s="353"/>
      <c r="C676" s="353"/>
      <c r="D676" s="353"/>
      <c r="E676" s="353"/>
      <c r="F676" s="353"/>
    </row>
    <row r="677" spans="2:6">
      <c r="B677" s="353"/>
      <c r="C677" s="353"/>
      <c r="D677" s="353"/>
      <c r="E677" s="353"/>
      <c r="F677" s="353"/>
    </row>
    <row r="678" spans="2:6">
      <c r="B678" s="353"/>
      <c r="C678" s="353"/>
      <c r="D678" s="353"/>
      <c r="E678" s="353"/>
      <c r="F678" s="353"/>
    </row>
    <row r="679" spans="2:6">
      <c r="B679" s="353"/>
      <c r="C679" s="353"/>
      <c r="D679" s="353"/>
      <c r="E679" s="353"/>
      <c r="F679" s="353"/>
    </row>
    <row r="680" spans="2:6">
      <c r="B680" s="353"/>
      <c r="C680" s="353"/>
      <c r="D680" s="353"/>
      <c r="E680" s="353"/>
      <c r="F680" s="353"/>
    </row>
    <row r="681" spans="2:6">
      <c r="B681" s="353"/>
      <c r="C681" s="353"/>
      <c r="D681" s="353"/>
      <c r="E681" s="353"/>
      <c r="F681" s="353"/>
    </row>
    <row r="682" spans="2:6">
      <c r="B682" s="353"/>
      <c r="C682" s="353"/>
      <c r="D682" s="353"/>
      <c r="E682" s="353"/>
      <c r="F682" s="353"/>
    </row>
    <row r="683" spans="2:6">
      <c r="B683" s="353"/>
      <c r="C683" s="353"/>
      <c r="D683" s="353"/>
      <c r="E683" s="353"/>
      <c r="F683" s="353"/>
    </row>
    <row r="684" spans="2:6">
      <c r="B684" s="353"/>
      <c r="C684" s="353"/>
      <c r="D684" s="353"/>
      <c r="E684" s="353"/>
      <c r="F684" s="353"/>
    </row>
    <row r="685" spans="2:6">
      <c r="B685" s="353"/>
      <c r="C685" s="353"/>
      <c r="D685" s="353"/>
      <c r="E685" s="353"/>
      <c r="F685" s="353"/>
    </row>
    <row r="686" spans="2:6">
      <c r="B686" s="353"/>
      <c r="C686" s="353"/>
      <c r="D686" s="353"/>
      <c r="E686" s="353"/>
      <c r="F686" s="353"/>
    </row>
    <row r="687" spans="2:6">
      <c r="B687" s="353"/>
      <c r="C687" s="353"/>
      <c r="D687" s="353"/>
      <c r="E687" s="353"/>
      <c r="F687" s="353"/>
    </row>
    <row r="688" spans="2:6">
      <c r="B688" s="353"/>
      <c r="C688" s="353"/>
      <c r="D688" s="353"/>
      <c r="E688" s="353"/>
      <c r="F688" s="353"/>
    </row>
    <row r="689" spans="2:6">
      <c r="B689" s="353"/>
      <c r="C689" s="353"/>
      <c r="D689" s="353"/>
      <c r="E689" s="353"/>
      <c r="F689" s="353"/>
    </row>
    <row r="690" spans="2:6">
      <c r="B690" s="353"/>
      <c r="C690" s="353"/>
      <c r="D690" s="353"/>
      <c r="E690" s="353"/>
      <c r="F690" s="353"/>
    </row>
    <row r="691" spans="2:6">
      <c r="B691" s="353"/>
      <c r="C691" s="353"/>
      <c r="D691" s="353"/>
      <c r="E691" s="353"/>
      <c r="F691" s="353"/>
    </row>
    <row r="692" spans="2:6">
      <c r="B692" s="353"/>
      <c r="C692" s="353"/>
      <c r="D692" s="353"/>
      <c r="E692" s="353"/>
      <c r="F692" s="353"/>
    </row>
    <row r="693" spans="2:6">
      <c r="B693" s="353"/>
      <c r="C693" s="353"/>
      <c r="D693" s="353"/>
      <c r="E693" s="353"/>
      <c r="F693" s="353"/>
    </row>
    <row r="694" spans="2:6">
      <c r="B694" s="353"/>
      <c r="C694" s="353"/>
      <c r="D694" s="353"/>
      <c r="E694" s="353"/>
      <c r="F694" s="353"/>
    </row>
    <row r="695" spans="2:6">
      <c r="B695" s="353"/>
      <c r="C695" s="353"/>
      <c r="D695" s="353"/>
      <c r="E695" s="353"/>
      <c r="F695" s="353"/>
    </row>
    <row r="696" spans="2:6">
      <c r="B696" s="353"/>
      <c r="C696" s="353"/>
      <c r="D696" s="353"/>
      <c r="E696" s="353"/>
      <c r="F696" s="353"/>
    </row>
    <row r="697" spans="2:6">
      <c r="B697" s="353"/>
      <c r="C697" s="353"/>
      <c r="D697" s="353"/>
      <c r="E697" s="353"/>
      <c r="F697" s="353"/>
    </row>
    <row r="698" spans="2:6">
      <c r="B698" s="353"/>
      <c r="C698" s="353"/>
      <c r="D698" s="353"/>
      <c r="E698" s="353"/>
      <c r="F698" s="353"/>
    </row>
    <row r="699" spans="2:6">
      <c r="B699" s="353"/>
      <c r="C699" s="353"/>
      <c r="D699" s="353"/>
      <c r="E699" s="353"/>
      <c r="F699" s="353"/>
    </row>
    <row r="700" spans="2:6">
      <c r="B700" s="353"/>
      <c r="C700" s="353"/>
      <c r="D700" s="353"/>
      <c r="E700" s="353"/>
      <c r="F700" s="353"/>
    </row>
    <row r="701" spans="2:6">
      <c r="B701" s="353"/>
      <c r="C701" s="353"/>
      <c r="D701" s="353"/>
      <c r="E701" s="353"/>
      <c r="F701" s="353"/>
    </row>
    <row r="702" spans="2:6">
      <c r="B702" s="353"/>
      <c r="C702" s="353"/>
      <c r="D702" s="353"/>
      <c r="E702" s="353"/>
      <c r="F702" s="353"/>
    </row>
    <row r="703" spans="2:6">
      <c r="B703" s="353"/>
      <c r="C703" s="353"/>
      <c r="D703" s="353"/>
      <c r="E703" s="353"/>
      <c r="F703" s="353"/>
    </row>
    <row r="704" spans="2:6">
      <c r="B704" s="353"/>
      <c r="C704" s="353"/>
      <c r="D704" s="353"/>
      <c r="E704" s="353"/>
      <c r="F704" s="353"/>
    </row>
    <row r="705" spans="2:6">
      <c r="B705" s="353"/>
      <c r="C705" s="353"/>
      <c r="D705" s="353"/>
      <c r="E705" s="353"/>
      <c r="F705" s="353"/>
    </row>
    <row r="706" spans="2:6">
      <c r="B706" s="353"/>
      <c r="C706" s="353"/>
      <c r="D706" s="353"/>
      <c r="E706" s="353"/>
      <c r="F706" s="353"/>
    </row>
    <row r="707" spans="2:6">
      <c r="B707" s="353"/>
      <c r="C707" s="353"/>
      <c r="D707" s="353"/>
      <c r="E707" s="353"/>
      <c r="F707" s="353"/>
    </row>
    <row r="708" spans="2:6">
      <c r="B708" s="353"/>
      <c r="C708" s="353"/>
      <c r="D708" s="353"/>
      <c r="E708" s="353"/>
      <c r="F708" s="353"/>
    </row>
    <row r="709" spans="2:6">
      <c r="B709" s="353"/>
      <c r="C709" s="353"/>
      <c r="D709" s="353"/>
      <c r="E709" s="353"/>
      <c r="F709" s="353"/>
    </row>
    <row r="710" spans="2:6">
      <c r="B710" s="353"/>
      <c r="C710" s="353"/>
      <c r="D710" s="353"/>
      <c r="E710" s="353"/>
      <c r="F710" s="353"/>
    </row>
    <row r="711" spans="2:6">
      <c r="B711" s="353"/>
      <c r="C711" s="353"/>
      <c r="D711" s="353"/>
      <c r="E711" s="353"/>
      <c r="F711" s="353"/>
    </row>
    <row r="712" spans="2:6">
      <c r="B712" s="353"/>
      <c r="C712" s="353"/>
      <c r="D712" s="353"/>
      <c r="E712" s="353"/>
      <c r="F712" s="353"/>
    </row>
    <row r="713" spans="2:6">
      <c r="B713" s="353"/>
      <c r="C713" s="353"/>
      <c r="D713" s="353"/>
      <c r="E713" s="353"/>
      <c r="F713" s="353"/>
    </row>
    <row r="714" spans="2:6">
      <c r="B714" s="353"/>
      <c r="C714" s="353"/>
      <c r="D714" s="353"/>
      <c r="E714" s="353"/>
      <c r="F714" s="353"/>
    </row>
    <row r="715" spans="2:6">
      <c r="B715" s="353"/>
      <c r="C715" s="353"/>
      <c r="D715" s="353"/>
      <c r="E715" s="353"/>
      <c r="F715" s="353"/>
    </row>
    <row r="716" spans="2:6">
      <c r="B716" s="353"/>
      <c r="C716" s="353"/>
      <c r="D716" s="353"/>
      <c r="E716" s="353"/>
      <c r="F716" s="353"/>
    </row>
    <row r="717" spans="2:6">
      <c r="B717" s="353"/>
      <c r="C717" s="353"/>
      <c r="D717" s="353"/>
      <c r="E717" s="353"/>
      <c r="F717" s="353"/>
    </row>
    <row r="718" spans="2:6">
      <c r="B718" s="353"/>
      <c r="C718" s="353"/>
      <c r="D718" s="353"/>
      <c r="E718" s="353"/>
      <c r="F718" s="353"/>
    </row>
    <row r="719" spans="2:6">
      <c r="B719" s="353"/>
      <c r="C719" s="353"/>
      <c r="D719" s="353"/>
      <c r="E719" s="353"/>
      <c r="F719" s="353"/>
    </row>
    <row r="720" spans="2:6">
      <c r="B720" s="353"/>
      <c r="C720" s="353"/>
      <c r="D720" s="353"/>
      <c r="E720" s="353"/>
      <c r="F720" s="353"/>
    </row>
    <row r="721" spans="2:6">
      <c r="B721" s="353"/>
      <c r="C721" s="353"/>
      <c r="D721" s="353"/>
      <c r="E721" s="353"/>
      <c r="F721" s="353"/>
    </row>
    <row r="722" spans="2:6">
      <c r="B722" s="353"/>
      <c r="C722" s="353"/>
      <c r="D722" s="353"/>
      <c r="E722" s="353"/>
      <c r="F722" s="353"/>
    </row>
    <row r="723" spans="2:6">
      <c r="B723" s="353"/>
      <c r="C723" s="353"/>
      <c r="D723" s="353"/>
      <c r="E723" s="353"/>
      <c r="F723" s="353"/>
    </row>
    <row r="724" spans="2:6">
      <c r="B724" s="353"/>
      <c r="C724" s="353"/>
      <c r="D724" s="353"/>
      <c r="E724" s="353"/>
      <c r="F724" s="353"/>
    </row>
    <row r="725" spans="2:6">
      <c r="B725" s="353"/>
      <c r="C725" s="353"/>
      <c r="D725" s="353"/>
      <c r="E725" s="353"/>
      <c r="F725" s="353"/>
    </row>
    <row r="726" spans="2:6">
      <c r="B726" s="353"/>
      <c r="C726" s="353"/>
      <c r="D726" s="353"/>
      <c r="E726" s="353"/>
      <c r="F726" s="353"/>
    </row>
    <row r="727" spans="2:6">
      <c r="B727" s="353"/>
      <c r="C727" s="353"/>
      <c r="D727" s="353"/>
      <c r="E727" s="353"/>
      <c r="F727" s="353"/>
    </row>
    <row r="728" spans="2:6">
      <c r="B728" s="353"/>
      <c r="C728" s="353"/>
      <c r="D728" s="353"/>
      <c r="E728" s="353"/>
      <c r="F728" s="353"/>
    </row>
    <row r="729" spans="2:6">
      <c r="B729" s="353"/>
      <c r="C729" s="353"/>
      <c r="D729" s="353"/>
      <c r="E729" s="353"/>
      <c r="F729" s="353"/>
    </row>
    <row r="730" spans="2:6">
      <c r="B730" s="353"/>
      <c r="C730" s="353"/>
      <c r="D730" s="353"/>
      <c r="E730" s="353"/>
      <c r="F730" s="353"/>
    </row>
    <row r="731" spans="2:6">
      <c r="B731" s="353"/>
      <c r="C731" s="353"/>
      <c r="D731" s="353"/>
      <c r="E731" s="353"/>
      <c r="F731" s="353"/>
    </row>
    <row r="732" spans="2:6">
      <c r="B732" s="353"/>
      <c r="C732" s="353"/>
      <c r="D732" s="353"/>
      <c r="E732" s="353"/>
      <c r="F732" s="353"/>
    </row>
    <row r="733" spans="2:6">
      <c r="B733" s="353"/>
      <c r="C733" s="353"/>
      <c r="D733" s="353"/>
      <c r="E733" s="353"/>
      <c r="F733" s="353"/>
    </row>
    <row r="734" spans="2:6">
      <c r="B734" s="353"/>
      <c r="C734" s="353"/>
      <c r="D734" s="353"/>
      <c r="E734" s="353"/>
      <c r="F734" s="353"/>
    </row>
    <row r="735" spans="2:6">
      <c r="B735" s="353"/>
      <c r="C735" s="353"/>
      <c r="D735" s="353"/>
      <c r="E735" s="353"/>
      <c r="F735" s="353"/>
    </row>
    <row r="736" spans="2:6">
      <c r="B736" s="353"/>
      <c r="C736" s="353"/>
      <c r="D736" s="353"/>
      <c r="E736" s="353"/>
      <c r="F736" s="353"/>
    </row>
    <row r="737" spans="2:6">
      <c r="B737" s="353"/>
      <c r="C737" s="353"/>
      <c r="D737" s="353"/>
      <c r="E737" s="353"/>
      <c r="F737" s="353"/>
    </row>
    <row r="738" spans="2:6">
      <c r="B738" s="353"/>
      <c r="C738" s="353"/>
      <c r="D738" s="353"/>
      <c r="E738" s="353"/>
      <c r="F738" s="353"/>
    </row>
    <row r="739" spans="2:6">
      <c r="B739" s="353"/>
      <c r="C739" s="353"/>
      <c r="D739" s="353"/>
      <c r="E739" s="353"/>
      <c r="F739" s="353"/>
    </row>
    <row r="740" spans="2:6">
      <c r="B740" s="353"/>
      <c r="C740" s="353"/>
      <c r="D740" s="353"/>
      <c r="E740" s="353"/>
      <c r="F740" s="353"/>
    </row>
    <row r="741" spans="2:6">
      <c r="B741" s="353"/>
      <c r="C741" s="353"/>
      <c r="D741" s="353"/>
      <c r="E741" s="353"/>
      <c r="F741" s="353"/>
    </row>
    <row r="742" spans="2:6">
      <c r="B742" s="353"/>
      <c r="C742" s="353"/>
      <c r="D742" s="353"/>
      <c r="E742" s="353"/>
      <c r="F742" s="353"/>
    </row>
    <row r="743" spans="2:6">
      <c r="B743" s="353"/>
      <c r="C743" s="353"/>
      <c r="D743" s="353"/>
      <c r="E743" s="353"/>
      <c r="F743" s="353"/>
    </row>
    <row r="744" spans="2:6">
      <c r="B744" s="353"/>
      <c r="C744" s="353"/>
      <c r="D744" s="353"/>
      <c r="E744" s="353"/>
      <c r="F744" s="353"/>
    </row>
    <row r="745" spans="2:6">
      <c r="B745" s="353"/>
      <c r="C745" s="353"/>
      <c r="D745" s="353"/>
      <c r="E745" s="353"/>
      <c r="F745" s="353"/>
    </row>
    <row r="746" spans="2:6">
      <c r="B746" s="353"/>
      <c r="C746" s="353"/>
      <c r="D746" s="353"/>
      <c r="E746" s="353"/>
      <c r="F746" s="353"/>
    </row>
    <row r="747" spans="2:6">
      <c r="B747" s="353"/>
      <c r="C747" s="353"/>
      <c r="D747" s="353"/>
      <c r="E747" s="353"/>
      <c r="F747" s="353"/>
    </row>
    <row r="748" spans="2:6">
      <c r="B748" s="353"/>
      <c r="C748" s="353"/>
      <c r="D748" s="353"/>
      <c r="E748" s="353"/>
      <c r="F748" s="353"/>
    </row>
    <row r="749" spans="2:6">
      <c r="B749" s="353"/>
      <c r="C749" s="353"/>
      <c r="D749" s="353"/>
      <c r="E749" s="353"/>
      <c r="F749" s="353"/>
    </row>
    <row r="750" spans="2:6">
      <c r="B750" s="353"/>
      <c r="C750" s="353"/>
      <c r="D750" s="353"/>
      <c r="E750" s="353"/>
      <c r="F750" s="353"/>
    </row>
    <row r="751" spans="2:6">
      <c r="B751" s="353"/>
      <c r="C751" s="353"/>
      <c r="D751" s="353"/>
      <c r="E751" s="353"/>
      <c r="F751" s="353"/>
    </row>
    <row r="752" spans="2:6">
      <c r="B752" s="353"/>
      <c r="C752" s="353"/>
      <c r="D752" s="353"/>
      <c r="E752" s="353"/>
      <c r="F752" s="353"/>
    </row>
    <row r="753" spans="2:6">
      <c r="B753" s="353"/>
      <c r="C753" s="353"/>
      <c r="D753" s="353"/>
      <c r="E753" s="353"/>
      <c r="F753" s="353"/>
    </row>
    <row r="754" spans="2:6">
      <c r="B754" s="353"/>
      <c r="C754" s="353"/>
      <c r="D754" s="353"/>
      <c r="E754" s="353"/>
      <c r="F754" s="353"/>
    </row>
    <row r="755" spans="2:6">
      <c r="B755" s="353"/>
      <c r="C755" s="353"/>
      <c r="D755" s="353"/>
      <c r="E755" s="353"/>
      <c r="F755" s="353"/>
    </row>
    <row r="756" spans="2:6">
      <c r="B756" s="353"/>
      <c r="C756" s="353"/>
      <c r="D756" s="353"/>
      <c r="E756" s="353"/>
      <c r="F756" s="353"/>
    </row>
    <row r="757" spans="2:6">
      <c r="B757" s="353"/>
      <c r="C757" s="353"/>
      <c r="D757" s="353"/>
      <c r="E757" s="353"/>
      <c r="F757" s="353"/>
    </row>
    <row r="758" spans="2:6">
      <c r="B758" s="353"/>
      <c r="C758" s="353"/>
      <c r="D758" s="353"/>
      <c r="E758" s="353"/>
      <c r="F758" s="353"/>
    </row>
    <row r="759" spans="2:6">
      <c r="B759" s="353"/>
      <c r="C759" s="353"/>
      <c r="D759" s="353"/>
      <c r="E759" s="353"/>
      <c r="F759" s="353"/>
    </row>
    <row r="760" spans="2:6">
      <c r="B760" s="353"/>
      <c r="C760" s="353"/>
      <c r="D760" s="353"/>
      <c r="E760" s="353"/>
      <c r="F760" s="353"/>
    </row>
    <row r="761" spans="2:6">
      <c r="B761" s="353"/>
      <c r="C761" s="353"/>
      <c r="D761" s="353"/>
      <c r="E761" s="353"/>
      <c r="F761" s="353"/>
    </row>
    <row r="762" spans="2:6">
      <c r="B762" s="353"/>
      <c r="C762" s="353"/>
      <c r="D762" s="353"/>
      <c r="E762" s="353"/>
      <c r="F762" s="353"/>
    </row>
    <row r="763" spans="2:6">
      <c r="B763" s="353"/>
      <c r="C763" s="353"/>
      <c r="D763" s="353"/>
      <c r="E763" s="353"/>
      <c r="F763" s="353"/>
    </row>
    <row r="764" spans="2:6">
      <c r="B764" s="353"/>
      <c r="C764" s="353"/>
      <c r="D764" s="353"/>
      <c r="E764" s="353"/>
      <c r="F764" s="353"/>
    </row>
    <row r="765" spans="2:6">
      <c r="B765" s="353"/>
      <c r="C765" s="353"/>
      <c r="D765" s="353"/>
      <c r="E765" s="353"/>
      <c r="F765" s="353"/>
    </row>
    <row r="766" spans="2:6">
      <c r="B766" s="353"/>
      <c r="C766" s="353"/>
      <c r="D766" s="353"/>
      <c r="E766" s="353"/>
      <c r="F766" s="353"/>
    </row>
    <row r="767" spans="2:6">
      <c r="B767" s="353"/>
      <c r="C767" s="353"/>
      <c r="D767" s="353"/>
      <c r="E767" s="353"/>
      <c r="F767" s="353"/>
    </row>
    <row r="768" spans="2:6">
      <c r="B768" s="353"/>
      <c r="C768" s="353"/>
      <c r="D768" s="353"/>
      <c r="E768" s="353"/>
      <c r="F768" s="353"/>
    </row>
    <row r="769" spans="2:6">
      <c r="B769" s="353"/>
      <c r="C769" s="353"/>
      <c r="D769" s="353"/>
      <c r="E769" s="353"/>
      <c r="F769" s="353"/>
    </row>
    <row r="770" spans="2:6">
      <c r="B770" s="353"/>
      <c r="C770" s="353"/>
      <c r="D770" s="353"/>
      <c r="E770" s="353"/>
      <c r="F770" s="353"/>
    </row>
    <row r="771" spans="2:6">
      <c r="B771" s="353"/>
      <c r="C771" s="353"/>
      <c r="D771" s="353"/>
      <c r="E771" s="353"/>
      <c r="F771" s="353"/>
    </row>
    <row r="772" spans="2:6">
      <c r="B772" s="353"/>
      <c r="C772" s="353"/>
      <c r="D772" s="353"/>
      <c r="E772" s="353"/>
      <c r="F772" s="353"/>
    </row>
    <row r="773" spans="2:6">
      <c r="B773" s="353"/>
      <c r="C773" s="353"/>
      <c r="D773" s="353"/>
      <c r="E773" s="353"/>
      <c r="F773" s="353"/>
    </row>
    <row r="774" spans="2:6">
      <c r="B774" s="353"/>
      <c r="C774" s="353"/>
      <c r="D774" s="353"/>
      <c r="E774" s="353"/>
      <c r="F774" s="353"/>
    </row>
    <row r="775" spans="2:6">
      <c r="B775" s="353"/>
      <c r="C775" s="353"/>
      <c r="D775" s="353"/>
      <c r="E775" s="353"/>
      <c r="F775" s="353"/>
    </row>
    <row r="776" spans="2:6">
      <c r="B776" s="353"/>
      <c r="C776" s="353"/>
      <c r="D776" s="353"/>
      <c r="E776" s="353"/>
      <c r="F776" s="353"/>
    </row>
    <row r="777" spans="2:6">
      <c r="B777" s="353"/>
      <c r="C777" s="353"/>
      <c r="D777" s="353"/>
      <c r="E777" s="353"/>
      <c r="F777" s="353"/>
    </row>
    <row r="778" spans="2:6">
      <c r="B778" s="353"/>
      <c r="C778" s="353"/>
      <c r="D778" s="353"/>
      <c r="E778" s="353"/>
      <c r="F778" s="353"/>
    </row>
    <row r="779" spans="2:6">
      <c r="B779" s="353"/>
      <c r="C779" s="353"/>
      <c r="D779" s="353"/>
      <c r="E779" s="353"/>
      <c r="F779" s="353"/>
    </row>
    <row r="780" spans="2:6">
      <c r="B780" s="353"/>
      <c r="C780" s="353"/>
      <c r="D780" s="353"/>
      <c r="E780" s="353"/>
      <c r="F780" s="353"/>
    </row>
    <row r="781" spans="2:6">
      <c r="B781" s="353"/>
      <c r="C781" s="353"/>
      <c r="D781" s="353"/>
      <c r="E781" s="353"/>
      <c r="F781" s="353"/>
    </row>
    <row r="782" spans="2:6">
      <c r="B782" s="353"/>
      <c r="C782" s="353"/>
      <c r="D782" s="353"/>
      <c r="E782" s="353"/>
      <c r="F782" s="353"/>
    </row>
    <row r="783" spans="2:6">
      <c r="B783" s="353"/>
      <c r="C783" s="353"/>
      <c r="D783" s="353"/>
      <c r="E783" s="353"/>
      <c r="F783" s="353"/>
    </row>
    <row r="784" spans="2:6">
      <c r="B784" s="353"/>
      <c r="C784" s="353"/>
      <c r="D784" s="353"/>
      <c r="E784" s="353"/>
      <c r="F784" s="353"/>
    </row>
    <row r="785" spans="2:6">
      <c r="B785" s="353"/>
      <c r="C785" s="353"/>
      <c r="D785" s="353"/>
      <c r="E785" s="353"/>
      <c r="F785" s="353"/>
    </row>
    <row r="786" spans="2:6">
      <c r="B786" s="353"/>
      <c r="C786" s="353"/>
      <c r="D786" s="353"/>
      <c r="E786" s="353"/>
      <c r="F786" s="353"/>
    </row>
    <row r="787" spans="2:6">
      <c r="B787" s="353"/>
      <c r="C787" s="353"/>
      <c r="D787" s="353"/>
      <c r="E787" s="353"/>
      <c r="F787" s="353"/>
    </row>
    <row r="788" spans="2:6">
      <c r="B788" s="353"/>
      <c r="C788" s="353"/>
      <c r="D788" s="353"/>
      <c r="E788" s="353"/>
      <c r="F788" s="353"/>
    </row>
    <row r="789" spans="2:6">
      <c r="B789" s="353"/>
      <c r="C789" s="353"/>
      <c r="D789" s="353"/>
      <c r="E789" s="353"/>
      <c r="F789" s="353"/>
    </row>
    <row r="790" spans="2:6">
      <c r="B790" s="353"/>
      <c r="C790" s="353"/>
      <c r="D790" s="353"/>
      <c r="E790" s="353"/>
      <c r="F790" s="353"/>
    </row>
    <row r="791" spans="2:6">
      <c r="B791" s="353"/>
      <c r="C791" s="353"/>
      <c r="D791" s="353"/>
      <c r="E791" s="353"/>
      <c r="F791" s="353"/>
    </row>
    <row r="792" spans="2:6">
      <c r="B792" s="353"/>
      <c r="C792" s="353"/>
      <c r="D792" s="353"/>
      <c r="E792" s="353"/>
      <c r="F792" s="353"/>
    </row>
    <row r="793" spans="2:6">
      <c r="B793" s="353"/>
      <c r="C793" s="353"/>
      <c r="D793" s="353"/>
      <c r="E793" s="353"/>
      <c r="F793" s="353"/>
    </row>
    <row r="794" spans="2:6">
      <c r="B794" s="353"/>
      <c r="C794" s="353"/>
      <c r="D794" s="353"/>
      <c r="E794" s="353"/>
      <c r="F794" s="353"/>
    </row>
    <row r="795" spans="2:6">
      <c r="B795" s="353"/>
      <c r="C795" s="353"/>
      <c r="D795" s="353"/>
      <c r="E795" s="353"/>
      <c r="F795" s="353"/>
    </row>
    <row r="796" spans="2:6">
      <c r="B796" s="353"/>
      <c r="C796" s="353"/>
      <c r="D796" s="353"/>
      <c r="E796" s="353"/>
      <c r="F796" s="353"/>
    </row>
    <row r="797" spans="2:6">
      <c r="B797" s="353"/>
      <c r="C797" s="353"/>
      <c r="D797" s="353"/>
      <c r="E797" s="353"/>
      <c r="F797" s="353"/>
    </row>
    <row r="798" spans="2:6">
      <c r="B798" s="353"/>
      <c r="C798" s="353"/>
      <c r="D798" s="353"/>
      <c r="E798" s="353"/>
      <c r="F798" s="353"/>
    </row>
    <row r="799" spans="2:6">
      <c r="B799" s="353"/>
      <c r="C799" s="353"/>
      <c r="D799" s="353"/>
      <c r="E799" s="353"/>
      <c r="F799" s="353"/>
    </row>
    <row r="800" spans="2:6">
      <c r="B800" s="353"/>
      <c r="C800" s="353"/>
      <c r="D800" s="353"/>
      <c r="E800" s="353"/>
      <c r="F800" s="353"/>
    </row>
    <row r="801" spans="2:6">
      <c r="B801" s="353"/>
      <c r="C801" s="353"/>
      <c r="D801" s="353"/>
      <c r="E801" s="353"/>
      <c r="F801" s="353"/>
    </row>
    <row r="802" spans="2:6">
      <c r="B802" s="353"/>
      <c r="C802" s="353"/>
      <c r="D802" s="353"/>
      <c r="E802" s="353"/>
      <c r="F802" s="353"/>
    </row>
    <row r="803" spans="2:6">
      <c r="B803" s="353"/>
      <c r="C803" s="353"/>
      <c r="D803" s="353"/>
      <c r="E803" s="353"/>
      <c r="F803" s="353"/>
    </row>
    <row r="804" spans="2:6">
      <c r="B804" s="353"/>
      <c r="C804" s="353"/>
      <c r="D804" s="353"/>
      <c r="E804" s="353"/>
      <c r="F804" s="353"/>
    </row>
    <row r="805" spans="2:6">
      <c r="B805" s="353"/>
      <c r="C805" s="353"/>
      <c r="D805" s="353"/>
      <c r="E805" s="353"/>
      <c r="F805" s="353"/>
    </row>
    <row r="806" spans="2:6">
      <c r="B806" s="353"/>
      <c r="C806" s="353"/>
      <c r="D806" s="353"/>
      <c r="E806" s="353"/>
      <c r="F806" s="353"/>
    </row>
    <row r="807" spans="2:6">
      <c r="B807" s="353"/>
      <c r="C807" s="353"/>
      <c r="D807" s="353"/>
      <c r="E807" s="353"/>
      <c r="F807" s="353"/>
    </row>
    <row r="808" spans="2:6">
      <c r="B808" s="353"/>
      <c r="C808" s="353"/>
      <c r="D808" s="353"/>
      <c r="E808" s="353"/>
      <c r="F808" s="353"/>
    </row>
    <row r="809" spans="2:6">
      <c r="B809" s="353"/>
      <c r="C809" s="353"/>
      <c r="D809" s="353"/>
      <c r="E809" s="353"/>
      <c r="F809" s="353"/>
    </row>
    <row r="810" spans="2:6">
      <c r="B810" s="353"/>
      <c r="C810" s="353"/>
      <c r="D810" s="353"/>
      <c r="E810" s="353"/>
      <c r="F810" s="353"/>
    </row>
    <row r="811" spans="2:6">
      <c r="B811" s="353"/>
      <c r="C811" s="353"/>
      <c r="D811" s="353"/>
      <c r="E811" s="353"/>
      <c r="F811" s="353"/>
    </row>
    <row r="812" spans="2:6">
      <c r="B812" s="353"/>
      <c r="C812" s="353"/>
      <c r="D812" s="353"/>
      <c r="E812" s="353"/>
      <c r="F812" s="353"/>
    </row>
    <row r="813" spans="2:6">
      <c r="B813" s="353"/>
      <c r="C813" s="353"/>
      <c r="D813" s="353"/>
      <c r="E813" s="353"/>
      <c r="F813" s="353"/>
    </row>
    <row r="814" spans="2:6">
      <c r="B814" s="353"/>
      <c r="C814" s="353"/>
      <c r="D814" s="353"/>
      <c r="E814" s="353"/>
      <c r="F814" s="353"/>
    </row>
    <row r="815" spans="2:6">
      <c r="B815" s="353"/>
      <c r="C815" s="353"/>
      <c r="D815" s="353"/>
      <c r="E815" s="353"/>
      <c r="F815" s="353"/>
    </row>
    <row r="816" spans="2:6">
      <c r="B816" s="353"/>
      <c r="C816" s="353"/>
      <c r="D816" s="353"/>
      <c r="E816" s="353"/>
      <c r="F816" s="353"/>
    </row>
    <row r="817" spans="2:6">
      <c r="B817" s="353"/>
      <c r="C817" s="353"/>
      <c r="D817" s="353"/>
      <c r="E817" s="353"/>
      <c r="F817" s="353"/>
    </row>
    <row r="818" spans="2:6">
      <c r="B818" s="353"/>
      <c r="C818" s="353"/>
      <c r="D818" s="353"/>
      <c r="E818" s="353"/>
      <c r="F818" s="353"/>
    </row>
    <row r="819" spans="2:6">
      <c r="B819" s="353"/>
      <c r="C819" s="353"/>
      <c r="D819" s="353"/>
      <c r="E819" s="353"/>
      <c r="F819" s="353"/>
    </row>
    <row r="820" spans="2:6">
      <c r="B820" s="353"/>
      <c r="C820" s="353"/>
      <c r="D820" s="353"/>
      <c r="E820" s="353"/>
      <c r="F820" s="353"/>
    </row>
    <row r="821" spans="2:6">
      <c r="B821" s="353"/>
      <c r="C821" s="353"/>
      <c r="D821" s="353"/>
      <c r="E821" s="353"/>
      <c r="F821" s="353"/>
    </row>
    <row r="822" spans="2:6">
      <c r="B822" s="353"/>
      <c r="C822" s="353"/>
      <c r="D822" s="353"/>
      <c r="E822" s="353"/>
      <c r="F822" s="353"/>
    </row>
    <row r="823" spans="2:6">
      <c r="B823" s="353"/>
      <c r="C823" s="353"/>
      <c r="D823" s="353"/>
      <c r="E823" s="353"/>
      <c r="F823" s="353"/>
    </row>
    <row r="824" spans="2:6">
      <c r="B824" s="353"/>
      <c r="C824" s="353"/>
      <c r="D824" s="353"/>
      <c r="E824" s="353"/>
      <c r="F824" s="353"/>
    </row>
    <row r="825" spans="2:6">
      <c r="B825" s="353"/>
      <c r="C825" s="353"/>
      <c r="D825" s="353"/>
      <c r="E825" s="353"/>
      <c r="F825" s="353"/>
    </row>
    <row r="826" spans="2:6">
      <c r="B826" s="353"/>
      <c r="C826" s="353"/>
      <c r="D826" s="353"/>
      <c r="E826" s="353"/>
      <c r="F826" s="353"/>
    </row>
    <row r="827" spans="2:6">
      <c r="B827" s="353"/>
      <c r="C827" s="353"/>
      <c r="D827" s="353"/>
      <c r="E827" s="353"/>
      <c r="F827" s="353"/>
    </row>
    <row r="828" spans="2:6">
      <c r="B828" s="353"/>
      <c r="C828" s="353"/>
      <c r="D828" s="353"/>
      <c r="E828" s="353"/>
      <c r="F828" s="353"/>
    </row>
    <row r="829" spans="2:6">
      <c r="B829" s="353"/>
      <c r="C829" s="353"/>
      <c r="D829" s="353"/>
      <c r="E829" s="353"/>
      <c r="F829" s="353"/>
    </row>
    <row r="830" spans="2:6">
      <c r="B830" s="353"/>
      <c r="C830" s="353"/>
      <c r="D830" s="353"/>
      <c r="E830" s="353"/>
      <c r="F830" s="353"/>
    </row>
    <row r="831" spans="2:6">
      <c r="B831" s="353"/>
      <c r="C831" s="353"/>
      <c r="D831" s="353"/>
      <c r="E831" s="353"/>
      <c r="F831" s="353"/>
    </row>
    <row r="832" spans="2:6">
      <c r="B832" s="353"/>
      <c r="C832" s="353"/>
      <c r="D832" s="353"/>
      <c r="E832" s="353"/>
      <c r="F832" s="353"/>
    </row>
    <row r="833" spans="2:6">
      <c r="B833" s="353"/>
      <c r="C833" s="353"/>
      <c r="D833" s="353"/>
      <c r="E833" s="353"/>
      <c r="F833" s="353"/>
    </row>
    <row r="834" spans="2:6">
      <c r="B834" s="353"/>
      <c r="C834" s="353"/>
      <c r="D834" s="353"/>
      <c r="E834" s="353"/>
      <c r="F834" s="353"/>
    </row>
    <row r="835" spans="2:6">
      <c r="B835" s="353"/>
      <c r="C835" s="353"/>
      <c r="D835" s="353"/>
      <c r="E835" s="353"/>
      <c r="F835" s="353"/>
    </row>
    <row r="836" spans="2:6">
      <c r="B836" s="353"/>
      <c r="C836" s="353"/>
      <c r="D836" s="353"/>
      <c r="E836" s="353"/>
      <c r="F836" s="353"/>
    </row>
    <row r="837" spans="2:6">
      <c r="B837" s="353"/>
      <c r="C837" s="353"/>
      <c r="D837" s="353"/>
      <c r="E837" s="353"/>
      <c r="F837" s="353"/>
    </row>
    <row r="838" spans="2:6">
      <c r="B838" s="353"/>
      <c r="C838" s="353"/>
      <c r="D838" s="353"/>
      <c r="E838" s="353"/>
      <c r="F838" s="353"/>
    </row>
    <row r="839" spans="2:6">
      <c r="B839" s="353"/>
      <c r="C839" s="353"/>
      <c r="D839" s="353"/>
      <c r="E839" s="353"/>
      <c r="F839" s="353"/>
    </row>
    <row r="840" spans="2:6">
      <c r="B840" s="353"/>
      <c r="C840" s="353"/>
      <c r="D840" s="353"/>
      <c r="E840" s="353"/>
      <c r="F840" s="353"/>
    </row>
    <row r="841" spans="2:6">
      <c r="B841" s="353"/>
      <c r="C841" s="353"/>
      <c r="D841" s="353"/>
      <c r="E841" s="353"/>
      <c r="F841" s="353"/>
    </row>
    <row r="842" spans="2:6">
      <c r="B842" s="353"/>
      <c r="C842" s="353"/>
      <c r="D842" s="353"/>
      <c r="E842" s="353"/>
      <c r="F842" s="353"/>
    </row>
    <row r="843" spans="2:6">
      <c r="B843" s="353"/>
      <c r="C843" s="353"/>
      <c r="D843" s="353"/>
      <c r="E843" s="353"/>
      <c r="F843" s="353"/>
    </row>
    <row r="844" spans="2:6">
      <c r="B844" s="353"/>
      <c r="C844" s="353"/>
      <c r="D844" s="353"/>
      <c r="E844" s="353"/>
      <c r="F844" s="353"/>
    </row>
    <row r="845" spans="2:6">
      <c r="B845" s="353"/>
      <c r="C845" s="353"/>
      <c r="D845" s="353"/>
      <c r="E845" s="353"/>
      <c r="F845" s="353"/>
    </row>
    <row r="846" spans="2:6">
      <c r="B846" s="353"/>
      <c r="C846" s="353"/>
      <c r="D846" s="353"/>
      <c r="E846" s="353"/>
      <c r="F846" s="353"/>
    </row>
    <row r="847" spans="2:6">
      <c r="B847" s="353"/>
      <c r="C847" s="353"/>
      <c r="D847" s="353"/>
      <c r="E847" s="353"/>
      <c r="F847" s="353"/>
    </row>
    <row r="848" spans="2:6">
      <c r="B848" s="353"/>
      <c r="C848" s="353"/>
      <c r="D848" s="353"/>
      <c r="E848" s="353"/>
      <c r="F848" s="353"/>
    </row>
    <row r="849" spans="2:6">
      <c r="B849" s="353"/>
      <c r="C849" s="353"/>
      <c r="D849" s="353"/>
      <c r="E849" s="353"/>
      <c r="F849" s="353"/>
    </row>
    <row r="850" spans="2:6">
      <c r="B850" s="353"/>
      <c r="C850" s="353"/>
      <c r="D850" s="353"/>
      <c r="E850" s="353"/>
      <c r="F850" s="353"/>
    </row>
    <row r="851" spans="2:6">
      <c r="B851" s="353"/>
      <c r="C851" s="353"/>
      <c r="D851" s="353"/>
      <c r="E851" s="353"/>
      <c r="F851" s="353"/>
    </row>
    <row r="852" spans="2:6">
      <c r="B852" s="353"/>
      <c r="C852" s="353"/>
      <c r="D852" s="353"/>
      <c r="E852" s="353"/>
      <c r="F852" s="353"/>
    </row>
    <row r="853" spans="2:6">
      <c r="B853" s="353"/>
      <c r="C853" s="353"/>
      <c r="D853" s="353"/>
      <c r="E853" s="353"/>
      <c r="F853" s="353"/>
    </row>
    <row r="854" spans="2:6">
      <c r="B854" s="353"/>
      <c r="C854" s="353"/>
      <c r="D854" s="353"/>
      <c r="E854" s="353"/>
      <c r="F854" s="353"/>
    </row>
    <row r="855" spans="2:6">
      <c r="B855" s="353"/>
      <c r="C855" s="353"/>
      <c r="D855" s="353"/>
      <c r="E855" s="353"/>
      <c r="F855" s="353"/>
    </row>
    <row r="856" spans="2:6">
      <c r="B856" s="353"/>
      <c r="C856" s="353"/>
      <c r="D856" s="353"/>
      <c r="E856" s="353"/>
      <c r="F856" s="353"/>
    </row>
    <row r="857" spans="2:6">
      <c r="B857" s="353"/>
      <c r="C857" s="353"/>
      <c r="D857" s="353"/>
      <c r="E857" s="353"/>
      <c r="F857" s="353"/>
    </row>
    <row r="858" spans="2:6">
      <c r="B858" s="353"/>
      <c r="C858" s="353"/>
      <c r="D858" s="353"/>
      <c r="E858" s="353"/>
      <c r="F858" s="353"/>
    </row>
    <row r="859" spans="2:6">
      <c r="B859" s="353"/>
      <c r="C859" s="353"/>
      <c r="D859" s="353"/>
      <c r="E859" s="353"/>
      <c r="F859" s="353"/>
    </row>
    <row r="860" spans="2:6">
      <c r="B860" s="353"/>
      <c r="C860" s="353"/>
      <c r="D860" s="353"/>
      <c r="E860" s="353"/>
      <c r="F860" s="353"/>
    </row>
    <row r="861" spans="2:6">
      <c r="B861" s="353"/>
      <c r="C861" s="353"/>
      <c r="D861" s="353"/>
      <c r="E861" s="353"/>
      <c r="F861" s="353"/>
    </row>
    <row r="862" spans="2:6">
      <c r="B862" s="353"/>
      <c r="C862" s="353"/>
      <c r="D862" s="353"/>
      <c r="E862" s="353"/>
      <c r="F862" s="353"/>
    </row>
    <row r="863" spans="2:6">
      <c r="B863" s="353"/>
      <c r="C863" s="353"/>
      <c r="D863" s="353"/>
      <c r="E863" s="353"/>
      <c r="F863" s="353"/>
    </row>
    <row r="864" spans="2:6">
      <c r="B864" s="353"/>
      <c r="C864" s="353"/>
      <c r="D864" s="353"/>
      <c r="E864" s="353"/>
      <c r="F864" s="353"/>
    </row>
    <row r="865" spans="2:6">
      <c r="B865" s="353"/>
      <c r="C865" s="353"/>
      <c r="D865" s="353"/>
      <c r="E865" s="353"/>
      <c r="F865" s="353"/>
    </row>
    <row r="866" spans="2:6">
      <c r="B866" s="353"/>
      <c r="C866" s="353"/>
      <c r="D866" s="353"/>
      <c r="E866" s="353"/>
      <c r="F866" s="353"/>
    </row>
    <row r="867" spans="2:6">
      <c r="B867" s="353"/>
      <c r="C867" s="353"/>
      <c r="D867" s="353"/>
      <c r="E867" s="353"/>
      <c r="F867" s="353"/>
    </row>
    <row r="868" spans="2:6">
      <c r="B868" s="353"/>
      <c r="C868" s="353"/>
      <c r="D868" s="353"/>
      <c r="E868" s="353"/>
      <c r="F868" s="353"/>
    </row>
    <row r="869" spans="2:6">
      <c r="B869" s="353"/>
      <c r="C869" s="353"/>
      <c r="D869" s="353"/>
      <c r="E869" s="353"/>
      <c r="F869" s="353"/>
    </row>
    <row r="870" spans="2:6">
      <c r="B870" s="353"/>
      <c r="C870" s="353"/>
      <c r="D870" s="353"/>
      <c r="E870" s="353"/>
      <c r="F870" s="353"/>
    </row>
    <row r="871" spans="2:6">
      <c r="B871" s="353"/>
      <c r="C871" s="353"/>
      <c r="D871" s="353"/>
      <c r="E871" s="353"/>
      <c r="F871" s="353"/>
    </row>
    <row r="872" spans="2:6">
      <c r="B872" s="353"/>
      <c r="C872" s="353"/>
      <c r="D872" s="353"/>
      <c r="E872" s="353"/>
      <c r="F872" s="353"/>
    </row>
    <row r="873" spans="2:6">
      <c r="B873" s="353"/>
      <c r="C873" s="353"/>
      <c r="D873" s="353"/>
      <c r="E873" s="353"/>
      <c r="F873" s="353"/>
    </row>
    <row r="874" spans="2:6">
      <c r="B874" s="353"/>
      <c r="C874" s="353"/>
      <c r="D874" s="353"/>
      <c r="E874" s="353"/>
      <c r="F874" s="353"/>
    </row>
    <row r="875" spans="2:6">
      <c r="B875" s="353"/>
      <c r="C875" s="353"/>
      <c r="D875" s="353"/>
      <c r="E875" s="353"/>
      <c r="F875" s="353"/>
    </row>
    <row r="876" spans="2:6">
      <c r="B876" s="353"/>
      <c r="C876" s="353"/>
      <c r="D876" s="353"/>
      <c r="E876" s="353"/>
      <c r="F876" s="353"/>
    </row>
    <row r="877" spans="2:6">
      <c r="B877" s="353"/>
      <c r="C877" s="353"/>
      <c r="D877" s="353"/>
      <c r="E877" s="353"/>
      <c r="F877" s="353"/>
    </row>
    <row r="878" spans="2:6">
      <c r="B878" s="353"/>
      <c r="C878" s="353"/>
      <c r="D878" s="353"/>
      <c r="E878" s="353"/>
      <c r="F878" s="353"/>
    </row>
    <row r="879" spans="2:6">
      <c r="B879" s="353"/>
      <c r="C879" s="353"/>
      <c r="D879" s="353"/>
      <c r="E879" s="353"/>
      <c r="F879" s="353"/>
    </row>
    <row r="880" spans="2:6">
      <c r="B880" s="353"/>
      <c r="C880" s="353"/>
      <c r="D880" s="353"/>
      <c r="E880" s="353"/>
      <c r="F880" s="353"/>
    </row>
    <row r="881" spans="2:6">
      <c r="B881" s="353"/>
      <c r="C881" s="353"/>
      <c r="D881" s="353"/>
      <c r="E881" s="353"/>
      <c r="F881" s="353"/>
    </row>
    <row r="882" spans="2:6">
      <c r="B882" s="353"/>
      <c r="C882" s="353"/>
      <c r="D882" s="353"/>
      <c r="E882" s="353"/>
      <c r="F882" s="353"/>
    </row>
    <row r="883" spans="2:6">
      <c r="B883" s="353"/>
      <c r="C883" s="353"/>
      <c r="D883" s="353"/>
      <c r="E883" s="353"/>
      <c r="F883" s="353"/>
    </row>
    <row r="884" spans="2:6">
      <c r="B884" s="353"/>
      <c r="C884" s="353"/>
      <c r="D884" s="353"/>
      <c r="E884" s="353"/>
      <c r="F884" s="353"/>
    </row>
    <row r="885" spans="2:6">
      <c r="B885" s="353"/>
      <c r="C885" s="353"/>
      <c r="D885" s="353"/>
      <c r="E885" s="353"/>
      <c r="F885" s="353"/>
    </row>
    <row r="886" spans="2:6">
      <c r="B886" s="353"/>
      <c r="C886" s="353"/>
      <c r="D886" s="353"/>
      <c r="E886" s="353"/>
      <c r="F886" s="353"/>
    </row>
    <row r="887" spans="2:6">
      <c r="B887" s="353"/>
      <c r="C887" s="353"/>
      <c r="D887" s="353"/>
      <c r="E887" s="353"/>
      <c r="F887" s="353"/>
    </row>
    <row r="888" spans="2:6">
      <c r="B888" s="353"/>
      <c r="C888" s="353"/>
      <c r="D888" s="353"/>
      <c r="E888" s="353"/>
      <c r="F888" s="353"/>
    </row>
    <row r="889" spans="2:6">
      <c r="B889" s="353"/>
      <c r="C889" s="353"/>
      <c r="D889" s="353"/>
      <c r="E889" s="353"/>
      <c r="F889" s="353"/>
    </row>
    <row r="890" spans="2:6">
      <c r="B890" s="353"/>
      <c r="C890" s="353"/>
      <c r="D890" s="353"/>
      <c r="E890" s="353"/>
      <c r="F890" s="353"/>
    </row>
    <row r="891" spans="2:6">
      <c r="B891" s="353"/>
      <c r="C891" s="353"/>
      <c r="D891" s="353"/>
      <c r="E891" s="353"/>
      <c r="F891" s="353"/>
    </row>
    <row r="892" spans="2:6">
      <c r="B892" s="353"/>
      <c r="C892" s="353"/>
      <c r="D892" s="353"/>
      <c r="E892" s="353"/>
      <c r="F892" s="353"/>
    </row>
    <row r="893" spans="2:6">
      <c r="B893" s="353"/>
      <c r="C893" s="353"/>
      <c r="D893" s="353"/>
      <c r="E893" s="353"/>
      <c r="F893" s="353"/>
    </row>
    <row r="894" spans="2:6">
      <c r="B894" s="353"/>
      <c r="C894" s="353"/>
      <c r="D894" s="353"/>
      <c r="E894" s="353"/>
      <c r="F894" s="353"/>
    </row>
    <row r="895" spans="2:6">
      <c r="B895" s="353"/>
      <c r="C895" s="353"/>
      <c r="D895" s="353"/>
      <c r="E895" s="353"/>
      <c r="F895" s="353"/>
    </row>
    <row r="896" spans="2:6">
      <c r="B896" s="353"/>
      <c r="C896" s="353"/>
      <c r="D896" s="353"/>
      <c r="E896" s="353"/>
      <c r="F896" s="353"/>
    </row>
    <row r="897" spans="2:6">
      <c r="B897" s="353"/>
      <c r="C897" s="353"/>
      <c r="D897" s="353"/>
      <c r="E897" s="353"/>
      <c r="F897" s="353"/>
    </row>
    <row r="898" spans="2:6">
      <c r="B898" s="353"/>
      <c r="C898" s="353"/>
      <c r="D898" s="353"/>
      <c r="E898" s="353"/>
      <c r="F898" s="353"/>
    </row>
    <row r="899" spans="2:6">
      <c r="B899" s="353"/>
      <c r="C899" s="353"/>
      <c r="D899" s="353"/>
      <c r="E899" s="353"/>
      <c r="F899" s="353"/>
    </row>
    <row r="900" spans="2:6">
      <c r="B900" s="353"/>
      <c r="C900" s="353"/>
      <c r="D900" s="353"/>
      <c r="E900" s="353"/>
      <c r="F900" s="353"/>
    </row>
    <row r="901" spans="2:6">
      <c r="B901" s="353"/>
      <c r="C901" s="353"/>
      <c r="D901" s="353"/>
      <c r="E901" s="353"/>
      <c r="F901" s="353"/>
    </row>
    <row r="902" spans="2:6">
      <c r="B902" s="353"/>
      <c r="C902" s="353"/>
      <c r="D902" s="353"/>
      <c r="E902" s="353"/>
      <c r="F902" s="353"/>
    </row>
    <row r="903" spans="2:6">
      <c r="B903" s="353"/>
      <c r="C903" s="353"/>
      <c r="D903" s="353"/>
      <c r="E903" s="353"/>
      <c r="F903" s="353"/>
    </row>
    <row r="904" spans="2:6">
      <c r="B904" s="353"/>
      <c r="C904" s="353"/>
      <c r="D904" s="353"/>
      <c r="E904" s="353"/>
      <c r="F904" s="353"/>
    </row>
    <row r="905" spans="2:6">
      <c r="B905" s="353"/>
      <c r="C905" s="353"/>
      <c r="D905" s="353"/>
      <c r="E905" s="353"/>
      <c r="F905" s="353"/>
    </row>
    <row r="906" spans="2:6">
      <c r="B906" s="353"/>
      <c r="C906" s="353"/>
      <c r="D906" s="353"/>
      <c r="E906" s="353"/>
      <c r="F906" s="353"/>
    </row>
    <row r="907" spans="2:6">
      <c r="B907" s="353"/>
      <c r="C907" s="353"/>
      <c r="D907" s="353"/>
      <c r="E907" s="353"/>
      <c r="F907" s="353"/>
    </row>
    <row r="908" spans="2:6">
      <c r="B908" s="353"/>
      <c r="C908" s="353"/>
      <c r="D908" s="353"/>
      <c r="E908" s="353"/>
      <c r="F908" s="353"/>
    </row>
    <row r="909" spans="2:6">
      <c r="B909" s="353"/>
      <c r="C909" s="353"/>
      <c r="D909" s="353"/>
      <c r="E909" s="353"/>
      <c r="F909" s="353"/>
    </row>
    <row r="910" spans="2:6">
      <c r="B910" s="353"/>
      <c r="C910" s="353"/>
      <c r="D910" s="353"/>
      <c r="E910" s="353"/>
      <c r="F910" s="353"/>
    </row>
    <row r="911" spans="2:6">
      <c r="B911" s="353"/>
      <c r="C911" s="353"/>
      <c r="D911" s="353"/>
      <c r="E911" s="353"/>
      <c r="F911" s="353"/>
    </row>
    <row r="912" spans="2:6">
      <c r="B912" s="353"/>
      <c r="C912" s="353"/>
      <c r="D912" s="353"/>
      <c r="E912" s="353"/>
      <c r="F912" s="353"/>
    </row>
    <row r="913" spans="2:6">
      <c r="B913" s="353"/>
      <c r="C913" s="353"/>
      <c r="D913" s="353"/>
      <c r="E913" s="353"/>
      <c r="F913" s="353"/>
    </row>
    <row r="914" spans="2:6">
      <c r="B914" s="353"/>
      <c r="C914" s="353"/>
      <c r="D914" s="353"/>
      <c r="E914" s="353"/>
      <c r="F914" s="353"/>
    </row>
    <row r="915" spans="2:6">
      <c r="B915" s="353"/>
      <c r="C915" s="353"/>
      <c r="D915" s="353"/>
      <c r="E915" s="353"/>
      <c r="F915" s="353"/>
    </row>
    <row r="916" spans="2:6">
      <c r="B916" s="353"/>
      <c r="C916" s="353"/>
      <c r="D916" s="353"/>
      <c r="E916" s="353"/>
      <c r="F916" s="353"/>
    </row>
    <row r="917" spans="2:6">
      <c r="B917" s="353"/>
      <c r="C917" s="353"/>
      <c r="D917" s="353"/>
      <c r="E917" s="353"/>
      <c r="F917" s="353"/>
    </row>
    <row r="918" spans="2:6">
      <c r="B918" s="353"/>
      <c r="C918" s="353"/>
      <c r="D918" s="353"/>
      <c r="E918" s="353"/>
      <c r="F918" s="353"/>
    </row>
    <row r="919" spans="2:6">
      <c r="B919" s="353"/>
      <c r="C919" s="353"/>
      <c r="D919" s="353"/>
      <c r="E919" s="353"/>
      <c r="F919" s="353"/>
    </row>
    <row r="920" spans="2:6">
      <c r="B920" s="353"/>
      <c r="C920" s="353"/>
      <c r="D920" s="353"/>
      <c r="E920" s="353"/>
      <c r="F920" s="353"/>
    </row>
    <row r="921" spans="2:6">
      <c r="B921" s="353"/>
      <c r="C921" s="353"/>
      <c r="D921" s="353"/>
      <c r="E921" s="353"/>
      <c r="F921" s="353"/>
    </row>
    <row r="922" spans="2:6">
      <c r="B922" s="353"/>
      <c r="C922" s="353"/>
      <c r="D922" s="353"/>
      <c r="E922" s="353"/>
      <c r="F922" s="353"/>
    </row>
    <row r="923" spans="2:6">
      <c r="B923" s="353"/>
      <c r="C923" s="353"/>
      <c r="D923" s="353"/>
      <c r="E923" s="353"/>
      <c r="F923" s="353"/>
    </row>
    <row r="924" spans="2:6">
      <c r="B924" s="353"/>
      <c r="C924" s="353"/>
      <c r="D924" s="353"/>
      <c r="E924" s="353"/>
      <c r="F924" s="353"/>
    </row>
    <row r="925" spans="2:6">
      <c r="B925" s="353"/>
      <c r="C925" s="353"/>
      <c r="D925" s="353"/>
      <c r="E925" s="353"/>
      <c r="F925" s="353"/>
    </row>
    <row r="926" spans="2:6">
      <c r="B926" s="353"/>
      <c r="C926" s="353"/>
      <c r="D926" s="353"/>
      <c r="E926" s="353"/>
      <c r="F926" s="353"/>
    </row>
    <row r="927" spans="2:6">
      <c r="B927" s="353"/>
      <c r="C927" s="353"/>
      <c r="D927" s="353"/>
      <c r="E927" s="353"/>
      <c r="F927" s="353"/>
    </row>
    <row r="928" spans="2:6">
      <c r="B928" s="353"/>
      <c r="C928" s="353"/>
      <c r="D928" s="353"/>
      <c r="E928" s="353"/>
      <c r="F928" s="353"/>
    </row>
    <row r="929" spans="2:6">
      <c r="B929" s="353"/>
      <c r="C929" s="353"/>
      <c r="D929" s="353"/>
      <c r="E929" s="353"/>
      <c r="F929" s="353"/>
    </row>
    <row r="930" spans="2:6">
      <c r="B930" s="353"/>
      <c r="C930" s="353"/>
      <c r="D930" s="353"/>
      <c r="E930" s="353"/>
      <c r="F930" s="353"/>
    </row>
    <row r="931" spans="2:6">
      <c r="B931" s="353"/>
      <c r="C931" s="353"/>
      <c r="D931" s="353"/>
      <c r="E931" s="353"/>
      <c r="F931" s="353"/>
    </row>
    <row r="932" spans="2:6">
      <c r="B932" s="353"/>
      <c r="C932" s="353"/>
      <c r="D932" s="353"/>
      <c r="E932" s="353"/>
      <c r="F932" s="353"/>
    </row>
    <row r="933" spans="2:6">
      <c r="B933" s="353"/>
      <c r="C933" s="353"/>
      <c r="D933" s="353"/>
      <c r="E933" s="353"/>
      <c r="F933" s="353"/>
    </row>
    <row r="934" spans="2:6">
      <c r="B934" s="353"/>
      <c r="C934" s="353"/>
      <c r="D934" s="353"/>
      <c r="E934" s="353"/>
      <c r="F934" s="353"/>
    </row>
    <row r="935" spans="2:6">
      <c r="B935" s="353"/>
      <c r="C935" s="353"/>
      <c r="D935" s="353"/>
      <c r="E935" s="353"/>
      <c r="F935" s="353"/>
    </row>
    <row r="936" spans="2:6">
      <c r="B936" s="353"/>
      <c r="C936" s="353"/>
      <c r="D936" s="353"/>
      <c r="E936" s="353"/>
      <c r="F936" s="353"/>
    </row>
    <row r="937" spans="2:6">
      <c r="B937" s="353"/>
      <c r="C937" s="353"/>
      <c r="D937" s="353"/>
      <c r="E937" s="353"/>
      <c r="F937" s="353"/>
    </row>
    <row r="938" spans="2:6">
      <c r="B938" s="353"/>
      <c r="C938" s="353"/>
      <c r="D938" s="353"/>
      <c r="E938" s="353"/>
      <c r="F938" s="353"/>
    </row>
    <row r="939" spans="2:6">
      <c r="B939" s="353"/>
      <c r="C939" s="353"/>
      <c r="D939" s="353"/>
      <c r="E939" s="353"/>
      <c r="F939" s="353"/>
    </row>
    <row r="940" spans="2:6">
      <c r="B940" s="353"/>
      <c r="C940" s="353"/>
      <c r="D940" s="353"/>
      <c r="E940" s="353"/>
      <c r="F940" s="353"/>
    </row>
    <row r="941" spans="2:6">
      <c r="B941" s="353"/>
      <c r="C941" s="353"/>
      <c r="D941" s="353"/>
      <c r="E941" s="353"/>
      <c r="F941" s="353"/>
    </row>
    <row r="942" spans="2:6">
      <c r="B942" s="353"/>
      <c r="C942" s="353"/>
      <c r="D942" s="353"/>
      <c r="E942" s="353"/>
      <c r="F942" s="353"/>
    </row>
    <row r="943" spans="2:6">
      <c r="B943" s="353"/>
      <c r="C943" s="353"/>
      <c r="D943" s="353"/>
      <c r="E943" s="353"/>
      <c r="F943" s="353"/>
    </row>
    <row r="944" spans="2:6">
      <c r="B944" s="353"/>
      <c r="C944" s="353"/>
      <c r="D944" s="353"/>
      <c r="E944" s="353"/>
      <c r="F944" s="353"/>
    </row>
    <row r="945" spans="2:6">
      <c r="B945" s="353"/>
      <c r="C945" s="353"/>
      <c r="D945" s="353"/>
      <c r="E945" s="353"/>
      <c r="F945" s="353"/>
    </row>
    <row r="946" spans="2:6">
      <c r="B946" s="353"/>
      <c r="C946" s="353"/>
      <c r="D946" s="353"/>
      <c r="E946" s="353"/>
      <c r="F946" s="353"/>
    </row>
    <row r="947" spans="2:6">
      <c r="B947" s="353"/>
      <c r="C947" s="353"/>
      <c r="D947" s="353"/>
      <c r="E947" s="353"/>
      <c r="F947" s="353"/>
    </row>
    <row r="948" spans="2:6">
      <c r="B948" s="353"/>
      <c r="C948" s="353"/>
      <c r="D948" s="353"/>
      <c r="E948" s="353"/>
      <c r="F948" s="353"/>
    </row>
    <row r="949" spans="2:6">
      <c r="B949" s="353"/>
      <c r="C949" s="353"/>
      <c r="D949" s="353"/>
      <c r="E949" s="353"/>
      <c r="F949" s="353"/>
    </row>
    <row r="950" spans="2:6">
      <c r="B950" s="353"/>
      <c r="C950" s="353"/>
      <c r="D950" s="353"/>
      <c r="E950" s="353"/>
      <c r="F950" s="353"/>
    </row>
    <row r="951" spans="2:6">
      <c r="B951" s="353"/>
      <c r="C951" s="353"/>
      <c r="D951" s="353"/>
      <c r="E951" s="353"/>
      <c r="F951" s="353"/>
    </row>
    <row r="952" spans="2:6">
      <c r="B952" s="353"/>
      <c r="C952" s="353"/>
      <c r="D952" s="353"/>
      <c r="E952" s="353"/>
      <c r="F952" s="353"/>
    </row>
    <row r="953" spans="2:6">
      <c r="B953" s="353"/>
      <c r="C953" s="353"/>
      <c r="D953" s="353"/>
      <c r="E953" s="353"/>
      <c r="F953" s="353"/>
    </row>
    <row r="954" spans="2:6">
      <c r="B954" s="353"/>
      <c r="C954" s="353"/>
      <c r="D954" s="353"/>
      <c r="E954" s="353"/>
      <c r="F954" s="353"/>
    </row>
    <row r="955" spans="2:6">
      <c r="B955" s="353"/>
      <c r="C955" s="353"/>
      <c r="D955" s="353"/>
      <c r="E955" s="353"/>
      <c r="F955" s="353"/>
    </row>
    <row r="956" spans="2:6">
      <c r="B956" s="353"/>
      <c r="C956" s="353"/>
      <c r="D956" s="353"/>
      <c r="E956" s="353"/>
      <c r="F956" s="353"/>
    </row>
    <row r="957" spans="2:6">
      <c r="B957" s="353"/>
      <c r="C957" s="353"/>
      <c r="D957" s="353"/>
      <c r="E957" s="353"/>
      <c r="F957" s="353"/>
    </row>
    <row r="958" spans="2:6">
      <c r="B958" s="353"/>
      <c r="C958" s="353"/>
      <c r="D958" s="353"/>
      <c r="E958" s="353"/>
      <c r="F958" s="353"/>
    </row>
    <row r="959" spans="2:6">
      <c r="B959" s="353"/>
      <c r="C959" s="353"/>
      <c r="D959" s="353"/>
      <c r="E959" s="353"/>
      <c r="F959" s="353"/>
    </row>
    <row r="960" spans="2:6">
      <c r="B960" s="353"/>
      <c r="C960" s="353"/>
      <c r="D960" s="353"/>
      <c r="E960" s="353"/>
      <c r="F960" s="353"/>
    </row>
    <row r="961" spans="2:6">
      <c r="B961" s="353"/>
      <c r="C961" s="353"/>
      <c r="D961" s="353"/>
      <c r="E961" s="353"/>
      <c r="F961" s="353"/>
    </row>
    <row r="962" spans="2:6" ht="15" customHeight="1">
      <c r="B962" s="1149"/>
      <c r="C962" s="353"/>
      <c r="D962" s="353"/>
      <c r="E962" s="353"/>
      <c r="F962" s="353"/>
    </row>
    <row r="963" spans="2:6" ht="15" customHeight="1">
      <c r="B963" s="1149"/>
      <c r="C963" s="353"/>
      <c r="D963" s="353"/>
      <c r="E963" s="353"/>
      <c r="F963" s="353"/>
    </row>
    <row r="964" spans="2:6" ht="15" customHeight="1">
      <c r="B964" s="1149"/>
      <c r="C964" s="353"/>
      <c r="D964" s="353"/>
      <c r="E964" s="353"/>
      <c r="F964" s="353"/>
    </row>
    <row r="965" spans="2:6" ht="15" customHeight="1">
      <c r="B965" s="1149"/>
      <c r="C965" s="353"/>
      <c r="D965" s="353"/>
      <c r="E965" s="353"/>
      <c r="F965" s="353"/>
    </row>
    <row r="966" spans="2:6" ht="15" customHeight="1">
      <c r="B966" s="1149"/>
      <c r="C966" s="353"/>
      <c r="D966" s="353"/>
      <c r="E966" s="353"/>
      <c r="F966" s="353"/>
    </row>
    <row r="967" spans="2:6" ht="15" customHeight="1">
      <c r="B967" s="1149"/>
      <c r="C967" s="353"/>
      <c r="D967" s="353"/>
      <c r="E967" s="353"/>
      <c r="F967" s="353"/>
    </row>
    <row r="968" spans="2:6" ht="15" customHeight="1">
      <c r="B968" s="1149"/>
      <c r="C968" s="353"/>
      <c r="D968" s="353"/>
      <c r="E968" s="353"/>
      <c r="F968" s="353"/>
    </row>
    <row r="969" spans="2:6" ht="15" customHeight="1">
      <c r="B969" s="1149"/>
      <c r="C969" s="353"/>
      <c r="D969" s="353"/>
      <c r="E969" s="353"/>
      <c r="F969" s="353"/>
    </row>
    <row r="970" spans="2:6" ht="15" customHeight="1">
      <c r="B970" s="1149"/>
      <c r="C970" s="353"/>
      <c r="D970" s="353"/>
      <c r="E970" s="353"/>
      <c r="F970" s="353"/>
    </row>
    <row r="971" spans="2:6" ht="15" customHeight="1">
      <c r="B971" s="1149"/>
      <c r="C971" s="353"/>
      <c r="D971" s="353"/>
      <c r="E971" s="353"/>
      <c r="F971" s="353"/>
    </row>
    <row r="972" spans="2:6" ht="15" customHeight="1">
      <c r="B972" s="1149"/>
      <c r="C972" s="353"/>
      <c r="D972" s="353"/>
      <c r="E972" s="353"/>
      <c r="F972" s="353"/>
    </row>
    <row r="973" spans="2:6" ht="15" customHeight="1">
      <c r="B973" s="1149"/>
      <c r="C973" s="353"/>
      <c r="D973" s="353"/>
      <c r="E973" s="353"/>
      <c r="F973" s="353"/>
    </row>
    <row r="974" spans="2:6" ht="15" customHeight="1">
      <c r="B974" s="1149"/>
      <c r="C974" s="353"/>
      <c r="D974" s="353"/>
      <c r="E974" s="353"/>
      <c r="F974" s="353"/>
    </row>
    <row r="975" spans="2:6" ht="15" customHeight="1">
      <c r="B975" s="1149"/>
      <c r="C975" s="353"/>
      <c r="D975" s="353"/>
      <c r="E975" s="353"/>
      <c r="F975" s="353"/>
    </row>
    <row r="976" spans="2:6" ht="15" customHeight="1">
      <c r="B976" s="1149"/>
      <c r="C976" s="353"/>
      <c r="D976" s="353"/>
      <c r="E976" s="353"/>
      <c r="F976" s="353"/>
    </row>
    <row r="977" spans="3:6" ht="15" customHeight="1">
      <c r="C977" s="353"/>
      <c r="D977" s="353"/>
      <c r="E977" s="353"/>
      <c r="F977" s="353"/>
    </row>
    <row r="978" spans="3:6" ht="15" customHeight="1">
      <c r="C978" s="353"/>
      <c r="D978" s="353"/>
      <c r="E978" s="353"/>
      <c r="F978" s="353"/>
    </row>
    <row r="979" spans="3:6" ht="15" customHeight="1">
      <c r="C979" s="353"/>
      <c r="D979" s="353"/>
      <c r="E979" s="353"/>
      <c r="F979" s="353"/>
    </row>
    <row r="980" spans="3:6" ht="15" customHeight="1">
      <c r="C980" s="353"/>
      <c r="D980" s="353"/>
      <c r="E980" s="353"/>
      <c r="F980" s="353"/>
    </row>
    <row r="981" spans="3:6" ht="15" customHeight="1">
      <c r="C981" s="353"/>
      <c r="D981" s="353"/>
      <c r="E981" s="353"/>
      <c r="F981" s="353"/>
    </row>
    <row r="982" spans="3:6" ht="15" customHeight="1">
      <c r="C982" s="353"/>
      <c r="D982" s="353"/>
      <c r="E982" s="353"/>
      <c r="F982" s="353"/>
    </row>
    <row r="983" spans="3:6" ht="15" customHeight="1">
      <c r="C983" s="353"/>
      <c r="D983" s="353"/>
      <c r="E983" s="353"/>
      <c r="F983" s="353"/>
    </row>
    <row r="984" spans="3:6" ht="15" customHeight="1">
      <c r="C984" s="353"/>
      <c r="D984" s="353"/>
      <c r="E984" s="353"/>
      <c r="F984" s="353"/>
    </row>
    <row r="985" spans="3:6" ht="15" customHeight="1">
      <c r="C985" s="353"/>
      <c r="D985" s="353"/>
      <c r="E985" s="353"/>
      <c r="F985" s="353"/>
    </row>
    <row r="986" spans="3:6" ht="15" customHeight="1">
      <c r="C986" s="353"/>
      <c r="D986" s="353"/>
      <c r="E986" s="353"/>
      <c r="F986" s="353"/>
    </row>
    <row r="987" spans="3:6" ht="15" customHeight="1">
      <c r="C987" s="353"/>
      <c r="D987" s="353"/>
      <c r="E987" s="353"/>
      <c r="F987" s="353"/>
    </row>
    <row r="988" spans="3:6" ht="15" customHeight="1">
      <c r="C988" s="353"/>
      <c r="D988" s="353"/>
      <c r="E988" s="353"/>
      <c r="F988" s="353"/>
    </row>
    <row r="989" spans="3:6" ht="15" customHeight="1">
      <c r="C989" s="353"/>
      <c r="D989" s="353"/>
      <c r="E989" s="353"/>
      <c r="F989" s="353"/>
    </row>
    <row r="990" spans="3:6" ht="15" customHeight="1">
      <c r="C990" s="353"/>
      <c r="D990" s="353"/>
      <c r="E990" s="353"/>
      <c r="F990" s="353"/>
    </row>
    <row r="991" spans="3:6" ht="15" customHeight="1">
      <c r="C991" s="353"/>
      <c r="D991" s="353"/>
      <c r="E991" s="353"/>
      <c r="F991" s="353"/>
    </row>
    <row r="992" spans="3:6" ht="15" customHeight="1">
      <c r="C992" s="353"/>
      <c r="D992" s="353"/>
      <c r="E992" s="353"/>
      <c r="F992" s="353"/>
    </row>
    <row r="993" spans="3:6" ht="15" customHeight="1">
      <c r="C993" s="353"/>
      <c r="D993" s="353"/>
      <c r="E993" s="353"/>
      <c r="F993" s="353"/>
    </row>
    <row r="994" spans="3:6" ht="15" customHeight="1">
      <c r="C994" s="353"/>
      <c r="D994" s="353"/>
      <c r="E994" s="353"/>
      <c r="F994" s="353"/>
    </row>
    <row r="995" spans="3:6" ht="15" customHeight="1">
      <c r="C995" s="353"/>
      <c r="D995" s="353"/>
      <c r="E995" s="353"/>
      <c r="F995" s="353"/>
    </row>
    <row r="996" spans="3:6" ht="15" customHeight="1">
      <c r="C996" s="353"/>
      <c r="D996" s="353"/>
      <c r="E996" s="353"/>
      <c r="F996" s="353"/>
    </row>
    <row r="997" spans="3:6" ht="15" customHeight="1">
      <c r="C997" s="353"/>
      <c r="D997" s="353"/>
      <c r="E997" s="353"/>
      <c r="F997" s="353"/>
    </row>
  </sheetData>
  <mergeCells count="10">
    <mergeCell ref="C3:N3"/>
    <mergeCell ref="O3:Z3"/>
    <mergeCell ref="C5:E5"/>
    <mergeCell ref="F5:H5"/>
    <mergeCell ref="I5:K5"/>
    <mergeCell ref="L5:N5"/>
    <mergeCell ref="O5:Q5"/>
    <mergeCell ref="R5:T5"/>
    <mergeCell ref="U5:W5"/>
    <mergeCell ref="X5:Z5"/>
  </mergeCells>
  <conditionalFormatting sqref="C13:E13">
    <cfRule type="expression" dxfId="61" priority="24">
      <formula>IF(C13&lt;&gt;C12,1,0)</formula>
    </cfRule>
  </conditionalFormatting>
  <conditionalFormatting sqref="C14:C38">
    <cfRule type="expression" dxfId="60" priority="23">
      <formula>IF(C14&lt;&gt;C13,1,0)</formula>
    </cfRule>
  </conditionalFormatting>
  <conditionalFormatting sqref="C9:E38">
    <cfRule type="expression" dxfId="59" priority="22">
      <formula>IF(C9&lt;&gt;C8,1,0)</formula>
    </cfRule>
  </conditionalFormatting>
  <conditionalFormatting sqref="F13:H13">
    <cfRule type="expression" dxfId="58" priority="21">
      <formula>IF(F13&lt;&gt;F12,1,0)</formula>
    </cfRule>
  </conditionalFormatting>
  <conditionalFormatting sqref="F14:F38">
    <cfRule type="expression" dxfId="57" priority="20">
      <formula>IF(F14&lt;&gt;F13,1,0)</formula>
    </cfRule>
  </conditionalFormatting>
  <conditionalFormatting sqref="F9:H38">
    <cfRule type="expression" dxfId="56" priority="19">
      <formula>IF(F9&lt;&gt;F8,1,0)</formula>
    </cfRule>
  </conditionalFormatting>
  <conditionalFormatting sqref="I13:K13">
    <cfRule type="expression" dxfId="55" priority="18">
      <formula>IF(I13&lt;&gt;I12,1,0)</formula>
    </cfRule>
  </conditionalFormatting>
  <conditionalFormatting sqref="I14:I38">
    <cfRule type="expression" dxfId="54" priority="17">
      <formula>IF(I14&lt;&gt;I13,1,0)</formula>
    </cfRule>
  </conditionalFormatting>
  <conditionalFormatting sqref="I9:K38">
    <cfRule type="expression" dxfId="53" priority="16">
      <formula>IF(I9&lt;&gt;I8,1,0)</formula>
    </cfRule>
  </conditionalFormatting>
  <conditionalFormatting sqref="L13:N13">
    <cfRule type="expression" dxfId="52" priority="15">
      <formula>IF(L13&lt;&gt;L12,1,0)</formula>
    </cfRule>
  </conditionalFormatting>
  <conditionalFormatting sqref="L14:L38">
    <cfRule type="expression" dxfId="51" priority="14">
      <formula>IF(L14&lt;&gt;L13,1,0)</formula>
    </cfRule>
  </conditionalFormatting>
  <conditionalFormatting sqref="L9:N38">
    <cfRule type="expression" dxfId="50" priority="13">
      <formula>IF(L9&lt;&gt;L8,1,0)</formula>
    </cfRule>
  </conditionalFormatting>
  <conditionalFormatting sqref="O13:Q13">
    <cfRule type="expression" dxfId="49" priority="12">
      <formula>IF(O13&lt;&gt;O12,1,0)</formula>
    </cfRule>
  </conditionalFormatting>
  <conditionalFormatting sqref="O14:O38">
    <cfRule type="expression" dxfId="48" priority="11">
      <formula>IF(O14&lt;&gt;O13,1,0)</formula>
    </cfRule>
  </conditionalFormatting>
  <conditionalFormatting sqref="O9:Q38">
    <cfRule type="expression" dxfId="47" priority="10">
      <formula>IF(O9&lt;&gt;O8,1,0)</formula>
    </cfRule>
  </conditionalFormatting>
  <conditionalFormatting sqref="R13:T13">
    <cfRule type="expression" dxfId="46" priority="9">
      <formula>IF(R13&lt;&gt;R12,1,0)</formula>
    </cfRule>
  </conditionalFormatting>
  <conditionalFormatting sqref="R14:R38">
    <cfRule type="expression" dxfId="45" priority="8">
      <formula>IF(R14&lt;&gt;R13,1,0)</formula>
    </cfRule>
  </conditionalFormatting>
  <conditionalFormatting sqref="R9:T38">
    <cfRule type="expression" dxfId="44" priority="7">
      <formula>IF(R9&lt;&gt;R8,1,0)</formula>
    </cfRule>
  </conditionalFormatting>
  <conditionalFormatting sqref="U13:W13">
    <cfRule type="expression" dxfId="43" priority="6">
      <formula>IF(U13&lt;&gt;U12,1,0)</formula>
    </cfRule>
  </conditionalFormatting>
  <conditionalFormatting sqref="U14:U38">
    <cfRule type="expression" dxfId="42" priority="5">
      <formula>IF(U14&lt;&gt;U13,1,0)</formula>
    </cfRule>
  </conditionalFormatting>
  <conditionalFormatting sqref="U9:W38">
    <cfRule type="expression" dxfId="41" priority="4">
      <formula>IF(U9&lt;&gt;U8,1,0)</formula>
    </cfRule>
  </conditionalFormatting>
  <conditionalFormatting sqref="X13:Z13">
    <cfRule type="expression" dxfId="40" priority="3">
      <formula>IF(X13&lt;&gt;X12,1,0)</formula>
    </cfRule>
  </conditionalFormatting>
  <conditionalFormatting sqref="X14:X38">
    <cfRule type="expression" dxfId="39" priority="2">
      <formula>IF(X14&lt;&gt;X13,1,0)</formula>
    </cfRule>
  </conditionalFormatting>
  <conditionalFormatting sqref="X9:Z38">
    <cfRule type="expression" dxfId="38" priority="1">
      <formula>IF(X9&lt;&gt;X8,1,0)</formula>
    </cfRule>
  </conditionalFormatting>
  <dataValidations count="4">
    <dataValidation type="list" allowBlank="1" showInputMessage="1" showErrorMessage="1" sqref="C7:Z7" xr:uid="{00000000-0002-0000-0400-000000000000}">
      <formula1>CAR_Avion</formula1>
    </dataValidation>
    <dataValidation type="list" allowBlank="1" showInputMessage="1" showErrorMessage="1" sqref="C5:Z5" xr:uid="{00000000-0002-0000-0400-000001000000}">
      <formula1>TYPE_Avion</formula1>
    </dataValidation>
    <dataValidation type="list" allowBlank="1" showInputMessage="1" showErrorMessage="1" sqref="C3:Z3" xr:uid="{00000000-0002-0000-0400-000002000000}">
      <formula1>RM_Avion</formula1>
    </dataValidation>
    <dataValidation type="list" allowBlank="1" sqref="B1" xr:uid="{00000000-0002-0000-0400-000003000000}">
      <formula1>"sce1,sce2,sce2,sce3"</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I938"/>
  <sheetViews>
    <sheetView zoomScale="83" workbookViewId="0">
      <selection activeCell="O61" sqref="O61"/>
    </sheetView>
  </sheetViews>
  <sheetFormatPr defaultColWidth="12.625" defaultRowHeight="15" customHeight="1"/>
  <cols>
    <col min="1" max="1" width="11.125" style="357" customWidth="1"/>
    <col min="2" max="13" width="10.875" style="357" customWidth="1"/>
    <col min="14" max="14" width="10.5" style="357" customWidth="1"/>
    <col min="15" max="18" width="10.875" style="357" customWidth="1"/>
    <col min="19" max="23" width="10.625" style="357" customWidth="1"/>
    <col min="24" max="16384" width="12.625" style="357"/>
  </cols>
  <sheetData>
    <row r="1" spans="1:35" ht="15" customHeight="1" thickBot="1"/>
    <row r="2" spans="1:35" s="358" customFormat="1" ht="18.95" customHeight="1" thickBot="1">
      <c r="A2" s="1257" t="s">
        <v>289</v>
      </c>
      <c r="B2" s="1260" t="s">
        <v>378</v>
      </c>
      <c r="C2" s="1261"/>
      <c r="D2" s="1261"/>
      <c r="E2" s="1261"/>
      <c r="F2" s="1261"/>
      <c r="G2" s="1261"/>
      <c r="H2" s="1261"/>
      <c r="I2" s="1261"/>
      <c r="J2" s="1261"/>
      <c r="K2" s="1261"/>
      <c r="L2" s="1261"/>
      <c r="M2" s="1261"/>
      <c r="N2" s="1262"/>
      <c r="O2" s="1262"/>
      <c r="P2" s="1262"/>
      <c r="Q2" s="1262"/>
      <c r="R2" s="1263"/>
      <c r="S2" s="1264" t="s">
        <v>379</v>
      </c>
      <c r="T2" s="1265"/>
      <c r="U2" s="1265"/>
      <c r="V2" s="1265"/>
      <c r="W2" s="1265"/>
      <c r="X2" s="1265"/>
      <c r="Y2" s="1265"/>
      <c r="Z2" s="1265"/>
      <c r="AA2" s="1265"/>
      <c r="AB2" s="1265"/>
      <c r="AC2" s="1265"/>
      <c r="AD2" s="1265"/>
      <c r="AE2" s="1266"/>
      <c r="AF2" s="1266"/>
      <c r="AG2" s="1266"/>
      <c r="AH2" s="1266"/>
      <c r="AI2" s="1243"/>
    </row>
    <row r="3" spans="1:35" s="361" customFormat="1" ht="13.5" hidden="1" customHeight="1" thickBot="1">
      <c r="A3" s="1258"/>
      <c r="B3" s="359" t="str">
        <f>$B$2</f>
        <v>CAPA100</v>
      </c>
      <c r="C3" s="359" t="str">
        <f t="shared" ref="C3:R3" si="0">$B$2</f>
        <v>CAPA100</v>
      </c>
      <c r="D3" s="359" t="str">
        <f t="shared" si="0"/>
        <v>CAPA100</v>
      </c>
      <c r="E3" s="359" t="str">
        <f t="shared" si="0"/>
        <v>CAPA100</v>
      </c>
      <c r="F3" s="359" t="str">
        <f t="shared" si="0"/>
        <v>CAPA100</v>
      </c>
      <c r="G3" s="359" t="str">
        <f t="shared" si="0"/>
        <v>CAPA100</v>
      </c>
      <c r="H3" s="359" t="str">
        <f t="shared" si="0"/>
        <v>CAPA100</v>
      </c>
      <c r="I3" s="359" t="str">
        <f t="shared" si="0"/>
        <v>CAPA100</v>
      </c>
      <c r="J3" s="359" t="str">
        <f t="shared" si="0"/>
        <v>CAPA100</v>
      </c>
      <c r="K3" s="359" t="str">
        <f t="shared" si="0"/>
        <v>CAPA100</v>
      </c>
      <c r="L3" s="359" t="str">
        <f t="shared" si="0"/>
        <v>CAPA100</v>
      </c>
      <c r="M3" s="359" t="str">
        <f t="shared" si="0"/>
        <v>CAPA100</v>
      </c>
      <c r="N3" s="359" t="str">
        <f t="shared" si="0"/>
        <v>CAPA100</v>
      </c>
      <c r="O3" s="359" t="str">
        <f t="shared" si="0"/>
        <v>CAPA100</v>
      </c>
      <c r="P3" s="359" t="str">
        <f t="shared" si="0"/>
        <v>CAPA100</v>
      </c>
      <c r="Q3" s="359" t="str">
        <f t="shared" si="0"/>
        <v>CAPA100</v>
      </c>
      <c r="R3" s="359" t="str">
        <f t="shared" si="0"/>
        <v>CAPA100</v>
      </c>
      <c r="S3" s="360" t="str">
        <f>$S$2</f>
        <v>CAPA50</v>
      </c>
      <c r="T3" s="360" t="str">
        <f t="shared" ref="T3:AI3" si="1">$S$2</f>
        <v>CAPA50</v>
      </c>
      <c r="U3" s="360" t="str">
        <f t="shared" si="1"/>
        <v>CAPA50</v>
      </c>
      <c r="V3" s="360" t="str">
        <f t="shared" si="1"/>
        <v>CAPA50</v>
      </c>
      <c r="W3" s="360" t="str">
        <f t="shared" si="1"/>
        <v>CAPA50</v>
      </c>
      <c r="X3" s="360" t="str">
        <f t="shared" si="1"/>
        <v>CAPA50</v>
      </c>
      <c r="Y3" s="360" t="str">
        <f t="shared" si="1"/>
        <v>CAPA50</v>
      </c>
      <c r="Z3" s="360" t="str">
        <f t="shared" si="1"/>
        <v>CAPA50</v>
      </c>
      <c r="AA3" s="360" t="str">
        <f t="shared" si="1"/>
        <v>CAPA50</v>
      </c>
      <c r="AB3" s="360" t="str">
        <f t="shared" si="1"/>
        <v>CAPA50</v>
      </c>
      <c r="AC3" s="360" t="str">
        <f t="shared" si="1"/>
        <v>CAPA50</v>
      </c>
      <c r="AD3" s="360" t="str">
        <f t="shared" si="1"/>
        <v>CAPA50</v>
      </c>
      <c r="AE3" s="360" t="str">
        <f t="shared" si="1"/>
        <v>CAPA50</v>
      </c>
      <c r="AF3" s="360" t="str">
        <f t="shared" si="1"/>
        <v>CAPA50</v>
      </c>
      <c r="AG3" s="360" t="str">
        <f t="shared" si="1"/>
        <v>CAPA50</v>
      </c>
      <c r="AH3" s="360" t="str">
        <f t="shared" si="1"/>
        <v>CAPA50</v>
      </c>
      <c r="AI3" s="360" t="str">
        <f t="shared" si="1"/>
        <v>CAPA50</v>
      </c>
    </row>
    <row r="4" spans="1:35" s="361" customFormat="1" ht="13.5" customHeight="1" thickBot="1">
      <c r="A4" s="1258"/>
      <c r="B4" s="1267" t="s">
        <v>380</v>
      </c>
      <c r="C4" s="1268"/>
      <c r="D4" s="1267" t="s">
        <v>381</v>
      </c>
      <c r="E4" s="1269"/>
      <c r="F4" s="1268"/>
      <c r="G4" s="1267" t="s">
        <v>382</v>
      </c>
      <c r="H4" s="1269"/>
      <c r="I4" s="1268"/>
      <c r="J4" s="1267" t="s">
        <v>383</v>
      </c>
      <c r="K4" s="1269"/>
      <c r="L4" s="1268"/>
      <c r="M4" s="1267" t="s">
        <v>384</v>
      </c>
      <c r="N4" s="1269"/>
      <c r="O4" s="1268"/>
      <c r="P4" s="1267" t="s">
        <v>385</v>
      </c>
      <c r="Q4" s="1269"/>
      <c r="R4" s="1263"/>
      <c r="S4" s="1241" t="s">
        <v>380</v>
      </c>
      <c r="T4" s="1270"/>
      <c r="U4" s="1241" t="s">
        <v>381</v>
      </c>
      <c r="V4" s="1242"/>
      <c r="W4" s="1270"/>
      <c r="X4" s="1241" t="s">
        <v>382</v>
      </c>
      <c r="Y4" s="1242"/>
      <c r="Z4" s="1270"/>
      <c r="AA4" s="1241" t="s">
        <v>383</v>
      </c>
      <c r="AB4" s="1242"/>
      <c r="AC4" s="1270"/>
      <c r="AD4" s="1241" t="s">
        <v>384</v>
      </c>
      <c r="AE4" s="1242"/>
      <c r="AF4" s="1270"/>
      <c r="AG4" s="1241" t="s">
        <v>385</v>
      </c>
      <c r="AH4" s="1242"/>
      <c r="AI4" s="1243"/>
    </row>
    <row r="5" spans="1:35" s="362" customFormat="1" ht="60" hidden="1" customHeight="1">
      <c r="A5" s="1258"/>
      <c r="B5" s="359" t="str">
        <f>$B$4</f>
        <v>Mix Biocarburant</v>
      </c>
      <c r="C5" s="359" t="str">
        <f>$B$4</f>
        <v>Mix Biocarburant</v>
      </c>
      <c r="D5" s="359" t="str">
        <f>$D$4</f>
        <v>Forestry residues</v>
      </c>
      <c r="E5" s="359" t="str">
        <f>$D$4</f>
        <v>Forestry residues</v>
      </c>
      <c r="F5" s="359" t="str">
        <f>$D$4</f>
        <v>Forestry residues</v>
      </c>
      <c r="G5" s="359" t="str">
        <f>$G$4</f>
        <v>Agricultural residues (wheat straw)</v>
      </c>
      <c r="H5" s="359" t="str">
        <f>$G$4</f>
        <v>Agricultural residues (wheat straw)</v>
      </c>
      <c r="I5" s="359" t="str">
        <f>$J$4</f>
        <v>Agricultural residues (corn stover)</v>
      </c>
      <c r="J5" s="359" t="str">
        <f>$J$4</f>
        <v>Agricultural residues (corn stover)</v>
      </c>
      <c r="K5" s="359" t="str">
        <f t="shared" ref="K5:L5" si="2">$J$4</f>
        <v>Agricultural residues (corn stover)</v>
      </c>
      <c r="L5" s="359" t="str">
        <f t="shared" si="2"/>
        <v>Agricultural residues (corn stover)</v>
      </c>
      <c r="M5" s="359" t="str">
        <f>$M$4</f>
        <v>Municipal Solid Waste</v>
      </c>
      <c r="N5" s="359" t="str">
        <f t="shared" ref="N5:O5" si="3">$M$4</f>
        <v>Municipal Solid Waste</v>
      </c>
      <c r="O5" s="359" t="str">
        <f t="shared" si="3"/>
        <v>Municipal Solid Waste</v>
      </c>
      <c r="P5" s="359" t="str">
        <f>$P$4</f>
        <v>PTL</v>
      </c>
      <c r="Q5" s="359" t="str">
        <f t="shared" ref="Q5:R5" si="4">$P$4</f>
        <v>PTL</v>
      </c>
      <c r="R5" s="359" t="str">
        <f t="shared" si="4"/>
        <v>PTL</v>
      </c>
      <c r="S5" s="360" t="str">
        <f>$S$4</f>
        <v>Mix Biocarburant</v>
      </c>
      <c r="T5" s="360" t="str">
        <f>$S$4</f>
        <v>Mix Biocarburant</v>
      </c>
      <c r="U5" s="360" t="str">
        <f>$U$4</f>
        <v>Forestry residues</v>
      </c>
      <c r="V5" s="360" t="str">
        <f t="shared" ref="V5:W5" si="5">$U$4</f>
        <v>Forestry residues</v>
      </c>
      <c r="W5" s="360" t="str">
        <f t="shared" si="5"/>
        <v>Forestry residues</v>
      </c>
      <c r="X5" s="360" t="str">
        <f>$X$4</f>
        <v>Agricultural residues (wheat straw)</v>
      </c>
      <c r="Y5" s="360" t="str">
        <f t="shared" ref="Y5:Z5" si="6">$X$4</f>
        <v>Agricultural residues (wheat straw)</v>
      </c>
      <c r="Z5" s="360" t="str">
        <f t="shared" si="6"/>
        <v>Agricultural residues (wheat straw)</v>
      </c>
      <c r="AA5" s="360" t="str">
        <f>$AA$4</f>
        <v>Agricultural residues (corn stover)</v>
      </c>
      <c r="AB5" s="360" t="str">
        <f t="shared" ref="AB5:AC5" si="7">$AA$4</f>
        <v>Agricultural residues (corn stover)</v>
      </c>
      <c r="AC5" s="360" t="str">
        <f t="shared" si="7"/>
        <v>Agricultural residues (corn stover)</v>
      </c>
      <c r="AD5" s="360" t="str">
        <f>$AD$4</f>
        <v>Municipal Solid Waste</v>
      </c>
      <c r="AE5" s="360" t="str">
        <f t="shared" ref="AE5:AF5" si="8">$AD$4</f>
        <v>Municipal Solid Waste</v>
      </c>
      <c r="AF5" s="360" t="str">
        <f t="shared" si="8"/>
        <v>Municipal Solid Waste</v>
      </c>
      <c r="AG5" s="360" t="str">
        <f>$AG$4</f>
        <v>PTL</v>
      </c>
      <c r="AH5" s="360" t="str">
        <f t="shared" ref="AH5:AI5" si="9">$AG$4</f>
        <v>PTL</v>
      </c>
      <c r="AI5" s="360" t="str">
        <f t="shared" si="9"/>
        <v>PTL</v>
      </c>
    </row>
    <row r="6" spans="1:35" s="358" customFormat="1" ht="65.099999999999994" thickBot="1">
      <c r="A6" s="1259"/>
      <c r="B6" s="363" t="s">
        <v>386</v>
      </c>
      <c r="C6" s="364" t="s">
        <v>387</v>
      </c>
      <c r="D6" s="363" t="s">
        <v>388</v>
      </c>
      <c r="E6" s="365" t="s">
        <v>386</v>
      </c>
      <c r="F6" s="364" t="s">
        <v>387</v>
      </c>
      <c r="G6" s="363" t="s">
        <v>388</v>
      </c>
      <c r="H6" s="365" t="s">
        <v>386</v>
      </c>
      <c r="I6" s="364" t="s">
        <v>387</v>
      </c>
      <c r="J6" s="363" t="s">
        <v>388</v>
      </c>
      <c r="K6" s="365" t="s">
        <v>386</v>
      </c>
      <c r="L6" s="364" t="s">
        <v>387</v>
      </c>
      <c r="M6" s="363" t="s">
        <v>388</v>
      </c>
      <c r="N6" s="365" t="s">
        <v>386</v>
      </c>
      <c r="O6" s="364" t="s">
        <v>387</v>
      </c>
      <c r="P6" s="363" t="s">
        <v>388</v>
      </c>
      <c r="Q6" s="365" t="s">
        <v>386</v>
      </c>
      <c r="R6" s="364" t="s">
        <v>387</v>
      </c>
      <c r="S6" s="366" t="s">
        <v>386</v>
      </c>
      <c r="T6" s="367" t="s">
        <v>387</v>
      </c>
      <c r="U6" s="366" t="s">
        <v>388</v>
      </c>
      <c r="V6" s="368" t="s">
        <v>386</v>
      </c>
      <c r="W6" s="367" t="s">
        <v>387</v>
      </c>
      <c r="X6" s="366" t="s">
        <v>388</v>
      </c>
      <c r="Y6" s="368" t="s">
        <v>386</v>
      </c>
      <c r="Z6" s="367" t="s">
        <v>387</v>
      </c>
      <c r="AA6" s="366" t="s">
        <v>388</v>
      </c>
      <c r="AB6" s="368" t="s">
        <v>386</v>
      </c>
      <c r="AC6" s="367" t="s">
        <v>387</v>
      </c>
      <c r="AD6" s="366" t="s">
        <v>388</v>
      </c>
      <c r="AE6" s="368" t="s">
        <v>386</v>
      </c>
      <c r="AF6" s="367" t="s">
        <v>387</v>
      </c>
      <c r="AG6" s="366" t="s">
        <v>388</v>
      </c>
      <c r="AH6" s="368" t="s">
        <v>386</v>
      </c>
      <c r="AI6" s="367" t="s">
        <v>387</v>
      </c>
    </row>
    <row r="7" spans="1:35" ht="13.5" customHeight="1">
      <c r="A7" s="369">
        <v>2020</v>
      </c>
      <c r="B7" s="773">
        <f>B8/2</f>
        <v>2.0501851548918237</v>
      </c>
      <c r="C7" s="774"/>
      <c r="D7" s="775">
        <v>0</v>
      </c>
      <c r="E7" s="776">
        <v>0</v>
      </c>
      <c r="F7" s="777">
        <f>$D$50</f>
        <v>9.1999999999999998E-2</v>
      </c>
      <c r="G7" s="775">
        <v>0</v>
      </c>
      <c r="H7" s="776">
        <v>0</v>
      </c>
      <c r="I7" s="777">
        <f>$D$51</f>
        <v>9.1999999999999998E-2</v>
      </c>
      <c r="J7" s="775">
        <v>0</v>
      </c>
      <c r="K7" s="776">
        <v>0</v>
      </c>
      <c r="L7" s="777">
        <f t="shared" ref="L7:L36" si="10">$D$52</f>
        <v>9.1999999999999998E-2</v>
      </c>
      <c r="M7" s="775">
        <v>0</v>
      </c>
      <c r="N7" s="778">
        <v>0</v>
      </c>
      <c r="O7" s="777">
        <f t="shared" ref="O7:O36" si="11">$D$48</f>
        <v>0.31719999999999998</v>
      </c>
      <c r="P7" s="779">
        <v>0</v>
      </c>
      <c r="Q7" s="778">
        <v>0</v>
      </c>
      <c r="R7" s="780">
        <f t="shared" ref="R7:R36" si="12">$S$61</f>
        <v>0.13283274074074072</v>
      </c>
      <c r="S7" s="773"/>
      <c r="T7" s="774"/>
      <c r="U7" s="775">
        <v>0</v>
      </c>
      <c r="V7" s="776">
        <v>0</v>
      </c>
      <c r="W7" s="777">
        <f>$D$50</f>
        <v>9.1999999999999998E-2</v>
      </c>
      <c r="X7" s="775">
        <v>0</v>
      </c>
      <c r="Y7" s="776">
        <v>0</v>
      </c>
      <c r="Z7" s="777">
        <f>$D$51</f>
        <v>9.1999999999999998E-2</v>
      </c>
      <c r="AA7" s="775">
        <v>0</v>
      </c>
      <c r="AB7" s="776">
        <v>0</v>
      </c>
      <c r="AC7" s="777">
        <f t="shared" ref="AC7:AC36" si="13">$D$52</f>
        <v>9.1999999999999998E-2</v>
      </c>
      <c r="AD7" s="775">
        <v>0</v>
      </c>
      <c r="AE7" s="778">
        <v>0</v>
      </c>
      <c r="AF7" s="777">
        <f t="shared" ref="AF7:AF36" si="14">$D$48</f>
        <v>0.31719999999999998</v>
      </c>
      <c r="AG7" s="779">
        <v>0</v>
      </c>
      <c r="AH7" s="778">
        <v>0</v>
      </c>
      <c r="AI7" s="780">
        <f t="shared" ref="AI7:AI36" si="15">$S$61</f>
        <v>0.13283274074074072</v>
      </c>
    </row>
    <row r="8" spans="1:35" ht="13.5" customHeight="1">
      <c r="A8" s="369">
        <v>2021</v>
      </c>
      <c r="B8" s="781">
        <f>E8+H8+K8+N8</f>
        <v>4.1003703097836475</v>
      </c>
      <c r="C8" s="782">
        <f>(E8*F8+H8*I8+K8*L8+N8*O8)/(E8+H8+K8+N8)</f>
        <v>0.20438251753392206</v>
      </c>
      <c r="D8" s="775">
        <v>0</v>
      </c>
      <c r="E8" s="783">
        <f t="shared" ref="E8:E36" si="16">IF($A8&lt;$R$46,E9/(1+D9),E$37)</f>
        <v>0.20084117432198592</v>
      </c>
      <c r="F8" s="782">
        <f t="shared" ref="F8:F37" si="17">$D$50</f>
        <v>9.1999999999999998E-2</v>
      </c>
      <c r="G8" s="775">
        <v>0</v>
      </c>
      <c r="H8" s="783">
        <f t="shared" ref="H8:H36" si="18">IF($A8&lt;$R$46,H9/(1+G9),H$37)</f>
        <v>0.98318505701064363</v>
      </c>
      <c r="I8" s="782">
        <f t="shared" ref="I8:I37" si="19">$D$51</f>
        <v>9.1999999999999998E-2</v>
      </c>
      <c r="J8" s="775">
        <v>0</v>
      </c>
      <c r="K8" s="783">
        <f t="shared" ref="K8:K36" si="20">IF($A8&lt;$R$46,K9/(1+J9),K$37)</f>
        <v>0.87011877545441929</v>
      </c>
      <c r="L8" s="782">
        <f t="shared" si="10"/>
        <v>9.1999999999999998E-2</v>
      </c>
      <c r="M8" s="775">
        <v>0</v>
      </c>
      <c r="N8" s="783">
        <f t="shared" ref="N8:N36" si="21">IF($A8&lt;$R$46,N9/(1+M9),N$37)</f>
        <v>2.0462253029965991</v>
      </c>
      <c r="O8" s="782">
        <f t="shared" si="11"/>
        <v>0.31719999999999998</v>
      </c>
      <c r="P8" s="779">
        <v>0</v>
      </c>
      <c r="Q8" s="784">
        <v>0</v>
      </c>
      <c r="R8" s="780">
        <f t="shared" si="12"/>
        <v>0.13283274074074072</v>
      </c>
      <c r="S8" s="781">
        <f>V8+Y8+AB8+AE8</f>
        <v>2.0501851548918237</v>
      </c>
      <c r="T8" s="782">
        <f>(V8*W8+Y8*Z8+AB8*AC8+AE8*AF8)/(V8+Y8+AB8+AE8)</f>
        <v>0.20438251753392206</v>
      </c>
      <c r="U8" s="775">
        <v>0</v>
      </c>
      <c r="V8" s="783">
        <f t="shared" ref="V8:V36" si="22">IF($A8&lt;$R$46,V9/(1+U9),E$37/2)</f>
        <v>0.10042058716099296</v>
      </c>
      <c r="W8" s="782">
        <f t="shared" ref="W8:W37" si="23">$D$50</f>
        <v>9.1999999999999998E-2</v>
      </c>
      <c r="X8" s="775">
        <v>0</v>
      </c>
      <c r="Y8" s="783">
        <f t="shared" ref="Y8:Y36" si="24">IF($A8&lt;$R$46,Y9/(1+X9),H$37/2)</f>
        <v>0.49159252850532181</v>
      </c>
      <c r="Z8" s="782">
        <f t="shared" ref="Z8:Z37" si="25">$D$51</f>
        <v>9.1999999999999998E-2</v>
      </c>
      <c r="AA8" s="775">
        <v>0</v>
      </c>
      <c r="AB8" s="783">
        <f t="shared" ref="AB8:AB36" si="26">IF($A8&lt;$R$46,AB9/(1+AA9),K$37/2)</f>
        <v>0.43505938772720965</v>
      </c>
      <c r="AC8" s="782">
        <f t="shared" si="13"/>
        <v>9.1999999999999998E-2</v>
      </c>
      <c r="AD8" s="775">
        <v>0</v>
      </c>
      <c r="AE8" s="783">
        <f t="shared" ref="AE8:AE36" si="27">IF($A8&lt;$R$46,AE9/(1+AD9),N$37/2)</f>
        <v>1.0231126514982996</v>
      </c>
      <c r="AF8" s="782">
        <f t="shared" si="14"/>
        <v>0.31719999999999998</v>
      </c>
      <c r="AG8" s="779">
        <v>0</v>
      </c>
      <c r="AH8" s="784">
        <v>0</v>
      </c>
      <c r="AI8" s="780">
        <f t="shared" si="15"/>
        <v>0.13283274074074072</v>
      </c>
    </row>
    <row r="9" spans="1:35" ht="13.5" customHeight="1">
      <c r="A9" s="369">
        <v>2022</v>
      </c>
      <c r="B9" s="781">
        <f t="shared" ref="B9:B37" si="28">E9+H9+K9+N9</f>
        <v>5.1254628872295598</v>
      </c>
      <c r="C9" s="782">
        <f t="shared" ref="C9:C37" si="29">(E9*F9+H9*I9+K9*L9+N9*O9)/(E9+H9+K9+N9)</f>
        <v>0.204382517533922</v>
      </c>
      <c r="D9" s="785">
        <v>0.25</v>
      </c>
      <c r="E9" s="783">
        <f t="shared" si="16"/>
        <v>0.25105146790248239</v>
      </c>
      <c r="F9" s="782">
        <f t="shared" si="17"/>
        <v>9.1999999999999998E-2</v>
      </c>
      <c r="G9" s="785">
        <v>0.25</v>
      </c>
      <c r="H9" s="783">
        <f t="shared" si="18"/>
        <v>1.2289813212633045</v>
      </c>
      <c r="I9" s="782">
        <f t="shared" si="19"/>
        <v>9.1999999999999998E-2</v>
      </c>
      <c r="J9" s="785">
        <v>0.25</v>
      </c>
      <c r="K9" s="783">
        <f t="shared" si="20"/>
        <v>1.0876484693180242</v>
      </c>
      <c r="L9" s="782">
        <f t="shared" si="10"/>
        <v>9.1999999999999998E-2</v>
      </c>
      <c r="M9" s="785">
        <v>0.25</v>
      </c>
      <c r="N9" s="783">
        <f t="shared" si="21"/>
        <v>2.5577816287457487</v>
      </c>
      <c r="O9" s="782">
        <f t="shared" si="11"/>
        <v>0.31719999999999998</v>
      </c>
      <c r="P9" s="779">
        <v>0</v>
      </c>
      <c r="Q9" s="784">
        <v>0</v>
      </c>
      <c r="R9" s="780">
        <f t="shared" si="12"/>
        <v>0.13283274074074072</v>
      </c>
      <c r="S9" s="781">
        <f t="shared" ref="S9:S37" si="30">V9+Y9+AB9+AE9</f>
        <v>2.5627314436147799</v>
      </c>
      <c r="T9" s="782">
        <f t="shared" ref="T9:T37" si="31">(V9*W9+Y9*Z9+AB9*AC9+AE9*AF9)/(V9+Y9+AB9+AE9)</f>
        <v>0.204382517533922</v>
      </c>
      <c r="U9" s="785">
        <v>0.25</v>
      </c>
      <c r="V9" s="783">
        <f t="shared" si="22"/>
        <v>0.1255257339512412</v>
      </c>
      <c r="W9" s="782">
        <f t="shared" si="23"/>
        <v>9.1999999999999998E-2</v>
      </c>
      <c r="X9" s="785">
        <v>0.25</v>
      </c>
      <c r="Y9" s="783">
        <f t="shared" si="24"/>
        <v>0.61449066063165225</v>
      </c>
      <c r="Z9" s="782">
        <f t="shared" si="25"/>
        <v>9.1999999999999998E-2</v>
      </c>
      <c r="AA9" s="785">
        <v>0.25</v>
      </c>
      <c r="AB9" s="783">
        <f t="shared" si="26"/>
        <v>0.54382423465901208</v>
      </c>
      <c r="AC9" s="782">
        <f t="shared" si="13"/>
        <v>9.1999999999999998E-2</v>
      </c>
      <c r="AD9" s="785">
        <v>0.25</v>
      </c>
      <c r="AE9" s="783">
        <f t="shared" si="27"/>
        <v>1.2788908143728743</v>
      </c>
      <c r="AF9" s="782">
        <f t="shared" si="14"/>
        <v>0.31719999999999998</v>
      </c>
      <c r="AG9" s="779">
        <v>0</v>
      </c>
      <c r="AH9" s="784">
        <v>0</v>
      </c>
      <c r="AI9" s="780">
        <f t="shared" si="15"/>
        <v>0.13283274074074072</v>
      </c>
    </row>
    <row r="10" spans="1:35" ht="13.5" customHeight="1">
      <c r="A10" s="369">
        <v>2023</v>
      </c>
      <c r="B10" s="781">
        <f t="shared" si="28"/>
        <v>6.4068286090369497</v>
      </c>
      <c r="C10" s="782">
        <f t="shared" si="29"/>
        <v>0.204382517533922</v>
      </c>
      <c r="D10" s="785">
        <v>0.25</v>
      </c>
      <c r="E10" s="783">
        <f t="shared" si="16"/>
        <v>0.31381433487810301</v>
      </c>
      <c r="F10" s="782">
        <f t="shared" si="17"/>
        <v>9.1999999999999998E-2</v>
      </c>
      <c r="G10" s="785">
        <v>0.25</v>
      </c>
      <c r="H10" s="783">
        <f t="shared" si="18"/>
        <v>1.5362266515791305</v>
      </c>
      <c r="I10" s="782">
        <f t="shared" si="19"/>
        <v>9.1999999999999998E-2</v>
      </c>
      <c r="J10" s="785">
        <v>0.25</v>
      </c>
      <c r="K10" s="783">
        <f t="shared" si="20"/>
        <v>1.3595605866475302</v>
      </c>
      <c r="L10" s="782">
        <f t="shared" si="10"/>
        <v>9.1999999999999998E-2</v>
      </c>
      <c r="M10" s="785">
        <v>0.25</v>
      </c>
      <c r="N10" s="783">
        <f t="shared" si="21"/>
        <v>3.1972270359321859</v>
      </c>
      <c r="O10" s="782">
        <f t="shared" si="11"/>
        <v>0.31719999999999998</v>
      </c>
      <c r="P10" s="779">
        <v>0</v>
      </c>
      <c r="Q10" s="784">
        <v>0</v>
      </c>
      <c r="R10" s="780">
        <f t="shared" si="12"/>
        <v>0.13283274074074072</v>
      </c>
      <c r="S10" s="781">
        <f t="shared" si="30"/>
        <v>3.2034143045184749</v>
      </c>
      <c r="T10" s="782">
        <f t="shared" si="31"/>
        <v>0.204382517533922</v>
      </c>
      <c r="U10" s="785">
        <v>0.25</v>
      </c>
      <c r="V10" s="783">
        <f t="shared" si="22"/>
        <v>0.1569071674390515</v>
      </c>
      <c r="W10" s="782">
        <f t="shared" si="23"/>
        <v>9.1999999999999998E-2</v>
      </c>
      <c r="X10" s="785">
        <v>0.25</v>
      </c>
      <c r="Y10" s="783">
        <f t="shared" si="24"/>
        <v>0.76811332578956526</v>
      </c>
      <c r="Z10" s="782">
        <f t="shared" si="25"/>
        <v>9.1999999999999998E-2</v>
      </c>
      <c r="AA10" s="785">
        <v>0.25</v>
      </c>
      <c r="AB10" s="783">
        <f t="shared" si="26"/>
        <v>0.67978029332376511</v>
      </c>
      <c r="AC10" s="782">
        <f t="shared" si="13"/>
        <v>9.1999999999999998E-2</v>
      </c>
      <c r="AD10" s="785">
        <v>0.25</v>
      </c>
      <c r="AE10" s="783">
        <f t="shared" si="27"/>
        <v>1.598613517966093</v>
      </c>
      <c r="AF10" s="782">
        <f t="shared" si="14"/>
        <v>0.31719999999999998</v>
      </c>
      <c r="AG10" s="779">
        <v>0</v>
      </c>
      <c r="AH10" s="784">
        <v>0</v>
      </c>
      <c r="AI10" s="780">
        <f t="shared" si="15"/>
        <v>0.13283274074074072</v>
      </c>
    </row>
    <row r="11" spans="1:35" ht="13.5" customHeight="1">
      <c r="A11" s="369">
        <v>2024</v>
      </c>
      <c r="B11" s="781">
        <f t="shared" si="28"/>
        <v>8.0085357612961872</v>
      </c>
      <c r="C11" s="782">
        <f t="shared" si="29"/>
        <v>0.204382517533922</v>
      </c>
      <c r="D11" s="785">
        <v>0.25</v>
      </c>
      <c r="E11" s="783">
        <f t="shared" si="16"/>
        <v>0.39226791859762877</v>
      </c>
      <c r="F11" s="782">
        <f t="shared" si="17"/>
        <v>9.1999999999999998E-2</v>
      </c>
      <c r="G11" s="785">
        <v>0.25</v>
      </c>
      <c r="H11" s="783">
        <f t="shared" si="18"/>
        <v>1.9202833144739131</v>
      </c>
      <c r="I11" s="782">
        <f t="shared" si="19"/>
        <v>9.1999999999999998E-2</v>
      </c>
      <c r="J11" s="785">
        <v>0.25</v>
      </c>
      <c r="K11" s="783">
        <f t="shared" si="20"/>
        <v>1.6994507333094127</v>
      </c>
      <c r="L11" s="782">
        <f t="shared" si="10"/>
        <v>9.1999999999999998E-2</v>
      </c>
      <c r="M11" s="785">
        <v>0.25</v>
      </c>
      <c r="N11" s="783">
        <f t="shared" si="21"/>
        <v>3.9965337949152322</v>
      </c>
      <c r="O11" s="782">
        <f t="shared" si="11"/>
        <v>0.31719999999999998</v>
      </c>
      <c r="P11" s="779">
        <v>0</v>
      </c>
      <c r="Q11" s="784">
        <v>0</v>
      </c>
      <c r="R11" s="780">
        <f t="shared" si="12"/>
        <v>0.13283274074074072</v>
      </c>
      <c r="S11" s="781">
        <f t="shared" si="30"/>
        <v>4.0042678806480936</v>
      </c>
      <c r="T11" s="782">
        <f t="shared" si="31"/>
        <v>0.204382517533922</v>
      </c>
      <c r="U11" s="785">
        <v>0.25</v>
      </c>
      <c r="V11" s="783">
        <f t="shared" si="22"/>
        <v>0.19613395929881439</v>
      </c>
      <c r="W11" s="782">
        <f t="shared" si="23"/>
        <v>9.1999999999999998E-2</v>
      </c>
      <c r="X11" s="785">
        <v>0.25</v>
      </c>
      <c r="Y11" s="783">
        <f t="shared" si="24"/>
        <v>0.96014165723695655</v>
      </c>
      <c r="Z11" s="782">
        <f t="shared" si="25"/>
        <v>9.1999999999999998E-2</v>
      </c>
      <c r="AA11" s="785">
        <v>0.25</v>
      </c>
      <c r="AB11" s="783">
        <f t="shared" si="26"/>
        <v>0.84972536665470633</v>
      </c>
      <c r="AC11" s="782">
        <f t="shared" si="13"/>
        <v>9.1999999999999998E-2</v>
      </c>
      <c r="AD11" s="785">
        <v>0.25</v>
      </c>
      <c r="AE11" s="783">
        <f t="shared" si="27"/>
        <v>1.9982668974576161</v>
      </c>
      <c r="AF11" s="782">
        <f t="shared" si="14"/>
        <v>0.31719999999999998</v>
      </c>
      <c r="AG11" s="779">
        <v>0</v>
      </c>
      <c r="AH11" s="784">
        <v>0</v>
      </c>
      <c r="AI11" s="780">
        <f t="shared" si="15"/>
        <v>0.13283274074074072</v>
      </c>
    </row>
    <row r="12" spans="1:35" ht="13.5" customHeight="1">
      <c r="A12" s="369">
        <v>2025</v>
      </c>
      <c r="B12" s="781">
        <f t="shared" si="28"/>
        <v>10.010669701620234</v>
      </c>
      <c r="C12" s="782">
        <f t="shared" si="29"/>
        <v>0.204382517533922</v>
      </c>
      <c r="D12" s="785">
        <v>0.25</v>
      </c>
      <c r="E12" s="783">
        <f t="shared" si="16"/>
        <v>0.49033489824703597</v>
      </c>
      <c r="F12" s="782">
        <f t="shared" si="17"/>
        <v>9.1999999999999998E-2</v>
      </c>
      <c r="G12" s="785">
        <v>0.25</v>
      </c>
      <c r="H12" s="783">
        <f t="shared" si="18"/>
        <v>2.4003541430923914</v>
      </c>
      <c r="I12" s="782">
        <f t="shared" si="19"/>
        <v>9.1999999999999998E-2</v>
      </c>
      <c r="J12" s="785">
        <v>0.25</v>
      </c>
      <c r="K12" s="783">
        <f t="shared" si="20"/>
        <v>2.1243134166367659</v>
      </c>
      <c r="L12" s="782">
        <f t="shared" si="10"/>
        <v>9.1999999999999998E-2</v>
      </c>
      <c r="M12" s="785">
        <v>0.25</v>
      </c>
      <c r="N12" s="783">
        <f t="shared" si="21"/>
        <v>4.9956672436440401</v>
      </c>
      <c r="O12" s="782">
        <f t="shared" si="11"/>
        <v>0.31719999999999998</v>
      </c>
      <c r="P12" s="779">
        <v>0</v>
      </c>
      <c r="Q12" s="784">
        <v>0</v>
      </c>
      <c r="R12" s="780">
        <f t="shared" si="12"/>
        <v>0.13283274074074072</v>
      </c>
      <c r="S12" s="781">
        <f t="shared" si="30"/>
        <v>5.005334850810117</v>
      </c>
      <c r="T12" s="782">
        <f t="shared" si="31"/>
        <v>0.204382517533922</v>
      </c>
      <c r="U12" s="785">
        <v>0.25</v>
      </c>
      <c r="V12" s="783">
        <f t="shared" si="22"/>
        <v>0.24516744912351798</v>
      </c>
      <c r="W12" s="782">
        <f t="shared" si="23"/>
        <v>9.1999999999999998E-2</v>
      </c>
      <c r="X12" s="785">
        <v>0.25</v>
      </c>
      <c r="Y12" s="783">
        <f t="shared" si="24"/>
        <v>1.2001770715461957</v>
      </c>
      <c r="Z12" s="782">
        <f t="shared" si="25"/>
        <v>9.1999999999999998E-2</v>
      </c>
      <c r="AA12" s="785">
        <v>0.25</v>
      </c>
      <c r="AB12" s="783">
        <f t="shared" si="26"/>
        <v>1.0621567083183829</v>
      </c>
      <c r="AC12" s="782">
        <f t="shared" si="13"/>
        <v>9.1999999999999998E-2</v>
      </c>
      <c r="AD12" s="785">
        <v>0.25</v>
      </c>
      <c r="AE12" s="783">
        <f t="shared" si="27"/>
        <v>2.4978336218220201</v>
      </c>
      <c r="AF12" s="782">
        <f t="shared" si="14"/>
        <v>0.31719999999999998</v>
      </c>
      <c r="AG12" s="779">
        <v>0</v>
      </c>
      <c r="AH12" s="784">
        <v>0</v>
      </c>
      <c r="AI12" s="780">
        <f t="shared" si="15"/>
        <v>0.13283274074074072</v>
      </c>
    </row>
    <row r="13" spans="1:35" ht="13.5" customHeight="1">
      <c r="A13" s="369">
        <v>2026</v>
      </c>
      <c r="B13" s="781">
        <f t="shared" si="28"/>
        <v>12.513337127025292</v>
      </c>
      <c r="C13" s="782">
        <f t="shared" si="29"/>
        <v>0.204382517533922</v>
      </c>
      <c r="D13" s="785">
        <v>0.25</v>
      </c>
      <c r="E13" s="783">
        <f t="shared" si="16"/>
        <v>0.61291862280879494</v>
      </c>
      <c r="F13" s="782">
        <f t="shared" si="17"/>
        <v>9.1999999999999998E-2</v>
      </c>
      <c r="G13" s="785">
        <v>0.25</v>
      </c>
      <c r="H13" s="783">
        <f t="shared" si="18"/>
        <v>3.0004426788654892</v>
      </c>
      <c r="I13" s="782">
        <f t="shared" si="19"/>
        <v>9.1999999999999998E-2</v>
      </c>
      <c r="J13" s="785">
        <v>0.25</v>
      </c>
      <c r="K13" s="783">
        <f t="shared" si="20"/>
        <v>2.6553917707959576</v>
      </c>
      <c r="L13" s="782">
        <f t="shared" si="10"/>
        <v>9.1999999999999998E-2</v>
      </c>
      <c r="M13" s="785">
        <v>0.25</v>
      </c>
      <c r="N13" s="783">
        <f t="shared" si="21"/>
        <v>6.2445840545550499</v>
      </c>
      <c r="O13" s="782">
        <f t="shared" si="11"/>
        <v>0.31719999999999998</v>
      </c>
      <c r="P13" s="779">
        <v>0</v>
      </c>
      <c r="Q13" s="784">
        <v>0</v>
      </c>
      <c r="R13" s="780">
        <f t="shared" si="12"/>
        <v>0.13283274074074072</v>
      </c>
      <c r="S13" s="781">
        <f t="shared" si="30"/>
        <v>6.2566685635126458</v>
      </c>
      <c r="T13" s="782">
        <f t="shared" si="31"/>
        <v>0.204382517533922</v>
      </c>
      <c r="U13" s="785">
        <v>0.25</v>
      </c>
      <c r="V13" s="783">
        <f t="shared" si="22"/>
        <v>0.30645931140439747</v>
      </c>
      <c r="W13" s="782">
        <f t="shared" si="23"/>
        <v>9.1999999999999998E-2</v>
      </c>
      <c r="X13" s="785">
        <v>0.25</v>
      </c>
      <c r="Y13" s="783">
        <f t="shared" si="24"/>
        <v>1.5002213394327446</v>
      </c>
      <c r="Z13" s="782">
        <f t="shared" si="25"/>
        <v>9.1999999999999998E-2</v>
      </c>
      <c r="AA13" s="785">
        <v>0.25</v>
      </c>
      <c r="AB13" s="783">
        <f t="shared" si="26"/>
        <v>1.3276958853979788</v>
      </c>
      <c r="AC13" s="782">
        <f t="shared" si="13"/>
        <v>9.1999999999999998E-2</v>
      </c>
      <c r="AD13" s="785">
        <v>0.25</v>
      </c>
      <c r="AE13" s="783">
        <f t="shared" si="27"/>
        <v>3.122292027277525</v>
      </c>
      <c r="AF13" s="782">
        <f t="shared" si="14"/>
        <v>0.31719999999999998</v>
      </c>
      <c r="AG13" s="779">
        <v>0</v>
      </c>
      <c r="AH13" s="784">
        <v>0</v>
      </c>
      <c r="AI13" s="780">
        <f t="shared" si="15"/>
        <v>0.13283274074074072</v>
      </c>
    </row>
    <row r="14" spans="1:35" ht="13.5" customHeight="1">
      <c r="A14" s="369">
        <v>2027</v>
      </c>
      <c r="B14" s="781">
        <f t="shared" si="28"/>
        <v>15.641671408781615</v>
      </c>
      <c r="C14" s="782">
        <f t="shared" si="29"/>
        <v>0.20438251753392203</v>
      </c>
      <c r="D14" s="785">
        <v>0.25</v>
      </c>
      <c r="E14" s="783">
        <f t="shared" si="16"/>
        <v>0.76614827851099365</v>
      </c>
      <c r="F14" s="782">
        <f t="shared" si="17"/>
        <v>9.1999999999999998E-2</v>
      </c>
      <c r="G14" s="785">
        <v>0.25</v>
      </c>
      <c r="H14" s="783">
        <f t="shared" si="18"/>
        <v>3.7505533485818616</v>
      </c>
      <c r="I14" s="782">
        <f t="shared" si="19"/>
        <v>9.1999999999999998E-2</v>
      </c>
      <c r="J14" s="785">
        <v>0.25</v>
      </c>
      <c r="K14" s="783">
        <f t="shared" si="20"/>
        <v>3.3192397134949472</v>
      </c>
      <c r="L14" s="782">
        <f t="shared" si="10"/>
        <v>9.1999999999999998E-2</v>
      </c>
      <c r="M14" s="785">
        <v>0.25</v>
      </c>
      <c r="N14" s="783">
        <f t="shared" si="21"/>
        <v>7.8057300681938129</v>
      </c>
      <c r="O14" s="782">
        <f t="shared" si="11"/>
        <v>0.31719999999999998</v>
      </c>
      <c r="P14" s="779">
        <v>0</v>
      </c>
      <c r="Q14" s="784">
        <v>0</v>
      </c>
      <c r="R14" s="780">
        <f t="shared" si="12"/>
        <v>0.13283274074074072</v>
      </c>
      <c r="S14" s="781">
        <f t="shared" si="30"/>
        <v>7.8208357043908077</v>
      </c>
      <c r="T14" s="782">
        <f t="shared" si="31"/>
        <v>0.20438251753392203</v>
      </c>
      <c r="U14" s="785">
        <v>0.25</v>
      </c>
      <c r="V14" s="783">
        <f t="shared" si="22"/>
        <v>0.38307413925549683</v>
      </c>
      <c r="W14" s="782">
        <f t="shared" si="23"/>
        <v>9.1999999999999998E-2</v>
      </c>
      <c r="X14" s="785">
        <v>0.25</v>
      </c>
      <c r="Y14" s="783">
        <f t="shared" si="24"/>
        <v>1.8752766742909308</v>
      </c>
      <c r="Z14" s="782">
        <f t="shared" si="25"/>
        <v>9.1999999999999998E-2</v>
      </c>
      <c r="AA14" s="785">
        <v>0.25</v>
      </c>
      <c r="AB14" s="783">
        <f t="shared" si="26"/>
        <v>1.6596198567474736</v>
      </c>
      <c r="AC14" s="782">
        <f t="shared" si="13"/>
        <v>9.1999999999999998E-2</v>
      </c>
      <c r="AD14" s="785">
        <v>0.25</v>
      </c>
      <c r="AE14" s="783">
        <f t="shared" si="27"/>
        <v>3.9028650340969064</v>
      </c>
      <c r="AF14" s="782">
        <f t="shared" si="14"/>
        <v>0.31719999999999998</v>
      </c>
      <c r="AG14" s="779">
        <v>0</v>
      </c>
      <c r="AH14" s="784">
        <v>0</v>
      </c>
      <c r="AI14" s="780">
        <f t="shared" si="15"/>
        <v>0.13283274074074072</v>
      </c>
    </row>
    <row r="15" spans="1:35" ht="13.5" customHeight="1">
      <c r="A15" s="369">
        <v>2028</v>
      </c>
      <c r="B15" s="781">
        <f t="shared" si="28"/>
        <v>19.55208926097702</v>
      </c>
      <c r="C15" s="782">
        <f t="shared" si="29"/>
        <v>0.20438251753392203</v>
      </c>
      <c r="D15" s="785">
        <v>0.25</v>
      </c>
      <c r="E15" s="783">
        <f t="shared" si="16"/>
        <v>0.95768534813874207</v>
      </c>
      <c r="F15" s="782">
        <f t="shared" si="17"/>
        <v>9.1999999999999998E-2</v>
      </c>
      <c r="G15" s="785">
        <v>0.25</v>
      </c>
      <c r="H15" s="783">
        <f t="shared" si="18"/>
        <v>4.6881916857273271</v>
      </c>
      <c r="I15" s="782">
        <f t="shared" si="19"/>
        <v>9.1999999999999998E-2</v>
      </c>
      <c r="J15" s="785">
        <v>0.25</v>
      </c>
      <c r="K15" s="783">
        <f t="shared" si="20"/>
        <v>4.1490496418686842</v>
      </c>
      <c r="L15" s="782">
        <f t="shared" si="10"/>
        <v>9.1999999999999998E-2</v>
      </c>
      <c r="M15" s="785">
        <v>0.25</v>
      </c>
      <c r="N15" s="783">
        <f t="shared" si="21"/>
        <v>9.7571625852422663</v>
      </c>
      <c r="O15" s="782">
        <f t="shared" si="11"/>
        <v>0.31719999999999998</v>
      </c>
      <c r="P15" s="779">
        <v>0</v>
      </c>
      <c r="Q15" s="784">
        <v>0</v>
      </c>
      <c r="R15" s="780">
        <f t="shared" si="12"/>
        <v>0.13283274074074072</v>
      </c>
      <c r="S15" s="781">
        <f t="shared" si="30"/>
        <v>9.77604463048851</v>
      </c>
      <c r="T15" s="782">
        <f t="shared" si="31"/>
        <v>0.20438251753392203</v>
      </c>
      <c r="U15" s="785">
        <v>0.25</v>
      </c>
      <c r="V15" s="783">
        <f t="shared" si="22"/>
        <v>0.47884267406937103</v>
      </c>
      <c r="W15" s="782">
        <f t="shared" si="23"/>
        <v>9.1999999999999998E-2</v>
      </c>
      <c r="X15" s="785">
        <v>0.25</v>
      </c>
      <c r="Y15" s="783">
        <f t="shared" si="24"/>
        <v>2.3440958428636636</v>
      </c>
      <c r="Z15" s="782">
        <f t="shared" si="25"/>
        <v>9.1999999999999998E-2</v>
      </c>
      <c r="AA15" s="785">
        <v>0.25</v>
      </c>
      <c r="AB15" s="783">
        <f t="shared" si="26"/>
        <v>2.0745248209343421</v>
      </c>
      <c r="AC15" s="782">
        <f t="shared" si="13"/>
        <v>9.1999999999999998E-2</v>
      </c>
      <c r="AD15" s="785">
        <v>0.25</v>
      </c>
      <c r="AE15" s="783">
        <f t="shared" si="27"/>
        <v>4.8785812926211332</v>
      </c>
      <c r="AF15" s="782">
        <f t="shared" si="14"/>
        <v>0.31719999999999998</v>
      </c>
      <c r="AG15" s="779">
        <v>0</v>
      </c>
      <c r="AH15" s="784">
        <v>0</v>
      </c>
      <c r="AI15" s="780">
        <f t="shared" si="15"/>
        <v>0.13283274074074072</v>
      </c>
    </row>
    <row r="16" spans="1:35" ht="13.5" customHeight="1">
      <c r="A16" s="369">
        <v>2029</v>
      </c>
      <c r="B16" s="781">
        <f t="shared" si="28"/>
        <v>24.440111576221273</v>
      </c>
      <c r="C16" s="782">
        <f t="shared" si="29"/>
        <v>0.20438251753392203</v>
      </c>
      <c r="D16" s="785">
        <v>0.25</v>
      </c>
      <c r="E16" s="783">
        <f t="shared" si="16"/>
        <v>1.1971066851734276</v>
      </c>
      <c r="F16" s="782">
        <f t="shared" si="17"/>
        <v>9.1999999999999998E-2</v>
      </c>
      <c r="G16" s="785">
        <v>0.25</v>
      </c>
      <c r="H16" s="783">
        <f t="shared" si="18"/>
        <v>5.8602396071591585</v>
      </c>
      <c r="I16" s="782">
        <f t="shared" si="19"/>
        <v>9.1999999999999998E-2</v>
      </c>
      <c r="J16" s="785">
        <v>0.25</v>
      </c>
      <c r="K16" s="783">
        <f t="shared" si="20"/>
        <v>5.1863120523358557</v>
      </c>
      <c r="L16" s="782">
        <f t="shared" si="10"/>
        <v>9.1999999999999998E-2</v>
      </c>
      <c r="M16" s="785">
        <v>0.25</v>
      </c>
      <c r="N16" s="783">
        <f t="shared" si="21"/>
        <v>12.196453231552832</v>
      </c>
      <c r="O16" s="782">
        <f t="shared" si="11"/>
        <v>0.31719999999999998</v>
      </c>
      <c r="P16" s="779">
        <v>0</v>
      </c>
      <c r="Q16" s="784">
        <v>0</v>
      </c>
      <c r="R16" s="780">
        <f t="shared" si="12"/>
        <v>0.13283274074074072</v>
      </c>
      <c r="S16" s="781">
        <f t="shared" si="30"/>
        <v>12.220055788110637</v>
      </c>
      <c r="T16" s="782">
        <f t="shared" si="31"/>
        <v>0.20438251753392203</v>
      </c>
      <c r="U16" s="785">
        <v>0.25</v>
      </c>
      <c r="V16" s="783">
        <f t="shared" si="22"/>
        <v>0.59855334258671378</v>
      </c>
      <c r="W16" s="782">
        <f t="shared" si="23"/>
        <v>9.1999999999999998E-2</v>
      </c>
      <c r="X16" s="785">
        <v>0.25</v>
      </c>
      <c r="Y16" s="783">
        <f t="shared" si="24"/>
        <v>2.9301198035795792</v>
      </c>
      <c r="Z16" s="782">
        <f t="shared" si="25"/>
        <v>9.1999999999999998E-2</v>
      </c>
      <c r="AA16" s="785">
        <v>0.25</v>
      </c>
      <c r="AB16" s="783">
        <f t="shared" si="26"/>
        <v>2.5931560261679278</v>
      </c>
      <c r="AC16" s="782">
        <f t="shared" si="13"/>
        <v>9.1999999999999998E-2</v>
      </c>
      <c r="AD16" s="785">
        <v>0.25</v>
      </c>
      <c r="AE16" s="783">
        <f t="shared" si="27"/>
        <v>6.098226615776416</v>
      </c>
      <c r="AF16" s="782">
        <f t="shared" si="14"/>
        <v>0.31719999999999998</v>
      </c>
      <c r="AG16" s="779">
        <v>0</v>
      </c>
      <c r="AH16" s="784">
        <v>0</v>
      </c>
      <c r="AI16" s="780">
        <f t="shared" si="15"/>
        <v>0.13283274074074072</v>
      </c>
    </row>
    <row r="17" spans="1:35" ht="13.5" customHeight="1">
      <c r="A17" s="369">
        <v>2030</v>
      </c>
      <c r="B17" s="781">
        <f t="shared" si="28"/>
        <v>30.550139470276591</v>
      </c>
      <c r="C17" s="782">
        <f t="shared" si="29"/>
        <v>0.204382517533922</v>
      </c>
      <c r="D17" s="785">
        <v>0.25</v>
      </c>
      <c r="E17" s="783">
        <f t="shared" si="16"/>
        <v>1.4963833564667846</v>
      </c>
      <c r="F17" s="782">
        <f t="shared" si="17"/>
        <v>9.1999999999999998E-2</v>
      </c>
      <c r="G17" s="785">
        <v>0.25</v>
      </c>
      <c r="H17" s="783">
        <f t="shared" si="18"/>
        <v>7.3252995089489481</v>
      </c>
      <c r="I17" s="782">
        <f t="shared" si="19"/>
        <v>9.1999999999999998E-2</v>
      </c>
      <c r="J17" s="785">
        <v>0.25</v>
      </c>
      <c r="K17" s="783">
        <f t="shared" si="20"/>
        <v>6.4828900654198192</v>
      </c>
      <c r="L17" s="782">
        <f t="shared" si="10"/>
        <v>9.1999999999999998E-2</v>
      </c>
      <c r="M17" s="785">
        <v>0.25</v>
      </c>
      <c r="N17" s="783">
        <f t="shared" si="21"/>
        <v>15.24556653944104</v>
      </c>
      <c r="O17" s="782">
        <f t="shared" si="11"/>
        <v>0.31719999999999998</v>
      </c>
      <c r="P17" s="779">
        <v>0</v>
      </c>
      <c r="Q17" s="784">
        <f>Q18/(1+P18)</f>
        <v>6.1044888159725108</v>
      </c>
      <c r="R17" s="780">
        <f t="shared" si="12"/>
        <v>0.13283274074074072</v>
      </c>
      <c r="S17" s="781">
        <f t="shared" si="30"/>
        <v>15.275069735138295</v>
      </c>
      <c r="T17" s="782">
        <f t="shared" si="31"/>
        <v>0.204382517533922</v>
      </c>
      <c r="U17" s="785">
        <v>0.25</v>
      </c>
      <c r="V17" s="783">
        <f t="shared" si="22"/>
        <v>0.74819167823339228</v>
      </c>
      <c r="W17" s="782">
        <f t="shared" si="23"/>
        <v>9.1999999999999998E-2</v>
      </c>
      <c r="X17" s="785">
        <v>0.25</v>
      </c>
      <c r="Y17" s="783">
        <f t="shared" si="24"/>
        <v>3.6626497544744741</v>
      </c>
      <c r="Z17" s="782">
        <f t="shared" si="25"/>
        <v>9.1999999999999998E-2</v>
      </c>
      <c r="AA17" s="785">
        <v>0.25</v>
      </c>
      <c r="AB17" s="783">
        <f t="shared" si="26"/>
        <v>3.2414450327099096</v>
      </c>
      <c r="AC17" s="782">
        <f t="shared" si="13"/>
        <v>9.1999999999999998E-2</v>
      </c>
      <c r="AD17" s="785">
        <v>0.25</v>
      </c>
      <c r="AE17" s="783">
        <f t="shared" si="27"/>
        <v>7.6227832697205198</v>
      </c>
      <c r="AF17" s="782">
        <f t="shared" si="14"/>
        <v>0.31719999999999998</v>
      </c>
      <c r="AG17" s="779">
        <v>0</v>
      </c>
      <c r="AH17" s="371">
        <f>Q17/2</f>
        <v>3.0522444079862554</v>
      </c>
      <c r="AI17" s="780">
        <f t="shared" si="15"/>
        <v>0.13283274074074072</v>
      </c>
    </row>
    <row r="18" spans="1:35" ht="13.5" customHeight="1">
      <c r="A18" s="369">
        <v>2031</v>
      </c>
      <c r="B18" s="781">
        <f t="shared" si="28"/>
        <v>35.132660390818074</v>
      </c>
      <c r="C18" s="782">
        <f t="shared" si="29"/>
        <v>0.20438251753392203</v>
      </c>
      <c r="D18" s="785">
        <v>0.15</v>
      </c>
      <c r="E18" s="783">
        <f t="shared" si="16"/>
        <v>1.7208408599368021</v>
      </c>
      <c r="F18" s="782">
        <f t="shared" si="17"/>
        <v>9.1999999999999998E-2</v>
      </c>
      <c r="G18" s="785">
        <v>0.15</v>
      </c>
      <c r="H18" s="783">
        <f t="shared" si="18"/>
        <v>8.4240944352912894</v>
      </c>
      <c r="I18" s="782">
        <f t="shared" si="19"/>
        <v>9.1999999999999998E-2</v>
      </c>
      <c r="J18" s="785">
        <v>0.15</v>
      </c>
      <c r="K18" s="783">
        <f t="shared" si="20"/>
        <v>7.4553235752327911</v>
      </c>
      <c r="L18" s="782">
        <f t="shared" si="10"/>
        <v>9.1999999999999998E-2</v>
      </c>
      <c r="M18" s="785">
        <v>0.15</v>
      </c>
      <c r="N18" s="783">
        <f t="shared" si="21"/>
        <v>17.532401520357194</v>
      </c>
      <c r="O18" s="782">
        <f t="shared" si="11"/>
        <v>0.31719999999999998</v>
      </c>
      <c r="P18" s="785">
        <v>0.25</v>
      </c>
      <c r="Q18" s="784">
        <f t="shared" ref="Q18:Q36" si="32">Q19/(1+P19)</f>
        <v>7.630611019965639</v>
      </c>
      <c r="R18" s="780">
        <f t="shared" si="12"/>
        <v>0.13283274074074072</v>
      </c>
      <c r="S18" s="781">
        <f t="shared" si="30"/>
        <v>17.566330195409037</v>
      </c>
      <c r="T18" s="782">
        <f t="shared" si="31"/>
        <v>0.20438251753392203</v>
      </c>
      <c r="U18" s="785">
        <v>0.15</v>
      </c>
      <c r="V18" s="783">
        <f t="shared" si="22"/>
        <v>0.86042042996840107</v>
      </c>
      <c r="W18" s="782">
        <f t="shared" si="23"/>
        <v>9.1999999999999998E-2</v>
      </c>
      <c r="X18" s="785">
        <v>0.15</v>
      </c>
      <c r="Y18" s="783">
        <f t="shared" si="24"/>
        <v>4.2120472176456447</v>
      </c>
      <c r="Z18" s="782">
        <f t="shared" si="25"/>
        <v>9.1999999999999998E-2</v>
      </c>
      <c r="AA18" s="785">
        <v>0.15</v>
      </c>
      <c r="AB18" s="783">
        <f t="shared" si="26"/>
        <v>3.7276617876163956</v>
      </c>
      <c r="AC18" s="782">
        <f t="shared" si="13"/>
        <v>9.1999999999999998E-2</v>
      </c>
      <c r="AD18" s="785">
        <v>0.15</v>
      </c>
      <c r="AE18" s="783">
        <f t="shared" si="27"/>
        <v>8.766200760178597</v>
      </c>
      <c r="AF18" s="782">
        <f t="shared" si="14"/>
        <v>0.31719999999999998</v>
      </c>
      <c r="AG18" s="785">
        <v>0.25</v>
      </c>
      <c r="AH18" s="784">
        <f t="shared" ref="AH18:AH36" si="33">AH17*(1+AG18)</f>
        <v>3.815305509982819</v>
      </c>
      <c r="AI18" s="780">
        <f t="shared" si="15"/>
        <v>0.13283274074074072</v>
      </c>
    </row>
    <row r="19" spans="1:35" ht="13.5" customHeight="1">
      <c r="A19" s="369">
        <v>2032</v>
      </c>
      <c r="B19" s="781">
        <f t="shared" si="28"/>
        <v>40.402559449440787</v>
      </c>
      <c r="C19" s="782">
        <f t="shared" si="29"/>
        <v>0.20438251753392198</v>
      </c>
      <c r="D19" s="785">
        <v>0.15</v>
      </c>
      <c r="E19" s="783">
        <f t="shared" si="16"/>
        <v>1.9789669889273223</v>
      </c>
      <c r="F19" s="782">
        <f t="shared" si="17"/>
        <v>9.1999999999999998E-2</v>
      </c>
      <c r="G19" s="785">
        <v>0.15</v>
      </c>
      <c r="H19" s="783">
        <f t="shared" si="18"/>
        <v>9.6877086005849815</v>
      </c>
      <c r="I19" s="782">
        <f t="shared" si="19"/>
        <v>9.1999999999999998E-2</v>
      </c>
      <c r="J19" s="785">
        <v>0.15</v>
      </c>
      <c r="K19" s="783">
        <f t="shared" si="20"/>
        <v>8.5736221115177091</v>
      </c>
      <c r="L19" s="782">
        <f t="shared" si="10"/>
        <v>9.1999999999999998E-2</v>
      </c>
      <c r="M19" s="785">
        <v>0.15</v>
      </c>
      <c r="N19" s="783">
        <f t="shared" si="21"/>
        <v>20.162261748410771</v>
      </c>
      <c r="O19" s="782">
        <f t="shared" si="11"/>
        <v>0.31719999999999998</v>
      </c>
      <c r="P19" s="785">
        <v>0.25</v>
      </c>
      <c r="Q19" s="784">
        <f t="shared" si="32"/>
        <v>9.5382637749570485</v>
      </c>
      <c r="R19" s="780">
        <f t="shared" si="12"/>
        <v>0.13283274074074072</v>
      </c>
      <c r="S19" s="781">
        <f t="shared" si="30"/>
        <v>20.201279724720393</v>
      </c>
      <c r="T19" s="782">
        <f t="shared" si="31"/>
        <v>0.20438251753392198</v>
      </c>
      <c r="U19" s="785">
        <v>0.15</v>
      </c>
      <c r="V19" s="783">
        <f t="shared" si="22"/>
        <v>0.98948349446366113</v>
      </c>
      <c r="W19" s="782">
        <f t="shared" si="23"/>
        <v>9.1999999999999998E-2</v>
      </c>
      <c r="X19" s="785">
        <v>0.15</v>
      </c>
      <c r="Y19" s="783">
        <f t="shared" si="24"/>
        <v>4.8438543002924908</v>
      </c>
      <c r="Z19" s="782">
        <f t="shared" si="25"/>
        <v>9.1999999999999998E-2</v>
      </c>
      <c r="AA19" s="785">
        <v>0.15</v>
      </c>
      <c r="AB19" s="783">
        <f t="shared" si="26"/>
        <v>4.2868110557588546</v>
      </c>
      <c r="AC19" s="782">
        <f t="shared" si="13"/>
        <v>9.1999999999999998E-2</v>
      </c>
      <c r="AD19" s="785">
        <v>0.15</v>
      </c>
      <c r="AE19" s="783">
        <f t="shared" si="27"/>
        <v>10.081130874205385</v>
      </c>
      <c r="AF19" s="782">
        <f t="shared" si="14"/>
        <v>0.31719999999999998</v>
      </c>
      <c r="AG19" s="785">
        <v>0.25</v>
      </c>
      <c r="AH19" s="784">
        <f t="shared" si="33"/>
        <v>4.7691318874785242</v>
      </c>
      <c r="AI19" s="780">
        <f t="shared" si="15"/>
        <v>0.13283274074074072</v>
      </c>
    </row>
    <row r="20" spans="1:35" ht="13.5" customHeight="1">
      <c r="A20" s="369">
        <v>2033</v>
      </c>
      <c r="B20" s="781">
        <f t="shared" si="28"/>
        <v>46.462943366856891</v>
      </c>
      <c r="C20" s="782">
        <f t="shared" si="29"/>
        <v>0.20438251753392206</v>
      </c>
      <c r="D20" s="785">
        <v>0.15</v>
      </c>
      <c r="E20" s="783">
        <f t="shared" si="16"/>
        <v>2.2758120372664203</v>
      </c>
      <c r="F20" s="782">
        <f t="shared" si="17"/>
        <v>9.1999999999999998E-2</v>
      </c>
      <c r="G20" s="785">
        <v>0.15</v>
      </c>
      <c r="H20" s="783">
        <f t="shared" si="18"/>
        <v>11.140864890672727</v>
      </c>
      <c r="I20" s="782">
        <f t="shared" si="19"/>
        <v>9.1999999999999998E-2</v>
      </c>
      <c r="J20" s="785">
        <v>0.15</v>
      </c>
      <c r="K20" s="783">
        <f t="shared" si="20"/>
        <v>9.8596654282453642</v>
      </c>
      <c r="L20" s="782">
        <f t="shared" si="10"/>
        <v>9.1999999999999998E-2</v>
      </c>
      <c r="M20" s="785">
        <v>0.15</v>
      </c>
      <c r="N20" s="783">
        <f t="shared" si="21"/>
        <v>23.186601010672383</v>
      </c>
      <c r="O20" s="782">
        <f t="shared" si="11"/>
        <v>0.31719999999999998</v>
      </c>
      <c r="P20" s="785">
        <v>0.25</v>
      </c>
      <c r="Q20" s="784">
        <f t="shared" si="32"/>
        <v>11.922829718696311</v>
      </c>
      <c r="R20" s="780">
        <f t="shared" si="12"/>
        <v>0.13283274074074072</v>
      </c>
      <c r="S20" s="781">
        <f t="shared" si="30"/>
        <v>23.231471683428445</v>
      </c>
      <c r="T20" s="782">
        <f t="shared" si="31"/>
        <v>0.20438251753392206</v>
      </c>
      <c r="U20" s="785">
        <v>0.15</v>
      </c>
      <c r="V20" s="783">
        <f t="shared" si="22"/>
        <v>1.1379060186332102</v>
      </c>
      <c r="W20" s="782">
        <f t="shared" si="23"/>
        <v>9.1999999999999998E-2</v>
      </c>
      <c r="X20" s="785">
        <v>0.15</v>
      </c>
      <c r="Y20" s="783">
        <f t="shared" si="24"/>
        <v>5.5704324453363636</v>
      </c>
      <c r="Z20" s="782">
        <f t="shared" si="25"/>
        <v>9.1999999999999998E-2</v>
      </c>
      <c r="AA20" s="785">
        <v>0.15</v>
      </c>
      <c r="AB20" s="783">
        <f t="shared" si="26"/>
        <v>4.9298327141226821</v>
      </c>
      <c r="AC20" s="782">
        <f t="shared" si="13"/>
        <v>9.1999999999999998E-2</v>
      </c>
      <c r="AD20" s="785">
        <v>0.15</v>
      </c>
      <c r="AE20" s="783">
        <f t="shared" si="27"/>
        <v>11.593300505336192</v>
      </c>
      <c r="AF20" s="782">
        <f t="shared" si="14"/>
        <v>0.31719999999999998</v>
      </c>
      <c r="AG20" s="785">
        <v>0.25</v>
      </c>
      <c r="AH20" s="784">
        <f t="shared" si="33"/>
        <v>5.9614148593481548</v>
      </c>
      <c r="AI20" s="780">
        <f t="shared" si="15"/>
        <v>0.13283274074074072</v>
      </c>
    </row>
    <row r="21" spans="1:35" ht="13.5" customHeight="1">
      <c r="A21" s="369">
        <v>2034</v>
      </c>
      <c r="B21" s="781">
        <f t="shared" si="28"/>
        <v>53.432384871885425</v>
      </c>
      <c r="C21" s="782">
        <f t="shared" si="29"/>
        <v>0.204382517533922</v>
      </c>
      <c r="D21" s="785">
        <v>0.15</v>
      </c>
      <c r="E21" s="783">
        <f t="shared" si="16"/>
        <v>2.6171838428563832</v>
      </c>
      <c r="F21" s="782">
        <f t="shared" si="17"/>
        <v>9.1999999999999998E-2</v>
      </c>
      <c r="G21" s="785">
        <v>0.15</v>
      </c>
      <c r="H21" s="783">
        <f t="shared" si="18"/>
        <v>12.811994624273636</v>
      </c>
      <c r="I21" s="782">
        <f t="shared" si="19"/>
        <v>9.1999999999999998E-2</v>
      </c>
      <c r="J21" s="785">
        <v>0.15</v>
      </c>
      <c r="K21" s="783">
        <f t="shared" si="20"/>
        <v>11.338615242482168</v>
      </c>
      <c r="L21" s="782">
        <f t="shared" si="10"/>
        <v>9.1999999999999998E-2</v>
      </c>
      <c r="M21" s="785">
        <v>0.15</v>
      </c>
      <c r="N21" s="783">
        <f t="shared" si="21"/>
        <v>26.66459116227324</v>
      </c>
      <c r="O21" s="782">
        <f t="shared" si="11"/>
        <v>0.31719999999999998</v>
      </c>
      <c r="P21" s="785">
        <v>0.25</v>
      </c>
      <c r="Q21" s="784">
        <f t="shared" si="32"/>
        <v>14.90353714837039</v>
      </c>
      <c r="R21" s="780">
        <f t="shared" si="12"/>
        <v>0.13283274074074072</v>
      </c>
      <c r="S21" s="781">
        <f t="shared" si="30"/>
        <v>26.716192435942713</v>
      </c>
      <c r="T21" s="782">
        <f t="shared" si="31"/>
        <v>0.204382517533922</v>
      </c>
      <c r="U21" s="785">
        <v>0.15</v>
      </c>
      <c r="V21" s="783">
        <f t="shared" si="22"/>
        <v>1.3085919214281916</v>
      </c>
      <c r="W21" s="782">
        <f t="shared" si="23"/>
        <v>9.1999999999999998E-2</v>
      </c>
      <c r="X21" s="785">
        <v>0.15</v>
      </c>
      <c r="Y21" s="783">
        <f t="shared" si="24"/>
        <v>6.4059973121368179</v>
      </c>
      <c r="Z21" s="782">
        <f t="shared" si="25"/>
        <v>9.1999999999999998E-2</v>
      </c>
      <c r="AA21" s="785">
        <v>0.15</v>
      </c>
      <c r="AB21" s="783">
        <f t="shared" si="26"/>
        <v>5.6693076212410842</v>
      </c>
      <c r="AC21" s="782">
        <f t="shared" si="13"/>
        <v>9.1999999999999998E-2</v>
      </c>
      <c r="AD21" s="785">
        <v>0.15</v>
      </c>
      <c r="AE21" s="783">
        <f t="shared" si="27"/>
        <v>13.33229558113662</v>
      </c>
      <c r="AF21" s="782">
        <f t="shared" si="14"/>
        <v>0.31719999999999998</v>
      </c>
      <c r="AG21" s="785">
        <v>0.25</v>
      </c>
      <c r="AH21" s="784">
        <f t="shared" si="33"/>
        <v>7.4517685741851931</v>
      </c>
      <c r="AI21" s="780">
        <f t="shared" si="15"/>
        <v>0.13283274074074072</v>
      </c>
    </row>
    <row r="22" spans="1:35" ht="13.5" customHeight="1">
      <c r="A22" s="369">
        <v>2035</v>
      </c>
      <c r="B22" s="781">
        <f t="shared" si="28"/>
        <v>61.44724260266824</v>
      </c>
      <c r="C22" s="782">
        <f t="shared" si="29"/>
        <v>0.204382517533922</v>
      </c>
      <c r="D22" s="785">
        <v>0.15</v>
      </c>
      <c r="E22" s="783">
        <f t="shared" si="16"/>
        <v>3.0097614192848403</v>
      </c>
      <c r="F22" s="782">
        <f t="shared" si="17"/>
        <v>9.1999999999999998E-2</v>
      </c>
      <c r="G22" s="785">
        <v>0.15</v>
      </c>
      <c r="H22" s="783">
        <f t="shared" si="18"/>
        <v>14.73379381791468</v>
      </c>
      <c r="I22" s="782">
        <f t="shared" si="19"/>
        <v>9.1999999999999998E-2</v>
      </c>
      <c r="J22" s="785">
        <v>0.15</v>
      </c>
      <c r="K22" s="783">
        <f t="shared" si="20"/>
        <v>13.039407528854493</v>
      </c>
      <c r="L22" s="782">
        <f t="shared" si="10"/>
        <v>9.1999999999999998E-2</v>
      </c>
      <c r="M22" s="785">
        <v>0.15</v>
      </c>
      <c r="N22" s="783">
        <f t="shared" si="21"/>
        <v>30.664279836614224</v>
      </c>
      <c r="O22" s="782">
        <f t="shared" si="11"/>
        <v>0.31719999999999998</v>
      </c>
      <c r="P22" s="785">
        <v>0.25</v>
      </c>
      <c r="Q22" s="784">
        <f t="shared" si="32"/>
        <v>18.629421435462987</v>
      </c>
      <c r="R22" s="780">
        <f t="shared" si="12"/>
        <v>0.13283274074074072</v>
      </c>
      <c r="S22" s="781">
        <f t="shared" si="30"/>
        <v>30.72362130133412</v>
      </c>
      <c r="T22" s="782">
        <f t="shared" si="31"/>
        <v>0.204382517533922</v>
      </c>
      <c r="U22" s="785">
        <v>0.15</v>
      </c>
      <c r="V22" s="783">
        <f t="shared" si="22"/>
        <v>1.5048807096424202</v>
      </c>
      <c r="W22" s="782">
        <f t="shared" si="23"/>
        <v>9.1999999999999998E-2</v>
      </c>
      <c r="X22" s="785">
        <v>0.15</v>
      </c>
      <c r="Y22" s="783">
        <f t="shared" si="24"/>
        <v>7.3668969089573402</v>
      </c>
      <c r="Z22" s="782">
        <f t="shared" si="25"/>
        <v>9.1999999999999998E-2</v>
      </c>
      <c r="AA22" s="785">
        <v>0.15</v>
      </c>
      <c r="AB22" s="783">
        <f t="shared" si="26"/>
        <v>6.5197037644272466</v>
      </c>
      <c r="AC22" s="782">
        <f t="shared" si="13"/>
        <v>9.1999999999999998E-2</v>
      </c>
      <c r="AD22" s="785">
        <v>0.15</v>
      </c>
      <c r="AE22" s="783">
        <f t="shared" si="27"/>
        <v>15.332139918307112</v>
      </c>
      <c r="AF22" s="782">
        <f t="shared" si="14"/>
        <v>0.31719999999999998</v>
      </c>
      <c r="AG22" s="785">
        <v>0.25</v>
      </c>
      <c r="AH22" s="784">
        <f t="shared" si="33"/>
        <v>9.3147107177314918</v>
      </c>
      <c r="AI22" s="780">
        <f t="shared" si="15"/>
        <v>0.13283274074074072</v>
      </c>
    </row>
    <row r="23" spans="1:35" ht="13.5" customHeight="1">
      <c r="A23" s="369">
        <v>2036</v>
      </c>
      <c r="B23" s="781">
        <f t="shared" si="28"/>
        <v>70.664328993068466</v>
      </c>
      <c r="C23" s="782">
        <f t="shared" si="29"/>
        <v>0.204382517533922</v>
      </c>
      <c r="D23" s="785">
        <v>0.15</v>
      </c>
      <c r="E23" s="783">
        <f t="shared" si="16"/>
        <v>3.4612256321775661</v>
      </c>
      <c r="F23" s="782">
        <f t="shared" si="17"/>
        <v>9.1999999999999998E-2</v>
      </c>
      <c r="G23" s="785">
        <v>0.15</v>
      </c>
      <c r="H23" s="783">
        <f t="shared" si="18"/>
        <v>16.943862890601881</v>
      </c>
      <c r="I23" s="782">
        <f t="shared" si="19"/>
        <v>9.1999999999999998E-2</v>
      </c>
      <c r="J23" s="785">
        <v>0.15</v>
      </c>
      <c r="K23" s="783">
        <f t="shared" si="20"/>
        <v>14.995318658182667</v>
      </c>
      <c r="L23" s="782">
        <f t="shared" si="10"/>
        <v>9.1999999999999998E-2</v>
      </c>
      <c r="M23" s="785">
        <v>0.15</v>
      </c>
      <c r="N23" s="783">
        <f t="shared" si="21"/>
        <v>35.263921812106354</v>
      </c>
      <c r="O23" s="782">
        <f t="shared" si="11"/>
        <v>0.31719999999999998</v>
      </c>
      <c r="P23" s="785">
        <v>0.25</v>
      </c>
      <c r="Q23" s="784">
        <f t="shared" si="32"/>
        <v>23.286776794328734</v>
      </c>
      <c r="R23" s="780">
        <f t="shared" si="12"/>
        <v>0.13283274074074072</v>
      </c>
      <c r="S23" s="781">
        <f t="shared" si="30"/>
        <v>35.332164496534233</v>
      </c>
      <c r="T23" s="782">
        <f t="shared" si="31"/>
        <v>0.204382517533922</v>
      </c>
      <c r="U23" s="785">
        <v>0.15</v>
      </c>
      <c r="V23" s="783">
        <f t="shared" si="22"/>
        <v>1.730612816088783</v>
      </c>
      <c r="W23" s="782">
        <f t="shared" si="23"/>
        <v>9.1999999999999998E-2</v>
      </c>
      <c r="X23" s="785">
        <v>0.15</v>
      </c>
      <c r="Y23" s="783">
        <f t="shared" si="24"/>
        <v>8.4719314453009407</v>
      </c>
      <c r="Z23" s="782">
        <f t="shared" si="25"/>
        <v>9.1999999999999998E-2</v>
      </c>
      <c r="AA23" s="785">
        <v>0.15</v>
      </c>
      <c r="AB23" s="783">
        <f t="shared" si="26"/>
        <v>7.4976593290913334</v>
      </c>
      <c r="AC23" s="782">
        <f t="shared" si="13"/>
        <v>9.1999999999999998E-2</v>
      </c>
      <c r="AD23" s="785">
        <v>0.15</v>
      </c>
      <c r="AE23" s="783">
        <f t="shared" si="27"/>
        <v>17.631960906053177</v>
      </c>
      <c r="AF23" s="782">
        <f t="shared" si="14"/>
        <v>0.31719999999999998</v>
      </c>
      <c r="AG23" s="785">
        <v>0.25</v>
      </c>
      <c r="AH23" s="784">
        <f t="shared" si="33"/>
        <v>11.643388397164365</v>
      </c>
      <c r="AI23" s="780">
        <f t="shared" si="15"/>
        <v>0.13283274074074072</v>
      </c>
    </row>
    <row r="24" spans="1:35" ht="13.5" customHeight="1">
      <c r="A24" s="369">
        <v>2037</v>
      </c>
      <c r="B24" s="781">
        <f t="shared" si="28"/>
        <v>81.263978342028736</v>
      </c>
      <c r="C24" s="782">
        <f t="shared" si="29"/>
        <v>0.20438251753392203</v>
      </c>
      <c r="D24" s="785">
        <v>0.15</v>
      </c>
      <c r="E24" s="783">
        <f t="shared" si="16"/>
        <v>3.9804094770042009</v>
      </c>
      <c r="F24" s="782">
        <f t="shared" si="17"/>
        <v>9.1999999999999998E-2</v>
      </c>
      <c r="G24" s="785">
        <v>0.15</v>
      </c>
      <c r="H24" s="783">
        <f t="shared" si="18"/>
        <v>19.485442324192164</v>
      </c>
      <c r="I24" s="782">
        <f t="shared" si="19"/>
        <v>9.1999999999999998E-2</v>
      </c>
      <c r="J24" s="785">
        <v>0.15</v>
      </c>
      <c r="K24" s="783">
        <f t="shared" si="20"/>
        <v>17.244616456910066</v>
      </c>
      <c r="L24" s="782">
        <f t="shared" si="10"/>
        <v>9.1999999999999998E-2</v>
      </c>
      <c r="M24" s="785">
        <v>0.15</v>
      </c>
      <c r="N24" s="783">
        <f t="shared" si="21"/>
        <v>40.553510083922305</v>
      </c>
      <c r="O24" s="782">
        <f t="shared" si="11"/>
        <v>0.31719999999999998</v>
      </c>
      <c r="P24" s="785">
        <v>0.25</v>
      </c>
      <c r="Q24" s="784">
        <f t="shared" si="32"/>
        <v>29.108470992910917</v>
      </c>
      <c r="R24" s="780">
        <f t="shared" si="12"/>
        <v>0.13283274074074072</v>
      </c>
      <c r="S24" s="781">
        <f t="shared" si="30"/>
        <v>40.631989171014368</v>
      </c>
      <c r="T24" s="782">
        <f t="shared" si="31"/>
        <v>0.20438251753392203</v>
      </c>
      <c r="U24" s="785">
        <v>0.15</v>
      </c>
      <c r="V24" s="783">
        <f t="shared" si="22"/>
        <v>1.9902047385021004</v>
      </c>
      <c r="W24" s="782">
        <f t="shared" si="23"/>
        <v>9.1999999999999998E-2</v>
      </c>
      <c r="X24" s="785">
        <v>0.15</v>
      </c>
      <c r="Y24" s="783">
        <f t="shared" si="24"/>
        <v>9.7427211620960819</v>
      </c>
      <c r="Z24" s="782">
        <f t="shared" si="25"/>
        <v>9.1999999999999998E-2</v>
      </c>
      <c r="AA24" s="785">
        <v>0.15</v>
      </c>
      <c r="AB24" s="783">
        <f t="shared" si="26"/>
        <v>8.622308228455033</v>
      </c>
      <c r="AC24" s="782">
        <f t="shared" si="13"/>
        <v>9.1999999999999998E-2</v>
      </c>
      <c r="AD24" s="785">
        <v>0.15</v>
      </c>
      <c r="AE24" s="783">
        <f t="shared" si="27"/>
        <v>20.276755041961152</v>
      </c>
      <c r="AF24" s="782">
        <f t="shared" si="14"/>
        <v>0.31719999999999998</v>
      </c>
      <c r="AG24" s="785">
        <v>0.25</v>
      </c>
      <c r="AH24" s="784">
        <f t="shared" si="33"/>
        <v>14.554235496455457</v>
      </c>
      <c r="AI24" s="780">
        <f t="shared" si="15"/>
        <v>0.13283274074074072</v>
      </c>
    </row>
    <row r="25" spans="1:35" ht="13.5" customHeight="1">
      <c r="A25" s="369">
        <v>2038</v>
      </c>
      <c r="B25" s="781">
        <f t="shared" si="28"/>
        <v>93.453575093333029</v>
      </c>
      <c r="C25" s="782">
        <f t="shared" si="29"/>
        <v>0.20438251753392203</v>
      </c>
      <c r="D25" s="785">
        <v>0.15</v>
      </c>
      <c r="E25" s="783">
        <f t="shared" si="16"/>
        <v>4.5774708985548305</v>
      </c>
      <c r="F25" s="782">
        <f t="shared" si="17"/>
        <v>9.1999999999999998E-2</v>
      </c>
      <c r="G25" s="785">
        <v>0.15</v>
      </c>
      <c r="H25" s="783">
        <f t="shared" si="18"/>
        <v>22.408258672820988</v>
      </c>
      <c r="I25" s="782">
        <f t="shared" si="19"/>
        <v>9.1999999999999998E-2</v>
      </c>
      <c r="J25" s="785">
        <v>0.15</v>
      </c>
      <c r="K25" s="783">
        <f t="shared" si="20"/>
        <v>19.831308925446574</v>
      </c>
      <c r="L25" s="782">
        <f t="shared" si="10"/>
        <v>9.1999999999999998E-2</v>
      </c>
      <c r="M25" s="785">
        <v>0.15</v>
      </c>
      <c r="N25" s="783">
        <f t="shared" si="21"/>
        <v>46.636536596510645</v>
      </c>
      <c r="O25" s="782">
        <f t="shared" si="11"/>
        <v>0.31719999999999998</v>
      </c>
      <c r="P25" s="785">
        <v>0.25</v>
      </c>
      <c r="Q25" s="784">
        <f t="shared" si="32"/>
        <v>36.385588741138648</v>
      </c>
      <c r="R25" s="780">
        <f t="shared" si="12"/>
        <v>0.13283274074074072</v>
      </c>
      <c r="S25" s="781">
        <f t="shared" si="30"/>
        <v>46.726787546666515</v>
      </c>
      <c r="T25" s="782">
        <f t="shared" si="31"/>
        <v>0.20438251753392203</v>
      </c>
      <c r="U25" s="785">
        <v>0.15</v>
      </c>
      <c r="V25" s="783">
        <f t="shared" si="22"/>
        <v>2.2887354492774152</v>
      </c>
      <c r="W25" s="782">
        <f t="shared" si="23"/>
        <v>9.1999999999999998E-2</v>
      </c>
      <c r="X25" s="785">
        <v>0.15</v>
      </c>
      <c r="Y25" s="783">
        <f t="shared" si="24"/>
        <v>11.204129336410494</v>
      </c>
      <c r="Z25" s="782">
        <f t="shared" si="25"/>
        <v>9.1999999999999998E-2</v>
      </c>
      <c r="AA25" s="785">
        <v>0.15</v>
      </c>
      <c r="AB25" s="783">
        <f t="shared" si="26"/>
        <v>9.9156544627232872</v>
      </c>
      <c r="AC25" s="782">
        <f t="shared" si="13"/>
        <v>9.1999999999999998E-2</v>
      </c>
      <c r="AD25" s="785">
        <v>0.15</v>
      </c>
      <c r="AE25" s="783">
        <f t="shared" si="27"/>
        <v>23.318268298255322</v>
      </c>
      <c r="AF25" s="782">
        <f t="shared" si="14"/>
        <v>0.31719999999999998</v>
      </c>
      <c r="AG25" s="785">
        <v>0.25</v>
      </c>
      <c r="AH25" s="784">
        <f t="shared" si="33"/>
        <v>18.19279437056932</v>
      </c>
      <c r="AI25" s="780">
        <f t="shared" si="15"/>
        <v>0.13283274074074072</v>
      </c>
    </row>
    <row r="26" spans="1:35" ht="13.5" customHeight="1">
      <c r="A26" s="369">
        <v>2039</v>
      </c>
      <c r="B26" s="781">
        <f t="shared" si="28"/>
        <v>107.47161135733299</v>
      </c>
      <c r="C26" s="782">
        <f t="shared" si="29"/>
        <v>0.20438251753392198</v>
      </c>
      <c r="D26" s="785">
        <v>0.15</v>
      </c>
      <c r="E26" s="783">
        <f t="shared" si="16"/>
        <v>5.2640915333380551</v>
      </c>
      <c r="F26" s="782">
        <f t="shared" si="17"/>
        <v>9.1999999999999998E-2</v>
      </c>
      <c r="G26" s="785">
        <v>0.15</v>
      </c>
      <c r="H26" s="783">
        <f t="shared" si="18"/>
        <v>25.769497473744135</v>
      </c>
      <c r="I26" s="782">
        <f t="shared" si="19"/>
        <v>9.1999999999999998E-2</v>
      </c>
      <c r="J26" s="785">
        <v>0.15</v>
      </c>
      <c r="K26" s="783">
        <f t="shared" si="20"/>
        <v>22.806005264263558</v>
      </c>
      <c r="L26" s="782">
        <f t="shared" si="10"/>
        <v>9.1999999999999998E-2</v>
      </c>
      <c r="M26" s="785">
        <v>0.15</v>
      </c>
      <c r="N26" s="783">
        <f t="shared" si="21"/>
        <v>53.632017085987236</v>
      </c>
      <c r="O26" s="782">
        <f t="shared" si="11"/>
        <v>0.31719999999999998</v>
      </c>
      <c r="P26" s="785">
        <v>0.25</v>
      </c>
      <c r="Q26" s="784">
        <f t="shared" si="32"/>
        <v>45.481985926423313</v>
      </c>
      <c r="R26" s="780">
        <f t="shared" si="12"/>
        <v>0.13283274074074072</v>
      </c>
      <c r="S26" s="781">
        <f t="shared" si="30"/>
        <v>53.735805678666495</v>
      </c>
      <c r="T26" s="782">
        <f t="shared" si="31"/>
        <v>0.20438251753392198</v>
      </c>
      <c r="U26" s="785">
        <v>0.15</v>
      </c>
      <c r="V26" s="783">
        <f t="shared" si="22"/>
        <v>2.6320457666690276</v>
      </c>
      <c r="W26" s="782">
        <f t="shared" si="23"/>
        <v>9.1999999999999998E-2</v>
      </c>
      <c r="X26" s="785">
        <v>0.15</v>
      </c>
      <c r="Y26" s="783">
        <f t="shared" si="24"/>
        <v>12.884748736872067</v>
      </c>
      <c r="Z26" s="782">
        <f t="shared" si="25"/>
        <v>9.1999999999999998E-2</v>
      </c>
      <c r="AA26" s="785">
        <v>0.15</v>
      </c>
      <c r="AB26" s="783">
        <f t="shared" si="26"/>
        <v>11.403002632131779</v>
      </c>
      <c r="AC26" s="782">
        <f t="shared" si="13"/>
        <v>9.1999999999999998E-2</v>
      </c>
      <c r="AD26" s="785">
        <v>0.15</v>
      </c>
      <c r="AE26" s="783">
        <f t="shared" si="27"/>
        <v>26.816008542993618</v>
      </c>
      <c r="AF26" s="782">
        <f t="shared" si="14"/>
        <v>0.31719999999999998</v>
      </c>
      <c r="AG26" s="785">
        <v>0.25</v>
      </c>
      <c r="AH26" s="784">
        <f t="shared" si="33"/>
        <v>22.740992963211649</v>
      </c>
      <c r="AI26" s="780">
        <f t="shared" si="15"/>
        <v>0.13283274074074072</v>
      </c>
    </row>
    <row r="27" spans="1:35" ht="13.5" customHeight="1">
      <c r="A27" s="369">
        <v>2040</v>
      </c>
      <c r="B27" s="781">
        <f t="shared" si="28"/>
        <v>123.59235306093292</v>
      </c>
      <c r="C27" s="782">
        <f t="shared" si="29"/>
        <v>0.204382517533922</v>
      </c>
      <c r="D27" s="785">
        <v>0.15</v>
      </c>
      <c r="E27" s="783">
        <f t="shared" si="16"/>
        <v>6.0537052633387631</v>
      </c>
      <c r="F27" s="782">
        <f t="shared" si="17"/>
        <v>9.1999999999999998E-2</v>
      </c>
      <c r="G27" s="785">
        <v>0.15</v>
      </c>
      <c r="H27" s="783">
        <f t="shared" si="18"/>
        <v>29.634922094805752</v>
      </c>
      <c r="I27" s="782">
        <f t="shared" si="19"/>
        <v>9.1999999999999998E-2</v>
      </c>
      <c r="J27" s="785">
        <v>0.15</v>
      </c>
      <c r="K27" s="783">
        <f t="shared" si="20"/>
        <v>26.22690605390309</v>
      </c>
      <c r="L27" s="782">
        <f t="shared" si="10"/>
        <v>9.1999999999999998E-2</v>
      </c>
      <c r="M27" s="785">
        <v>0.15</v>
      </c>
      <c r="N27" s="783">
        <f t="shared" si="21"/>
        <v>61.676819648885314</v>
      </c>
      <c r="O27" s="782">
        <f t="shared" si="11"/>
        <v>0.31719999999999998</v>
      </c>
      <c r="P27" s="785">
        <v>0.25</v>
      </c>
      <c r="Q27" s="784">
        <f t="shared" si="32"/>
        <v>56.85248240802914</v>
      </c>
      <c r="R27" s="780">
        <f t="shared" si="12"/>
        <v>0.13283274074074072</v>
      </c>
      <c r="S27" s="781">
        <f t="shared" si="30"/>
        <v>61.796176530466461</v>
      </c>
      <c r="T27" s="782">
        <f t="shared" si="31"/>
        <v>0.204382517533922</v>
      </c>
      <c r="U27" s="785">
        <v>0.15</v>
      </c>
      <c r="V27" s="783">
        <f t="shared" si="22"/>
        <v>3.0268526316693816</v>
      </c>
      <c r="W27" s="782">
        <f t="shared" si="23"/>
        <v>9.1999999999999998E-2</v>
      </c>
      <c r="X27" s="785">
        <v>0.15</v>
      </c>
      <c r="Y27" s="783">
        <f t="shared" si="24"/>
        <v>14.817461047402876</v>
      </c>
      <c r="Z27" s="782">
        <f t="shared" si="25"/>
        <v>9.1999999999999998E-2</v>
      </c>
      <c r="AA27" s="785">
        <v>0.15</v>
      </c>
      <c r="AB27" s="783">
        <f t="shared" si="26"/>
        <v>13.113453026951545</v>
      </c>
      <c r="AC27" s="782">
        <f t="shared" si="13"/>
        <v>9.1999999999999998E-2</v>
      </c>
      <c r="AD27" s="785">
        <v>0.15</v>
      </c>
      <c r="AE27" s="783">
        <f t="shared" si="27"/>
        <v>30.838409824442657</v>
      </c>
      <c r="AF27" s="782">
        <f t="shared" si="14"/>
        <v>0.31719999999999998</v>
      </c>
      <c r="AG27" s="785">
        <v>0.25</v>
      </c>
      <c r="AH27" s="784">
        <f t="shared" si="33"/>
        <v>28.426241204014563</v>
      </c>
      <c r="AI27" s="780">
        <f t="shared" si="15"/>
        <v>0.13283274074074072</v>
      </c>
    </row>
    <row r="28" spans="1:35" ht="13.5" customHeight="1">
      <c r="A28" s="369">
        <v>2041</v>
      </c>
      <c r="B28" s="781">
        <f t="shared" si="28"/>
        <v>142.13120602007285</v>
      </c>
      <c r="C28" s="782">
        <f t="shared" si="29"/>
        <v>0.20438251753392198</v>
      </c>
      <c r="D28" s="785">
        <v>0.15</v>
      </c>
      <c r="E28" s="783">
        <f t="shared" si="16"/>
        <v>6.9617610528395772</v>
      </c>
      <c r="F28" s="782">
        <f t="shared" si="17"/>
        <v>9.1999999999999998E-2</v>
      </c>
      <c r="G28" s="785">
        <v>0.15</v>
      </c>
      <c r="H28" s="783">
        <f t="shared" si="18"/>
        <v>34.080160409026611</v>
      </c>
      <c r="I28" s="782">
        <f t="shared" si="19"/>
        <v>9.1999999999999998E-2</v>
      </c>
      <c r="J28" s="785">
        <v>0.15</v>
      </c>
      <c r="K28" s="783">
        <f t="shared" si="20"/>
        <v>30.160941961988552</v>
      </c>
      <c r="L28" s="782">
        <f t="shared" si="10"/>
        <v>9.1999999999999998E-2</v>
      </c>
      <c r="M28" s="785">
        <v>0.15</v>
      </c>
      <c r="N28" s="783">
        <f t="shared" si="21"/>
        <v>70.928342596218101</v>
      </c>
      <c r="O28" s="782">
        <f t="shared" si="11"/>
        <v>0.31719999999999998</v>
      </c>
      <c r="P28" s="785">
        <v>0.25</v>
      </c>
      <c r="Q28" s="784">
        <f t="shared" si="32"/>
        <v>71.065603010036426</v>
      </c>
      <c r="R28" s="780">
        <f t="shared" si="12"/>
        <v>0.13283274074074072</v>
      </c>
      <c r="S28" s="781">
        <f t="shared" si="30"/>
        <v>71.065603010036426</v>
      </c>
      <c r="T28" s="782">
        <f t="shared" si="31"/>
        <v>0.20438251753392198</v>
      </c>
      <c r="U28" s="785">
        <v>0.15</v>
      </c>
      <c r="V28" s="783">
        <f t="shared" si="22"/>
        <v>3.4808805264197886</v>
      </c>
      <c r="W28" s="782">
        <f t="shared" si="23"/>
        <v>9.1999999999999998E-2</v>
      </c>
      <c r="X28" s="785">
        <v>0.15</v>
      </c>
      <c r="Y28" s="783">
        <f t="shared" si="24"/>
        <v>17.040080204513306</v>
      </c>
      <c r="Z28" s="782">
        <f t="shared" si="25"/>
        <v>9.1999999999999998E-2</v>
      </c>
      <c r="AA28" s="785">
        <v>0.15</v>
      </c>
      <c r="AB28" s="783">
        <f t="shared" si="26"/>
        <v>15.080470980994276</v>
      </c>
      <c r="AC28" s="782">
        <f t="shared" si="13"/>
        <v>9.1999999999999998E-2</v>
      </c>
      <c r="AD28" s="785">
        <v>0.15</v>
      </c>
      <c r="AE28" s="783">
        <f t="shared" si="27"/>
        <v>35.464171298109051</v>
      </c>
      <c r="AF28" s="782">
        <f t="shared" si="14"/>
        <v>0.31719999999999998</v>
      </c>
      <c r="AG28" s="785">
        <v>0.15</v>
      </c>
      <c r="AH28" s="784">
        <f t="shared" si="33"/>
        <v>32.690177384616746</v>
      </c>
      <c r="AI28" s="780">
        <f t="shared" si="15"/>
        <v>0.13283274074074072</v>
      </c>
    </row>
    <row r="29" spans="1:35" ht="13.5" customHeight="1">
      <c r="A29" s="369">
        <v>2042</v>
      </c>
      <c r="B29" s="781">
        <f t="shared" si="28"/>
        <v>163.45088692308377</v>
      </c>
      <c r="C29" s="782">
        <f t="shared" si="29"/>
        <v>0.20438251753392195</v>
      </c>
      <c r="D29" s="785">
        <v>0.15</v>
      </c>
      <c r="E29" s="783">
        <f t="shared" si="16"/>
        <v>8.0060252107655128</v>
      </c>
      <c r="F29" s="782">
        <f t="shared" si="17"/>
        <v>9.1999999999999998E-2</v>
      </c>
      <c r="G29" s="785">
        <v>0.15</v>
      </c>
      <c r="H29" s="783">
        <f t="shared" si="18"/>
        <v>39.192184470380603</v>
      </c>
      <c r="I29" s="782">
        <f t="shared" si="19"/>
        <v>9.1999999999999998E-2</v>
      </c>
      <c r="J29" s="785">
        <v>0.15</v>
      </c>
      <c r="K29" s="783">
        <f t="shared" si="20"/>
        <v>34.685083256286831</v>
      </c>
      <c r="L29" s="782">
        <f t="shared" si="10"/>
        <v>9.1999999999999998E-2</v>
      </c>
      <c r="M29" s="785">
        <v>0.15</v>
      </c>
      <c r="N29" s="783">
        <f t="shared" si="21"/>
        <v>81.567593985650817</v>
      </c>
      <c r="O29" s="782">
        <f t="shared" si="11"/>
        <v>0.31719999999999998</v>
      </c>
      <c r="P29" s="785">
        <v>0.15</v>
      </c>
      <c r="Q29" s="784">
        <f t="shared" si="32"/>
        <v>81.725443461541886</v>
      </c>
      <c r="R29" s="780">
        <f t="shared" si="12"/>
        <v>0.13283274074074072</v>
      </c>
      <c r="S29" s="781">
        <f t="shared" si="30"/>
        <v>81.725443461541886</v>
      </c>
      <c r="T29" s="782">
        <f t="shared" si="31"/>
        <v>0.20438251753392195</v>
      </c>
      <c r="U29" s="785">
        <v>0.15</v>
      </c>
      <c r="V29" s="783">
        <f t="shared" si="22"/>
        <v>4.0030126053827564</v>
      </c>
      <c r="W29" s="782">
        <f t="shared" si="23"/>
        <v>9.1999999999999998E-2</v>
      </c>
      <c r="X29" s="785">
        <v>0.15</v>
      </c>
      <c r="Y29" s="783">
        <f t="shared" si="24"/>
        <v>19.596092235190302</v>
      </c>
      <c r="Z29" s="782">
        <f t="shared" si="25"/>
        <v>9.1999999999999998E-2</v>
      </c>
      <c r="AA29" s="785">
        <v>0.15</v>
      </c>
      <c r="AB29" s="783">
        <f t="shared" si="26"/>
        <v>17.342541628143415</v>
      </c>
      <c r="AC29" s="782">
        <f t="shared" si="13"/>
        <v>9.1999999999999998E-2</v>
      </c>
      <c r="AD29" s="785">
        <v>0.15</v>
      </c>
      <c r="AE29" s="783">
        <f t="shared" si="27"/>
        <v>40.783796992825408</v>
      </c>
      <c r="AF29" s="782">
        <f t="shared" si="14"/>
        <v>0.31719999999999998</v>
      </c>
      <c r="AG29" s="785">
        <v>0.15</v>
      </c>
      <c r="AH29" s="784">
        <f t="shared" si="33"/>
        <v>37.593703992309251</v>
      </c>
      <c r="AI29" s="780">
        <f t="shared" si="15"/>
        <v>0.13283274074074072</v>
      </c>
    </row>
    <row r="30" spans="1:35" ht="13.5" customHeight="1">
      <c r="A30" s="369">
        <v>2043</v>
      </c>
      <c r="B30" s="781">
        <f t="shared" si="28"/>
        <v>187.96851996154632</v>
      </c>
      <c r="C30" s="782">
        <f t="shared" si="29"/>
        <v>0.204382517533922</v>
      </c>
      <c r="D30" s="785">
        <v>0.15</v>
      </c>
      <c r="E30" s="783">
        <f t="shared" si="16"/>
        <v>9.2069289923803392</v>
      </c>
      <c r="F30" s="782">
        <f t="shared" si="17"/>
        <v>9.1999999999999998E-2</v>
      </c>
      <c r="G30" s="785">
        <v>0.15</v>
      </c>
      <c r="H30" s="783">
        <f t="shared" si="18"/>
        <v>45.07101214093769</v>
      </c>
      <c r="I30" s="782">
        <f t="shared" si="19"/>
        <v>9.1999999999999998E-2</v>
      </c>
      <c r="J30" s="785">
        <v>0.15</v>
      </c>
      <c r="K30" s="783">
        <f t="shared" si="20"/>
        <v>39.887845744729852</v>
      </c>
      <c r="L30" s="782">
        <f t="shared" si="10"/>
        <v>9.1999999999999998E-2</v>
      </c>
      <c r="M30" s="785">
        <v>0.15</v>
      </c>
      <c r="N30" s="783">
        <f t="shared" si="21"/>
        <v>93.802733083498438</v>
      </c>
      <c r="O30" s="782">
        <f t="shared" si="11"/>
        <v>0.31719999999999998</v>
      </c>
      <c r="P30" s="785">
        <v>0.15</v>
      </c>
      <c r="Q30" s="784">
        <f t="shared" si="32"/>
        <v>93.98425998077316</v>
      </c>
      <c r="R30" s="780">
        <f t="shared" si="12"/>
        <v>0.13283274074074072</v>
      </c>
      <c r="S30" s="781">
        <f t="shared" si="30"/>
        <v>93.98425998077316</v>
      </c>
      <c r="T30" s="782">
        <f t="shared" si="31"/>
        <v>0.204382517533922</v>
      </c>
      <c r="U30" s="785">
        <v>0.15</v>
      </c>
      <c r="V30" s="783">
        <f t="shared" si="22"/>
        <v>4.6034644961901696</v>
      </c>
      <c r="W30" s="782">
        <f t="shared" si="23"/>
        <v>9.1999999999999998E-2</v>
      </c>
      <c r="X30" s="785">
        <v>0.15</v>
      </c>
      <c r="Y30" s="783">
        <f t="shared" si="24"/>
        <v>22.535506070468845</v>
      </c>
      <c r="Z30" s="782">
        <f t="shared" si="25"/>
        <v>9.1999999999999998E-2</v>
      </c>
      <c r="AA30" s="785">
        <v>0.15</v>
      </c>
      <c r="AB30" s="783">
        <f t="shared" si="26"/>
        <v>19.943922872364926</v>
      </c>
      <c r="AC30" s="782">
        <f t="shared" si="13"/>
        <v>9.1999999999999998E-2</v>
      </c>
      <c r="AD30" s="785">
        <v>0.15</v>
      </c>
      <c r="AE30" s="783">
        <f t="shared" si="27"/>
        <v>46.901366541749219</v>
      </c>
      <c r="AF30" s="782">
        <f t="shared" si="14"/>
        <v>0.31719999999999998</v>
      </c>
      <c r="AG30" s="785">
        <v>0.15</v>
      </c>
      <c r="AH30" s="784">
        <f t="shared" si="33"/>
        <v>43.232759591155634</v>
      </c>
      <c r="AI30" s="780">
        <f t="shared" si="15"/>
        <v>0.13283274074074072</v>
      </c>
    </row>
    <row r="31" spans="1:35" ht="13.5" customHeight="1">
      <c r="A31" s="369">
        <v>2044</v>
      </c>
      <c r="B31" s="781">
        <f t="shared" si="28"/>
        <v>216.16379795577825</v>
      </c>
      <c r="C31" s="782">
        <f t="shared" si="29"/>
        <v>0.204382517533922</v>
      </c>
      <c r="D31" s="785">
        <v>0.15</v>
      </c>
      <c r="E31" s="783">
        <f t="shared" si="16"/>
        <v>10.587968341237389</v>
      </c>
      <c r="F31" s="782">
        <f t="shared" si="17"/>
        <v>9.1999999999999998E-2</v>
      </c>
      <c r="G31" s="785">
        <v>0.15</v>
      </c>
      <c r="H31" s="783">
        <f t="shared" si="18"/>
        <v>51.831663962078338</v>
      </c>
      <c r="I31" s="782">
        <f t="shared" si="19"/>
        <v>9.1999999999999998E-2</v>
      </c>
      <c r="J31" s="785">
        <v>0.15</v>
      </c>
      <c r="K31" s="783">
        <f t="shared" si="20"/>
        <v>45.871022606439325</v>
      </c>
      <c r="L31" s="782">
        <f t="shared" si="10"/>
        <v>9.1999999999999998E-2</v>
      </c>
      <c r="M31" s="785">
        <v>0.15</v>
      </c>
      <c r="N31" s="783">
        <f t="shared" si="21"/>
        <v>107.8731430460232</v>
      </c>
      <c r="O31" s="782">
        <f t="shared" si="11"/>
        <v>0.31719999999999998</v>
      </c>
      <c r="P31" s="785">
        <v>0.15</v>
      </c>
      <c r="Q31" s="784">
        <f t="shared" si="32"/>
        <v>108.08189897788913</v>
      </c>
      <c r="R31" s="780">
        <f t="shared" si="12"/>
        <v>0.13283274074074072</v>
      </c>
      <c r="S31" s="781">
        <f t="shared" si="30"/>
        <v>108.08189897788913</v>
      </c>
      <c r="T31" s="782">
        <f t="shared" si="31"/>
        <v>0.204382517533922</v>
      </c>
      <c r="U31" s="785">
        <v>0.15</v>
      </c>
      <c r="V31" s="783">
        <f t="shared" si="22"/>
        <v>5.2939841706186943</v>
      </c>
      <c r="W31" s="782">
        <f t="shared" si="23"/>
        <v>9.1999999999999998E-2</v>
      </c>
      <c r="X31" s="785">
        <v>0.15</v>
      </c>
      <c r="Y31" s="783">
        <f t="shared" si="24"/>
        <v>25.915831981039169</v>
      </c>
      <c r="Z31" s="782">
        <f t="shared" si="25"/>
        <v>9.1999999999999998E-2</v>
      </c>
      <c r="AA31" s="785">
        <v>0.15</v>
      </c>
      <c r="AB31" s="783">
        <f t="shared" si="26"/>
        <v>22.935511303219663</v>
      </c>
      <c r="AC31" s="782">
        <f t="shared" si="13"/>
        <v>9.1999999999999998E-2</v>
      </c>
      <c r="AD31" s="785">
        <v>0.15</v>
      </c>
      <c r="AE31" s="783">
        <f t="shared" si="27"/>
        <v>53.936571523011601</v>
      </c>
      <c r="AF31" s="782">
        <f t="shared" si="14"/>
        <v>0.31719999999999998</v>
      </c>
      <c r="AG31" s="785">
        <v>0.15</v>
      </c>
      <c r="AH31" s="784">
        <f t="shared" si="33"/>
        <v>49.717673529828978</v>
      </c>
      <c r="AI31" s="780">
        <f t="shared" si="15"/>
        <v>0.13283274074074072</v>
      </c>
    </row>
    <row r="32" spans="1:35" ht="13.5" customHeight="1">
      <c r="A32" s="369">
        <v>2045</v>
      </c>
      <c r="B32" s="781">
        <f t="shared" si="28"/>
        <v>248.58836764914497</v>
      </c>
      <c r="C32" s="782">
        <f t="shared" si="29"/>
        <v>0.204382517533922</v>
      </c>
      <c r="D32" s="785">
        <v>0.15</v>
      </c>
      <c r="E32" s="783">
        <f t="shared" si="16"/>
        <v>12.176163592422995</v>
      </c>
      <c r="F32" s="782">
        <f t="shared" si="17"/>
        <v>9.1999999999999998E-2</v>
      </c>
      <c r="G32" s="785">
        <v>0.15</v>
      </c>
      <c r="H32" s="783">
        <f t="shared" si="18"/>
        <v>59.606413556390088</v>
      </c>
      <c r="I32" s="782">
        <f t="shared" si="19"/>
        <v>9.1999999999999998E-2</v>
      </c>
      <c r="J32" s="785">
        <v>0.15</v>
      </c>
      <c r="K32" s="783">
        <f t="shared" si="20"/>
        <v>52.751675997405222</v>
      </c>
      <c r="L32" s="782">
        <f t="shared" si="10"/>
        <v>9.1999999999999998E-2</v>
      </c>
      <c r="M32" s="785">
        <v>0.15</v>
      </c>
      <c r="N32" s="783">
        <f t="shared" si="21"/>
        <v>124.05411450292667</v>
      </c>
      <c r="O32" s="782">
        <f t="shared" si="11"/>
        <v>0.31719999999999998</v>
      </c>
      <c r="P32" s="785">
        <v>0.15</v>
      </c>
      <c r="Q32" s="784">
        <f t="shared" si="32"/>
        <v>124.29418382457249</v>
      </c>
      <c r="R32" s="780">
        <f t="shared" si="12"/>
        <v>0.13283274074074072</v>
      </c>
      <c r="S32" s="781">
        <f t="shared" si="30"/>
        <v>124.29418382457249</v>
      </c>
      <c r="T32" s="782">
        <f t="shared" si="31"/>
        <v>0.204382517533922</v>
      </c>
      <c r="U32" s="785">
        <v>0.15</v>
      </c>
      <c r="V32" s="783">
        <f t="shared" si="22"/>
        <v>6.0880817962114975</v>
      </c>
      <c r="W32" s="782">
        <f t="shared" si="23"/>
        <v>9.1999999999999998E-2</v>
      </c>
      <c r="X32" s="785">
        <v>0.15</v>
      </c>
      <c r="Y32" s="783">
        <f t="shared" si="24"/>
        <v>29.803206778195044</v>
      </c>
      <c r="Z32" s="782">
        <f t="shared" si="25"/>
        <v>9.1999999999999998E-2</v>
      </c>
      <c r="AA32" s="785">
        <v>0.15</v>
      </c>
      <c r="AB32" s="783">
        <f t="shared" si="26"/>
        <v>26.375837998702611</v>
      </c>
      <c r="AC32" s="782">
        <f t="shared" si="13"/>
        <v>9.1999999999999998E-2</v>
      </c>
      <c r="AD32" s="785">
        <v>0.15</v>
      </c>
      <c r="AE32" s="783">
        <f t="shared" si="27"/>
        <v>62.027057251463333</v>
      </c>
      <c r="AF32" s="782">
        <f t="shared" si="14"/>
        <v>0.31719999999999998</v>
      </c>
      <c r="AG32" s="785">
        <v>0.15</v>
      </c>
      <c r="AH32" s="784">
        <f t="shared" si="33"/>
        <v>57.17532455930332</v>
      </c>
      <c r="AI32" s="780">
        <f t="shared" si="15"/>
        <v>0.13283274074074072</v>
      </c>
    </row>
    <row r="33" spans="1:35" ht="13.5" customHeight="1">
      <c r="A33" s="369">
        <v>2046</v>
      </c>
      <c r="B33" s="781">
        <f t="shared" si="28"/>
        <v>285.8766227965167</v>
      </c>
      <c r="C33" s="782">
        <f t="shared" si="29"/>
        <v>0.204382517533922</v>
      </c>
      <c r="D33" s="785">
        <v>0.15</v>
      </c>
      <c r="E33" s="783">
        <f t="shared" si="16"/>
        <v>14.002588131286442</v>
      </c>
      <c r="F33" s="782">
        <f t="shared" si="17"/>
        <v>9.1999999999999998E-2</v>
      </c>
      <c r="G33" s="785">
        <v>0.15</v>
      </c>
      <c r="H33" s="783">
        <f t="shared" si="18"/>
        <v>68.547375589848599</v>
      </c>
      <c r="I33" s="782">
        <f t="shared" si="19"/>
        <v>9.1999999999999998E-2</v>
      </c>
      <c r="J33" s="785">
        <v>0.15</v>
      </c>
      <c r="K33" s="783">
        <f t="shared" si="20"/>
        <v>60.664427397015999</v>
      </c>
      <c r="L33" s="782">
        <f t="shared" si="10"/>
        <v>9.1999999999999998E-2</v>
      </c>
      <c r="M33" s="785">
        <v>0.15</v>
      </c>
      <c r="N33" s="783">
        <f t="shared" si="21"/>
        <v>142.66223167836566</v>
      </c>
      <c r="O33" s="782">
        <f t="shared" si="11"/>
        <v>0.31719999999999998</v>
      </c>
      <c r="P33" s="785">
        <v>0.15</v>
      </c>
      <c r="Q33" s="784">
        <f t="shared" si="32"/>
        <v>142.93831139825835</v>
      </c>
      <c r="R33" s="780">
        <f t="shared" si="12"/>
        <v>0.13283274074074072</v>
      </c>
      <c r="S33" s="781">
        <f t="shared" si="30"/>
        <v>142.93831139825835</v>
      </c>
      <c r="T33" s="782">
        <f t="shared" si="31"/>
        <v>0.204382517533922</v>
      </c>
      <c r="U33" s="785">
        <v>0.15</v>
      </c>
      <c r="V33" s="783">
        <f t="shared" si="22"/>
        <v>7.0012940656432212</v>
      </c>
      <c r="W33" s="782">
        <f t="shared" si="23"/>
        <v>9.1999999999999998E-2</v>
      </c>
      <c r="X33" s="785">
        <v>0.15</v>
      </c>
      <c r="Y33" s="783">
        <f t="shared" si="24"/>
        <v>34.2736877949243</v>
      </c>
      <c r="Z33" s="782">
        <f t="shared" si="25"/>
        <v>9.1999999999999998E-2</v>
      </c>
      <c r="AA33" s="785">
        <v>0.15</v>
      </c>
      <c r="AB33" s="783">
        <f t="shared" si="26"/>
        <v>30.332213698507999</v>
      </c>
      <c r="AC33" s="782">
        <f t="shared" si="13"/>
        <v>9.1999999999999998E-2</v>
      </c>
      <c r="AD33" s="785">
        <v>0.15</v>
      </c>
      <c r="AE33" s="783">
        <f t="shared" si="27"/>
        <v>71.331115839182829</v>
      </c>
      <c r="AF33" s="782">
        <f t="shared" si="14"/>
        <v>0.31719999999999998</v>
      </c>
      <c r="AG33" s="785">
        <v>0.15</v>
      </c>
      <c r="AH33" s="784">
        <f t="shared" si="33"/>
        <v>65.751623243198807</v>
      </c>
      <c r="AI33" s="780">
        <f t="shared" si="15"/>
        <v>0.13283274074074072</v>
      </c>
    </row>
    <row r="34" spans="1:35" ht="13.5" customHeight="1">
      <c r="A34" s="369">
        <v>2047</v>
      </c>
      <c r="B34" s="781">
        <f t="shared" si="28"/>
        <v>328.75811621599416</v>
      </c>
      <c r="C34" s="782">
        <f t="shared" si="29"/>
        <v>0.20438251753392198</v>
      </c>
      <c r="D34" s="785">
        <v>0.15</v>
      </c>
      <c r="E34" s="783">
        <f t="shared" si="16"/>
        <v>16.102976350979407</v>
      </c>
      <c r="F34" s="782">
        <f t="shared" si="17"/>
        <v>9.1999999999999998E-2</v>
      </c>
      <c r="G34" s="785">
        <v>0.15</v>
      </c>
      <c r="H34" s="783">
        <f t="shared" si="18"/>
        <v>78.829481928325876</v>
      </c>
      <c r="I34" s="782">
        <f t="shared" si="19"/>
        <v>9.1999999999999998E-2</v>
      </c>
      <c r="J34" s="785">
        <v>0.15</v>
      </c>
      <c r="K34" s="783">
        <f t="shared" si="20"/>
        <v>69.764091506568391</v>
      </c>
      <c r="L34" s="782">
        <f t="shared" si="10"/>
        <v>9.1999999999999998E-2</v>
      </c>
      <c r="M34" s="785">
        <v>0.15</v>
      </c>
      <c r="N34" s="783">
        <f t="shared" si="21"/>
        <v>164.06156643012048</v>
      </c>
      <c r="O34" s="782">
        <f t="shared" si="11"/>
        <v>0.31719999999999998</v>
      </c>
      <c r="P34" s="785">
        <v>0.15</v>
      </c>
      <c r="Q34" s="784">
        <f t="shared" si="32"/>
        <v>164.37905810799708</v>
      </c>
      <c r="R34" s="780">
        <f t="shared" si="12"/>
        <v>0.13283274074074072</v>
      </c>
      <c r="S34" s="781">
        <f t="shared" si="30"/>
        <v>164.37905810799708</v>
      </c>
      <c r="T34" s="782">
        <f t="shared" si="31"/>
        <v>0.20438251753392198</v>
      </c>
      <c r="U34" s="785">
        <v>0.15</v>
      </c>
      <c r="V34" s="783">
        <f t="shared" si="22"/>
        <v>8.0514881754897036</v>
      </c>
      <c r="W34" s="782">
        <f t="shared" si="23"/>
        <v>9.1999999999999998E-2</v>
      </c>
      <c r="X34" s="785">
        <v>0.15</v>
      </c>
      <c r="Y34" s="783">
        <f t="shared" si="24"/>
        <v>39.414740964162938</v>
      </c>
      <c r="Z34" s="782">
        <f t="shared" si="25"/>
        <v>9.1999999999999998E-2</v>
      </c>
      <c r="AA34" s="785">
        <v>0.15</v>
      </c>
      <c r="AB34" s="783">
        <f t="shared" si="26"/>
        <v>34.882045753284196</v>
      </c>
      <c r="AC34" s="782">
        <f t="shared" si="13"/>
        <v>9.1999999999999998E-2</v>
      </c>
      <c r="AD34" s="785">
        <v>0.15</v>
      </c>
      <c r="AE34" s="783">
        <f t="shared" si="27"/>
        <v>82.030783215060239</v>
      </c>
      <c r="AF34" s="782">
        <f t="shared" si="14"/>
        <v>0.31719999999999998</v>
      </c>
      <c r="AG34" s="785">
        <v>0.15</v>
      </c>
      <c r="AH34" s="784">
        <f t="shared" si="33"/>
        <v>75.614366729678622</v>
      </c>
      <c r="AI34" s="780">
        <f t="shared" si="15"/>
        <v>0.13283274074074072</v>
      </c>
    </row>
    <row r="35" spans="1:35" ht="13.5" customHeight="1">
      <c r="A35" s="369">
        <v>2048</v>
      </c>
      <c r="B35" s="781">
        <f t="shared" si="28"/>
        <v>378.07183364839324</v>
      </c>
      <c r="C35" s="782">
        <f t="shared" si="29"/>
        <v>0.20438251753392198</v>
      </c>
      <c r="D35" s="785">
        <v>0.15</v>
      </c>
      <c r="E35" s="783">
        <f t="shared" si="16"/>
        <v>18.518422803626319</v>
      </c>
      <c r="F35" s="782">
        <f t="shared" si="17"/>
        <v>9.1999999999999998E-2</v>
      </c>
      <c r="G35" s="785">
        <v>0.15</v>
      </c>
      <c r="H35" s="783">
        <f t="shared" si="18"/>
        <v>90.653904217574748</v>
      </c>
      <c r="I35" s="782">
        <f t="shared" si="19"/>
        <v>9.1999999999999998E-2</v>
      </c>
      <c r="J35" s="785">
        <v>0.15</v>
      </c>
      <c r="K35" s="783">
        <f t="shared" si="20"/>
        <v>80.228705232553637</v>
      </c>
      <c r="L35" s="782">
        <f t="shared" si="10"/>
        <v>9.1999999999999998E-2</v>
      </c>
      <c r="M35" s="785">
        <v>0.15</v>
      </c>
      <c r="N35" s="783">
        <f t="shared" si="21"/>
        <v>188.67080139463854</v>
      </c>
      <c r="O35" s="782">
        <f t="shared" si="11"/>
        <v>0.31719999999999998</v>
      </c>
      <c r="P35" s="785">
        <v>0.15</v>
      </c>
      <c r="Q35" s="784">
        <f t="shared" si="32"/>
        <v>189.03591682419662</v>
      </c>
      <c r="R35" s="780">
        <f t="shared" si="12"/>
        <v>0.13283274074074072</v>
      </c>
      <c r="S35" s="781">
        <f t="shared" si="30"/>
        <v>189.03591682419662</v>
      </c>
      <c r="T35" s="782">
        <f t="shared" si="31"/>
        <v>0.20438251753392198</v>
      </c>
      <c r="U35" s="785">
        <v>0.15</v>
      </c>
      <c r="V35" s="783">
        <f t="shared" si="22"/>
        <v>9.2592114018131593</v>
      </c>
      <c r="W35" s="782">
        <f t="shared" si="23"/>
        <v>9.1999999999999998E-2</v>
      </c>
      <c r="X35" s="785">
        <v>0.15</v>
      </c>
      <c r="Y35" s="783">
        <f t="shared" si="24"/>
        <v>45.326952108787374</v>
      </c>
      <c r="Z35" s="782">
        <f t="shared" si="25"/>
        <v>9.1999999999999998E-2</v>
      </c>
      <c r="AA35" s="785">
        <v>0.15</v>
      </c>
      <c r="AB35" s="783">
        <f t="shared" si="26"/>
        <v>40.114352616276818</v>
      </c>
      <c r="AC35" s="782">
        <f t="shared" si="13"/>
        <v>9.1999999999999998E-2</v>
      </c>
      <c r="AD35" s="785">
        <v>0.15</v>
      </c>
      <c r="AE35" s="783">
        <f t="shared" si="27"/>
        <v>94.335400697319272</v>
      </c>
      <c r="AF35" s="782">
        <f t="shared" si="14"/>
        <v>0.31719999999999998</v>
      </c>
      <c r="AG35" s="785">
        <v>0.15</v>
      </c>
      <c r="AH35" s="784">
        <f t="shared" si="33"/>
        <v>86.956521739130409</v>
      </c>
      <c r="AI35" s="780">
        <f t="shared" si="15"/>
        <v>0.13283274074074072</v>
      </c>
    </row>
    <row r="36" spans="1:35" ht="13.5" customHeight="1">
      <c r="A36" s="369">
        <v>2049</v>
      </c>
      <c r="B36" s="781">
        <f t="shared" si="28"/>
        <v>434.78260869565219</v>
      </c>
      <c r="C36" s="782">
        <f t="shared" si="29"/>
        <v>0.204382517533922</v>
      </c>
      <c r="D36" s="785">
        <v>0.15</v>
      </c>
      <c r="E36" s="783">
        <f t="shared" si="16"/>
        <v>21.296186224170263</v>
      </c>
      <c r="F36" s="782">
        <f t="shared" si="17"/>
        <v>9.1999999999999998E-2</v>
      </c>
      <c r="G36" s="785">
        <v>0.15</v>
      </c>
      <c r="H36" s="783">
        <f t="shared" si="18"/>
        <v>104.25198985021095</v>
      </c>
      <c r="I36" s="782">
        <f t="shared" si="19"/>
        <v>9.1999999999999998E-2</v>
      </c>
      <c r="J36" s="785">
        <v>0.15</v>
      </c>
      <c r="K36" s="783">
        <f t="shared" si="20"/>
        <v>92.263011017436682</v>
      </c>
      <c r="L36" s="782">
        <f t="shared" si="10"/>
        <v>9.1999999999999998E-2</v>
      </c>
      <c r="M36" s="785">
        <v>0.15</v>
      </c>
      <c r="N36" s="783">
        <f t="shared" si="21"/>
        <v>216.9714216038343</v>
      </c>
      <c r="O36" s="782">
        <f t="shared" si="11"/>
        <v>0.31719999999999998</v>
      </c>
      <c r="P36" s="785">
        <v>0.15</v>
      </c>
      <c r="Q36" s="784">
        <f t="shared" si="32"/>
        <v>217.39130434782609</v>
      </c>
      <c r="R36" s="780">
        <f t="shared" si="12"/>
        <v>0.13283274074074072</v>
      </c>
      <c r="S36" s="781">
        <f t="shared" si="30"/>
        <v>217.39130434782609</v>
      </c>
      <c r="T36" s="782">
        <f t="shared" si="31"/>
        <v>0.204382517533922</v>
      </c>
      <c r="U36" s="785">
        <v>0.15</v>
      </c>
      <c r="V36" s="783">
        <f t="shared" si="22"/>
        <v>10.648093112085132</v>
      </c>
      <c r="W36" s="782">
        <f t="shared" si="23"/>
        <v>9.1999999999999998E-2</v>
      </c>
      <c r="X36" s="785">
        <v>0.15</v>
      </c>
      <c r="Y36" s="783">
        <f t="shared" si="24"/>
        <v>52.125994925105473</v>
      </c>
      <c r="Z36" s="782">
        <f t="shared" si="25"/>
        <v>9.1999999999999998E-2</v>
      </c>
      <c r="AA36" s="785">
        <v>0.15</v>
      </c>
      <c r="AB36" s="783">
        <f t="shared" si="26"/>
        <v>46.131505508718341</v>
      </c>
      <c r="AC36" s="782">
        <f t="shared" si="13"/>
        <v>9.1999999999999998E-2</v>
      </c>
      <c r="AD36" s="785">
        <v>0.15</v>
      </c>
      <c r="AE36" s="783">
        <f t="shared" si="27"/>
        <v>108.48571080191715</v>
      </c>
      <c r="AF36" s="782">
        <f t="shared" si="14"/>
        <v>0.31719999999999998</v>
      </c>
      <c r="AG36" s="785">
        <v>0.15</v>
      </c>
      <c r="AH36" s="784">
        <f t="shared" si="33"/>
        <v>99.999999999999957</v>
      </c>
      <c r="AI36" s="780">
        <f t="shared" si="15"/>
        <v>0.13283274074074072</v>
      </c>
    </row>
    <row r="37" spans="1:35" ht="15.95" thickBot="1">
      <c r="A37" s="372">
        <v>2050</v>
      </c>
      <c r="B37" s="373">
        <f t="shared" si="28"/>
        <v>500</v>
      </c>
      <c r="C37" s="786">
        <f t="shared" si="29"/>
        <v>0.204382517533922</v>
      </c>
      <c r="D37" s="787">
        <v>0.15</v>
      </c>
      <c r="E37" s="374">
        <f>$M$45</f>
        <v>24.4906141577958</v>
      </c>
      <c r="F37" s="786">
        <f t="shared" si="17"/>
        <v>9.1999999999999998E-2</v>
      </c>
      <c r="G37" s="787">
        <v>0.15</v>
      </c>
      <c r="H37" s="374">
        <f>$M$46</f>
        <v>119.88978832774258</v>
      </c>
      <c r="I37" s="786">
        <f t="shared" si="19"/>
        <v>9.1999999999999998E-2</v>
      </c>
      <c r="J37" s="787">
        <v>0.15</v>
      </c>
      <c r="K37" s="374">
        <f>$M$47</f>
        <v>106.10246267005218</v>
      </c>
      <c r="L37" s="786">
        <f>$D$52</f>
        <v>9.1999999999999998E-2</v>
      </c>
      <c r="M37" s="787">
        <v>0.15</v>
      </c>
      <c r="N37" s="374">
        <f>$M$43</f>
        <v>249.51713484440944</v>
      </c>
      <c r="O37" s="786">
        <f>$D$48</f>
        <v>0.31719999999999998</v>
      </c>
      <c r="P37" s="787">
        <v>0.15</v>
      </c>
      <c r="Q37" s="374">
        <f>$Q$61</f>
        <v>250</v>
      </c>
      <c r="R37" s="789">
        <f>$S$61</f>
        <v>0.13283274074074072</v>
      </c>
      <c r="S37" s="790">
        <f t="shared" si="30"/>
        <v>250</v>
      </c>
      <c r="T37" s="786">
        <f t="shared" si="31"/>
        <v>0.204382517533922</v>
      </c>
      <c r="U37" s="787">
        <v>0.15</v>
      </c>
      <c r="V37" s="375">
        <f>E37/2</f>
        <v>12.2453070788979</v>
      </c>
      <c r="W37" s="786">
        <f t="shared" si="23"/>
        <v>9.1999999999999998E-2</v>
      </c>
      <c r="X37" s="787">
        <v>0.15</v>
      </c>
      <c r="Y37" s="375">
        <f>H37/2</f>
        <v>59.94489416387129</v>
      </c>
      <c r="Z37" s="786">
        <f t="shared" si="25"/>
        <v>9.1999999999999998E-2</v>
      </c>
      <c r="AA37" s="787">
        <v>0.15</v>
      </c>
      <c r="AB37" s="375">
        <f>K37/2</f>
        <v>53.051231335026088</v>
      </c>
      <c r="AC37" s="786">
        <f>$D$52</f>
        <v>9.1999999999999998E-2</v>
      </c>
      <c r="AD37" s="787">
        <v>0.15</v>
      </c>
      <c r="AE37" s="375">
        <f>N37/2</f>
        <v>124.75856742220472</v>
      </c>
      <c r="AF37" s="786">
        <f>$D$48</f>
        <v>0.31719999999999998</v>
      </c>
      <c r="AG37" s="787">
        <v>0.15</v>
      </c>
      <c r="AH37" s="788">
        <f>Q37/2</f>
        <v>125</v>
      </c>
      <c r="AI37" s="789">
        <f>$S$61</f>
        <v>0.13283274074074072</v>
      </c>
    </row>
    <row r="38" spans="1:35">
      <c r="A38" s="376"/>
      <c r="B38" s="791"/>
      <c r="C38" s="792"/>
      <c r="D38" s="793"/>
      <c r="E38" s="794"/>
      <c r="F38" s="792"/>
      <c r="G38" s="793"/>
      <c r="H38" s="794"/>
      <c r="I38" s="792"/>
      <c r="J38" s="793"/>
      <c r="K38" s="794"/>
      <c r="L38" s="792"/>
      <c r="M38" s="793"/>
      <c r="N38" s="794"/>
      <c r="O38" s="795"/>
      <c r="P38" s="796"/>
      <c r="Q38" s="796"/>
      <c r="R38" s="797"/>
    </row>
    <row r="39" spans="1:35">
      <c r="A39" s="376"/>
      <c r="B39" s="791"/>
      <c r="C39" s="792"/>
      <c r="D39" s="793"/>
      <c r="E39" s="794"/>
      <c r="F39" s="792"/>
      <c r="G39" s="793"/>
      <c r="H39" s="794"/>
      <c r="I39" s="792"/>
      <c r="J39" s="793"/>
      <c r="K39" s="794"/>
      <c r="L39" s="792"/>
      <c r="M39" s="793"/>
      <c r="N39" s="794"/>
      <c r="O39" s="795"/>
      <c r="P39" s="796"/>
      <c r="Q39" s="796"/>
      <c r="R39" s="797"/>
    </row>
    <row r="40" spans="1:35" ht="13.5" customHeight="1" thickBot="1">
      <c r="A40" s="377"/>
      <c r="B40" s="378"/>
      <c r="C40" s="379"/>
      <c r="D40" s="380"/>
      <c r="E40" s="380"/>
      <c r="F40" s="380"/>
      <c r="G40" s="380"/>
      <c r="H40" s="380"/>
      <c r="I40" s="380"/>
      <c r="J40" s="380"/>
      <c r="K40" s="380"/>
      <c r="L40" s="380"/>
      <c r="M40" s="380"/>
    </row>
    <row r="41" spans="1:35" ht="69" thickBot="1">
      <c r="A41" s="1251" t="s">
        <v>389</v>
      </c>
      <c r="B41" s="1252"/>
      <c r="C41" s="1252"/>
      <c r="D41" s="1252"/>
      <c r="E41" s="1253"/>
      <c r="G41" s="1254" t="s">
        <v>390</v>
      </c>
      <c r="H41" s="1255"/>
      <c r="I41" s="1255"/>
      <c r="J41" s="1255"/>
      <c r="K41" s="1256"/>
      <c r="L41" s="920" t="s">
        <v>50</v>
      </c>
      <c r="M41" s="917" t="s">
        <v>391</v>
      </c>
      <c r="P41" s="381" t="s">
        <v>392</v>
      </c>
    </row>
    <row r="42" spans="1:35" ht="71.099999999999994" thickBot="1">
      <c r="A42" s="1234" t="s">
        <v>393</v>
      </c>
      <c r="B42" s="1236" t="s">
        <v>394</v>
      </c>
      <c r="C42" s="1237"/>
      <c r="D42" s="1240" t="s">
        <v>395</v>
      </c>
      <c r="E42" s="1237"/>
      <c r="G42" s="1244" t="s">
        <v>384</v>
      </c>
      <c r="H42" s="382" t="s">
        <v>396</v>
      </c>
      <c r="I42" s="382" t="s">
        <v>397</v>
      </c>
      <c r="J42" s="382" t="s">
        <v>398</v>
      </c>
      <c r="K42" s="383" t="s">
        <v>399</v>
      </c>
      <c r="L42" s="921" t="s">
        <v>399</v>
      </c>
      <c r="M42" s="918" t="s">
        <v>399</v>
      </c>
      <c r="N42" s="918" t="s">
        <v>400</v>
      </c>
      <c r="P42" s="954">
        <v>773</v>
      </c>
    </row>
    <row r="43" spans="1:35" thickBot="1">
      <c r="A43" s="1235"/>
      <c r="B43" s="1238"/>
      <c r="C43" s="1239"/>
      <c r="D43" s="384" t="s">
        <v>401</v>
      </c>
      <c r="E43" s="385" t="s">
        <v>402</v>
      </c>
      <c r="G43" s="1245"/>
      <c r="H43" s="386">
        <v>35.270000000000003</v>
      </c>
      <c r="I43" s="387">
        <v>0.25</v>
      </c>
      <c r="J43" s="388">
        <f>44*4.54609</f>
        <v>200.02796000000001</v>
      </c>
      <c r="K43" s="389">
        <f>I43*H43*J43*10^6*$P$42/10^12</f>
        <v>1.3633760733329001</v>
      </c>
      <c r="L43" s="389">
        <f>K43*$L$48/$K$48</f>
        <v>249.51713484440944</v>
      </c>
      <c r="M43" s="389">
        <f>IF(Hypothèses!$H$1="France",K43,L43)</f>
        <v>249.51713484440944</v>
      </c>
      <c r="N43" s="1012">
        <f>M43*1000000*Hypothèses!$B$3*277.78/1000000000</f>
        <v>3053.8369197345469</v>
      </c>
    </row>
    <row r="44" spans="1:35" ht="75" customHeight="1" thickBot="1">
      <c r="A44" s="1246" t="s">
        <v>403</v>
      </c>
      <c r="B44" s="1247"/>
      <c r="C44" s="1248"/>
      <c r="D44" s="390">
        <v>1</v>
      </c>
      <c r="E44" s="391">
        <v>1</v>
      </c>
      <c r="G44" s="392" t="s">
        <v>404</v>
      </c>
      <c r="H44" s="393" t="s">
        <v>405</v>
      </c>
      <c r="I44" s="393" t="s">
        <v>406</v>
      </c>
      <c r="J44" s="393" t="s">
        <v>407</v>
      </c>
      <c r="K44" s="394" t="s">
        <v>408</v>
      </c>
      <c r="L44" s="922" t="s">
        <v>408</v>
      </c>
      <c r="M44" s="919" t="s">
        <v>408</v>
      </c>
      <c r="N44" s="919" t="s">
        <v>400</v>
      </c>
      <c r="P44" s="1215" t="s">
        <v>409</v>
      </c>
      <c r="Q44" s="1216"/>
      <c r="R44" s="1217"/>
    </row>
    <row r="45" spans="1:35" ht="27.95">
      <c r="A45" s="1209" t="s">
        <v>410</v>
      </c>
      <c r="B45" s="1212" t="s">
        <v>411</v>
      </c>
      <c r="C45" s="1227"/>
      <c r="D45" s="395">
        <v>2</v>
      </c>
      <c r="E45" s="396">
        <v>2.3908</v>
      </c>
      <c r="G45" s="397" t="s">
        <v>381</v>
      </c>
      <c r="H45" s="398">
        <f>1/19.7925</f>
        <v>5.052418845522294E-2</v>
      </c>
      <c r="I45" s="398">
        <f>16900000*(0.465*0.75+0.747*0.0925+0.633*0.1575)</f>
        <v>8746510.5</v>
      </c>
      <c r="J45" s="398">
        <f>I45/H45</f>
        <v>173115309.07124999</v>
      </c>
      <c r="K45" s="399">
        <f>J45*$P$42/10^12</f>
        <v>0.13381813391207625</v>
      </c>
      <c r="L45" s="399">
        <f>K45*$L$48/$K$48</f>
        <v>24.4906141577958</v>
      </c>
      <c r="M45" s="399">
        <f>IF(Hypothèses!$H$1="France",K45,L45)</f>
        <v>24.4906141577958</v>
      </c>
      <c r="N45" s="399">
        <f>M45*1000000*Hypothèses!$B$3*277.78/1000000000</f>
        <v>299.74030340115593</v>
      </c>
      <c r="P45" s="949" t="s">
        <v>120</v>
      </c>
      <c r="Q45" s="950" t="s">
        <v>50</v>
      </c>
      <c r="R45" s="951" t="s">
        <v>412</v>
      </c>
    </row>
    <row r="46" spans="1:35" ht="57" thickBot="1">
      <c r="A46" s="1210"/>
      <c r="B46" s="1228" t="s">
        <v>413</v>
      </c>
      <c r="C46" s="1229"/>
      <c r="D46" s="400">
        <v>0.97699999999999998</v>
      </c>
      <c r="E46" s="401">
        <v>1.2988999999999999</v>
      </c>
      <c r="G46" s="397" t="s">
        <v>382</v>
      </c>
      <c r="H46" s="398">
        <v>5.8999999999999999E-3</v>
      </c>
      <c r="I46" s="398">
        <v>5000000</v>
      </c>
      <c r="J46" s="398">
        <f>I46/H46</f>
        <v>847457627.11864412</v>
      </c>
      <c r="K46" s="399">
        <f>J46*$P$42/10^12</f>
        <v>0.65508474576271192</v>
      </c>
      <c r="L46" s="399">
        <f>K46*$L$48/$K$48</f>
        <v>119.88978832774258</v>
      </c>
      <c r="M46" s="399">
        <f>IF(Hypothèses!$H$1="France",K46,L46)</f>
        <v>119.88978832774258</v>
      </c>
      <c r="N46" s="399">
        <f>M46*1000000*Hypothèses!$B$3*277.78/1000000000</f>
        <v>1467.3295367980354</v>
      </c>
      <c r="P46" s="948">
        <v>2050</v>
      </c>
      <c r="Q46" s="952">
        <v>2050</v>
      </c>
      <c r="R46" s="953">
        <f>IF(Hypothèses!$H$1="France",P46,Q46)</f>
        <v>2050</v>
      </c>
    </row>
    <row r="47" spans="1:35" ht="42.95" thickBot="1">
      <c r="A47" s="1210"/>
      <c r="B47" s="1228" t="s">
        <v>414</v>
      </c>
      <c r="C47" s="1229"/>
      <c r="D47" s="400">
        <v>1.1839</v>
      </c>
      <c r="E47" s="401">
        <v>1.2069000000000001</v>
      </c>
      <c r="G47" s="402" t="s">
        <v>383</v>
      </c>
      <c r="H47" s="403">
        <f>1/250</f>
        <v>4.0000000000000001E-3</v>
      </c>
      <c r="I47" s="403">
        <v>3000000</v>
      </c>
      <c r="J47" s="403">
        <f>I47/H47</f>
        <v>750000000</v>
      </c>
      <c r="K47" s="404">
        <f>J47*$P$42/10^12</f>
        <v>0.57974999999999999</v>
      </c>
      <c r="L47" s="404">
        <f>K47*$L$48/$K$48</f>
        <v>106.10246267005218</v>
      </c>
      <c r="M47" s="404">
        <f>IF(Hypothèses!$H$1="France",K47,L47)</f>
        <v>106.10246267005218</v>
      </c>
      <c r="N47" s="404">
        <f>M47*1000000*Hypothèses!$B$3*277.78/1000000000</f>
        <v>1298.5866400662612</v>
      </c>
    </row>
    <row r="48" spans="1:35" ht="13.5" customHeight="1" thickBot="1">
      <c r="A48" s="1210"/>
      <c r="B48" s="1249" t="s">
        <v>384</v>
      </c>
      <c r="C48" s="1250"/>
      <c r="D48" s="405">
        <v>0.31719999999999998</v>
      </c>
      <c r="E48" s="406">
        <v>0.31719999999999998</v>
      </c>
      <c r="F48" s="407"/>
      <c r="G48" s="392" t="s">
        <v>84</v>
      </c>
      <c r="H48" s="403"/>
      <c r="I48" s="403"/>
      <c r="J48" s="403"/>
      <c r="K48" s="404">
        <f>SUM(K45:K47)+K43</f>
        <v>2.7320289530076884</v>
      </c>
      <c r="L48" s="404">
        <v>500</v>
      </c>
      <c r="M48" s="404">
        <f>IF(Hypothèses!$H$1="France",K48,L48)</f>
        <v>500</v>
      </c>
      <c r="N48" s="404">
        <f>M48*1000000*Hypothèses!$B$3*277.78/1000000000</f>
        <v>6119.4933999999994</v>
      </c>
    </row>
    <row r="49" spans="1:19" ht="13.5" customHeight="1">
      <c r="A49" s="1210"/>
      <c r="B49" s="1228" t="s">
        <v>404</v>
      </c>
      <c r="C49" s="408" t="s">
        <v>415</v>
      </c>
      <c r="D49" s="400">
        <v>0.37930000000000003</v>
      </c>
      <c r="E49" s="401">
        <v>0.55169999999999997</v>
      </c>
      <c r="G49" s="905"/>
      <c r="H49" s="905"/>
      <c r="I49" s="905"/>
      <c r="J49" s="905"/>
      <c r="K49" s="905"/>
    </row>
    <row r="50" spans="1:19" ht="27.95">
      <c r="A50" s="1210"/>
      <c r="B50" s="1213"/>
      <c r="C50" s="409" t="s">
        <v>381</v>
      </c>
      <c r="D50" s="405">
        <v>9.1999999999999998E-2</v>
      </c>
      <c r="E50" s="406">
        <v>0.12640000000000001</v>
      </c>
      <c r="G50" s="905"/>
      <c r="H50" s="905"/>
      <c r="I50" s="905"/>
      <c r="J50" s="905"/>
      <c r="K50" s="905"/>
      <c r="L50" s="905"/>
      <c r="M50" s="905"/>
      <c r="N50" s="905"/>
    </row>
    <row r="51" spans="1:19" ht="56.1">
      <c r="A51" s="1210"/>
      <c r="B51" s="1213"/>
      <c r="C51" s="409" t="s">
        <v>382</v>
      </c>
      <c r="D51" s="405">
        <v>9.1999999999999998E-2</v>
      </c>
      <c r="E51" s="406">
        <v>0.12640000000000001</v>
      </c>
      <c r="G51" s="905"/>
      <c r="H51" s="905"/>
      <c r="I51" s="905"/>
      <c r="J51" s="905"/>
      <c r="K51" s="905"/>
      <c r="L51" s="905"/>
      <c r="M51" s="905"/>
    </row>
    <row r="52" spans="1:19" ht="42.95" thickBot="1">
      <c r="A52" s="1211"/>
      <c r="B52" s="1214"/>
      <c r="C52" s="410" t="s">
        <v>383</v>
      </c>
      <c r="D52" s="411">
        <v>9.1999999999999998E-2</v>
      </c>
      <c r="E52" s="412">
        <v>0.12640000000000001</v>
      </c>
      <c r="G52" s="905"/>
      <c r="H52" s="905"/>
      <c r="I52" s="905"/>
      <c r="J52" s="905"/>
      <c r="K52" s="905"/>
      <c r="L52" s="905"/>
      <c r="M52" s="905"/>
    </row>
    <row r="53" spans="1:19" ht="13.5" customHeight="1">
      <c r="A53" s="1209" t="s">
        <v>416</v>
      </c>
      <c r="B53" s="1212" t="s">
        <v>417</v>
      </c>
      <c r="C53" s="413" t="s">
        <v>418</v>
      </c>
      <c r="D53" s="395">
        <v>0.85060000000000002</v>
      </c>
      <c r="E53" s="396">
        <v>1.8046</v>
      </c>
      <c r="G53" s="905"/>
      <c r="H53" s="905"/>
      <c r="I53" s="905"/>
      <c r="J53" s="905"/>
      <c r="K53" s="905"/>
      <c r="L53" s="905"/>
      <c r="M53" s="905"/>
    </row>
    <row r="54" spans="1:19" ht="13.5" customHeight="1">
      <c r="A54" s="1210"/>
      <c r="B54" s="1213"/>
      <c r="C54" s="408" t="s">
        <v>419</v>
      </c>
      <c r="D54" s="400"/>
      <c r="E54" s="401"/>
      <c r="F54" s="407"/>
    </row>
    <row r="55" spans="1:19" ht="13.5" customHeight="1">
      <c r="A55" s="1210"/>
      <c r="B55" s="1213"/>
      <c r="C55" s="408" t="s">
        <v>420</v>
      </c>
      <c r="D55" s="400">
        <v>0.45979999999999999</v>
      </c>
      <c r="E55" s="401">
        <v>2.1839</v>
      </c>
      <c r="F55" s="407"/>
    </row>
    <row r="56" spans="1:19" ht="13.5" customHeight="1">
      <c r="A56" s="1210"/>
      <c r="B56" s="1213"/>
      <c r="C56" s="408" t="s">
        <v>421</v>
      </c>
      <c r="D56" s="400">
        <v>0.42870000000000003</v>
      </c>
      <c r="E56" s="401">
        <v>0.54020000000000001</v>
      </c>
      <c r="F56" s="407"/>
    </row>
    <row r="57" spans="1:19" ht="13.5" customHeight="1" thickBot="1">
      <c r="A57" s="1210"/>
      <c r="B57" s="1213"/>
      <c r="C57" s="408" t="s">
        <v>422</v>
      </c>
      <c r="D57" s="400">
        <v>0.8851</v>
      </c>
      <c r="E57" s="401">
        <v>1.3023</v>
      </c>
      <c r="F57" s="407"/>
    </row>
    <row r="58" spans="1:19" thickBot="1">
      <c r="A58" s="1210"/>
      <c r="B58" s="1213"/>
      <c r="C58" s="408" t="s">
        <v>423</v>
      </c>
      <c r="D58" s="400">
        <v>1.1149</v>
      </c>
      <c r="E58" s="401">
        <v>1.3448</v>
      </c>
      <c r="F58" s="407"/>
      <c r="G58" s="1207" t="s">
        <v>424</v>
      </c>
      <c r="H58" s="1208"/>
      <c r="I58" s="1208"/>
      <c r="J58" s="1208"/>
      <c r="K58" s="1208"/>
      <c r="L58" s="1208"/>
      <c r="M58" s="1208"/>
      <c r="N58" s="1208"/>
      <c r="O58" s="1208"/>
      <c r="P58" s="1208"/>
      <c r="Q58" s="1208"/>
      <c r="R58" s="1208"/>
      <c r="S58" s="1206"/>
    </row>
    <row r="59" spans="1:19" ht="42" customHeight="1" thickBot="1">
      <c r="A59" s="1210"/>
      <c r="B59" s="1213"/>
      <c r="C59" s="408" t="s">
        <v>425</v>
      </c>
      <c r="D59" s="400">
        <v>0.1149</v>
      </c>
      <c r="E59" s="401">
        <v>0.34250000000000003</v>
      </c>
      <c r="F59" s="407"/>
      <c r="G59" s="1218" t="s">
        <v>120</v>
      </c>
      <c r="H59" s="1219"/>
      <c r="I59" s="1219"/>
      <c r="J59" s="1219"/>
      <c r="K59" s="1220"/>
      <c r="L59" s="1221" t="s">
        <v>50</v>
      </c>
      <c r="M59" s="1222"/>
      <c r="N59" s="1205"/>
      <c r="O59" s="1223"/>
      <c r="P59" s="1206"/>
      <c r="Q59" s="1204" t="s">
        <v>391</v>
      </c>
      <c r="R59" s="1205"/>
      <c r="S59" s="1206"/>
    </row>
    <row r="60" spans="1:19" ht="120.95" thickBot="1">
      <c r="A60" s="1210"/>
      <c r="B60" s="1213"/>
      <c r="C60" s="408" t="s">
        <v>426</v>
      </c>
      <c r="D60" s="400">
        <v>0.27239999999999998</v>
      </c>
      <c r="E60" s="401">
        <v>0.32179999999999997</v>
      </c>
      <c r="F60" s="407"/>
      <c r="G60" s="927" t="s">
        <v>427</v>
      </c>
      <c r="H60" s="928" t="s">
        <v>428</v>
      </c>
      <c r="I60" s="929" t="s">
        <v>429</v>
      </c>
      <c r="J60" s="929" t="s">
        <v>430</v>
      </c>
      <c r="K60" s="933" t="s">
        <v>431</v>
      </c>
      <c r="L60" s="935" t="s">
        <v>427</v>
      </c>
      <c r="M60" s="943" t="s">
        <v>428</v>
      </c>
      <c r="N60" s="943" t="s">
        <v>429</v>
      </c>
      <c r="O60" s="936" t="s">
        <v>432</v>
      </c>
      <c r="P60" s="937" t="s">
        <v>431</v>
      </c>
      <c r="Q60" s="941" t="s">
        <v>433</v>
      </c>
      <c r="R60" s="946" t="s">
        <v>429</v>
      </c>
      <c r="S60" s="942" t="s">
        <v>431</v>
      </c>
    </row>
    <row r="61" spans="1:19" ht="57" thickBot="1">
      <c r="A61" s="1210"/>
      <c r="B61" s="1213"/>
      <c r="C61" s="408" t="s">
        <v>434</v>
      </c>
      <c r="D61" s="400">
        <v>0.2379</v>
      </c>
      <c r="E61" s="401">
        <v>0.2379</v>
      </c>
      <c r="F61" s="407"/>
      <c r="G61" s="923">
        <v>4</v>
      </c>
      <c r="H61" s="924">
        <v>0.5</v>
      </c>
      <c r="I61" s="925">
        <f>$H$61*Hypothèses!$B$19+(1-$H$61)*Hypothèses!$B$18</f>
        <v>45.283888888888882</v>
      </c>
      <c r="J61" s="926">
        <f>I61*Hypothèses!$D$111/1000</f>
        <v>0.67246574999999986</v>
      </c>
      <c r="K61" s="934">
        <f>J61/Hypothèses!$D$23</f>
        <v>0.17932419999999996</v>
      </c>
      <c r="L61" s="938">
        <v>250</v>
      </c>
      <c r="M61" s="944">
        <v>0.5</v>
      </c>
      <c r="N61" s="945">
        <f>$M$61*Hypothèses!$B$19+(1-$M$61)*Hypothèses!$B$18</f>
        <v>45.283888888888882</v>
      </c>
      <c r="O61" s="939">
        <f>N61*Hypothèses!$D$116/1000</f>
        <v>0.49812277777777769</v>
      </c>
      <c r="P61" s="940">
        <f>O61/Hypothèses!$D$23</f>
        <v>0.13283274074074072</v>
      </c>
      <c r="Q61" s="938">
        <f>IF(Hypothèses!$H$1="France",G61,L61)</f>
        <v>250</v>
      </c>
      <c r="R61" s="947">
        <f>IF(Hypothèses!$H$1="France",I61,N61)</f>
        <v>45.283888888888882</v>
      </c>
      <c r="S61" s="940">
        <f>IF(Hypothèses!$H$1="France",K61,P61)</f>
        <v>0.13283274074074072</v>
      </c>
    </row>
    <row r="62" spans="1:19">
      <c r="A62" s="1210"/>
      <c r="B62" s="1228" t="s">
        <v>435</v>
      </c>
      <c r="C62" s="1229"/>
      <c r="D62" s="400">
        <v>1.72E-2</v>
      </c>
      <c r="E62" s="401">
        <v>0.58279999999999998</v>
      </c>
      <c r="F62" s="407"/>
      <c r="G62" s="900"/>
      <c r="H62" s="4"/>
    </row>
    <row r="63" spans="1:19" ht="15.95" thickBot="1">
      <c r="A63" s="1211"/>
      <c r="B63" s="1232" t="s">
        <v>436</v>
      </c>
      <c r="C63" s="1233"/>
      <c r="D63" s="414">
        <v>0</v>
      </c>
      <c r="E63" s="415" t="s">
        <v>437</v>
      </c>
      <c r="F63" s="407"/>
      <c r="G63" s="900"/>
      <c r="H63" s="884"/>
      <c r="O63" s="309"/>
    </row>
    <row r="64" spans="1:19" ht="13.5" customHeight="1">
      <c r="A64" s="1209" t="s">
        <v>438</v>
      </c>
      <c r="B64" s="1212" t="s">
        <v>439</v>
      </c>
      <c r="C64" s="413" t="s">
        <v>440</v>
      </c>
      <c r="D64" s="395">
        <v>0</v>
      </c>
      <c r="E64" s="396" t="s">
        <v>437</v>
      </c>
      <c r="F64" s="407"/>
    </row>
    <row r="65" spans="1:6" ht="13.5" customHeight="1">
      <c r="A65" s="1210"/>
      <c r="B65" s="1213"/>
      <c r="C65" s="408" t="s">
        <v>441</v>
      </c>
      <c r="D65" s="400">
        <v>0.76549999999999996</v>
      </c>
      <c r="E65" s="401">
        <v>1.1103000000000001</v>
      </c>
      <c r="F65" s="407"/>
    </row>
    <row r="66" spans="1:6" ht="29.1" thickBot="1">
      <c r="A66" s="1211"/>
      <c r="B66" s="1214"/>
      <c r="C66" s="1147" t="s">
        <v>381</v>
      </c>
      <c r="D66" s="414"/>
      <c r="E66" s="415"/>
      <c r="F66" s="407"/>
    </row>
    <row r="67" spans="1:6" ht="13.5" customHeight="1">
      <c r="A67" s="1209" t="s">
        <v>442</v>
      </c>
      <c r="B67" s="1212" t="s">
        <v>443</v>
      </c>
      <c r="C67" s="1227"/>
      <c r="D67" s="395">
        <v>0.33679999999999999</v>
      </c>
      <c r="E67" s="396">
        <v>0.40229999999999999</v>
      </c>
      <c r="F67" s="407"/>
    </row>
    <row r="68" spans="1:6" ht="13.5" customHeight="1">
      <c r="A68" s="1210"/>
      <c r="B68" s="1228" t="s">
        <v>444</v>
      </c>
      <c r="C68" s="1229"/>
      <c r="D68" s="400">
        <v>0.52410000000000001</v>
      </c>
      <c r="E68" s="401">
        <v>0.6391</v>
      </c>
      <c r="F68" s="407"/>
    </row>
    <row r="69" spans="1:6" ht="13.5" customHeight="1">
      <c r="A69" s="1210"/>
      <c r="B69" s="1228" t="s">
        <v>440</v>
      </c>
      <c r="C69" s="1229"/>
      <c r="D69" s="400">
        <v>0.5897</v>
      </c>
      <c r="E69" s="401">
        <v>0.5897</v>
      </c>
      <c r="F69" s="407"/>
    </row>
    <row r="70" spans="1:6" ht="13.5" customHeight="1">
      <c r="A70" s="1210"/>
      <c r="B70" s="1228" t="s">
        <v>445</v>
      </c>
      <c r="C70" s="1229"/>
      <c r="D70" s="400">
        <v>0.70109999999999995</v>
      </c>
      <c r="E70" s="401">
        <v>0.76900000000000002</v>
      </c>
      <c r="F70" s="407"/>
    </row>
    <row r="71" spans="1:6" ht="13.5" customHeight="1">
      <c r="A71" s="1210"/>
      <c r="B71" s="1228" t="s">
        <v>446</v>
      </c>
      <c r="C71" s="1229"/>
      <c r="D71" s="400">
        <v>0.27360000000000001</v>
      </c>
      <c r="E71" s="401">
        <v>0.27360000000000001</v>
      </c>
      <c r="F71" s="407"/>
    </row>
    <row r="72" spans="1:6" ht="13.5" customHeight="1" thickBot="1">
      <c r="A72" s="1211"/>
      <c r="B72" s="1230" t="s">
        <v>419</v>
      </c>
      <c r="C72" s="1231"/>
      <c r="D72" s="414">
        <v>0.96899999999999997</v>
      </c>
      <c r="E72" s="415">
        <v>1.2528999999999999</v>
      </c>
      <c r="F72" s="407"/>
    </row>
    <row r="73" spans="1:6" ht="13.5" customHeight="1">
      <c r="A73" s="1209" t="s">
        <v>447</v>
      </c>
      <c r="B73" s="1212" t="s">
        <v>446</v>
      </c>
      <c r="C73" s="1227"/>
      <c r="D73" s="395">
        <v>0.25290000000000001</v>
      </c>
      <c r="E73" s="396">
        <v>0.45979999999999999</v>
      </c>
      <c r="F73" s="407"/>
    </row>
    <row r="74" spans="1:6" ht="13.5" customHeight="1" thickBot="1">
      <c r="A74" s="1211"/>
      <c r="B74" s="1232" t="s">
        <v>448</v>
      </c>
      <c r="C74" s="1233"/>
      <c r="D74" s="414"/>
      <c r="E74" s="415"/>
      <c r="F74" s="407"/>
    </row>
    <row r="75" spans="1:6" ht="13.5" customHeight="1" thickBot="1">
      <c r="A75" s="1224" t="s">
        <v>449</v>
      </c>
      <c r="B75" s="1225"/>
      <c r="C75" s="1226"/>
      <c r="D75" s="416">
        <f>(D$48*$K$43+D$50*$K$45+D$51*$K$46+D$52*$K$47)/($K$43+$K$45+$K$46+$K$47)</f>
        <v>0.20438251753392198</v>
      </c>
      <c r="E75" s="417">
        <f>(E$48*$K$43+E$50*$K$45+E$51*$K$46+E$52*$K$47)/($K$43+$K$45+$K$46+$K$47)</f>
        <v>0.22161573865662662</v>
      </c>
    </row>
    <row r="76" spans="1:6" ht="13.5" customHeight="1"/>
    <row r="77" spans="1:6" ht="13.5" customHeight="1"/>
    <row r="78" spans="1:6" ht="13.5" customHeight="1"/>
    <row r="79" spans="1:6" ht="13.5" customHeight="1"/>
    <row r="80" spans="1:6" ht="13.5" customHeight="1"/>
    <row r="81" spans="1:1" ht="13.5" customHeight="1"/>
    <row r="82" spans="1:1" ht="13.5" customHeight="1"/>
    <row r="83" spans="1:1" ht="13.5" customHeight="1">
      <c r="A83" s="747" t="s">
        <v>450</v>
      </c>
    </row>
    <row r="84" spans="1:1" ht="13.5" customHeight="1">
      <c r="A84" s="748" t="s">
        <v>451</v>
      </c>
    </row>
    <row r="85" spans="1:1" ht="13.5" customHeight="1">
      <c r="A85" s="749" t="s">
        <v>452</v>
      </c>
    </row>
    <row r="86" spans="1:1" ht="13.5" customHeight="1">
      <c r="A86" s="915" t="s">
        <v>453</v>
      </c>
    </row>
    <row r="87" spans="1:1" ht="13.5" customHeight="1">
      <c r="A87" s="915" t="s">
        <v>454</v>
      </c>
    </row>
    <row r="88" spans="1:1" ht="13.5" customHeight="1">
      <c r="A88" s="916" t="s">
        <v>455</v>
      </c>
    </row>
    <row r="89" spans="1:1" ht="13.5" customHeight="1">
      <c r="A89" s="751" t="s">
        <v>456</v>
      </c>
    </row>
    <row r="90" spans="1:1" ht="13.5" customHeight="1">
      <c r="A90" s="748" t="s">
        <v>457</v>
      </c>
    </row>
    <row r="91" spans="1:1" ht="13.5" customHeight="1">
      <c r="A91" s="751" t="s">
        <v>458</v>
      </c>
    </row>
    <row r="92" spans="1:1" ht="13.5" customHeight="1">
      <c r="A92" s="751" t="s">
        <v>459</v>
      </c>
    </row>
    <row r="93" spans="1:1" ht="13.5" customHeight="1">
      <c r="A93" s="751" t="s">
        <v>460</v>
      </c>
    </row>
    <row r="94" spans="1:1" ht="13.5" customHeight="1">
      <c r="A94" s="751" t="s">
        <v>461</v>
      </c>
    </row>
    <row r="95" spans="1:1" ht="13.5" customHeight="1">
      <c r="A95" s="750"/>
    </row>
    <row r="96" spans="1:1" ht="13.5" customHeight="1">
      <c r="A96" s="748" t="s">
        <v>462</v>
      </c>
    </row>
    <row r="97" spans="1:1" ht="13.5" customHeight="1">
      <c r="A97" s="749" t="s">
        <v>463</v>
      </c>
    </row>
    <row r="98" spans="1:1" ht="13.5" customHeight="1">
      <c r="A98" s="749" t="s">
        <v>464</v>
      </c>
    </row>
    <row r="99" spans="1:1" ht="13.5" customHeight="1">
      <c r="A99" s="749" t="s">
        <v>465</v>
      </c>
    </row>
    <row r="100" spans="1:1" ht="13.5" customHeight="1">
      <c r="A100" s="749" t="s">
        <v>466</v>
      </c>
    </row>
    <row r="101" spans="1:1" ht="13.5" customHeight="1">
      <c r="A101" s="749" t="s">
        <v>467</v>
      </c>
    </row>
    <row r="102" spans="1:1" ht="13.5" customHeight="1">
      <c r="A102" s="750" t="s">
        <v>468</v>
      </c>
    </row>
    <row r="103" spans="1:1" ht="13.5" customHeight="1">
      <c r="A103" s="748" t="s">
        <v>469</v>
      </c>
    </row>
    <row r="104" spans="1:1" ht="13.5" customHeight="1">
      <c r="A104" s="749" t="s">
        <v>470</v>
      </c>
    </row>
    <row r="105" spans="1:1" ht="13.5" customHeight="1"/>
    <row r="106" spans="1:1" ht="13.5" customHeight="1">
      <c r="A106" s="357" t="s">
        <v>50</v>
      </c>
    </row>
    <row r="107" spans="1:1" ht="13.5" customHeight="1">
      <c r="A107" s="749" t="s">
        <v>471</v>
      </c>
    </row>
    <row r="108" spans="1:1" ht="13.5" customHeight="1"/>
    <row r="109" spans="1:1" ht="13.5" customHeight="1"/>
    <row r="110" spans="1:1" ht="13.5" customHeight="1"/>
    <row r="111" spans="1:1" ht="13.5" customHeight="1"/>
    <row r="112" spans="1:1"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sheetData>
  <mergeCells count="50">
    <mergeCell ref="X4:Z4"/>
    <mergeCell ref="AA4:AC4"/>
    <mergeCell ref="AD4:AF4"/>
    <mergeCell ref="J4:L4"/>
    <mergeCell ref="M4:O4"/>
    <mergeCell ref="P4:R4"/>
    <mergeCell ref="S4:T4"/>
    <mergeCell ref="U4:W4"/>
    <mergeCell ref="AG4:AI4"/>
    <mergeCell ref="G42:G43"/>
    <mergeCell ref="A44:C44"/>
    <mergeCell ref="A45:A52"/>
    <mergeCell ref="B45:C45"/>
    <mergeCell ref="B46:C46"/>
    <mergeCell ref="B47:C47"/>
    <mergeCell ref="B48:C48"/>
    <mergeCell ref="A41:E41"/>
    <mergeCell ref="G41:K41"/>
    <mergeCell ref="A2:A6"/>
    <mergeCell ref="B2:R2"/>
    <mergeCell ref="S2:AI2"/>
    <mergeCell ref="B4:C4"/>
    <mergeCell ref="D4:F4"/>
    <mergeCell ref="G4:I4"/>
    <mergeCell ref="A42:A43"/>
    <mergeCell ref="B42:C43"/>
    <mergeCell ref="D42:E42"/>
    <mergeCell ref="B49:B52"/>
    <mergeCell ref="A53:A63"/>
    <mergeCell ref="B53:B61"/>
    <mergeCell ref="B62:C62"/>
    <mergeCell ref="B63:C63"/>
    <mergeCell ref="A75:C75"/>
    <mergeCell ref="A67:A72"/>
    <mergeCell ref="B67:C67"/>
    <mergeCell ref="B68:C68"/>
    <mergeCell ref="B69:C69"/>
    <mergeCell ref="B70:C70"/>
    <mergeCell ref="B71:C71"/>
    <mergeCell ref="B72:C72"/>
    <mergeCell ref="A73:A74"/>
    <mergeCell ref="B73:C73"/>
    <mergeCell ref="B74:C74"/>
    <mergeCell ref="Q59:S59"/>
    <mergeCell ref="G58:S58"/>
    <mergeCell ref="A64:A66"/>
    <mergeCell ref="B64:B66"/>
    <mergeCell ref="P44:R44"/>
    <mergeCell ref="G59:K59"/>
    <mergeCell ref="L59:P59"/>
  </mergeCells>
  <dataValidations count="4">
    <dataValidation type="list" allowBlank="1" showInputMessage="1" showErrorMessage="1" sqref="B6:AI6" xr:uid="{00000000-0002-0000-0500-000000000000}">
      <formula1>BIOCARB_PARAM</formula1>
    </dataValidation>
    <dataValidation type="list" allowBlank="1" showInputMessage="1" showErrorMessage="1" sqref="B48:C48 G45:G47 G42 C50:C52 P4 M4 B4:E4 G4 J4:K4 B5:O5 AG4 AD4 S4:V4 X4 AA4:AB4 S5:AF5" xr:uid="{00000000-0002-0000-0500-000001000000}">
      <formula1>BIOCARB</formula1>
    </dataValidation>
    <dataValidation type="list" allowBlank="1" showInputMessage="1" showErrorMessage="1" sqref="B2 S2" xr:uid="{00000000-0002-0000-0500-000002000000}">
      <formula1>CA</formula1>
    </dataValidation>
    <dataValidation type="list" allowBlank="1" showInputMessage="1" showErrorMessage="1" sqref="P46:Q46" xr:uid="{93D246D3-2544-2143-8CB3-EAA534E93D88}">
      <formula1>$A$8:$A$37</formula1>
    </dataValidation>
  </dataValidations>
  <hyperlinks>
    <hyperlink ref="A89" r:id="rId1" location=":~:text=D%C3%A9velopper%20les%20biocarburants&amp;text=%C3%89lisabeth%20Borne%20entend%20r%C3%A9viser,2025%20et%205%25%20en%202030" xr:uid="{2B16294A-3069-4159-B799-66A428AD9821}"/>
    <hyperlink ref="A91" r:id="rId2" xr:uid="{03705B36-BFE2-4F5F-B4B5-CE404A36DC7B}"/>
    <hyperlink ref="A92" r:id="rId3" xr:uid="{7864F840-FDC6-4B3C-8C23-E2538E298B5F}"/>
    <hyperlink ref="A93" r:id="rId4" xr:uid="{12C03289-8266-45A9-BEB4-B085E99F5275}"/>
    <hyperlink ref="A94" r:id="rId5" xr:uid="{11071081-30C1-44B2-AFC3-79F258349B71}"/>
    <hyperlink ref="A88" r:id="rId6" display="https://www.ademe.fr/sites/default/files/assets/documents/dechets_chiffrescles_essentiel2018_010690.pdf" xr:uid="{4656A841-F159-489B-ACE6-9E013527E089}"/>
  </hyperlinks>
  <pageMargins left="0.7" right="0.7" top="0.75" bottom="0.75" header="0" footer="0"/>
  <pageSetup paperSize="9" orientation="portrait"/>
  <drawing r:id="rId7"/>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X133"/>
  <sheetViews>
    <sheetView topLeftCell="A9" zoomScale="81" zoomScaleNormal="70" workbookViewId="0">
      <selection activeCell="L32" sqref="L32"/>
    </sheetView>
  </sheetViews>
  <sheetFormatPr defaultColWidth="10.875" defaultRowHeight="14.1"/>
  <cols>
    <col min="1" max="1" width="2.625" style="355" customWidth="1"/>
    <col min="2" max="2" width="11.625" style="355" customWidth="1"/>
    <col min="3" max="6" width="10.875" style="355" customWidth="1"/>
    <col min="7" max="19" width="10.875" style="355"/>
    <col min="20" max="20" width="11.5" style="355" bestFit="1" customWidth="1"/>
    <col min="21" max="16384" width="10.875" style="355"/>
  </cols>
  <sheetData>
    <row r="1" spans="2:24" ht="15" thickBot="1"/>
    <row r="2" spans="2:24" ht="57" thickBot="1">
      <c r="B2" s="753" t="s">
        <v>472</v>
      </c>
      <c r="C2" s="754" t="s">
        <v>473</v>
      </c>
      <c r="D2" s="755" t="s">
        <v>474</v>
      </c>
      <c r="E2" s="755" t="s">
        <v>475</v>
      </c>
      <c r="F2" s="756" t="s">
        <v>476</v>
      </c>
      <c r="G2" s="757" t="s">
        <v>477</v>
      </c>
    </row>
    <row r="3" spans="2:24" ht="15">
      <c r="B3" s="764" t="s">
        <v>284</v>
      </c>
      <c r="C3" s="762" t="s">
        <v>369</v>
      </c>
      <c r="D3" s="759" t="s">
        <v>378</v>
      </c>
      <c r="E3" s="759" t="s">
        <v>478</v>
      </c>
      <c r="F3" s="759">
        <v>2025</v>
      </c>
      <c r="G3" s="760" t="s">
        <v>212</v>
      </c>
    </row>
    <row r="4" spans="2:24" ht="15">
      <c r="B4" s="765" t="s">
        <v>286</v>
      </c>
      <c r="C4" s="763" t="s">
        <v>370</v>
      </c>
      <c r="D4" s="758" t="s">
        <v>379</v>
      </c>
      <c r="E4" s="758" t="s">
        <v>479</v>
      </c>
      <c r="F4" s="758">
        <v>2025</v>
      </c>
      <c r="G4" s="761" t="s">
        <v>212</v>
      </c>
    </row>
    <row r="5" spans="2:24" ht="15.95" thickBot="1">
      <c r="B5" s="589" t="s">
        <v>285</v>
      </c>
      <c r="C5" s="590" t="s">
        <v>370</v>
      </c>
      <c r="D5" s="424" t="s">
        <v>379</v>
      </c>
      <c r="E5" s="424" t="s">
        <v>478</v>
      </c>
      <c r="F5" s="424">
        <v>2025</v>
      </c>
      <c r="G5" s="591" t="s">
        <v>212</v>
      </c>
    </row>
    <row r="7" spans="2:24" ht="15" thickBot="1"/>
    <row r="8" spans="2:24" ht="45.95" thickBot="1">
      <c r="I8" s="583" t="s">
        <v>480</v>
      </c>
      <c r="J8" s="584" t="s">
        <v>206</v>
      </c>
      <c r="K8" s="585" t="s">
        <v>207</v>
      </c>
      <c r="L8" s="585" t="s">
        <v>208</v>
      </c>
      <c r="M8" s="585" t="s">
        <v>209</v>
      </c>
    </row>
    <row r="9" spans="2:24" ht="15.95" thickBot="1">
      <c r="I9" s="586" t="str">
        <f>VLOOKUP($B14,$B$3:$G$5,6,FALSE)</f>
        <v>Eolien</v>
      </c>
      <c r="J9" s="587">
        <f>VLOOKUP($I9,Hypothèses!$B$120:$F$123,2,FALSE)</f>
        <v>0.24620329979010511</v>
      </c>
      <c r="K9" s="588">
        <f>VLOOKUP($I9,Hypothèses!$B$120:$F$123,3,FALSE)</f>
        <v>11</v>
      </c>
      <c r="L9" s="588">
        <f>VLOOKUP($I9,Hypothèses!$B$119:$F$120,4,FALSE)</f>
        <v>651</v>
      </c>
      <c r="M9" s="588">
        <f>VLOOKUP($I9,Hypothèses!$B$120:$F$123,5,FALSE)</f>
        <v>1405</v>
      </c>
    </row>
    <row r="10" spans="2:24" ht="15" thickBot="1"/>
    <row r="11" spans="2:24" ht="15.95" customHeight="1">
      <c r="B11" s="1286" t="s">
        <v>481</v>
      </c>
      <c r="C11" s="1288" t="s">
        <v>482</v>
      </c>
      <c r="D11" s="1288"/>
      <c r="E11" s="1288"/>
      <c r="F11" s="1288"/>
      <c r="G11" s="1288"/>
      <c r="H11" s="1288"/>
      <c r="I11" s="1288"/>
      <c r="J11" s="1288"/>
      <c r="K11" s="1288"/>
      <c r="L11" s="1288"/>
      <c r="M11" s="1288"/>
      <c r="N11" s="1288"/>
      <c r="O11" s="1289" t="s">
        <v>483</v>
      </c>
      <c r="P11" s="1290"/>
      <c r="Q11" s="1290"/>
      <c r="R11" s="1294" t="s">
        <v>484</v>
      </c>
      <c r="S11" s="1295"/>
      <c r="T11" s="1295"/>
      <c r="U11" s="1295"/>
      <c r="V11" s="1295"/>
      <c r="W11" s="1295"/>
      <c r="X11" s="1296"/>
    </row>
    <row r="12" spans="2:24" ht="15" thickBot="1">
      <c r="B12" s="1287"/>
      <c r="C12" s="1200" t="str">
        <f>VLOOKUP($B14,$B$3:$G$5,2,FALSE)</f>
        <v>INDUS</v>
      </c>
      <c r="D12" s="1200"/>
      <c r="E12" s="1200"/>
      <c r="F12" s="1200"/>
      <c r="G12" s="1200"/>
      <c r="H12" s="1200"/>
      <c r="I12" s="1200"/>
      <c r="J12" s="1200"/>
      <c r="K12" s="1200"/>
      <c r="L12" s="1200"/>
      <c r="M12" s="1200"/>
      <c r="N12" s="1200"/>
      <c r="O12" s="1199" t="str">
        <f>VLOOKUP($B14,$B$3:$G$5,3,FALSE)</f>
        <v>CAPA100</v>
      </c>
      <c r="P12" s="1200"/>
      <c r="Q12" s="1301"/>
      <c r="R12" s="1297"/>
      <c r="S12" s="1298"/>
      <c r="T12" s="1298"/>
      <c r="U12" s="1298"/>
      <c r="V12" s="1298"/>
      <c r="W12" s="1298"/>
      <c r="X12" s="1299"/>
    </row>
    <row r="13" spans="2:24" s="592" customFormat="1" ht="15" hidden="1" customHeight="1" thickBot="1">
      <c r="B13" s="593"/>
      <c r="C13" s="333" t="str">
        <f>$C12</f>
        <v>INDUS</v>
      </c>
      <c r="D13" s="333" t="str">
        <f t="shared" ref="D13:N13" si="0">$C12</f>
        <v>INDUS</v>
      </c>
      <c r="E13" s="333" t="str">
        <f t="shared" si="0"/>
        <v>INDUS</v>
      </c>
      <c r="F13" s="333" t="str">
        <f t="shared" si="0"/>
        <v>INDUS</v>
      </c>
      <c r="G13" s="333" t="str">
        <f t="shared" si="0"/>
        <v>INDUS</v>
      </c>
      <c r="H13" s="333" t="str">
        <f t="shared" si="0"/>
        <v>INDUS</v>
      </c>
      <c r="I13" s="333" t="str">
        <f t="shared" si="0"/>
        <v>INDUS</v>
      </c>
      <c r="J13" s="333" t="str">
        <f t="shared" si="0"/>
        <v>INDUS</v>
      </c>
      <c r="K13" s="333" t="str">
        <f t="shared" si="0"/>
        <v>INDUS</v>
      </c>
      <c r="L13" s="333" t="str">
        <f t="shared" si="0"/>
        <v>INDUS</v>
      </c>
      <c r="M13" s="333" t="str">
        <f t="shared" si="0"/>
        <v>INDUS</v>
      </c>
      <c r="N13" s="333" t="str">
        <f t="shared" si="0"/>
        <v>INDUS</v>
      </c>
      <c r="O13" s="333" t="str">
        <f>$O12</f>
        <v>CAPA100</v>
      </c>
      <c r="P13" s="333" t="str">
        <f t="shared" ref="P13:Q13" si="1">$O12</f>
        <v>CAPA100</v>
      </c>
      <c r="Q13" s="333" t="str">
        <f t="shared" si="1"/>
        <v>CAPA100</v>
      </c>
      <c r="R13" s="594"/>
      <c r="S13" s="595"/>
      <c r="T13" s="595"/>
      <c r="U13" s="595"/>
      <c r="V13" s="595"/>
      <c r="W13" s="595"/>
      <c r="X13" s="596"/>
    </row>
    <row r="14" spans="2:24" s="597" customFormat="1" ht="18" customHeight="1">
      <c r="B14" s="1280" t="s">
        <v>284</v>
      </c>
      <c r="C14" s="1282" t="s">
        <v>371</v>
      </c>
      <c r="D14" s="1283"/>
      <c r="E14" s="1284"/>
      <c r="F14" s="1302" t="s">
        <v>372</v>
      </c>
      <c r="G14" s="1283"/>
      <c r="H14" s="1284"/>
      <c r="I14" s="1302" t="s">
        <v>373</v>
      </c>
      <c r="J14" s="1283"/>
      <c r="K14" s="1284"/>
      <c r="L14" s="1302" t="s">
        <v>374</v>
      </c>
      <c r="M14" s="1283"/>
      <c r="N14" s="1284"/>
      <c r="O14" s="1291" t="s">
        <v>380</v>
      </c>
      <c r="P14" s="1292"/>
      <c r="Q14" s="598" t="s">
        <v>385</v>
      </c>
      <c r="R14" s="1274" t="s">
        <v>485</v>
      </c>
      <c r="S14" s="1277" t="s">
        <v>486</v>
      </c>
      <c r="T14" s="1277" t="s">
        <v>487</v>
      </c>
      <c r="U14" s="1277" t="s">
        <v>488</v>
      </c>
      <c r="V14" s="1277" t="s">
        <v>489</v>
      </c>
      <c r="W14" s="1277" t="s">
        <v>490</v>
      </c>
      <c r="X14" s="1271" t="s">
        <v>491</v>
      </c>
    </row>
    <row r="15" spans="2:24" s="595" customFormat="1" ht="45" hidden="1" customHeight="1">
      <c r="B15" s="1280"/>
      <c r="C15" s="599" t="str">
        <f>$C14</f>
        <v>Commuters</v>
      </c>
      <c r="D15" s="599" t="str">
        <f t="shared" ref="D15:E15" si="2">$C14</f>
        <v>Commuters</v>
      </c>
      <c r="E15" s="599" t="str">
        <f t="shared" si="2"/>
        <v>Commuters</v>
      </c>
      <c r="F15" s="599" t="str">
        <f>$F14</f>
        <v>Regional</v>
      </c>
      <c r="G15" s="599" t="str">
        <f t="shared" ref="G15:H15" si="3">$F14</f>
        <v>Regional</v>
      </c>
      <c r="H15" s="599" t="str">
        <f t="shared" si="3"/>
        <v>Regional</v>
      </c>
      <c r="I15" s="599" t="str">
        <f>$I14</f>
        <v>CMC</v>
      </c>
      <c r="J15" s="599" t="str">
        <f t="shared" ref="J15:K15" si="4">$I14</f>
        <v>CMC</v>
      </c>
      <c r="K15" s="599" t="str">
        <f t="shared" si="4"/>
        <v>CMC</v>
      </c>
      <c r="L15" s="599" t="str">
        <f>$L14</f>
        <v xml:space="preserve">Long Courrier </v>
      </c>
      <c r="M15" s="599" t="str">
        <f t="shared" ref="M15:N15" si="5">$L14</f>
        <v xml:space="preserve">Long Courrier </v>
      </c>
      <c r="N15" s="599" t="str">
        <f t="shared" si="5"/>
        <v xml:space="preserve">Long Courrier </v>
      </c>
      <c r="O15" s="333" t="str">
        <f>$O$14</f>
        <v>Mix Biocarburant</v>
      </c>
      <c r="P15" s="333" t="str">
        <f>$O$14</f>
        <v>Mix Biocarburant</v>
      </c>
      <c r="Q15" s="333" t="str">
        <f>$Q$14</f>
        <v>PTL</v>
      </c>
      <c r="R15" s="1275"/>
      <c r="S15" s="1278"/>
      <c r="T15" s="1278"/>
      <c r="U15" s="1278"/>
      <c r="V15" s="1278"/>
      <c r="W15" s="1278"/>
      <c r="X15" s="1272"/>
    </row>
    <row r="16" spans="2:24" s="597" customFormat="1" ht="65.099999999999994" thickBot="1">
      <c r="B16" s="1281"/>
      <c r="C16" s="600" t="s">
        <v>375</v>
      </c>
      <c r="D16" s="601" t="s">
        <v>376</v>
      </c>
      <c r="E16" s="602" t="s">
        <v>377</v>
      </c>
      <c r="F16" s="603" t="s">
        <v>375</v>
      </c>
      <c r="G16" s="601" t="s">
        <v>376</v>
      </c>
      <c r="H16" s="602" t="s">
        <v>377</v>
      </c>
      <c r="I16" s="603" t="s">
        <v>375</v>
      </c>
      <c r="J16" s="601" t="s">
        <v>376</v>
      </c>
      <c r="K16" s="604" t="s">
        <v>377</v>
      </c>
      <c r="L16" s="603" t="s">
        <v>375</v>
      </c>
      <c r="M16" s="601" t="s">
        <v>376</v>
      </c>
      <c r="N16" s="602" t="s">
        <v>377</v>
      </c>
      <c r="O16" s="363" t="s">
        <v>386</v>
      </c>
      <c r="P16" s="364" t="s">
        <v>387</v>
      </c>
      <c r="Q16" s="605" t="s">
        <v>386</v>
      </c>
      <c r="R16" s="1276"/>
      <c r="S16" s="1279"/>
      <c r="T16" s="1279"/>
      <c r="U16" s="1279"/>
      <c r="V16" s="1279"/>
      <c r="W16" s="1279"/>
      <c r="X16" s="1273"/>
    </row>
    <row r="17" spans="2:24" ht="15">
      <c r="B17" s="606">
        <v>2020</v>
      </c>
      <c r="C17" s="607">
        <f t="array" ref="C17">SUM(IF((Roadmap_Avion!$B$8:$B$38=$B17)*(Roadmap_Avion!$C$4:$Z$4=C$13)*(Roadmap_Avion!$C$6:$Z$6=C$15)*(Roadmap_Avion!$C$7:$Z$7=C$16),Roadmap_Avion!$C$8:$Z$38,0))</f>
        <v>1</v>
      </c>
      <c r="D17" s="608">
        <f t="array" ref="D17">SUM(IF((Roadmap_Avion!$B$8:$B$38=$B17)*(Roadmap_Avion!$C$4:$Z$4=D$13)*(Roadmap_Avion!$C$6:$Z$6=D$15)*(Roadmap_Avion!$C$7:$Z$7=D$16),Roadmap_Avion!$C$8:$Z$38,0))</f>
        <v>0.5</v>
      </c>
      <c r="E17" s="609">
        <f t="array" ref="E17">SUM(IF((Roadmap_Avion!$B$8:$B$38=$B17)*(Roadmap_Avion!$C$4:$Z$4=E$13)*(Roadmap_Avion!$C$6:$Z$6=E$15)*(Roadmap_Avion!$C$7:$Z$7=E$16),Roadmap_Avion!$C$8:$Z$38,0))</f>
        <v>0</v>
      </c>
      <c r="F17" s="607">
        <f t="array" ref="F17">SUM(IF((Roadmap_Avion!$B$8:$B$38=$B17)*(Roadmap_Avion!$C$4:$Z$4=F$13)*(Roadmap_Avion!$C$6:$Z$6=F$15)*(Roadmap_Avion!$C$7:$Z$7=F$16),Roadmap_Avion!$C$8:$Z$38,0))</f>
        <v>1</v>
      </c>
      <c r="G17" s="608">
        <f t="array" ref="G17">SUM(IF((Roadmap_Avion!$B$8:$B$38=$B17)*(Roadmap_Avion!$C$4:$Z$4=G$13)*(Roadmap_Avion!$C$6:$Z$6=G$15)*(Roadmap_Avion!$C$7:$Z$7=G$16),Roadmap_Avion!$C$8:$Z$38,0))</f>
        <v>0.5</v>
      </c>
      <c r="H17" s="609">
        <f t="array" ref="H17">SUM(IF((Roadmap_Avion!$B$8:$B$38=$B17)*(Roadmap_Avion!$C$4:$Z$4=H$13)*(Roadmap_Avion!$C$6:$Z$6=H$15)*(Roadmap_Avion!$C$7:$Z$7=H$16),Roadmap_Avion!$C$8:$Z$38,0))</f>
        <v>0</v>
      </c>
      <c r="I17" s="610">
        <f t="array" ref="I17">SUM(IF((Roadmap_Avion!$B$8:$B$38=$B17)*(Roadmap_Avion!$C$4:$Z$4=I$13)*(Roadmap_Avion!$C$6:$Z$6=I$15)*(Roadmap_Avion!$C$7:$Z$7=I$16),Roadmap_Avion!$C$8:$Z$38,0))</f>
        <v>0.8</v>
      </c>
      <c r="J17" s="611">
        <f t="array" ref="J17">SUM(IF((Roadmap_Avion!$B$8:$B$38=$B17)*(Roadmap_Avion!$C$4:$Z$4=J$13)*(Roadmap_Avion!$C$6:$Z$6=J$15)*(Roadmap_Avion!$C$7:$Z$7=J$16),Roadmap_Avion!$C$8:$Z$38,0))</f>
        <v>0.5</v>
      </c>
      <c r="K17" s="611">
        <f t="array" ref="K17">SUM(IF((Roadmap_Avion!$B$8:$B$38=$B17)*(Roadmap_Avion!$C$4:$Z$4=K$13)*(Roadmap_Avion!$C$6:$Z$6=K$15)*(Roadmap_Avion!$C$7:$Z$7=K$16),Roadmap_Avion!$C$8:$Z$38,0))</f>
        <v>0</v>
      </c>
      <c r="L17" s="612">
        <f t="array" ref="L17">SUM(IF((Roadmap_Avion!$B$8:$B$38=$B17)*(Roadmap_Avion!$C$4:$Z$4=L$13)*(Roadmap_Avion!$C$6:$Z$6=L$15)*(Roadmap_Avion!$C$7:$Z$7=L$16),Roadmap_Avion!$C$8:$Z$38,0))</f>
        <v>0.75</v>
      </c>
      <c r="M17" s="613">
        <f t="array" ref="M17">SUM(IF((Roadmap_Avion!$B$8:$B$38=$B17)*(Roadmap_Avion!$C$4:$Z$4=M$13)*(Roadmap_Avion!$C$6:$Z$6=M$15)*(Roadmap_Avion!$C$7:$Z$7=M$16),Roadmap_Avion!$C$8:$Z$38,0))</f>
        <v>0.5</v>
      </c>
      <c r="N17" s="614">
        <f t="array" ref="N17">SUM(IF((Roadmap_Avion!$B$8:$B$38=$B17)*(Roadmap_Avion!$C$4:$Z$4=N$13)*(Roadmap_Avion!$C$6:$Z$6=N$15)*(Roadmap_Avion!$C$7:$Z$7=N$16),Roadmap_Avion!$C$8:$Z$38,0))</f>
        <v>0</v>
      </c>
      <c r="O17" s="798">
        <f t="array" ref="O17">SUM(IF((Prod_Carburant_Alt!$A$7:$A$37=$B17)*(Prod_Carburant_Alt!$B$3:$AI$3=O$13)*(Prod_Carburant_Alt!$B$5:$AI$5='Synthèse scénarios'!O$15)*(Prod_Carburant_Alt!$B$6:$AI$6=O$16),Prod_Carburant_Alt!$B$7:$AI$37,0))</f>
        <v>2.0501851548918237</v>
      </c>
      <c r="P17" s="777">
        <f t="array" ref="P17">SUM(IF((Prod_Carburant_Alt!$A$7:$A$37=$B17)*(Prod_Carburant_Alt!$B$3:$AI$3=P$13)*(Prod_Carburant_Alt!$B$5:$AI$5='Synthèse scénarios'!P$15)*(Prod_Carburant_Alt!$B$6:$AI$6=P$16),Prod_Carburant_Alt!$B$7:$AI$37,0))</f>
        <v>0</v>
      </c>
      <c r="Q17" s="799">
        <f t="array" ref="Q17">SUM(IF((Prod_Carburant_Alt!$A$7:$A$37=$B17)*(Prod_Carburant_Alt!$B$3:$AI$3=Q$13)*(Prod_Carburant_Alt!$B$5:$AI$5='Synthèse scénarios'!Q$15)*(Prod_Carburant_Alt!$B$6:$AI$6=Q$16),Prod_Carburant_Alt!$B$7:$AI$37,0))</f>
        <v>0</v>
      </c>
      <c r="R17" s="615">
        <f>'Calculs Scénario MAVERICK'!BF16</f>
        <v>8.2800000000000651E-3</v>
      </c>
      <c r="S17" s="616">
        <f>'Calculs Scénario MAVERICK'!BE16</f>
        <v>365.05472936190466</v>
      </c>
      <c r="T17" s="617">
        <f>'Calculs Scénario MAVERICK'!CG16</f>
        <v>2.1060388244477254E-2</v>
      </c>
      <c r="U17" s="616">
        <f>'Calculs Scénario MAVERICK'!CF16</f>
        <v>357.36653503106038</v>
      </c>
      <c r="V17" s="618">
        <f>'Calculs Scénario MAVERICK'!CI16</f>
        <v>0</v>
      </c>
      <c r="W17" s="618">
        <f>'Calculs Scénario MAVERICK'!CB16</f>
        <v>0</v>
      </c>
      <c r="X17" s="619">
        <f>'Calculs Scénario MAVERICK'!CD16</f>
        <v>0</v>
      </c>
    </row>
    <row r="18" spans="2:24" ht="15">
      <c r="B18" s="620">
        <v>2021</v>
      </c>
      <c r="C18" s="346">
        <f t="array" ref="C18">SUM(IF((Roadmap_Avion!$B$8:$B$38=$B18)*(Roadmap_Avion!$C$4:$Z$4=C$13)*(Roadmap_Avion!$C$6:$Z$6=C$15)*(Roadmap_Avion!$C$7:$Z$7=C$16),Roadmap_Avion!$C$8:$Z$38,0))</f>
        <v>1</v>
      </c>
      <c r="D18" s="347">
        <f t="array" ref="D18">SUM(IF((Roadmap_Avion!$B$8:$B$38=$B18)*(Roadmap_Avion!$C$4:$Z$4=D$13)*(Roadmap_Avion!$C$6:$Z$6=D$15)*(Roadmap_Avion!$C$7:$Z$7=D$16),Roadmap_Avion!$C$8:$Z$38,0))</f>
        <v>0.5</v>
      </c>
      <c r="E18" s="348">
        <f t="array" ref="E18">SUM(IF((Roadmap_Avion!$B$8:$B$38=$B18)*(Roadmap_Avion!$C$4:$Z$4=E$13)*(Roadmap_Avion!$C$6:$Z$6=E$15)*(Roadmap_Avion!$C$7:$Z$7=E$16),Roadmap_Avion!$C$8:$Z$38,0))</f>
        <v>0</v>
      </c>
      <c r="F18" s="346">
        <f t="array" ref="F18">SUM(IF((Roadmap_Avion!$B$8:$B$38=$B18)*(Roadmap_Avion!$C$4:$Z$4=F$13)*(Roadmap_Avion!$C$6:$Z$6=F$15)*(Roadmap_Avion!$C$7:$Z$7=F$16),Roadmap_Avion!$C$8:$Z$38,0))</f>
        <v>1</v>
      </c>
      <c r="G18" s="347">
        <f t="array" ref="G18">SUM(IF((Roadmap_Avion!$B$8:$B$38=$B18)*(Roadmap_Avion!$C$4:$Z$4=G$13)*(Roadmap_Avion!$C$6:$Z$6=G$15)*(Roadmap_Avion!$C$7:$Z$7=G$16),Roadmap_Avion!$C$8:$Z$38,0))</f>
        <v>0.5</v>
      </c>
      <c r="H18" s="348">
        <f t="array" ref="H18">SUM(IF((Roadmap_Avion!$B$8:$B$38=$B18)*(Roadmap_Avion!$C$4:$Z$4=H$13)*(Roadmap_Avion!$C$6:$Z$6=H$15)*(Roadmap_Avion!$C$7:$Z$7=H$16),Roadmap_Avion!$C$8:$Z$38,0))</f>
        <v>0</v>
      </c>
      <c r="I18" s="346">
        <f t="array" ref="I18">SUM(IF((Roadmap_Avion!$B$8:$B$38=$B18)*(Roadmap_Avion!$C$4:$Z$4=I$13)*(Roadmap_Avion!$C$6:$Z$6=I$15)*(Roadmap_Avion!$C$7:$Z$7=I$16),Roadmap_Avion!$C$8:$Z$38,0))</f>
        <v>0.8</v>
      </c>
      <c r="J18" s="347">
        <f t="array" ref="J18">SUM(IF((Roadmap_Avion!$B$8:$B$38=$B18)*(Roadmap_Avion!$C$4:$Z$4=J$13)*(Roadmap_Avion!$C$6:$Z$6=J$15)*(Roadmap_Avion!$C$7:$Z$7=J$16),Roadmap_Avion!$C$8:$Z$38,0))</f>
        <v>0.5</v>
      </c>
      <c r="K18" s="348">
        <f t="array" ref="K18">SUM(IF((Roadmap_Avion!$B$8:$B$38=$B18)*(Roadmap_Avion!$C$4:$Z$4=K$13)*(Roadmap_Avion!$C$6:$Z$6=K$15)*(Roadmap_Avion!$C$7:$Z$7=K$16),Roadmap_Avion!$C$8:$Z$38,0))</f>
        <v>0</v>
      </c>
      <c r="L18" s="346">
        <f t="array" ref="L18">SUM(IF((Roadmap_Avion!$B$8:$B$38=$B18)*(Roadmap_Avion!$C$4:$Z$4=L$13)*(Roadmap_Avion!$C$6:$Z$6=L$15)*(Roadmap_Avion!$C$7:$Z$7=L$16),Roadmap_Avion!$C$8:$Z$38,0))</f>
        <v>0.75</v>
      </c>
      <c r="M18" s="347">
        <f t="array" ref="M18">SUM(IF((Roadmap_Avion!$B$8:$B$38=$B18)*(Roadmap_Avion!$C$4:$Z$4=M$13)*(Roadmap_Avion!$C$6:$Z$6=M$15)*(Roadmap_Avion!$C$7:$Z$7=M$16),Roadmap_Avion!$C$8:$Z$38,0))</f>
        <v>0.5</v>
      </c>
      <c r="N18" s="348">
        <f t="array" ref="N18">SUM(IF((Roadmap_Avion!$B$8:$B$38=$B18)*(Roadmap_Avion!$C$4:$Z$4=N$13)*(Roadmap_Avion!$C$6:$Z$6=N$15)*(Roadmap_Avion!$C$7:$Z$7=N$16),Roadmap_Avion!$C$8:$Z$38,0))</f>
        <v>0</v>
      </c>
      <c r="O18" s="781">
        <f t="array" ref="O18">SUM(IF((Prod_Carburant_Alt!$A$7:$A$37=$B18)*(Prod_Carburant_Alt!$B$3:$AI$3=O$13)*(Prod_Carburant_Alt!$B$5:$AI$5='Synthèse scénarios'!O$15)*(Prod_Carburant_Alt!$B$6:$AI$6=O$16),Prod_Carburant_Alt!$B$7:$AI$37,0))</f>
        <v>4.1003703097836475</v>
      </c>
      <c r="P18" s="782">
        <f t="array" ref="P18">SUM(IF((Prod_Carburant_Alt!$A$7:$A$37=$B18)*(Prod_Carburant_Alt!$B$3:$AI$3=P$13)*(Prod_Carburant_Alt!$B$5:$AI$5='Synthèse scénarios'!P$15)*(Prod_Carburant_Alt!$B$6:$AI$6=P$16),Prod_Carburant_Alt!$B$7:$AI$37,0))</f>
        <v>0.20438251753392206</v>
      </c>
      <c r="Q18" s="800">
        <f t="array" ref="Q18">SUM(IF((Prod_Carburant_Alt!$A$7:$A$37=$B18)*(Prod_Carburant_Alt!$B$3:$AI$3=Q$13)*(Prod_Carburant_Alt!$B$5:$AI$5='Synthèse scénarios'!Q$15)*(Prod_Carburant_Alt!$B$6:$AI$6=Q$16),Prod_Carburant_Alt!$B$7:$AI$37,0))</f>
        <v>0</v>
      </c>
      <c r="R18" s="621">
        <f>'Calculs Scénario MAVERICK'!BF17</f>
        <v>1.656000000000013E-2</v>
      </c>
      <c r="S18" s="622">
        <f>'Calculs Scénario MAVERICK'!BE17</f>
        <v>805.12546902857127</v>
      </c>
      <c r="T18" s="623">
        <f>'Calculs Scénario MAVERICK'!CG17</f>
        <v>1.5194803924403588E-2</v>
      </c>
      <c r="U18" s="622">
        <f>'Calculs Scénario MAVERICK'!CF17</f>
        <v>792.89174539213866</v>
      </c>
      <c r="V18" s="624">
        <f>'Calculs Scénario MAVERICK'!CI17</f>
        <v>0</v>
      </c>
      <c r="W18" s="624">
        <f>'Calculs Scénario MAVERICK'!CB17</f>
        <v>0</v>
      </c>
      <c r="X18" s="625">
        <f>'Calculs Scénario MAVERICK'!CD17</f>
        <v>0</v>
      </c>
    </row>
    <row r="19" spans="2:24" ht="15">
      <c r="B19" s="620">
        <v>2022</v>
      </c>
      <c r="C19" s="346">
        <f t="array" ref="C19">SUM(IF((Roadmap_Avion!$B$8:$B$38=$B19)*(Roadmap_Avion!$C$4:$Z$4=C$13)*(Roadmap_Avion!$C$6:$Z$6=C$15)*(Roadmap_Avion!$C$7:$Z$7=C$16),Roadmap_Avion!$C$8:$Z$38,0))</f>
        <v>1</v>
      </c>
      <c r="D19" s="347">
        <f t="array" ref="D19">SUM(IF((Roadmap_Avion!$B$8:$B$38=$B19)*(Roadmap_Avion!$C$4:$Z$4=D$13)*(Roadmap_Avion!$C$6:$Z$6=D$15)*(Roadmap_Avion!$C$7:$Z$7=D$16),Roadmap_Avion!$C$8:$Z$38,0))</f>
        <v>0.5</v>
      </c>
      <c r="E19" s="348">
        <f t="array" ref="E19">SUM(IF((Roadmap_Avion!$B$8:$B$38=$B19)*(Roadmap_Avion!$C$4:$Z$4=E$13)*(Roadmap_Avion!$C$6:$Z$6=E$15)*(Roadmap_Avion!$C$7:$Z$7=E$16),Roadmap_Avion!$C$8:$Z$38,0))</f>
        <v>0</v>
      </c>
      <c r="F19" s="346">
        <f t="array" ref="F19">SUM(IF((Roadmap_Avion!$B$8:$B$38=$B19)*(Roadmap_Avion!$C$4:$Z$4=F$13)*(Roadmap_Avion!$C$6:$Z$6=F$15)*(Roadmap_Avion!$C$7:$Z$7=F$16),Roadmap_Avion!$C$8:$Z$38,0))</f>
        <v>1</v>
      </c>
      <c r="G19" s="347">
        <f t="array" ref="G19">SUM(IF((Roadmap_Avion!$B$8:$B$38=$B19)*(Roadmap_Avion!$C$4:$Z$4=G$13)*(Roadmap_Avion!$C$6:$Z$6=G$15)*(Roadmap_Avion!$C$7:$Z$7=G$16),Roadmap_Avion!$C$8:$Z$38,0))</f>
        <v>0.5</v>
      </c>
      <c r="H19" s="348">
        <f t="array" ref="H19">SUM(IF((Roadmap_Avion!$B$8:$B$38=$B19)*(Roadmap_Avion!$C$4:$Z$4=H$13)*(Roadmap_Avion!$C$6:$Z$6=H$15)*(Roadmap_Avion!$C$7:$Z$7=H$16),Roadmap_Avion!$C$8:$Z$38,0))</f>
        <v>0</v>
      </c>
      <c r="I19" s="346">
        <f t="array" ref="I19">SUM(IF((Roadmap_Avion!$B$8:$B$38=$B19)*(Roadmap_Avion!$C$4:$Z$4=I$13)*(Roadmap_Avion!$C$6:$Z$6=I$15)*(Roadmap_Avion!$C$7:$Z$7=I$16),Roadmap_Avion!$C$8:$Z$38,0))</f>
        <v>0.8</v>
      </c>
      <c r="J19" s="347">
        <f t="array" ref="J19">SUM(IF((Roadmap_Avion!$B$8:$B$38=$B19)*(Roadmap_Avion!$C$4:$Z$4=J$13)*(Roadmap_Avion!$C$6:$Z$6=J$15)*(Roadmap_Avion!$C$7:$Z$7=J$16),Roadmap_Avion!$C$8:$Z$38,0))</f>
        <v>0.5</v>
      </c>
      <c r="K19" s="348">
        <f t="array" ref="K19">SUM(IF((Roadmap_Avion!$B$8:$B$38=$B19)*(Roadmap_Avion!$C$4:$Z$4=K$13)*(Roadmap_Avion!$C$6:$Z$6=K$15)*(Roadmap_Avion!$C$7:$Z$7=K$16),Roadmap_Avion!$C$8:$Z$38,0))</f>
        <v>0</v>
      </c>
      <c r="L19" s="346">
        <f t="array" ref="L19">SUM(IF((Roadmap_Avion!$B$8:$B$38=$B19)*(Roadmap_Avion!$C$4:$Z$4=L$13)*(Roadmap_Avion!$C$6:$Z$6=L$15)*(Roadmap_Avion!$C$7:$Z$7=L$16),Roadmap_Avion!$C$8:$Z$38,0))</f>
        <v>0.75</v>
      </c>
      <c r="M19" s="347">
        <f t="array" ref="M19">SUM(IF((Roadmap_Avion!$B$8:$B$38=$B19)*(Roadmap_Avion!$C$4:$Z$4=M$13)*(Roadmap_Avion!$C$6:$Z$6=M$15)*(Roadmap_Avion!$C$7:$Z$7=M$16),Roadmap_Avion!$C$8:$Z$38,0))</f>
        <v>0.5</v>
      </c>
      <c r="N19" s="348">
        <f t="array" ref="N19">SUM(IF((Roadmap_Avion!$B$8:$B$38=$B19)*(Roadmap_Avion!$C$4:$Z$4=N$13)*(Roadmap_Avion!$C$6:$Z$6=N$15)*(Roadmap_Avion!$C$7:$Z$7=N$16),Roadmap_Avion!$C$8:$Z$38,0))</f>
        <v>0</v>
      </c>
      <c r="O19" s="781">
        <f t="array" ref="O19">SUM(IF((Prod_Carburant_Alt!$A$7:$A$37=$B19)*(Prod_Carburant_Alt!$B$3:$AI$3=O$13)*(Prod_Carburant_Alt!$B$5:$AI$5='Synthèse scénarios'!O$15)*(Prod_Carburant_Alt!$B$6:$AI$6=O$16),Prod_Carburant_Alt!$B$7:$AI$37,0))</f>
        <v>5.1254628872295598</v>
      </c>
      <c r="P19" s="782">
        <f t="array" ref="P19">SUM(IF((Prod_Carburant_Alt!$A$7:$A$37=$B19)*(Prod_Carburant_Alt!$B$3:$AI$3=P$13)*(Prod_Carburant_Alt!$B$5:$AI$5='Synthèse scénarios'!P$15)*(Prod_Carburant_Alt!$B$6:$AI$6=P$16),Prod_Carburant_Alt!$B$7:$AI$37,0))</f>
        <v>0.204382517533922</v>
      </c>
      <c r="Q19" s="800">
        <f t="array" ref="Q19">SUM(IF((Prod_Carburant_Alt!$A$7:$A$37=$B19)*(Prod_Carburant_Alt!$B$3:$AI$3=Q$13)*(Prod_Carburant_Alt!$B$5:$AI$5='Synthèse scénarios'!Q$15)*(Prod_Carburant_Alt!$B$6:$AI$6=Q$16),Prod_Carburant_Alt!$B$7:$AI$37,0))</f>
        <v>0</v>
      </c>
      <c r="R19" s="621">
        <f>'Calculs Scénario MAVERICK'!BF18</f>
        <v>2.4840000000000084E-2</v>
      </c>
      <c r="S19" s="622">
        <f>'Calculs Scénario MAVERICK'!BE18</f>
        <v>874.3593910906128</v>
      </c>
      <c r="T19" s="623">
        <f>'Calculs Scénario MAVERICK'!CG18</f>
        <v>1.7489552581423505E-2</v>
      </c>
      <c r="U19" s="622">
        <f>'Calculs Scénario MAVERICK'!CF18</f>
        <v>859.06723654507209</v>
      </c>
      <c r="V19" s="624">
        <f>'Calculs Scénario MAVERICK'!CI18</f>
        <v>0</v>
      </c>
      <c r="W19" s="624">
        <f>'Calculs Scénario MAVERICK'!CB18</f>
        <v>0</v>
      </c>
      <c r="X19" s="625">
        <f>'Calculs Scénario MAVERICK'!CD18</f>
        <v>0</v>
      </c>
    </row>
    <row r="20" spans="2:24" ht="15">
      <c r="B20" s="620">
        <v>2023</v>
      </c>
      <c r="C20" s="346">
        <f t="array" ref="C20">SUM(IF((Roadmap_Avion!$B$8:$B$38=$B20)*(Roadmap_Avion!$C$4:$Z$4=C$13)*(Roadmap_Avion!$C$6:$Z$6=C$15)*(Roadmap_Avion!$C$7:$Z$7=C$16),Roadmap_Avion!$C$8:$Z$38,0))</f>
        <v>1</v>
      </c>
      <c r="D20" s="347">
        <f t="array" ref="D20">SUM(IF((Roadmap_Avion!$B$8:$B$38=$B20)*(Roadmap_Avion!$C$4:$Z$4=D$13)*(Roadmap_Avion!$C$6:$Z$6=D$15)*(Roadmap_Avion!$C$7:$Z$7=D$16),Roadmap_Avion!$C$8:$Z$38,0))</f>
        <v>0.5</v>
      </c>
      <c r="E20" s="348">
        <f t="array" ref="E20">SUM(IF((Roadmap_Avion!$B$8:$B$38=$B20)*(Roadmap_Avion!$C$4:$Z$4=E$13)*(Roadmap_Avion!$C$6:$Z$6=E$15)*(Roadmap_Avion!$C$7:$Z$7=E$16),Roadmap_Avion!$C$8:$Z$38,0))</f>
        <v>0</v>
      </c>
      <c r="F20" s="346">
        <f t="array" ref="F20">SUM(IF((Roadmap_Avion!$B$8:$B$38=$B20)*(Roadmap_Avion!$C$4:$Z$4=F$13)*(Roadmap_Avion!$C$6:$Z$6=F$15)*(Roadmap_Avion!$C$7:$Z$7=F$16),Roadmap_Avion!$C$8:$Z$38,0))</f>
        <v>1</v>
      </c>
      <c r="G20" s="347">
        <f t="array" ref="G20">SUM(IF((Roadmap_Avion!$B$8:$B$38=$B20)*(Roadmap_Avion!$C$4:$Z$4=G$13)*(Roadmap_Avion!$C$6:$Z$6=G$15)*(Roadmap_Avion!$C$7:$Z$7=G$16),Roadmap_Avion!$C$8:$Z$38,0))</f>
        <v>0.5</v>
      </c>
      <c r="H20" s="348">
        <f t="array" ref="H20">SUM(IF((Roadmap_Avion!$B$8:$B$38=$B20)*(Roadmap_Avion!$C$4:$Z$4=H$13)*(Roadmap_Avion!$C$6:$Z$6=H$15)*(Roadmap_Avion!$C$7:$Z$7=H$16),Roadmap_Avion!$C$8:$Z$38,0))</f>
        <v>0</v>
      </c>
      <c r="I20" s="346">
        <f t="array" ref="I20">SUM(IF((Roadmap_Avion!$B$8:$B$38=$B20)*(Roadmap_Avion!$C$4:$Z$4=I$13)*(Roadmap_Avion!$C$6:$Z$6=I$15)*(Roadmap_Avion!$C$7:$Z$7=I$16),Roadmap_Avion!$C$8:$Z$38,0))</f>
        <v>0.8</v>
      </c>
      <c r="J20" s="347">
        <f t="array" ref="J20">SUM(IF((Roadmap_Avion!$B$8:$B$38=$B20)*(Roadmap_Avion!$C$4:$Z$4=J$13)*(Roadmap_Avion!$C$6:$Z$6=J$15)*(Roadmap_Avion!$C$7:$Z$7=J$16),Roadmap_Avion!$C$8:$Z$38,0))</f>
        <v>0.5</v>
      </c>
      <c r="K20" s="348">
        <f t="array" ref="K20">SUM(IF((Roadmap_Avion!$B$8:$B$38=$B20)*(Roadmap_Avion!$C$4:$Z$4=K$13)*(Roadmap_Avion!$C$6:$Z$6=K$15)*(Roadmap_Avion!$C$7:$Z$7=K$16),Roadmap_Avion!$C$8:$Z$38,0))</f>
        <v>0</v>
      </c>
      <c r="L20" s="346">
        <f t="array" ref="L20">SUM(IF((Roadmap_Avion!$B$8:$B$38=$B20)*(Roadmap_Avion!$C$4:$Z$4=L$13)*(Roadmap_Avion!$C$6:$Z$6=L$15)*(Roadmap_Avion!$C$7:$Z$7=L$16),Roadmap_Avion!$C$8:$Z$38,0))</f>
        <v>0.75</v>
      </c>
      <c r="M20" s="347">
        <f t="array" ref="M20">SUM(IF((Roadmap_Avion!$B$8:$B$38=$B20)*(Roadmap_Avion!$C$4:$Z$4=M$13)*(Roadmap_Avion!$C$6:$Z$6=M$15)*(Roadmap_Avion!$C$7:$Z$7=M$16),Roadmap_Avion!$C$8:$Z$38,0))</f>
        <v>0.5</v>
      </c>
      <c r="N20" s="348">
        <f t="array" ref="N20">SUM(IF((Roadmap_Avion!$B$8:$B$38=$B20)*(Roadmap_Avion!$C$4:$Z$4=N$13)*(Roadmap_Avion!$C$6:$Z$6=N$15)*(Roadmap_Avion!$C$7:$Z$7=N$16),Roadmap_Avion!$C$8:$Z$38,0))</f>
        <v>0</v>
      </c>
      <c r="O20" s="781">
        <f t="array" ref="O20">SUM(IF((Prod_Carburant_Alt!$A$7:$A$37=$B20)*(Prod_Carburant_Alt!$B$3:$AI$3=O$13)*(Prod_Carburant_Alt!$B$5:$AI$5='Synthèse scénarios'!O$15)*(Prod_Carburant_Alt!$B$6:$AI$6=O$16),Prod_Carburant_Alt!$B$7:$AI$37,0))</f>
        <v>6.4068286090369497</v>
      </c>
      <c r="P20" s="782">
        <f t="array" ref="P20">SUM(IF((Prod_Carburant_Alt!$A$7:$A$37=$B20)*(Prod_Carburant_Alt!$B$3:$AI$3=P$13)*(Prod_Carburant_Alt!$B$5:$AI$5='Synthèse scénarios'!P$15)*(Prod_Carburant_Alt!$B$6:$AI$6=P$16),Prod_Carburant_Alt!$B$7:$AI$37,0))</f>
        <v>0.204382517533922</v>
      </c>
      <c r="Q20" s="800">
        <f t="array" ref="Q20">SUM(IF((Prod_Carburant_Alt!$A$7:$A$37=$B20)*(Prod_Carburant_Alt!$B$3:$AI$3=Q$13)*(Prod_Carburant_Alt!$B$5:$AI$5='Synthèse scénarios'!Q$15)*(Prod_Carburant_Alt!$B$6:$AI$6=Q$16),Prod_Carburant_Alt!$B$7:$AI$37,0))</f>
        <v>0</v>
      </c>
      <c r="R20" s="621">
        <f>'Calculs Scénario MAVERICK'!BF19</f>
        <v>3.3120000000000038E-2</v>
      </c>
      <c r="S20" s="622">
        <f>'Calculs Scénario MAVERICK'!BE19</f>
        <v>949.42517566685547</v>
      </c>
      <c r="T20" s="623">
        <f>'Calculs Scénario MAVERICK'!CG19</f>
        <v>2.0133438286487393E-2</v>
      </c>
      <c r="U20" s="622">
        <f>'Calculs Scénario MAVERICK'!CF19</f>
        <v>930.30998248492938</v>
      </c>
      <c r="V20" s="624">
        <f>'Calculs Scénario MAVERICK'!CI19</f>
        <v>0</v>
      </c>
      <c r="W20" s="624">
        <f>'Calculs Scénario MAVERICK'!CB19</f>
        <v>0</v>
      </c>
      <c r="X20" s="625">
        <f>'Calculs Scénario MAVERICK'!CD19</f>
        <v>0</v>
      </c>
    </row>
    <row r="21" spans="2:24" ht="15">
      <c r="B21" s="620">
        <v>2024</v>
      </c>
      <c r="C21" s="346">
        <f t="array" ref="C21">SUM(IF((Roadmap_Avion!$B$8:$B$38=$B21)*(Roadmap_Avion!$C$4:$Z$4=C$13)*(Roadmap_Avion!$C$6:$Z$6=C$15)*(Roadmap_Avion!$C$7:$Z$7=C$16),Roadmap_Avion!$C$8:$Z$38,0))</f>
        <v>1</v>
      </c>
      <c r="D21" s="347">
        <f t="array" ref="D21">SUM(IF((Roadmap_Avion!$B$8:$B$38=$B21)*(Roadmap_Avion!$C$4:$Z$4=D$13)*(Roadmap_Avion!$C$6:$Z$6=D$15)*(Roadmap_Avion!$C$7:$Z$7=D$16),Roadmap_Avion!$C$8:$Z$38,0))</f>
        <v>0.5</v>
      </c>
      <c r="E21" s="348">
        <f t="array" ref="E21">SUM(IF((Roadmap_Avion!$B$8:$B$38=$B21)*(Roadmap_Avion!$C$4:$Z$4=E$13)*(Roadmap_Avion!$C$6:$Z$6=E$15)*(Roadmap_Avion!$C$7:$Z$7=E$16),Roadmap_Avion!$C$8:$Z$38,0))</f>
        <v>0</v>
      </c>
      <c r="F21" s="346">
        <f t="array" ref="F21">SUM(IF((Roadmap_Avion!$B$8:$B$38=$B21)*(Roadmap_Avion!$C$4:$Z$4=F$13)*(Roadmap_Avion!$C$6:$Z$6=F$15)*(Roadmap_Avion!$C$7:$Z$7=F$16),Roadmap_Avion!$C$8:$Z$38,0))</f>
        <v>1</v>
      </c>
      <c r="G21" s="347">
        <f t="array" ref="G21">SUM(IF((Roadmap_Avion!$B$8:$B$38=$B21)*(Roadmap_Avion!$C$4:$Z$4=G$13)*(Roadmap_Avion!$C$6:$Z$6=G$15)*(Roadmap_Avion!$C$7:$Z$7=G$16),Roadmap_Avion!$C$8:$Z$38,0))</f>
        <v>0.5</v>
      </c>
      <c r="H21" s="348">
        <f t="array" ref="H21">SUM(IF((Roadmap_Avion!$B$8:$B$38=$B21)*(Roadmap_Avion!$C$4:$Z$4=H$13)*(Roadmap_Avion!$C$6:$Z$6=H$15)*(Roadmap_Avion!$C$7:$Z$7=H$16),Roadmap_Avion!$C$8:$Z$38,0))</f>
        <v>0</v>
      </c>
      <c r="I21" s="346">
        <f t="array" ref="I21">SUM(IF((Roadmap_Avion!$B$8:$B$38=$B21)*(Roadmap_Avion!$C$4:$Z$4=I$13)*(Roadmap_Avion!$C$6:$Z$6=I$15)*(Roadmap_Avion!$C$7:$Z$7=I$16),Roadmap_Avion!$C$8:$Z$38,0))</f>
        <v>0.8</v>
      </c>
      <c r="J21" s="347">
        <f t="array" ref="J21">SUM(IF((Roadmap_Avion!$B$8:$B$38=$B21)*(Roadmap_Avion!$C$4:$Z$4=J$13)*(Roadmap_Avion!$C$6:$Z$6=J$15)*(Roadmap_Avion!$C$7:$Z$7=J$16),Roadmap_Avion!$C$8:$Z$38,0))</f>
        <v>0.5</v>
      </c>
      <c r="K21" s="348">
        <f t="array" ref="K21">SUM(IF((Roadmap_Avion!$B$8:$B$38=$B21)*(Roadmap_Avion!$C$4:$Z$4=K$13)*(Roadmap_Avion!$C$6:$Z$6=K$15)*(Roadmap_Avion!$C$7:$Z$7=K$16),Roadmap_Avion!$C$8:$Z$38,0))</f>
        <v>0</v>
      </c>
      <c r="L21" s="346">
        <f t="array" ref="L21">SUM(IF((Roadmap_Avion!$B$8:$B$38=$B21)*(Roadmap_Avion!$C$4:$Z$4=L$13)*(Roadmap_Avion!$C$6:$Z$6=L$15)*(Roadmap_Avion!$C$7:$Z$7=L$16),Roadmap_Avion!$C$8:$Z$38,0))</f>
        <v>0.75</v>
      </c>
      <c r="M21" s="347">
        <f t="array" ref="M21">SUM(IF((Roadmap_Avion!$B$8:$B$38=$B21)*(Roadmap_Avion!$C$4:$Z$4=M$13)*(Roadmap_Avion!$C$6:$Z$6=M$15)*(Roadmap_Avion!$C$7:$Z$7=M$16),Roadmap_Avion!$C$8:$Z$38,0))</f>
        <v>0.5</v>
      </c>
      <c r="N21" s="348">
        <f t="array" ref="N21">SUM(IF((Roadmap_Avion!$B$8:$B$38=$B21)*(Roadmap_Avion!$C$4:$Z$4=N$13)*(Roadmap_Avion!$C$6:$Z$6=N$15)*(Roadmap_Avion!$C$7:$Z$7=N$16),Roadmap_Avion!$C$8:$Z$38,0))</f>
        <v>0</v>
      </c>
      <c r="O21" s="781">
        <f t="array" ref="O21">SUM(IF((Prod_Carburant_Alt!$A$7:$A$37=$B21)*(Prod_Carburant_Alt!$B$3:$AI$3=O$13)*(Prod_Carburant_Alt!$B$5:$AI$5='Synthèse scénarios'!O$15)*(Prod_Carburant_Alt!$B$6:$AI$6=O$16),Prod_Carburant_Alt!$B$7:$AI$37,0))</f>
        <v>8.0085357612961872</v>
      </c>
      <c r="P21" s="782">
        <f t="array" ref="P21">SUM(IF((Prod_Carburant_Alt!$A$7:$A$37=$B21)*(Prod_Carburant_Alt!$B$3:$AI$3=P$13)*(Prod_Carburant_Alt!$B$5:$AI$5='Synthèse scénarios'!P$15)*(Prod_Carburant_Alt!$B$6:$AI$6=P$16),Prod_Carburant_Alt!$B$7:$AI$37,0))</f>
        <v>0.204382517533922</v>
      </c>
      <c r="Q21" s="800">
        <f t="array" ref="Q21">SUM(IF((Prod_Carburant_Alt!$A$7:$A$37=$B21)*(Prod_Carburant_Alt!$B$3:$AI$3=Q$13)*(Prod_Carburant_Alt!$B$5:$AI$5='Synthèse scénarios'!Q$15)*(Prod_Carburant_Alt!$B$6:$AI$6=Q$16),Prod_Carburant_Alt!$B$7:$AI$37,0))</f>
        <v>0</v>
      </c>
      <c r="R21" s="621">
        <f>'Calculs Scénario MAVERICK'!BF20</f>
        <v>4.1400000000000103E-2</v>
      </c>
      <c r="S21" s="622">
        <f>'Calculs Scénario MAVERICK'!BE20</f>
        <v>1030.7960202408883</v>
      </c>
      <c r="T21" s="623">
        <f>'Calculs Scénario MAVERICK'!CG20</f>
        <v>2.3180135553708774E-2</v>
      </c>
      <c r="U21" s="622">
        <f>'Calculs Scénario MAVERICK'!CF20</f>
        <v>1006.902028763481</v>
      </c>
      <c r="V21" s="624">
        <f>'Calculs Scénario MAVERICK'!CI20</f>
        <v>0</v>
      </c>
      <c r="W21" s="624">
        <f>'Calculs Scénario MAVERICK'!CB20</f>
        <v>0</v>
      </c>
      <c r="X21" s="625">
        <f>'Calculs Scénario MAVERICK'!CD20</f>
        <v>0</v>
      </c>
    </row>
    <row r="22" spans="2:24" ht="15">
      <c r="B22" s="620">
        <v>2025</v>
      </c>
      <c r="C22" s="346">
        <f t="array" ref="C22">SUM(IF((Roadmap_Avion!$B$8:$B$38=$B22)*(Roadmap_Avion!$C$4:$Z$4=C$13)*(Roadmap_Avion!$C$6:$Z$6=C$15)*(Roadmap_Avion!$C$7:$Z$7=C$16),Roadmap_Avion!$C$8:$Z$38,0))</f>
        <v>0.5</v>
      </c>
      <c r="D22" s="347">
        <f t="array" ref="D22">SUM(IF((Roadmap_Avion!$B$8:$B$38=$B22)*(Roadmap_Avion!$C$4:$Z$4=D$13)*(Roadmap_Avion!$C$6:$Z$6=D$15)*(Roadmap_Avion!$C$7:$Z$7=D$16),Roadmap_Avion!$C$8:$Z$38,0))</f>
        <v>0.25</v>
      </c>
      <c r="E22" s="348">
        <f t="array" ref="E22">SUM(IF((Roadmap_Avion!$B$8:$B$38=$B22)*(Roadmap_Avion!$C$4:$Z$4=E$13)*(Roadmap_Avion!$C$6:$Z$6=E$15)*(Roadmap_Avion!$C$7:$Z$7=E$16),Roadmap_Avion!$C$8:$Z$38,0))</f>
        <v>0</v>
      </c>
      <c r="F22" s="346">
        <f t="array" ref="F22">SUM(IF((Roadmap_Avion!$B$8:$B$38=$B22)*(Roadmap_Avion!$C$4:$Z$4=F$13)*(Roadmap_Avion!$C$6:$Z$6=F$15)*(Roadmap_Avion!$C$7:$Z$7=F$16),Roadmap_Avion!$C$8:$Z$38,0))</f>
        <v>0.9</v>
      </c>
      <c r="G22" s="347">
        <f t="array" ref="G22">SUM(IF((Roadmap_Avion!$B$8:$B$38=$B22)*(Roadmap_Avion!$C$4:$Z$4=G$13)*(Roadmap_Avion!$C$6:$Z$6=G$15)*(Roadmap_Avion!$C$7:$Z$7=G$16),Roadmap_Avion!$C$8:$Z$38,0))</f>
        <v>0.5</v>
      </c>
      <c r="H22" s="348">
        <f t="array" ref="H22">SUM(IF((Roadmap_Avion!$B$8:$B$38=$B22)*(Roadmap_Avion!$C$4:$Z$4=H$13)*(Roadmap_Avion!$C$6:$Z$6=H$15)*(Roadmap_Avion!$C$7:$Z$7=H$16),Roadmap_Avion!$C$8:$Z$38,0))</f>
        <v>0</v>
      </c>
      <c r="I22" s="346">
        <f t="array" ref="I22">SUM(IF((Roadmap_Avion!$B$8:$B$38=$B22)*(Roadmap_Avion!$C$4:$Z$4=I$13)*(Roadmap_Avion!$C$6:$Z$6=I$15)*(Roadmap_Avion!$C$7:$Z$7=I$16),Roadmap_Avion!$C$8:$Z$38,0))</f>
        <v>0.8</v>
      </c>
      <c r="J22" s="347">
        <f t="array" ref="J22">SUM(IF((Roadmap_Avion!$B$8:$B$38=$B22)*(Roadmap_Avion!$C$4:$Z$4=J$13)*(Roadmap_Avion!$C$6:$Z$6=J$15)*(Roadmap_Avion!$C$7:$Z$7=J$16),Roadmap_Avion!$C$8:$Z$38,0))</f>
        <v>0.5</v>
      </c>
      <c r="K22" s="348">
        <f t="array" ref="K22">SUM(IF((Roadmap_Avion!$B$8:$B$38=$B22)*(Roadmap_Avion!$C$4:$Z$4=K$13)*(Roadmap_Avion!$C$6:$Z$6=K$15)*(Roadmap_Avion!$C$7:$Z$7=K$16),Roadmap_Avion!$C$8:$Z$38,0))</f>
        <v>0</v>
      </c>
      <c r="L22" s="346">
        <f t="array" ref="L22">SUM(IF((Roadmap_Avion!$B$8:$B$38=$B22)*(Roadmap_Avion!$C$4:$Z$4=L$13)*(Roadmap_Avion!$C$6:$Z$6=L$15)*(Roadmap_Avion!$C$7:$Z$7=L$16),Roadmap_Avion!$C$8:$Z$38,0))</f>
        <v>0.75</v>
      </c>
      <c r="M22" s="347">
        <f t="array" ref="M22">SUM(IF((Roadmap_Avion!$B$8:$B$38=$B22)*(Roadmap_Avion!$C$4:$Z$4=M$13)*(Roadmap_Avion!$C$6:$Z$6=M$15)*(Roadmap_Avion!$C$7:$Z$7=M$16),Roadmap_Avion!$C$8:$Z$38,0))</f>
        <v>0.5</v>
      </c>
      <c r="N22" s="348">
        <f t="array" ref="N22">SUM(IF((Roadmap_Avion!$B$8:$B$38=$B22)*(Roadmap_Avion!$C$4:$Z$4=N$13)*(Roadmap_Avion!$C$6:$Z$6=N$15)*(Roadmap_Avion!$C$7:$Z$7=N$16),Roadmap_Avion!$C$8:$Z$38,0))</f>
        <v>0</v>
      </c>
      <c r="O22" s="781">
        <f t="array" ref="O22">SUM(IF((Prod_Carburant_Alt!$A$7:$A$37=$B22)*(Prod_Carburant_Alt!$B$3:$AI$3=O$13)*(Prod_Carburant_Alt!$B$5:$AI$5='Synthèse scénarios'!O$15)*(Prod_Carburant_Alt!$B$6:$AI$6=O$16),Prod_Carburant_Alt!$B$7:$AI$37,0))</f>
        <v>10.010669701620234</v>
      </c>
      <c r="P22" s="782">
        <f t="array" ref="P22">SUM(IF((Prod_Carburant_Alt!$A$7:$A$37=$B22)*(Prod_Carburant_Alt!$B$3:$AI$3=P$13)*(Prod_Carburant_Alt!$B$5:$AI$5='Synthèse scénarios'!P$15)*(Prod_Carburant_Alt!$B$6:$AI$6=P$16),Prod_Carburant_Alt!$B$7:$AI$37,0))</f>
        <v>0.204382517533922</v>
      </c>
      <c r="Q22" s="800">
        <f t="array" ref="Q22">SUM(IF((Prod_Carburant_Alt!$A$7:$A$37=$B22)*(Prod_Carburant_Alt!$B$3:$AI$3=Q$13)*(Prod_Carburant_Alt!$B$5:$AI$5='Synthèse scénarios'!Q$15)*(Prod_Carburant_Alt!$B$6:$AI$6=Q$16),Prod_Carburant_Alt!$B$7:$AI$37,0))</f>
        <v>0</v>
      </c>
      <c r="R22" s="621">
        <f>'Calculs Scénario MAVERICK'!BF21</f>
        <v>5.5733333333333301E-2</v>
      </c>
      <c r="S22" s="622">
        <f>'Calculs Scénario MAVERICK'!BE21</f>
        <v>1055.2414819441174</v>
      </c>
      <c r="T22" s="623">
        <f>'Calculs Scénario MAVERICK'!CG21</f>
        <v>2.8303937873758938E-2</v>
      </c>
      <c r="U22" s="622">
        <f>'Calculs Scénario MAVERICK'!CF21</f>
        <v>1025.3739925973578</v>
      </c>
      <c r="V22" s="624">
        <f>'Calculs Scénario MAVERICK'!CI21</f>
        <v>0</v>
      </c>
      <c r="W22" s="624">
        <f>'Calculs Scénario MAVERICK'!CB21</f>
        <v>0</v>
      </c>
      <c r="X22" s="625">
        <f>'Calculs Scénario MAVERICK'!CD21</f>
        <v>0</v>
      </c>
    </row>
    <row r="23" spans="2:24" ht="15">
      <c r="B23" s="620">
        <v>2026</v>
      </c>
      <c r="C23" s="346">
        <f t="array" ref="C23">SUM(IF((Roadmap_Avion!$B$8:$B$38=$B23)*(Roadmap_Avion!$C$4:$Z$4=C$13)*(Roadmap_Avion!$C$6:$Z$6=C$15)*(Roadmap_Avion!$C$7:$Z$7=C$16),Roadmap_Avion!$C$8:$Z$38,0))</f>
        <v>0.5</v>
      </c>
      <c r="D23" s="347">
        <f t="array" ref="D23">SUM(IF((Roadmap_Avion!$B$8:$B$38=$B23)*(Roadmap_Avion!$C$4:$Z$4=D$13)*(Roadmap_Avion!$C$6:$Z$6=D$15)*(Roadmap_Avion!$C$7:$Z$7=D$16),Roadmap_Avion!$C$8:$Z$38,0))</f>
        <v>0.25</v>
      </c>
      <c r="E23" s="348">
        <f t="array" ref="E23">SUM(IF((Roadmap_Avion!$B$8:$B$38=$B23)*(Roadmap_Avion!$C$4:$Z$4=E$13)*(Roadmap_Avion!$C$6:$Z$6=E$15)*(Roadmap_Avion!$C$7:$Z$7=E$16),Roadmap_Avion!$C$8:$Z$38,0))</f>
        <v>0</v>
      </c>
      <c r="F23" s="346">
        <f t="array" ref="F23">SUM(IF((Roadmap_Avion!$B$8:$B$38=$B23)*(Roadmap_Avion!$C$4:$Z$4=F$13)*(Roadmap_Avion!$C$6:$Z$6=F$15)*(Roadmap_Avion!$C$7:$Z$7=F$16),Roadmap_Avion!$C$8:$Z$38,0))</f>
        <v>0.9</v>
      </c>
      <c r="G23" s="347">
        <f t="array" ref="G23">SUM(IF((Roadmap_Avion!$B$8:$B$38=$B23)*(Roadmap_Avion!$C$4:$Z$4=G$13)*(Roadmap_Avion!$C$6:$Z$6=G$15)*(Roadmap_Avion!$C$7:$Z$7=G$16),Roadmap_Avion!$C$8:$Z$38,0))</f>
        <v>0.5</v>
      </c>
      <c r="H23" s="348">
        <f t="array" ref="H23">SUM(IF((Roadmap_Avion!$B$8:$B$38=$B23)*(Roadmap_Avion!$C$4:$Z$4=H$13)*(Roadmap_Avion!$C$6:$Z$6=H$15)*(Roadmap_Avion!$C$7:$Z$7=H$16),Roadmap_Avion!$C$8:$Z$38,0))</f>
        <v>0</v>
      </c>
      <c r="I23" s="346">
        <f t="array" ref="I23">SUM(IF((Roadmap_Avion!$B$8:$B$38=$B23)*(Roadmap_Avion!$C$4:$Z$4=I$13)*(Roadmap_Avion!$C$6:$Z$6=I$15)*(Roadmap_Avion!$C$7:$Z$7=I$16),Roadmap_Avion!$C$8:$Z$38,0))</f>
        <v>0.8</v>
      </c>
      <c r="J23" s="347">
        <f t="array" ref="J23">SUM(IF((Roadmap_Avion!$B$8:$B$38=$B23)*(Roadmap_Avion!$C$4:$Z$4=J$13)*(Roadmap_Avion!$C$6:$Z$6=J$15)*(Roadmap_Avion!$C$7:$Z$7=J$16),Roadmap_Avion!$C$8:$Z$38,0))</f>
        <v>0.5</v>
      </c>
      <c r="K23" s="348">
        <f t="array" ref="K23">SUM(IF((Roadmap_Avion!$B$8:$B$38=$B23)*(Roadmap_Avion!$C$4:$Z$4=K$13)*(Roadmap_Avion!$C$6:$Z$6=K$15)*(Roadmap_Avion!$C$7:$Z$7=K$16),Roadmap_Avion!$C$8:$Z$38,0))</f>
        <v>0</v>
      </c>
      <c r="L23" s="346">
        <f t="array" ref="L23">SUM(IF((Roadmap_Avion!$B$8:$B$38=$B23)*(Roadmap_Avion!$C$4:$Z$4=L$13)*(Roadmap_Avion!$C$6:$Z$6=L$15)*(Roadmap_Avion!$C$7:$Z$7=L$16),Roadmap_Avion!$C$8:$Z$38,0))</f>
        <v>0.75</v>
      </c>
      <c r="M23" s="347">
        <f t="array" ref="M23">SUM(IF((Roadmap_Avion!$B$8:$B$38=$B23)*(Roadmap_Avion!$C$4:$Z$4=M$13)*(Roadmap_Avion!$C$6:$Z$6=M$15)*(Roadmap_Avion!$C$7:$Z$7=M$16),Roadmap_Avion!$C$8:$Z$38,0))</f>
        <v>0.5</v>
      </c>
      <c r="N23" s="348">
        <f t="array" ref="N23">SUM(IF((Roadmap_Avion!$B$8:$B$38=$B23)*(Roadmap_Avion!$C$4:$Z$4=N$13)*(Roadmap_Avion!$C$6:$Z$6=N$15)*(Roadmap_Avion!$C$7:$Z$7=N$16),Roadmap_Avion!$C$8:$Z$38,0))</f>
        <v>0</v>
      </c>
      <c r="O23" s="781">
        <f t="array" ref="O23">SUM(IF((Prod_Carburant_Alt!$A$7:$A$37=$B23)*(Prod_Carburant_Alt!$B$3:$AI$3=O$13)*(Prod_Carburant_Alt!$B$5:$AI$5='Synthèse scénarios'!O$15)*(Prod_Carburant_Alt!$B$6:$AI$6=O$16),Prod_Carburant_Alt!$B$7:$AI$37,0))</f>
        <v>12.513337127025292</v>
      </c>
      <c r="P23" s="782">
        <f t="array" ref="P23">SUM(IF((Prod_Carburant_Alt!$A$7:$A$37=$B23)*(Prod_Carburant_Alt!$B$3:$AI$3=P$13)*(Prod_Carburant_Alt!$B$5:$AI$5='Synthèse scénarios'!P$15)*(Prod_Carburant_Alt!$B$6:$AI$6=P$16),Prod_Carburant_Alt!$B$7:$AI$37,0))</f>
        <v>0.204382517533922</v>
      </c>
      <c r="Q23" s="800">
        <f t="array" ref="Q23">SUM(IF((Prod_Carburant_Alt!$A$7:$A$37=$B23)*(Prod_Carburant_Alt!$B$3:$AI$3=Q$13)*(Prod_Carburant_Alt!$B$5:$AI$5='Synthèse scénarios'!Q$15)*(Prod_Carburant_Alt!$B$6:$AI$6=Q$16),Prod_Carburant_Alt!$B$7:$AI$37,0))</f>
        <v>0</v>
      </c>
      <c r="R23" s="621">
        <f>'Calculs Scénario MAVERICK'!BF22</f>
        <v>7.0066666666666721E-2</v>
      </c>
      <c r="S23" s="622">
        <f>'Calculs Scénario MAVERICK'!BE22</f>
        <v>1079.9357850849458</v>
      </c>
      <c r="T23" s="623">
        <f>'Calculs Scénario MAVERICK'!CG22</f>
        <v>3.457090893650925E-2</v>
      </c>
      <c r="U23" s="622">
        <f>'Calculs Scénario MAVERICK'!CF22</f>
        <v>1042.6014234014965</v>
      </c>
      <c r="V23" s="624">
        <f>'Calculs Scénario MAVERICK'!CI22</f>
        <v>0</v>
      </c>
      <c r="W23" s="624">
        <f>'Calculs Scénario MAVERICK'!CB22</f>
        <v>0</v>
      </c>
      <c r="X23" s="625">
        <f>'Calculs Scénario MAVERICK'!CD22</f>
        <v>0</v>
      </c>
    </row>
    <row r="24" spans="2:24" ht="15">
      <c r="B24" s="620">
        <v>2027</v>
      </c>
      <c r="C24" s="346">
        <f t="array" ref="C24">SUM(IF((Roadmap_Avion!$B$8:$B$38=$B24)*(Roadmap_Avion!$C$4:$Z$4=C$13)*(Roadmap_Avion!$C$6:$Z$6=C$15)*(Roadmap_Avion!$C$7:$Z$7=C$16),Roadmap_Avion!$C$8:$Z$38,0))</f>
        <v>0.5</v>
      </c>
      <c r="D24" s="347">
        <f t="array" ref="D24">SUM(IF((Roadmap_Avion!$B$8:$B$38=$B24)*(Roadmap_Avion!$C$4:$Z$4=D$13)*(Roadmap_Avion!$C$6:$Z$6=D$15)*(Roadmap_Avion!$C$7:$Z$7=D$16),Roadmap_Avion!$C$8:$Z$38,0))</f>
        <v>0.25</v>
      </c>
      <c r="E24" s="348">
        <f t="array" ref="E24">SUM(IF((Roadmap_Avion!$B$8:$B$38=$B24)*(Roadmap_Avion!$C$4:$Z$4=E$13)*(Roadmap_Avion!$C$6:$Z$6=E$15)*(Roadmap_Avion!$C$7:$Z$7=E$16),Roadmap_Avion!$C$8:$Z$38,0))</f>
        <v>0</v>
      </c>
      <c r="F24" s="346">
        <f t="array" ref="F24">SUM(IF((Roadmap_Avion!$B$8:$B$38=$B24)*(Roadmap_Avion!$C$4:$Z$4=F$13)*(Roadmap_Avion!$C$6:$Z$6=F$15)*(Roadmap_Avion!$C$7:$Z$7=F$16),Roadmap_Avion!$C$8:$Z$38,0))</f>
        <v>0.9</v>
      </c>
      <c r="G24" s="347">
        <f t="array" ref="G24">SUM(IF((Roadmap_Avion!$B$8:$B$38=$B24)*(Roadmap_Avion!$C$4:$Z$4=G$13)*(Roadmap_Avion!$C$6:$Z$6=G$15)*(Roadmap_Avion!$C$7:$Z$7=G$16),Roadmap_Avion!$C$8:$Z$38,0))</f>
        <v>0.5</v>
      </c>
      <c r="H24" s="348">
        <f t="array" ref="H24">SUM(IF((Roadmap_Avion!$B$8:$B$38=$B24)*(Roadmap_Avion!$C$4:$Z$4=H$13)*(Roadmap_Avion!$C$6:$Z$6=H$15)*(Roadmap_Avion!$C$7:$Z$7=H$16),Roadmap_Avion!$C$8:$Z$38,0))</f>
        <v>0</v>
      </c>
      <c r="I24" s="346">
        <f t="array" ref="I24">SUM(IF((Roadmap_Avion!$B$8:$B$38=$B24)*(Roadmap_Avion!$C$4:$Z$4=I$13)*(Roadmap_Avion!$C$6:$Z$6=I$15)*(Roadmap_Avion!$C$7:$Z$7=I$16),Roadmap_Avion!$C$8:$Z$38,0))</f>
        <v>0.75</v>
      </c>
      <c r="J24" s="347">
        <f t="array" ref="J24">SUM(IF((Roadmap_Avion!$B$8:$B$38=$B24)*(Roadmap_Avion!$C$4:$Z$4=J$13)*(Roadmap_Avion!$C$6:$Z$6=J$15)*(Roadmap_Avion!$C$7:$Z$7=J$16),Roadmap_Avion!$C$8:$Z$38,0))</f>
        <v>0.5</v>
      </c>
      <c r="K24" s="348">
        <f t="array" ref="K24">SUM(IF((Roadmap_Avion!$B$8:$B$38=$B24)*(Roadmap_Avion!$C$4:$Z$4=K$13)*(Roadmap_Avion!$C$6:$Z$6=K$15)*(Roadmap_Avion!$C$7:$Z$7=K$16),Roadmap_Avion!$C$8:$Z$38,0))</f>
        <v>0</v>
      </c>
      <c r="L24" s="346">
        <f t="array" ref="L24">SUM(IF((Roadmap_Avion!$B$8:$B$38=$B24)*(Roadmap_Avion!$C$4:$Z$4=L$13)*(Roadmap_Avion!$C$6:$Z$6=L$15)*(Roadmap_Avion!$C$7:$Z$7=L$16),Roadmap_Avion!$C$8:$Z$38,0))</f>
        <v>0.75</v>
      </c>
      <c r="M24" s="347">
        <f t="array" ref="M24">SUM(IF((Roadmap_Avion!$B$8:$B$38=$B24)*(Roadmap_Avion!$C$4:$Z$4=M$13)*(Roadmap_Avion!$C$6:$Z$6=M$15)*(Roadmap_Avion!$C$7:$Z$7=M$16),Roadmap_Avion!$C$8:$Z$38,0))</f>
        <v>0.5</v>
      </c>
      <c r="N24" s="348">
        <f t="array" ref="N24">SUM(IF((Roadmap_Avion!$B$8:$B$38=$B24)*(Roadmap_Avion!$C$4:$Z$4=N$13)*(Roadmap_Avion!$C$6:$Z$6=N$15)*(Roadmap_Avion!$C$7:$Z$7=N$16),Roadmap_Avion!$C$8:$Z$38,0))</f>
        <v>0</v>
      </c>
      <c r="O24" s="781">
        <f t="array" ref="O24">SUM(IF((Prod_Carburant_Alt!$A$7:$A$37=$B24)*(Prod_Carburant_Alt!$B$3:$AI$3=O$13)*(Prod_Carburant_Alt!$B$5:$AI$5='Synthèse scénarios'!O$15)*(Prod_Carburant_Alt!$B$6:$AI$6=O$16),Prod_Carburant_Alt!$B$7:$AI$37,0))</f>
        <v>15.641671408781615</v>
      </c>
      <c r="P24" s="782">
        <f t="array" ref="P24">SUM(IF((Prod_Carburant_Alt!$A$7:$A$37=$B24)*(Prod_Carburant_Alt!$B$3:$AI$3=P$13)*(Prod_Carburant_Alt!$B$5:$AI$5='Synthèse scénarios'!P$15)*(Prod_Carburant_Alt!$B$6:$AI$6=P$16),Prod_Carburant_Alt!$B$7:$AI$37,0))</f>
        <v>0.20438251753392203</v>
      </c>
      <c r="Q24" s="800">
        <f t="array" ref="Q24">SUM(IF((Prod_Carburant_Alt!$A$7:$A$37=$B24)*(Prod_Carburant_Alt!$B$3:$AI$3=Q$13)*(Prod_Carburant_Alt!$B$5:$AI$5='Synthèse scénarios'!Q$15)*(Prod_Carburant_Alt!$B$6:$AI$6=Q$16),Prod_Carburant_Alt!$B$7:$AI$37,0))</f>
        <v>0</v>
      </c>
      <c r="R24" s="621">
        <f>'Calculs Scénario MAVERICK'!BF23</f>
        <v>8.6600000000000121E-2</v>
      </c>
      <c r="S24" s="622">
        <f>'Calculs Scénario MAVERICK'!BE23</f>
        <v>1102.1978480809871</v>
      </c>
      <c r="T24" s="623">
        <f>'Calculs Scénario MAVERICK'!CG23</f>
        <v>4.2340812210407003E-2</v>
      </c>
      <c r="U24" s="622">
        <f>'Calculs Scénario MAVERICK'!CF23</f>
        <v>1055.5298959766753</v>
      </c>
      <c r="V24" s="624">
        <f>'Calculs Scénario MAVERICK'!CI23</f>
        <v>0</v>
      </c>
      <c r="W24" s="624">
        <f>'Calculs Scénario MAVERICK'!CB23</f>
        <v>0</v>
      </c>
      <c r="X24" s="625">
        <f>'Calculs Scénario MAVERICK'!CD23</f>
        <v>0</v>
      </c>
    </row>
    <row r="25" spans="2:24" ht="15">
      <c r="B25" s="620">
        <v>2028</v>
      </c>
      <c r="C25" s="346">
        <f t="array" ref="C25">SUM(IF((Roadmap_Avion!$B$8:$B$38=$B25)*(Roadmap_Avion!$C$4:$Z$4=C$13)*(Roadmap_Avion!$C$6:$Z$6=C$15)*(Roadmap_Avion!$C$7:$Z$7=C$16),Roadmap_Avion!$C$8:$Z$38,0))</f>
        <v>0.5</v>
      </c>
      <c r="D25" s="347">
        <f t="array" ref="D25">SUM(IF((Roadmap_Avion!$B$8:$B$38=$B25)*(Roadmap_Avion!$C$4:$Z$4=D$13)*(Roadmap_Avion!$C$6:$Z$6=D$15)*(Roadmap_Avion!$C$7:$Z$7=D$16),Roadmap_Avion!$C$8:$Z$38,0))</f>
        <v>0.25</v>
      </c>
      <c r="E25" s="348">
        <f t="array" ref="E25">SUM(IF((Roadmap_Avion!$B$8:$B$38=$B25)*(Roadmap_Avion!$C$4:$Z$4=E$13)*(Roadmap_Avion!$C$6:$Z$6=E$15)*(Roadmap_Avion!$C$7:$Z$7=E$16),Roadmap_Avion!$C$8:$Z$38,0))</f>
        <v>0</v>
      </c>
      <c r="F25" s="346">
        <f t="array" ref="F25">SUM(IF((Roadmap_Avion!$B$8:$B$38=$B25)*(Roadmap_Avion!$C$4:$Z$4=F$13)*(Roadmap_Avion!$C$6:$Z$6=F$15)*(Roadmap_Avion!$C$7:$Z$7=F$16),Roadmap_Avion!$C$8:$Z$38,0))</f>
        <v>0.9</v>
      </c>
      <c r="G25" s="347">
        <f t="array" ref="G25">SUM(IF((Roadmap_Avion!$B$8:$B$38=$B25)*(Roadmap_Avion!$C$4:$Z$4=G$13)*(Roadmap_Avion!$C$6:$Z$6=G$15)*(Roadmap_Avion!$C$7:$Z$7=G$16),Roadmap_Avion!$C$8:$Z$38,0))</f>
        <v>0.5</v>
      </c>
      <c r="H25" s="348">
        <f t="array" ref="H25">SUM(IF((Roadmap_Avion!$B$8:$B$38=$B25)*(Roadmap_Avion!$C$4:$Z$4=H$13)*(Roadmap_Avion!$C$6:$Z$6=H$15)*(Roadmap_Avion!$C$7:$Z$7=H$16),Roadmap_Avion!$C$8:$Z$38,0))</f>
        <v>0</v>
      </c>
      <c r="I25" s="346">
        <f t="array" ref="I25">SUM(IF((Roadmap_Avion!$B$8:$B$38=$B25)*(Roadmap_Avion!$C$4:$Z$4=I$13)*(Roadmap_Avion!$C$6:$Z$6=I$15)*(Roadmap_Avion!$C$7:$Z$7=I$16),Roadmap_Avion!$C$8:$Z$38,0))</f>
        <v>0.75</v>
      </c>
      <c r="J25" s="347">
        <f t="array" ref="J25">SUM(IF((Roadmap_Avion!$B$8:$B$38=$B25)*(Roadmap_Avion!$C$4:$Z$4=J$13)*(Roadmap_Avion!$C$6:$Z$6=J$15)*(Roadmap_Avion!$C$7:$Z$7=J$16),Roadmap_Avion!$C$8:$Z$38,0))</f>
        <v>0.5</v>
      </c>
      <c r="K25" s="348">
        <f t="array" ref="K25">SUM(IF((Roadmap_Avion!$B$8:$B$38=$B25)*(Roadmap_Avion!$C$4:$Z$4=K$13)*(Roadmap_Avion!$C$6:$Z$6=K$15)*(Roadmap_Avion!$C$7:$Z$7=K$16),Roadmap_Avion!$C$8:$Z$38,0))</f>
        <v>0</v>
      </c>
      <c r="L25" s="346">
        <f t="array" ref="L25">SUM(IF((Roadmap_Avion!$B$8:$B$38=$B25)*(Roadmap_Avion!$C$4:$Z$4=L$13)*(Roadmap_Avion!$C$6:$Z$6=L$15)*(Roadmap_Avion!$C$7:$Z$7=L$16),Roadmap_Avion!$C$8:$Z$38,0))</f>
        <v>0.75</v>
      </c>
      <c r="M25" s="347">
        <f t="array" ref="M25">SUM(IF((Roadmap_Avion!$B$8:$B$38=$B25)*(Roadmap_Avion!$C$4:$Z$4=M$13)*(Roadmap_Avion!$C$6:$Z$6=M$15)*(Roadmap_Avion!$C$7:$Z$7=M$16),Roadmap_Avion!$C$8:$Z$38,0))</f>
        <v>0.5</v>
      </c>
      <c r="N25" s="348">
        <f t="array" ref="N25">SUM(IF((Roadmap_Avion!$B$8:$B$38=$B25)*(Roadmap_Avion!$C$4:$Z$4=N$13)*(Roadmap_Avion!$C$6:$Z$6=N$15)*(Roadmap_Avion!$C$7:$Z$7=N$16),Roadmap_Avion!$C$8:$Z$38,0))</f>
        <v>0</v>
      </c>
      <c r="O25" s="781">
        <f t="array" ref="O25">SUM(IF((Prod_Carburant_Alt!$A$7:$A$37=$B25)*(Prod_Carburant_Alt!$B$3:$AI$3=O$13)*(Prod_Carburant_Alt!$B$5:$AI$5='Synthèse scénarios'!O$15)*(Prod_Carburant_Alt!$B$6:$AI$6=O$16),Prod_Carburant_Alt!$B$7:$AI$37,0))</f>
        <v>19.55208926097702</v>
      </c>
      <c r="P25" s="782">
        <f t="array" ref="P25">SUM(IF((Prod_Carburant_Alt!$A$7:$A$37=$B25)*(Prod_Carburant_Alt!$B$3:$AI$3=P$13)*(Prod_Carburant_Alt!$B$5:$AI$5='Synthèse scénarios'!P$15)*(Prod_Carburant_Alt!$B$6:$AI$6=P$16),Prod_Carburant_Alt!$B$7:$AI$37,0))</f>
        <v>0.20438251753392203</v>
      </c>
      <c r="Q25" s="800">
        <f t="array" ref="Q25">SUM(IF((Prod_Carburant_Alt!$A$7:$A$37=$B25)*(Prod_Carburant_Alt!$B$3:$AI$3=Q$13)*(Prod_Carburant_Alt!$B$5:$AI$5='Synthèse scénarios'!Q$15)*(Prod_Carburant_Alt!$B$6:$AI$6=Q$16),Prod_Carburant_Alt!$B$7:$AI$37,0))</f>
        <v>0</v>
      </c>
      <c r="R25" s="621">
        <f>'Calculs Scénario MAVERICK'!BF24</f>
        <v>0.10313333333333352</v>
      </c>
      <c r="S25" s="622">
        <f>'Calculs Scénario MAVERICK'!BE24</f>
        <v>1124.4456790248839</v>
      </c>
      <c r="T25" s="623">
        <f>'Calculs Scénario MAVERICK'!CG24</f>
        <v>5.1878842365224401E-2</v>
      </c>
      <c r="U25" s="622">
        <f>'Calculs Scénario MAVERICK'!CF24</f>
        <v>1066.1107388944943</v>
      </c>
      <c r="V25" s="624">
        <f>'Calculs Scénario MAVERICK'!CI24</f>
        <v>0</v>
      </c>
      <c r="W25" s="624">
        <f>'Calculs Scénario MAVERICK'!CB24</f>
        <v>0</v>
      </c>
      <c r="X25" s="625">
        <f>'Calculs Scénario MAVERICK'!CD24</f>
        <v>0</v>
      </c>
    </row>
    <row r="26" spans="2:24" ht="15">
      <c r="B26" s="620">
        <v>2029</v>
      </c>
      <c r="C26" s="346">
        <f t="array" ref="C26">SUM(IF((Roadmap_Avion!$B$8:$B$38=$B26)*(Roadmap_Avion!$C$4:$Z$4=C$13)*(Roadmap_Avion!$C$6:$Z$6=C$15)*(Roadmap_Avion!$C$7:$Z$7=C$16),Roadmap_Avion!$C$8:$Z$38,0))</f>
        <v>0.5</v>
      </c>
      <c r="D26" s="347">
        <f t="array" ref="D26">SUM(IF((Roadmap_Avion!$B$8:$B$38=$B26)*(Roadmap_Avion!$C$4:$Z$4=D$13)*(Roadmap_Avion!$C$6:$Z$6=D$15)*(Roadmap_Avion!$C$7:$Z$7=D$16),Roadmap_Avion!$C$8:$Z$38,0))</f>
        <v>0.25</v>
      </c>
      <c r="E26" s="348">
        <f t="array" ref="E26">SUM(IF((Roadmap_Avion!$B$8:$B$38=$B26)*(Roadmap_Avion!$C$4:$Z$4=E$13)*(Roadmap_Avion!$C$6:$Z$6=E$15)*(Roadmap_Avion!$C$7:$Z$7=E$16),Roadmap_Avion!$C$8:$Z$38,0))</f>
        <v>0</v>
      </c>
      <c r="F26" s="346">
        <f t="array" ref="F26">SUM(IF((Roadmap_Avion!$B$8:$B$38=$B26)*(Roadmap_Avion!$C$4:$Z$4=F$13)*(Roadmap_Avion!$C$6:$Z$6=F$15)*(Roadmap_Avion!$C$7:$Z$7=F$16),Roadmap_Avion!$C$8:$Z$38,0))</f>
        <v>0.9</v>
      </c>
      <c r="G26" s="347">
        <f t="array" ref="G26">SUM(IF((Roadmap_Avion!$B$8:$B$38=$B26)*(Roadmap_Avion!$C$4:$Z$4=G$13)*(Roadmap_Avion!$C$6:$Z$6=G$15)*(Roadmap_Avion!$C$7:$Z$7=G$16),Roadmap_Avion!$C$8:$Z$38,0))</f>
        <v>0.5</v>
      </c>
      <c r="H26" s="348">
        <f t="array" ref="H26">SUM(IF((Roadmap_Avion!$B$8:$B$38=$B26)*(Roadmap_Avion!$C$4:$Z$4=H$13)*(Roadmap_Avion!$C$6:$Z$6=H$15)*(Roadmap_Avion!$C$7:$Z$7=H$16),Roadmap_Avion!$C$8:$Z$38,0))</f>
        <v>0</v>
      </c>
      <c r="I26" s="346">
        <f t="array" ref="I26">SUM(IF((Roadmap_Avion!$B$8:$B$38=$B26)*(Roadmap_Avion!$C$4:$Z$4=I$13)*(Roadmap_Avion!$C$6:$Z$6=I$15)*(Roadmap_Avion!$C$7:$Z$7=I$16),Roadmap_Avion!$C$8:$Z$38,0))</f>
        <v>0.75</v>
      </c>
      <c r="J26" s="347">
        <f t="array" ref="J26">SUM(IF((Roadmap_Avion!$B$8:$B$38=$B26)*(Roadmap_Avion!$C$4:$Z$4=J$13)*(Roadmap_Avion!$C$6:$Z$6=J$15)*(Roadmap_Avion!$C$7:$Z$7=J$16),Roadmap_Avion!$C$8:$Z$38,0))</f>
        <v>0.5</v>
      </c>
      <c r="K26" s="348">
        <f t="array" ref="K26">SUM(IF((Roadmap_Avion!$B$8:$B$38=$B26)*(Roadmap_Avion!$C$4:$Z$4=K$13)*(Roadmap_Avion!$C$6:$Z$6=K$15)*(Roadmap_Avion!$C$7:$Z$7=K$16),Roadmap_Avion!$C$8:$Z$38,0))</f>
        <v>0</v>
      </c>
      <c r="L26" s="346">
        <f t="array" ref="L26">SUM(IF((Roadmap_Avion!$B$8:$B$38=$B26)*(Roadmap_Avion!$C$4:$Z$4=L$13)*(Roadmap_Avion!$C$6:$Z$6=L$15)*(Roadmap_Avion!$C$7:$Z$7=L$16),Roadmap_Avion!$C$8:$Z$38,0))</f>
        <v>0.75</v>
      </c>
      <c r="M26" s="347">
        <f t="array" ref="M26">SUM(IF((Roadmap_Avion!$B$8:$B$38=$B26)*(Roadmap_Avion!$C$4:$Z$4=M$13)*(Roadmap_Avion!$C$6:$Z$6=M$15)*(Roadmap_Avion!$C$7:$Z$7=M$16),Roadmap_Avion!$C$8:$Z$38,0))</f>
        <v>0.5</v>
      </c>
      <c r="N26" s="348">
        <f t="array" ref="N26">SUM(IF((Roadmap_Avion!$B$8:$B$38=$B26)*(Roadmap_Avion!$C$4:$Z$4=N$13)*(Roadmap_Avion!$C$6:$Z$6=N$15)*(Roadmap_Avion!$C$7:$Z$7=N$16),Roadmap_Avion!$C$8:$Z$38,0))</f>
        <v>0</v>
      </c>
      <c r="O26" s="781">
        <f t="array" ref="O26">SUM(IF((Prod_Carburant_Alt!$A$7:$A$37=$B26)*(Prod_Carburant_Alt!$B$3:$AI$3=O$13)*(Prod_Carburant_Alt!$B$5:$AI$5='Synthèse scénarios'!O$15)*(Prod_Carburant_Alt!$B$6:$AI$6=O$16),Prod_Carburant_Alt!$B$7:$AI$37,0))</f>
        <v>24.440111576221273</v>
      </c>
      <c r="P26" s="782">
        <f t="array" ref="P26">SUM(IF((Prod_Carburant_Alt!$A$7:$A$37=$B26)*(Prod_Carburant_Alt!$B$3:$AI$3=P$13)*(Prod_Carburant_Alt!$B$5:$AI$5='Synthèse scénarios'!P$15)*(Prod_Carburant_Alt!$B$6:$AI$6=P$16),Prod_Carburant_Alt!$B$7:$AI$37,0))</f>
        <v>0.20438251753392203</v>
      </c>
      <c r="Q26" s="800">
        <f t="array" ref="Q26">SUM(IF((Prod_Carburant_Alt!$A$7:$A$37=$B26)*(Prod_Carburant_Alt!$B$3:$AI$3=Q$13)*(Prod_Carburant_Alt!$B$5:$AI$5='Synthèse scénarios'!Q$15)*(Prod_Carburant_Alt!$B$6:$AI$6=Q$16),Prod_Carburant_Alt!$B$7:$AI$37,0))</f>
        <v>0</v>
      </c>
      <c r="R26" s="621">
        <f>'Calculs Scénario MAVERICK'!BF25</f>
        <v>0.1196666666666667</v>
      </c>
      <c r="S26" s="622">
        <f>'Calculs Scénario MAVERICK'!BE25</f>
        <v>1146.6346751183639</v>
      </c>
      <c r="T26" s="623">
        <f>'Calculs Scénario MAVERICK'!CG25</f>
        <v>6.3593642112261983E-2</v>
      </c>
      <c r="U26" s="622">
        <f>'Calculs Scénario MAVERICK'!CF25</f>
        <v>1073.7159999553769</v>
      </c>
      <c r="V26" s="624">
        <f>'Calculs Scénario MAVERICK'!CI25</f>
        <v>0</v>
      </c>
      <c r="W26" s="624">
        <f>'Calculs Scénario MAVERICK'!CB25</f>
        <v>0</v>
      </c>
      <c r="X26" s="625">
        <f>'Calculs Scénario MAVERICK'!CD25</f>
        <v>0</v>
      </c>
    </row>
    <row r="27" spans="2:24" ht="15">
      <c r="B27" s="620">
        <v>2030</v>
      </c>
      <c r="C27" s="346">
        <f t="array" ref="C27">SUM(IF((Roadmap_Avion!$B$8:$B$38=$B27)*(Roadmap_Avion!$C$4:$Z$4=C$13)*(Roadmap_Avion!$C$6:$Z$6=C$15)*(Roadmap_Avion!$C$7:$Z$7=C$16),Roadmap_Avion!$C$8:$Z$38,0))</f>
        <v>0.85</v>
      </c>
      <c r="D27" s="347">
        <f t="array" ref="D27">SUM(IF((Roadmap_Avion!$B$8:$B$38=$B27)*(Roadmap_Avion!$C$4:$Z$4=D$13)*(Roadmap_Avion!$C$6:$Z$6=D$15)*(Roadmap_Avion!$C$7:$Z$7=D$16),Roadmap_Avion!$C$8:$Z$38,0))</f>
        <v>0</v>
      </c>
      <c r="E27" s="348">
        <f t="array" ref="E27">SUM(IF((Roadmap_Avion!$B$8:$B$38=$B27)*(Roadmap_Avion!$C$4:$Z$4=E$13)*(Roadmap_Avion!$C$6:$Z$6=E$15)*(Roadmap_Avion!$C$7:$Z$7=E$16),Roadmap_Avion!$C$8:$Z$38,0))</f>
        <v>1</v>
      </c>
      <c r="F27" s="346">
        <f t="array" ref="F27">SUM(IF((Roadmap_Avion!$B$8:$B$38=$B27)*(Roadmap_Avion!$C$4:$Z$4=F$13)*(Roadmap_Avion!$C$6:$Z$6=F$15)*(Roadmap_Avion!$C$7:$Z$7=F$16),Roadmap_Avion!$C$8:$Z$38,0))</f>
        <v>0.5</v>
      </c>
      <c r="G27" s="347">
        <f t="array" ref="G27">SUM(IF((Roadmap_Avion!$B$8:$B$38=$B27)*(Roadmap_Avion!$C$4:$Z$4=G$13)*(Roadmap_Avion!$C$6:$Z$6=G$15)*(Roadmap_Avion!$C$7:$Z$7=G$16),Roadmap_Avion!$C$8:$Z$38,0))</f>
        <v>0.25</v>
      </c>
      <c r="H27" s="348">
        <f t="array" ref="H27">SUM(IF((Roadmap_Avion!$B$8:$B$38=$B27)*(Roadmap_Avion!$C$4:$Z$4=H$13)*(Roadmap_Avion!$C$6:$Z$6=H$15)*(Roadmap_Avion!$C$7:$Z$7=H$16),Roadmap_Avion!$C$8:$Z$38,0))</f>
        <v>0</v>
      </c>
      <c r="I27" s="346">
        <f t="array" ref="I27">SUM(IF((Roadmap_Avion!$B$8:$B$38=$B27)*(Roadmap_Avion!$C$4:$Z$4=I$13)*(Roadmap_Avion!$C$6:$Z$6=I$15)*(Roadmap_Avion!$C$7:$Z$7=I$16),Roadmap_Avion!$C$8:$Z$38,0))</f>
        <v>0.75</v>
      </c>
      <c r="J27" s="347">
        <f t="array" ref="J27">SUM(IF((Roadmap_Avion!$B$8:$B$38=$B27)*(Roadmap_Avion!$C$4:$Z$4=J$13)*(Roadmap_Avion!$C$6:$Z$6=J$15)*(Roadmap_Avion!$C$7:$Z$7=J$16),Roadmap_Avion!$C$8:$Z$38,0))</f>
        <v>0.5</v>
      </c>
      <c r="K27" s="348">
        <f t="array" ref="K27">SUM(IF((Roadmap_Avion!$B$8:$B$38=$B27)*(Roadmap_Avion!$C$4:$Z$4=K$13)*(Roadmap_Avion!$C$6:$Z$6=K$15)*(Roadmap_Avion!$C$7:$Z$7=K$16),Roadmap_Avion!$C$8:$Z$38,0))</f>
        <v>0</v>
      </c>
      <c r="L27" s="346">
        <f t="array" ref="L27">SUM(IF((Roadmap_Avion!$B$8:$B$38=$B27)*(Roadmap_Avion!$C$4:$Z$4=L$13)*(Roadmap_Avion!$C$6:$Z$6=L$15)*(Roadmap_Avion!$C$7:$Z$7=L$16),Roadmap_Avion!$C$8:$Z$38,0))</f>
        <v>0.75</v>
      </c>
      <c r="M27" s="347">
        <f t="array" ref="M27">SUM(IF((Roadmap_Avion!$B$8:$B$38=$B27)*(Roadmap_Avion!$C$4:$Z$4=M$13)*(Roadmap_Avion!$C$6:$Z$6=M$15)*(Roadmap_Avion!$C$7:$Z$7=M$16),Roadmap_Avion!$C$8:$Z$38,0))</f>
        <v>0.5</v>
      </c>
      <c r="N27" s="348">
        <f t="array" ref="N27">SUM(IF((Roadmap_Avion!$B$8:$B$38=$B27)*(Roadmap_Avion!$C$4:$Z$4=N$13)*(Roadmap_Avion!$C$6:$Z$6=N$15)*(Roadmap_Avion!$C$7:$Z$7=N$16),Roadmap_Avion!$C$8:$Z$38,0))</f>
        <v>0</v>
      </c>
      <c r="O27" s="781">
        <f t="array" ref="O27">SUM(IF((Prod_Carburant_Alt!$A$7:$A$37=$B27)*(Prod_Carburant_Alt!$B$3:$AI$3=O$13)*(Prod_Carburant_Alt!$B$5:$AI$5='Synthèse scénarios'!O$15)*(Prod_Carburant_Alt!$B$6:$AI$6=O$16),Prod_Carburant_Alt!$B$7:$AI$37,0))</f>
        <v>30.550139470276591</v>
      </c>
      <c r="P27" s="782">
        <f t="array" ref="P27">SUM(IF((Prod_Carburant_Alt!$A$7:$A$37=$B27)*(Prod_Carburant_Alt!$B$3:$AI$3=P$13)*(Prod_Carburant_Alt!$B$5:$AI$5='Synthèse scénarios'!P$15)*(Prod_Carburant_Alt!$B$6:$AI$6=P$16),Prod_Carburant_Alt!$B$7:$AI$37,0))</f>
        <v>0.204382517533922</v>
      </c>
      <c r="Q27" s="626">
        <f t="array" ref="Q27">SUM(IF((Prod_Carburant_Alt!$A$7:$A$37=$B27)*(Prod_Carburant_Alt!$B$3:$AI$3=Q$13)*(Prod_Carburant_Alt!$B$5:$AI$5='Synthèse scénarios'!Q$15)*(Prod_Carburant_Alt!$B$6:$AI$6=Q$16),Prod_Carburant_Alt!$B$7:$AI$37,0))</f>
        <v>6.1044888159725108</v>
      </c>
      <c r="R27" s="621">
        <f>'Calculs Scénario MAVERICK'!BF26</f>
        <v>0.13676666666666681</v>
      </c>
      <c r="S27" s="622">
        <f>'Calculs Scénario MAVERICK'!BE26</f>
        <v>1167.9491490264545</v>
      </c>
      <c r="T27" s="623">
        <f>'Calculs Scénario MAVERICK'!CG26</f>
        <v>9.5663842906726734E-2</v>
      </c>
      <c r="U27" s="622">
        <f>'Calculs Scénario MAVERICK'!CF26</f>
        <v>1056.2186451109426</v>
      </c>
      <c r="V27" s="624">
        <f>'Calculs Scénario MAVERICK'!CI26</f>
        <v>0</v>
      </c>
      <c r="W27" s="624">
        <f>'Calculs Scénario MAVERICK'!CB26</f>
        <v>280.75507855783462</v>
      </c>
      <c r="X27" s="625">
        <f>'Calculs Scénario MAVERICK'!CD26</f>
        <v>0.19982567868885023</v>
      </c>
    </row>
    <row r="28" spans="2:24" ht="15">
      <c r="B28" s="620">
        <v>2031</v>
      </c>
      <c r="C28" s="346">
        <f t="array" ref="C28">SUM(IF((Roadmap_Avion!$B$8:$B$38=$B28)*(Roadmap_Avion!$C$4:$Z$4=C$13)*(Roadmap_Avion!$C$6:$Z$6=C$15)*(Roadmap_Avion!$C$7:$Z$7=C$16),Roadmap_Avion!$C$8:$Z$38,0))</f>
        <v>0.85</v>
      </c>
      <c r="D28" s="347">
        <f t="array" ref="D28">SUM(IF((Roadmap_Avion!$B$8:$B$38=$B28)*(Roadmap_Avion!$C$4:$Z$4=D$13)*(Roadmap_Avion!$C$6:$Z$6=D$15)*(Roadmap_Avion!$C$7:$Z$7=D$16),Roadmap_Avion!$C$8:$Z$38,0))</f>
        <v>0</v>
      </c>
      <c r="E28" s="348">
        <f t="array" ref="E28">SUM(IF((Roadmap_Avion!$B$8:$B$38=$B28)*(Roadmap_Avion!$C$4:$Z$4=E$13)*(Roadmap_Avion!$C$6:$Z$6=E$15)*(Roadmap_Avion!$C$7:$Z$7=E$16),Roadmap_Avion!$C$8:$Z$38,0))</f>
        <v>1</v>
      </c>
      <c r="F28" s="346">
        <f t="array" ref="F28">SUM(IF((Roadmap_Avion!$B$8:$B$38=$B28)*(Roadmap_Avion!$C$4:$Z$4=F$13)*(Roadmap_Avion!$C$6:$Z$6=F$15)*(Roadmap_Avion!$C$7:$Z$7=F$16),Roadmap_Avion!$C$8:$Z$38,0))</f>
        <v>0.5</v>
      </c>
      <c r="G28" s="347">
        <f t="array" ref="G28">SUM(IF((Roadmap_Avion!$B$8:$B$38=$B28)*(Roadmap_Avion!$C$4:$Z$4=G$13)*(Roadmap_Avion!$C$6:$Z$6=G$15)*(Roadmap_Avion!$C$7:$Z$7=G$16),Roadmap_Avion!$C$8:$Z$38,0))</f>
        <v>0.25</v>
      </c>
      <c r="H28" s="348">
        <f t="array" ref="H28">SUM(IF((Roadmap_Avion!$B$8:$B$38=$B28)*(Roadmap_Avion!$C$4:$Z$4=H$13)*(Roadmap_Avion!$C$6:$Z$6=H$15)*(Roadmap_Avion!$C$7:$Z$7=H$16),Roadmap_Avion!$C$8:$Z$38,0))</f>
        <v>0</v>
      </c>
      <c r="I28" s="346">
        <f t="array" ref="I28">SUM(IF((Roadmap_Avion!$B$8:$B$38=$B28)*(Roadmap_Avion!$C$4:$Z$4=I$13)*(Roadmap_Avion!$C$6:$Z$6=I$15)*(Roadmap_Avion!$C$7:$Z$7=I$16),Roadmap_Avion!$C$8:$Z$38,0))</f>
        <v>0.75</v>
      </c>
      <c r="J28" s="347">
        <f t="array" ref="J28">SUM(IF((Roadmap_Avion!$B$8:$B$38=$B28)*(Roadmap_Avion!$C$4:$Z$4=J$13)*(Roadmap_Avion!$C$6:$Z$6=J$15)*(Roadmap_Avion!$C$7:$Z$7=J$16),Roadmap_Avion!$C$8:$Z$38,0))</f>
        <v>0.5</v>
      </c>
      <c r="K28" s="348">
        <f t="array" ref="K28">SUM(IF((Roadmap_Avion!$B$8:$B$38=$B28)*(Roadmap_Avion!$C$4:$Z$4=K$13)*(Roadmap_Avion!$C$6:$Z$6=K$15)*(Roadmap_Avion!$C$7:$Z$7=K$16),Roadmap_Avion!$C$8:$Z$38,0))</f>
        <v>0</v>
      </c>
      <c r="L28" s="346">
        <f t="array" ref="L28">SUM(IF((Roadmap_Avion!$B$8:$B$38=$B28)*(Roadmap_Avion!$C$4:$Z$4=L$13)*(Roadmap_Avion!$C$6:$Z$6=L$15)*(Roadmap_Avion!$C$7:$Z$7=L$16),Roadmap_Avion!$C$8:$Z$38,0))</f>
        <v>0.75</v>
      </c>
      <c r="M28" s="347">
        <f t="array" ref="M28">SUM(IF((Roadmap_Avion!$B$8:$B$38=$B28)*(Roadmap_Avion!$C$4:$Z$4=M$13)*(Roadmap_Avion!$C$6:$Z$6=M$15)*(Roadmap_Avion!$C$7:$Z$7=M$16),Roadmap_Avion!$C$8:$Z$38,0))</f>
        <v>0.5</v>
      </c>
      <c r="N28" s="348">
        <f t="array" ref="N28">SUM(IF((Roadmap_Avion!$B$8:$B$38=$B28)*(Roadmap_Avion!$C$4:$Z$4=N$13)*(Roadmap_Avion!$C$6:$Z$6=N$15)*(Roadmap_Avion!$C$7:$Z$7=N$16),Roadmap_Avion!$C$8:$Z$38,0))</f>
        <v>0</v>
      </c>
      <c r="O28" s="781">
        <f t="array" ref="O28">SUM(IF((Prod_Carburant_Alt!$A$7:$A$37=$B28)*(Prod_Carburant_Alt!$B$3:$AI$3=O$13)*(Prod_Carburant_Alt!$B$5:$AI$5='Synthèse scénarios'!O$15)*(Prod_Carburant_Alt!$B$6:$AI$6=O$16),Prod_Carburant_Alt!$B$7:$AI$37,0))</f>
        <v>35.132660390818074</v>
      </c>
      <c r="P28" s="782">
        <f t="array" ref="P28">SUM(IF((Prod_Carburant_Alt!$A$7:$A$37=$B28)*(Prod_Carburant_Alt!$B$3:$AI$3=P$13)*(Prod_Carburant_Alt!$B$5:$AI$5='Synthèse scénarios'!P$15)*(Prod_Carburant_Alt!$B$6:$AI$6=P$16),Prod_Carburant_Alt!$B$7:$AI$37,0))</f>
        <v>0.20438251753392203</v>
      </c>
      <c r="Q28" s="800">
        <f t="array" ref="Q28">SUM(IF((Prod_Carburant_Alt!$A$7:$A$37=$B28)*(Prod_Carburant_Alt!$B$3:$AI$3=Q$13)*(Prod_Carburant_Alt!$B$5:$AI$5='Synthèse scénarios'!Q$15)*(Prod_Carburant_Alt!$B$6:$AI$6=Q$16),Prod_Carburant_Alt!$B$7:$AI$37,0))</f>
        <v>7.630611019965639</v>
      </c>
      <c r="R28" s="621">
        <f>'Calculs Scénario MAVERICK'!BF27</f>
        <v>0.1538666666666666</v>
      </c>
      <c r="S28" s="622">
        <f>'Calculs Scénario MAVERICK'!BE27</f>
        <v>1189.0428187859522</v>
      </c>
      <c r="T28" s="623">
        <f>'Calculs Scénario MAVERICK'!CG27</f>
        <v>0.11027612773367426</v>
      </c>
      <c r="U28" s="622">
        <f>'Calculs Scénario MAVERICK'!CF27</f>
        <v>1057.9197810207045</v>
      </c>
      <c r="V28" s="624">
        <f>'Calculs Scénario MAVERICK'!CI27</f>
        <v>0</v>
      </c>
      <c r="W28" s="624">
        <f>'Calculs Scénario MAVERICK'!CB27</f>
        <v>354.33995740593213</v>
      </c>
      <c r="X28" s="625">
        <f>'Calculs Scénario MAVERICK'!CD27</f>
        <v>0.25219925794016518</v>
      </c>
    </row>
    <row r="29" spans="2:24" ht="15">
      <c r="B29" s="620">
        <v>2032</v>
      </c>
      <c r="C29" s="346">
        <f t="array" ref="C29">SUM(IF((Roadmap_Avion!$B$8:$B$38=$B29)*(Roadmap_Avion!$C$4:$Z$4=C$13)*(Roadmap_Avion!$C$6:$Z$6=C$15)*(Roadmap_Avion!$C$7:$Z$7=C$16),Roadmap_Avion!$C$8:$Z$38,0))</f>
        <v>0.85</v>
      </c>
      <c r="D29" s="347">
        <f t="array" ref="D29">SUM(IF((Roadmap_Avion!$B$8:$B$38=$B29)*(Roadmap_Avion!$C$4:$Z$4=D$13)*(Roadmap_Avion!$C$6:$Z$6=D$15)*(Roadmap_Avion!$C$7:$Z$7=D$16),Roadmap_Avion!$C$8:$Z$38,0))</f>
        <v>0</v>
      </c>
      <c r="E29" s="348">
        <f t="array" ref="E29">SUM(IF((Roadmap_Avion!$B$8:$B$38=$B29)*(Roadmap_Avion!$C$4:$Z$4=E$13)*(Roadmap_Avion!$C$6:$Z$6=E$15)*(Roadmap_Avion!$C$7:$Z$7=E$16),Roadmap_Avion!$C$8:$Z$38,0))</f>
        <v>1</v>
      </c>
      <c r="F29" s="346">
        <f t="array" ref="F29">SUM(IF((Roadmap_Avion!$B$8:$B$38=$B29)*(Roadmap_Avion!$C$4:$Z$4=F$13)*(Roadmap_Avion!$C$6:$Z$6=F$15)*(Roadmap_Avion!$C$7:$Z$7=F$16),Roadmap_Avion!$C$8:$Z$38,0))</f>
        <v>0.5</v>
      </c>
      <c r="G29" s="347">
        <f t="array" ref="G29">SUM(IF((Roadmap_Avion!$B$8:$B$38=$B29)*(Roadmap_Avion!$C$4:$Z$4=G$13)*(Roadmap_Avion!$C$6:$Z$6=G$15)*(Roadmap_Avion!$C$7:$Z$7=G$16),Roadmap_Avion!$C$8:$Z$38,0))</f>
        <v>0.25</v>
      </c>
      <c r="H29" s="348">
        <f t="array" ref="H29">SUM(IF((Roadmap_Avion!$B$8:$B$38=$B29)*(Roadmap_Avion!$C$4:$Z$4=H$13)*(Roadmap_Avion!$C$6:$Z$6=H$15)*(Roadmap_Avion!$C$7:$Z$7=H$16),Roadmap_Avion!$C$8:$Z$38,0))</f>
        <v>0</v>
      </c>
      <c r="I29" s="346">
        <f t="array" ref="I29">SUM(IF((Roadmap_Avion!$B$8:$B$38=$B29)*(Roadmap_Avion!$C$4:$Z$4=I$13)*(Roadmap_Avion!$C$6:$Z$6=I$15)*(Roadmap_Avion!$C$7:$Z$7=I$16),Roadmap_Avion!$C$8:$Z$38,0))</f>
        <v>0.75</v>
      </c>
      <c r="J29" s="347">
        <f t="array" ref="J29">SUM(IF((Roadmap_Avion!$B$8:$B$38=$B29)*(Roadmap_Avion!$C$4:$Z$4=J$13)*(Roadmap_Avion!$C$6:$Z$6=J$15)*(Roadmap_Avion!$C$7:$Z$7=J$16),Roadmap_Avion!$C$8:$Z$38,0))</f>
        <v>0.5</v>
      </c>
      <c r="K29" s="348">
        <f t="array" ref="K29">SUM(IF((Roadmap_Avion!$B$8:$B$38=$B29)*(Roadmap_Avion!$C$4:$Z$4=K$13)*(Roadmap_Avion!$C$6:$Z$6=K$15)*(Roadmap_Avion!$C$7:$Z$7=K$16),Roadmap_Avion!$C$8:$Z$38,0))</f>
        <v>0</v>
      </c>
      <c r="L29" s="346">
        <f t="array" ref="L29">SUM(IF((Roadmap_Avion!$B$8:$B$38=$B29)*(Roadmap_Avion!$C$4:$Z$4=L$13)*(Roadmap_Avion!$C$6:$Z$6=L$15)*(Roadmap_Avion!$C$7:$Z$7=L$16),Roadmap_Avion!$C$8:$Z$38,0))</f>
        <v>0.75</v>
      </c>
      <c r="M29" s="347">
        <f t="array" ref="M29">SUM(IF((Roadmap_Avion!$B$8:$B$38=$B29)*(Roadmap_Avion!$C$4:$Z$4=M$13)*(Roadmap_Avion!$C$6:$Z$6=M$15)*(Roadmap_Avion!$C$7:$Z$7=M$16),Roadmap_Avion!$C$8:$Z$38,0))</f>
        <v>0.5</v>
      </c>
      <c r="N29" s="348">
        <f t="array" ref="N29">SUM(IF((Roadmap_Avion!$B$8:$B$38=$B29)*(Roadmap_Avion!$C$4:$Z$4=N$13)*(Roadmap_Avion!$C$6:$Z$6=N$15)*(Roadmap_Avion!$C$7:$Z$7=N$16),Roadmap_Avion!$C$8:$Z$38,0))</f>
        <v>0</v>
      </c>
      <c r="O29" s="781">
        <f t="array" ref="O29">SUM(IF((Prod_Carburant_Alt!$A$7:$A$37=$B29)*(Prod_Carburant_Alt!$B$3:$AI$3=O$13)*(Prod_Carburant_Alt!$B$5:$AI$5='Synthèse scénarios'!O$15)*(Prod_Carburant_Alt!$B$6:$AI$6=O$16),Prod_Carburant_Alt!$B$7:$AI$37,0))</f>
        <v>40.402559449440787</v>
      </c>
      <c r="P29" s="782">
        <f t="array" ref="P29">SUM(IF((Prod_Carburant_Alt!$A$7:$A$37=$B29)*(Prod_Carburant_Alt!$B$3:$AI$3=P$13)*(Prod_Carburant_Alt!$B$5:$AI$5='Synthèse scénarios'!P$15)*(Prod_Carburant_Alt!$B$6:$AI$6=P$16),Prod_Carburant_Alt!$B$7:$AI$37,0))</f>
        <v>0.20438251753392198</v>
      </c>
      <c r="Q29" s="800">
        <f t="array" ref="Q29">SUM(IF((Prod_Carburant_Alt!$A$7:$A$37=$B29)*(Prod_Carburant_Alt!$B$3:$AI$3=Q$13)*(Prod_Carburant_Alt!$B$5:$AI$5='Synthèse scénarios'!Q$15)*(Prod_Carburant_Alt!$B$6:$AI$6=Q$16),Prod_Carburant_Alt!$B$7:$AI$37,0))</f>
        <v>9.5382637749570485</v>
      </c>
      <c r="R29" s="621">
        <f>'Calculs Scénario MAVERICK'!BF28</f>
        <v>0.17096666666666649</v>
      </c>
      <c r="S29" s="622">
        <f>'Calculs Scénario MAVERICK'!BE28</f>
        <v>1209.8537357542909</v>
      </c>
      <c r="T29" s="623">
        <f>'Calculs Scénario MAVERICK'!CG28</f>
        <v>0.12715006179628685</v>
      </c>
      <c r="U29" s="622">
        <f>'Calculs Scénario MAVERICK'!CF28</f>
        <v>1056.0207584886643</v>
      </c>
      <c r="V29" s="624">
        <f>'Calculs Scénario MAVERICK'!CI28</f>
        <v>0</v>
      </c>
      <c r="W29" s="624">
        <f>'Calculs Scénario MAVERICK'!CB28</f>
        <v>445.35493098036034</v>
      </c>
      <c r="X29" s="625">
        <f>'Calculs Scénario MAVERICK'!CD28</f>
        <v>0.31697859856253408</v>
      </c>
    </row>
    <row r="30" spans="2:24" ht="15">
      <c r="B30" s="620">
        <v>2033</v>
      </c>
      <c r="C30" s="346">
        <f t="array" ref="C30">SUM(IF((Roadmap_Avion!$B$8:$B$38=$B30)*(Roadmap_Avion!$C$4:$Z$4=C$13)*(Roadmap_Avion!$C$6:$Z$6=C$15)*(Roadmap_Avion!$C$7:$Z$7=C$16),Roadmap_Avion!$C$8:$Z$38,0))</f>
        <v>0.85</v>
      </c>
      <c r="D30" s="347">
        <f t="array" ref="D30">SUM(IF((Roadmap_Avion!$B$8:$B$38=$B30)*(Roadmap_Avion!$C$4:$Z$4=D$13)*(Roadmap_Avion!$C$6:$Z$6=D$15)*(Roadmap_Avion!$C$7:$Z$7=D$16),Roadmap_Avion!$C$8:$Z$38,0))</f>
        <v>0</v>
      </c>
      <c r="E30" s="348">
        <f t="array" ref="E30">SUM(IF((Roadmap_Avion!$B$8:$B$38=$B30)*(Roadmap_Avion!$C$4:$Z$4=E$13)*(Roadmap_Avion!$C$6:$Z$6=E$15)*(Roadmap_Avion!$C$7:$Z$7=E$16),Roadmap_Avion!$C$8:$Z$38,0))</f>
        <v>1</v>
      </c>
      <c r="F30" s="346">
        <f t="array" ref="F30">SUM(IF((Roadmap_Avion!$B$8:$B$38=$B30)*(Roadmap_Avion!$C$4:$Z$4=F$13)*(Roadmap_Avion!$C$6:$Z$6=F$15)*(Roadmap_Avion!$C$7:$Z$7=F$16),Roadmap_Avion!$C$8:$Z$38,0))</f>
        <v>0.5</v>
      </c>
      <c r="G30" s="347">
        <f t="array" ref="G30">SUM(IF((Roadmap_Avion!$B$8:$B$38=$B30)*(Roadmap_Avion!$C$4:$Z$4=G$13)*(Roadmap_Avion!$C$6:$Z$6=G$15)*(Roadmap_Avion!$C$7:$Z$7=G$16),Roadmap_Avion!$C$8:$Z$38,0))</f>
        <v>0.25</v>
      </c>
      <c r="H30" s="348">
        <f t="array" ref="H30">SUM(IF((Roadmap_Avion!$B$8:$B$38=$B30)*(Roadmap_Avion!$C$4:$Z$4=H$13)*(Roadmap_Avion!$C$6:$Z$6=H$15)*(Roadmap_Avion!$C$7:$Z$7=H$16),Roadmap_Avion!$C$8:$Z$38,0))</f>
        <v>0</v>
      </c>
      <c r="I30" s="346">
        <f t="array" ref="I30">SUM(IF((Roadmap_Avion!$B$8:$B$38=$B30)*(Roadmap_Avion!$C$4:$Z$4=I$13)*(Roadmap_Avion!$C$6:$Z$6=I$15)*(Roadmap_Avion!$C$7:$Z$7=I$16),Roadmap_Avion!$C$8:$Z$38,0))</f>
        <v>0.75</v>
      </c>
      <c r="J30" s="347">
        <f t="array" ref="J30">SUM(IF((Roadmap_Avion!$B$8:$B$38=$B30)*(Roadmap_Avion!$C$4:$Z$4=J$13)*(Roadmap_Avion!$C$6:$Z$6=J$15)*(Roadmap_Avion!$C$7:$Z$7=J$16),Roadmap_Avion!$C$8:$Z$38,0))</f>
        <v>0.5</v>
      </c>
      <c r="K30" s="348">
        <f t="array" ref="K30">SUM(IF((Roadmap_Avion!$B$8:$B$38=$B30)*(Roadmap_Avion!$C$4:$Z$4=K$13)*(Roadmap_Avion!$C$6:$Z$6=K$15)*(Roadmap_Avion!$C$7:$Z$7=K$16),Roadmap_Avion!$C$8:$Z$38,0))</f>
        <v>0</v>
      </c>
      <c r="L30" s="346">
        <f t="array" ref="L30">SUM(IF((Roadmap_Avion!$B$8:$B$38=$B30)*(Roadmap_Avion!$C$4:$Z$4=L$13)*(Roadmap_Avion!$C$6:$Z$6=L$15)*(Roadmap_Avion!$C$7:$Z$7=L$16),Roadmap_Avion!$C$8:$Z$38,0))</f>
        <v>0.75</v>
      </c>
      <c r="M30" s="347">
        <f t="array" ref="M30">SUM(IF((Roadmap_Avion!$B$8:$B$38=$B30)*(Roadmap_Avion!$C$4:$Z$4=M$13)*(Roadmap_Avion!$C$6:$Z$6=M$15)*(Roadmap_Avion!$C$7:$Z$7=M$16),Roadmap_Avion!$C$8:$Z$38,0))</f>
        <v>0.5</v>
      </c>
      <c r="N30" s="348">
        <f t="array" ref="N30">SUM(IF((Roadmap_Avion!$B$8:$B$38=$B30)*(Roadmap_Avion!$C$4:$Z$4=N$13)*(Roadmap_Avion!$C$6:$Z$6=N$15)*(Roadmap_Avion!$C$7:$Z$7=N$16),Roadmap_Avion!$C$8:$Z$38,0))</f>
        <v>0</v>
      </c>
      <c r="O30" s="781">
        <f t="array" ref="O30">SUM(IF((Prod_Carburant_Alt!$A$7:$A$37=$B30)*(Prod_Carburant_Alt!$B$3:$AI$3=O$13)*(Prod_Carburant_Alt!$B$5:$AI$5='Synthèse scénarios'!O$15)*(Prod_Carburant_Alt!$B$6:$AI$6=O$16),Prod_Carburant_Alt!$B$7:$AI$37,0))</f>
        <v>46.462943366856891</v>
      </c>
      <c r="P30" s="782">
        <f t="array" ref="P30">SUM(IF((Prod_Carburant_Alt!$A$7:$A$37=$B30)*(Prod_Carburant_Alt!$B$3:$AI$3=P$13)*(Prod_Carburant_Alt!$B$5:$AI$5='Synthèse scénarios'!P$15)*(Prod_Carburant_Alt!$B$6:$AI$6=P$16),Prod_Carburant_Alt!$B$7:$AI$37,0))</f>
        <v>0.20438251753392206</v>
      </c>
      <c r="Q30" s="800">
        <f t="array" ref="Q30">SUM(IF((Prod_Carburant_Alt!$A$7:$A$37=$B30)*(Prod_Carburant_Alt!$B$3:$AI$3=Q$13)*(Prod_Carburant_Alt!$B$5:$AI$5='Synthèse scénarios'!Q$15)*(Prod_Carburant_Alt!$B$6:$AI$6=Q$16),Prod_Carburant_Alt!$B$7:$AI$37,0))</f>
        <v>11.922829718696311</v>
      </c>
      <c r="R30" s="621">
        <f>'Calculs Scénario MAVERICK'!BF29</f>
        <v>0.18806666666666649</v>
      </c>
      <c r="S30" s="622">
        <f>'Calculs Scénario MAVERICK'!BE29</f>
        <v>1230.31434415995</v>
      </c>
      <c r="T30" s="623">
        <f>'Calculs Scénario MAVERICK'!CG29</f>
        <v>0.14669212093249984</v>
      </c>
      <c r="U30" s="622">
        <f>'Calculs Scénario MAVERICK'!CF29</f>
        <v>1049.8369236014494</v>
      </c>
      <c r="V30" s="624">
        <f>'Calculs Scénario MAVERICK'!CI29</f>
        <v>0</v>
      </c>
      <c r="W30" s="624">
        <f>'Calculs Scénario MAVERICK'!CB29</f>
        <v>558.1151589398736</v>
      </c>
      <c r="X30" s="625">
        <f>'Calculs Scénario MAVERICK'!CD29</f>
        <v>0.39723498856930506</v>
      </c>
    </row>
    <row r="31" spans="2:24" ht="15">
      <c r="B31" s="620">
        <v>2034</v>
      </c>
      <c r="C31" s="346">
        <f t="array" ref="C31">SUM(IF((Roadmap_Avion!$B$8:$B$38=$B31)*(Roadmap_Avion!$C$4:$Z$4=C$13)*(Roadmap_Avion!$C$6:$Z$6=C$15)*(Roadmap_Avion!$C$7:$Z$7=C$16),Roadmap_Avion!$C$8:$Z$38,0))</f>
        <v>0.85</v>
      </c>
      <c r="D31" s="347">
        <f t="array" ref="D31">SUM(IF((Roadmap_Avion!$B$8:$B$38=$B31)*(Roadmap_Avion!$C$4:$Z$4=D$13)*(Roadmap_Avion!$C$6:$Z$6=D$15)*(Roadmap_Avion!$C$7:$Z$7=D$16),Roadmap_Avion!$C$8:$Z$38,0))</f>
        <v>0</v>
      </c>
      <c r="E31" s="348">
        <f t="array" ref="E31">SUM(IF((Roadmap_Avion!$B$8:$B$38=$B31)*(Roadmap_Avion!$C$4:$Z$4=E$13)*(Roadmap_Avion!$C$6:$Z$6=E$15)*(Roadmap_Avion!$C$7:$Z$7=E$16),Roadmap_Avion!$C$8:$Z$38,0))</f>
        <v>1</v>
      </c>
      <c r="F31" s="346">
        <f t="array" ref="F31">SUM(IF((Roadmap_Avion!$B$8:$B$38=$B31)*(Roadmap_Avion!$C$4:$Z$4=F$13)*(Roadmap_Avion!$C$6:$Z$6=F$15)*(Roadmap_Avion!$C$7:$Z$7=F$16),Roadmap_Avion!$C$8:$Z$38,0))</f>
        <v>0.5</v>
      </c>
      <c r="G31" s="347">
        <f t="array" ref="G31">SUM(IF((Roadmap_Avion!$B$8:$B$38=$B31)*(Roadmap_Avion!$C$4:$Z$4=G$13)*(Roadmap_Avion!$C$6:$Z$6=G$15)*(Roadmap_Avion!$C$7:$Z$7=G$16),Roadmap_Avion!$C$8:$Z$38,0))</f>
        <v>0.25</v>
      </c>
      <c r="H31" s="348">
        <f t="array" ref="H31">SUM(IF((Roadmap_Avion!$B$8:$B$38=$B31)*(Roadmap_Avion!$C$4:$Z$4=H$13)*(Roadmap_Avion!$C$6:$Z$6=H$15)*(Roadmap_Avion!$C$7:$Z$7=H$16),Roadmap_Avion!$C$8:$Z$38,0))</f>
        <v>0</v>
      </c>
      <c r="I31" s="346">
        <f t="array" ref="I31">SUM(IF((Roadmap_Avion!$B$8:$B$38=$B31)*(Roadmap_Avion!$C$4:$Z$4=I$13)*(Roadmap_Avion!$C$6:$Z$6=I$15)*(Roadmap_Avion!$C$7:$Z$7=I$16),Roadmap_Avion!$C$8:$Z$38,0))</f>
        <v>0.75</v>
      </c>
      <c r="J31" s="347">
        <f t="array" ref="J31">SUM(IF((Roadmap_Avion!$B$8:$B$38=$B31)*(Roadmap_Avion!$C$4:$Z$4=J$13)*(Roadmap_Avion!$C$6:$Z$6=J$15)*(Roadmap_Avion!$C$7:$Z$7=J$16),Roadmap_Avion!$C$8:$Z$38,0))</f>
        <v>0.5</v>
      </c>
      <c r="K31" s="348">
        <f t="array" ref="K31">SUM(IF((Roadmap_Avion!$B$8:$B$38=$B31)*(Roadmap_Avion!$C$4:$Z$4=K$13)*(Roadmap_Avion!$C$6:$Z$6=K$15)*(Roadmap_Avion!$C$7:$Z$7=K$16),Roadmap_Avion!$C$8:$Z$38,0))</f>
        <v>0</v>
      </c>
      <c r="L31" s="346">
        <f t="array" ref="L31">SUM(IF((Roadmap_Avion!$B$8:$B$38=$B31)*(Roadmap_Avion!$C$4:$Z$4=L$13)*(Roadmap_Avion!$C$6:$Z$6=L$15)*(Roadmap_Avion!$C$7:$Z$7=L$16),Roadmap_Avion!$C$8:$Z$38,0))</f>
        <v>0.75</v>
      </c>
      <c r="M31" s="347">
        <f t="array" ref="M31">SUM(IF((Roadmap_Avion!$B$8:$B$38=$B31)*(Roadmap_Avion!$C$4:$Z$4=M$13)*(Roadmap_Avion!$C$6:$Z$6=M$15)*(Roadmap_Avion!$C$7:$Z$7=M$16),Roadmap_Avion!$C$8:$Z$38,0))</f>
        <v>0.5</v>
      </c>
      <c r="N31" s="348">
        <f t="array" ref="N31">SUM(IF((Roadmap_Avion!$B$8:$B$38=$B31)*(Roadmap_Avion!$C$4:$Z$4=N$13)*(Roadmap_Avion!$C$6:$Z$6=N$15)*(Roadmap_Avion!$C$7:$Z$7=N$16),Roadmap_Avion!$C$8:$Z$38,0))</f>
        <v>0</v>
      </c>
      <c r="O31" s="781">
        <f t="array" ref="O31">SUM(IF((Prod_Carburant_Alt!$A$7:$A$37=$B31)*(Prod_Carburant_Alt!$B$3:$AI$3=O$13)*(Prod_Carburant_Alt!$B$5:$AI$5='Synthèse scénarios'!O$15)*(Prod_Carburant_Alt!$B$6:$AI$6=O$16),Prod_Carburant_Alt!$B$7:$AI$37,0))</f>
        <v>53.432384871885425</v>
      </c>
      <c r="P31" s="782">
        <f t="array" ref="P31">SUM(IF((Prod_Carburant_Alt!$A$7:$A$37=$B31)*(Prod_Carburant_Alt!$B$3:$AI$3=P$13)*(Prod_Carburant_Alt!$B$5:$AI$5='Synthèse scénarios'!P$15)*(Prod_Carburant_Alt!$B$6:$AI$6=P$16),Prod_Carburant_Alt!$B$7:$AI$37,0))</f>
        <v>0.204382517533922</v>
      </c>
      <c r="Q31" s="800">
        <f t="array" ref="Q31">SUM(IF((Prod_Carburant_Alt!$A$7:$A$37=$B31)*(Prod_Carburant_Alt!$B$3:$AI$3=Q$13)*(Prod_Carburant_Alt!$B$5:$AI$5='Synthèse scénarios'!Q$15)*(Prod_Carburant_Alt!$B$6:$AI$6=Q$16),Prod_Carburant_Alt!$B$7:$AI$37,0))</f>
        <v>14.90353714837039</v>
      </c>
      <c r="R31" s="621">
        <f>'Calculs Scénario MAVERICK'!BF30</f>
        <v>0.20516666666666672</v>
      </c>
      <c r="S31" s="622">
        <f>'Calculs Scénario MAVERICK'!BE30</f>
        <v>1250.351058553591</v>
      </c>
      <c r="T31" s="623">
        <f>'Calculs Scénario MAVERICK'!CG30</f>
        <v>0.16938999916579053</v>
      </c>
      <c r="U31" s="622">
        <f>'Calculs Scénario MAVERICK'!CF30</f>
        <v>1038.5540937882529</v>
      </c>
      <c r="V31" s="624">
        <f>'Calculs Scénario MAVERICK'!CI30</f>
        <v>0</v>
      </c>
      <c r="W31" s="624">
        <f>'Calculs Scénario MAVERICK'!CB30</f>
        <v>698.01451410237598</v>
      </c>
      <c r="X31" s="625">
        <f>'Calculs Scénario MAVERICK'!CD30</f>
        <v>0.49680748334688679</v>
      </c>
    </row>
    <row r="32" spans="2:24" ht="15">
      <c r="B32" s="620">
        <v>2035</v>
      </c>
      <c r="C32" s="346">
        <f t="array" ref="C32">SUM(IF((Roadmap_Avion!$B$8:$B$38=$B32)*(Roadmap_Avion!$C$4:$Z$4=C$13)*(Roadmap_Avion!$C$6:$Z$6=C$15)*(Roadmap_Avion!$C$7:$Z$7=C$16),Roadmap_Avion!$C$8:$Z$38,0))</f>
        <v>0.85</v>
      </c>
      <c r="D32" s="347">
        <f t="array" ref="D32">SUM(IF((Roadmap_Avion!$B$8:$B$38=$B32)*(Roadmap_Avion!$C$4:$Z$4=D$13)*(Roadmap_Avion!$C$6:$Z$6=D$15)*(Roadmap_Avion!$C$7:$Z$7=D$16),Roadmap_Avion!$C$8:$Z$38,0))</f>
        <v>0</v>
      </c>
      <c r="E32" s="348">
        <f t="array" ref="E32">SUM(IF((Roadmap_Avion!$B$8:$B$38=$B32)*(Roadmap_Avion!$C$4:$Z$4=E$13)*(Roadmap_Avion!$C$6:$Z$6=E$15)*(Roadmap_Avion!$C$7:$Z$7=E$16),Roadmap_Avion!$C$8:$Z$38,0))</f>
        <v>1</v>
      </c>
      <c r="F32" s="346">
        <f t="array" ref="F32">SUM(IF((Roadmap_Avion!$B$8:$B$38=$B32)*(Roadmap_Avion!$C$4:$Z$4=F$13)*(Roadmap_Avion!$C$6:$Z$6=F$15)*(Roadmap_Avion!$C$7:$Z$7=F$16),Roadmap_Avion!$C$8:$Z$38,0))</f>
        <v>0.85</v>
      </c>
      <c r="G32" s="347">
        <f t="array" ref="G32">SUM(IF((Roadmap_Avion!$B$8:$B$38=$B32)*(Roadmap_Avion!$C$4:$Z$4=G$13)*(Roadmap_Avion!$C$6:$Z$6=G$15)*(Roadmap_Avion!$C$7:$Z$7=G$16),Roadmap_Avion!$C$8:$Z$38,0))</f>
        <v>0</v>
      </c>
      <c r="H32" s="348">
        <f t="array" ref="H32">SUM(IF((Roadmap_Avion!$B$8:$B$38=$B32)*(Roadmap_Avion!$C$4:$Z$4=H$13)*(Roadmap_Avion!$C$6:$Z$6=H$15)*(Roadmap_Avion!$C$7:$Z$7=H$16),Roadmap_Avion!$C$8:$Z$38,0))</f>
        <v>1</v>
      </c>
      <c r="I32" s="346">
        <f t="array" ref="I32">SUM(IF((Roadmap_Avion!$B$8:$B$38=$B32)*(Roadmap_Avion!$C$4:$Z$4=I$13)*(Roadmap_Avion!$C$6:$Z$6=I$15)*(Roadmap_Avion!$C$7:$Z$7=I$16),Roadmap_Avion!$C$8:$Z$38,0))</f>
        <v>0.63749999999999996</v>
      </c>
      <c r="J32" s="347">
        <f t="array" ref="J32">SUM(IF((Roadmap_Avion!$B$8:$B$38=$B32)*(Roadmap_Avion!$C$4:$Z$4=J$13)*(Roadmap_Avion!$C$6:$Z$6=J$15)*(Roadmap_Avion!$C$7:$Z$7=J$16),Roadmap_Avion!$C$8:$Z$38,0))</f>
        <v>0</v>
      </c>
      <c r="K32" s="348">
        <f t="array" ref="K32">SUM(IF((Roadmap_Avion!$B$8:$B$38=$B32)*(Roadmap_Avion!$C$4:$Z$4=K$13)*(Roadmap_Avion!$C$6:$Z$6=K$15)*(Roadmap_Avion!$C$7:$Z$7=K$16),Roadmap_Avion!$C$8:$Z$38,0))</f>
        <v>1</v>
      </c>
      <c r="L32" s="346">
        <f t="array" ref="L32">SUM(IF((Roadmap_Avion!$B$8:$B$38=$B32)*(Roadmap_Avion!$C$4:$Z$4=L$13)*(Roadmap_Avion!$C$6:$Z$6=L$15)*(Roadmap_Avion!$C$7:$Z$7=L$16),Roadmap_Avion!$C$8:$Z$38,0))</f>
        <v>0.5625</v>
      </c>
      <c r="M32" s="347">
        <f t="array" ref="M32">SUM(IF((Roadmap_Avion!$B$8:$B$38=$B32)*(Roadmap_Avion!$C$4:$Z$4=M$13)*(Roadmap_Avion!$C$6:$Z$6=M$15)*(Roadmap_Avion!$C$7:$Z$7=M$16),Roadmap_Avion!$C$8:$Z$38,0))</f>
        <v>1</v>
      </c>
      <c r="N32" s="348">
        <f t="array" ref="N32">SUM(IF((Roadmap_Avion!$B$8:$B$38=$B32)*(Roadmap_Avion!$C$4:$Z$4=N$13)*(Roadmap_Avion!$C$6:$Z$6=N$15)*(Roadmap_Avion!$C$7:$Z$7=N$16),Roadmap_Avion!$C$8:$Z$38,0))</f>
        <v>0</v>
      </c>
      <c r="O32" s="781">
        <f t="array" ref="O32">SUM(IF((Prod_Carburant_Alt!$A$7:$A$37=$B32)*(Prod_Carburant_Alt!$B$3:$AI$3=O$13)*(Prod_Carburant_Alt!$B$5:$AI$5='Synthèse scénarios'!O$15)*(Prod_Carburant_Alt!$B$6:$AI$6=O$16),Prod_Carburant_Alt!$B$7:$AI$37,0))</f>
        <v>61.44724260266824</v>
      </c>
      <c r="P32" s="782">
        <f t="array" ref="P32">SUM(IF((Prod_Carburant_Alt!$A$7:$A$37=$B32)*(Prod_Carburant_Alt!$B$3:$AI$3=P$13)*(Prod_Carburant_Alt!$B$5:$AI$5='Synthèse scénarios'!P$15)*(Prod_Carburant_Alt!$B$6:$AI$6=P$16),Prod_Carburant_Alt!$B$7:$AI$37,0))</f>
        <v>0.204382517533922</v>
      </c>
      <c r="Q32" s="800">
        <f t="array" ref="Q32">SUM(IF((Prod_Carburant_Alt!$A$7:$A$37=$B32)*(Prod_Carburant_Alt!$B$3:$AI$3=Q$13)*(Prod_Carburant_Alt!$B$5:$AI$5='Synthèse scénarios'!Q$15)*(Prod_Carburant_Alt!$B$6:$AI$6=Q$16),Prod_Carburant_Alt!$B$7:$AI$37,0))</f>
        <v>18.629421435462987</v>
      </c>
      <c r="R32" s="621">
        <f>'Calculs Scénario MAVERICK'!BF31</f>
        <v>0.23026666666666651</v>
      </c>
      <c r="S32" s="622">
        <f>'Calculs Scénario MAVERICK'!BE31</f>
        <v>1256.8214084374404</v>
      </c>
      <c r="T32" s="623">
        <f>'Calculs Scénario MAVERICK'!CG31</f>
        <v>0.24101934188617744</v>
      </c>
      <c r="U32" s="622">
        <f>'Calculs Scénario MAVERICK'!CF31</f>
        <v>953.90313970738987</v>
      </c>
      <c r="V32" s="624">
        <f>'Calculs Scénario MAVERICK'!CI31</f>
        <v>0</v>
      </c>
      <c r="W32" s="624">
        <f>'Calculs Scénario MAVERICK'!CB31</f>
        <v>1192.273528624758</v>
      </c>
      <c r="X32" s="625">
        <f>'Calculs Scénario MAVERICK'!CD31</f>
        <v>0.8485932588076569</v>
      </c>
    </row>
    <row r="33" spans="2:24" ht="15">
      <c r="B33" s="620">
        <v>2036</v>
      </c>
      <c r="C33" s="346">
        <f t="array" ref="C33">SUM(IF((Roadmap_Avion!$B$8:$B$38=$B33)*(Roadmap_Avion!$C$4:$Z$4=C$13)*(Roadmap_Avion!$C$6:$Z$6=C$15)*(Roadmap_Avion!$C$7:$Z$7=C$16),Roadmap_Avion!$C$8:$Z$38,0))</f>
        <v>0.85</v>
      </c>
      <c r="D33" s="347">
        <f t="array" ref="D33">SUM(IF((Roadmap_Avion!$B$8:$B$38=$B33)*(Roadmap_Avion!$C$4:$Z$4=D$13)*(Roadmap_Avion!$C$6:$Z$6=D$15)*(Roadmap_Avion!$C$7:$Z$7=D$16),Roadmap_Avion!$C$8:$Z$38,0))</f>
        <v>0</v>
      </c>
      <c r="E33" s="348">
        <f t="array" ref="E33">SUM(IF((Roadmap_Avion!$B$8:$B$38=$B33)*(Roadmap_Avion!$C$4:$Z$4=E$13)*(Roadmap_Avion!$C$6:$Z$6=E$15)*(Roadmap_Avion!$C$7:$Z$7=E$16),Roadmap_Avion!$C$8:$Z$38,0))</f>
        <v>1</v>
      </c>
      <c r="F33" s="346">
        <f t="array" ref="F33">SUM(IF((Roadmap_Avion!$B$8:$B$38=$B33)*(Roadmap_Avion!$C$4:$Z$4=F$13)*(Roadmap_Avion!$C$6:$Z$6=F$15)*(Roadmap_Avion!$C$7:$Z$7=F$16),Roadmap_Avion!$C$8:$Z$38,0))</f>
        <v>0.85</v>
      </c>
      <c r="G33" s="347">
        <f t="array" ref="G33">SUM(IF((Roadmap_Avion!$B$8:$B$38=$B33)*(Roadmap_Avion!$C$4:$Z$4=G$13)*(Roadmap_Avion!$C$6:$Z$6=G$15)*(Roadmap_Avion!$C$7:$Z$7=G$16),Roadmap_Avion!$C$8:$Z$38,0))</f>
        <v>0</v>
      </c>
      <c r="H33" s="348">
        <f t="array" ref="H33">SUM(IF((Roadmap_Avion!$B$8:$B$38=$B33)*(Roadmap_Avion!$C$4:$Z$4=H$13)*(Roadmap_Avion!$C$6:$Z$6=H$15)*(Roadmap_Avion!$C$7:$Z$7=H$16),Roadmap_Avion!$C$8:$Z$38,0))</f>
        <v>1</v>
      </c>
      <c r="I33" s="346">
        <f t="array" ref="I33">SUM(IF((Roadmap_Avion!$B$8:$B$38=$B33)*(Roadmap_Avion!$C$4:$Z$4=I$13)*(Roadmap_Avion!$C$6:$Z$6=I$15)*(Roadmap_Avion!$C$7:$Z$7=I$16),Roadmap_Avion!$C$8:$Z$38,0))</f>
        <v>0.63749999999999996</v>
      </c>
      <c r="J33" s="347">
        <f t="array" ref="J33">SUM(IF((Roadmap_Avion!$B$8:$B$38=$B33)*(Roadmap_Avion!$C$4:$Z$4=J$13)*(Roadmap_Avion!$C$6:$Z$6=J$15)*(Roadmap_Avion!$C$7:$Z$7=J$16),Roadmap_Avion!$C$8:$Z$38,0))</f>
        <v>0</v>
      </c>
      <c r="K33" s="348">
        <f t="array" ref="K33">SUM(IF((Roadmap_Avion!$B$8:$B$38=$B33)*(Roadmap_Avion!$C$4:$Z$4=K$13)*(Roadmap_Avion!$C$6:$Z$6=K$15)*(Roadmap_Avion!$C$7:$Z$7=K$16),Roadmap_Avion!$C$8:$Z$38,0))</f>
        <v>1</v>
      </c>
      <c r="L33" s="346">
        <f t="array" ref="L33">SUM(IF((Roadmap_Avion!$B$8:$B$38=$B33)*(Roadmap_Avion!$C$4:$Z$4=L$13)*(Roadmap_Avion!$C$6:$Z$6=L$15)*(Roadmap_Avion!$C$7:$Z$7=L$16),Roadmap_Avion!$C$8:$Z$38,0))</f>
        <v>0.5625</v>
      </c>
      <c r="M33" s="347">
        <f t="array" ref="M33">SUM(IF((Roadmap_Avion!$B$8:$B$38=$B33)*(Roadmap_Avion!$C$4:$Z$4=M$13)*(Roadmap_Avion!$C$6:$Z$6=M$15)*(Roadmap_Avion!$C$7:$Z$7=M$16),Roadmap_Avion!$C$8:$Z$38,0))</f>
        <v>1</v>
      </c>
      <c r="N33" s="348">
        <f t="array" ref="N33">SUM(IF((Roadmap_Avion!$B$8:$B$38=$B33)*(Roadmap_Avion!$C$4:$Z$4=N$13)*(Roadmap_Avion!$C$6:$Z$6=N$15)*(Roadmap_Avion!$C$7:$Z$7=N$16),Roadmap_Avion!$C$8:$Z$38,0))</f>
        <v>0</v>
      </c>
      <c r="O33" s="781">
        <f t="array" ref="O33">SUM(IF((Prod_Carburant_Alt!$A$7:$A$37=$B33)*(Prod_Carburant_Alt!$B$3:$AI$3=O$13)*(Prod_Carburant_Alt!$B$5:$AI$5='Synthèse scénarios'!O$15)*(Prod_Carburant_Alt!$B$6:$AI$6=O$16),Prod_Carburant_Alt!$B$7:$AI$37,0))</f>
        <v>70.664328993068466</v>
      </c>
      <c r="P33" s="782">
        <f t="array" ref="P33">SUM(IF((Prod_Carburant_Alt!$A$7:$A$37=$B33)*(Prod_Carburant_Alt!$B$3:$AI$3=P$13)*(Prod_Carburant_Alt!$B$5:$AI$5='Synthèse scénarios'!P$15)*(Prod_Carburant_Alt!$B$6:$AI$6=P$16),Prod_Carburant_Alt!$B$7:$AI$37,0))</f>
        <v>0.204382517533922</v>
      </c>
      <c r="Q33" s="800">
        <f t="array" ref="Q33">SUM(IF((Prod_Carburant_Alt!$A$7:$A$37=$B33)*(Prod_Carburant_Alt!$B$3:$AI$3=Q$13)*(Prod_Carburant_Alt!$B$5:$AI$5='Synthèse scénarios'!Q$15)*(Prod_Carburant_Alt!$B$6:$AI$6=Q$16),Prod_Carburant_Alt!$B$7:$AI$37,0))</f>
        <v>23.286776794328734</v>
      </c>
      <c r="R33" s="621">
        <f>'Calculs Scénario MAVERICK'!BF32</f>
        <v>0.25536666666666663</v>
      </c>
      <c r="S33" s="622">
        <f>'Calculs Scénario MAVERICK'!BE32</f>
        <v>1261.7150317883554</v>
      </c>
      <c r="T33" s="623">
        <f>'Calculs Scénario MAVERICK'!CG32</f>
        <v>0.31788434635222318</v>
      </c>
      <c r="U33" s="622">
        <f>'Calculs Scénario MAVERICK'!CF32</f>
        <v>860.63557362553956</v>
      </c>
      <c r="V33" s="624">
        <f>'Calculs Scénario MAVERICK'!CI32</f>
        <v>0</v>
      </c>
      <c r="W33" s="624">
        <f>'Calculs Scénario MAVERICK'!CB32</f>
        <v>1731.2181339271658</v>
      </c>
      <c r="X33" s="625">
        <f>'Calculs Scénario MAVERICK'!CD32</f>
        <v>1.2321837252150647</v>
      </c>
    </row>
    <row r="34" spans="2:24" ht="15">
      <c r="B34" s="620">
        <v>2037</v>
      </c>
      <c r="C34" s="346">
        <f t="array" ref="C34">SUM(IF((Roadmap_Avion!$B$8:$B$38=$B34)*(Roadmap_Avion!$C$4:$Z$4=C$13)*(Roadmap_Avion!$C$6:$Z$6=C$15)*(Roadmap_Avion!$C$7:$Z$7=C$16),Roadmap_Avion!$C$8:$Z$38,0))</f>
        <v>0.85</v>
      </c>
      <c r="D34" s="347">
        <f t="array" ref="D34">SUM(IF((Roadmap_Avion!$B$8:$B$38=$B34)*(Roadmap_Avion!$C$4:$Z$4=D$13)*(Roadmap_Avion!$C$6:$Z$6=D$15)*(Roadmap_Avion!$C$7:$Z$7=D$16),Roadmap_Avion!$C$8:$Z$38,0))</f>
        <v>0</v>
      </c>
      <c r="E34" s="348">
        <f t="array" ref="E34">SUM(IF((Roadmap_Avion!$B$8:$B$38=$B34)*(Roadmap_Avion!$C$4:$Z$4=E$13)*(Roadmap_Avion!$C$6:$Z$6=E$15)*(Roadmap_Avion!$C$7:$Z$7=E$16),Roadmap_Avion!$C$8:$Z$38,0))</f>
        <v>1</v>
      </c>
      <c r="F34" s="346">
        <f t="array" ref="F34">SUM(IF((Roadmap_Avion!$B$8:$B$38=$B34)*(Roadmap_Avion!$C$4:$Z$4=F$13)*(Roadmap_Avion!$C$6:$Z$6=F$15)*(Roadmap_Avion!$C$7:$Z$7=F$16),Roadmap_Avion!$C$8:$Z$38,0))</f>
        <v>0.85</v>
      </c>
      <c r="G34" s="347">
        <f t="array" ref="G34">SUM(IF((Roadmap_Avion!$B$8:$B$38=$B34)*(Roadmap_Avion!$C$4:$Z$4=G$13)*(Roadmap_Avion!$C$6:$Z$6=G$15)*(Roadmap_Avion!$C$7:$Z$7=G$16),Roadmap_Avion!$C$8:$Z$38,0))</f>
        <v>0</v>
      </c>
      <c r="H34" s="348">
        <f t="array" ref="H34">SUM(IF((Roadmap_Avion!$B$8:$B$38=$B34)*(Roadmap_Avion!$C$4:$Z$4=H$13)*(Roadmap_Avion!$C$6:$Z$6=H$15)*(Roadmap_Avion!$C$7:$Z$7=H$16),Roadmap_Avion!$C$8:$Z$38,0))</f>
        <v>1</v>
      </c>
      <c r="I34" s="346">
        <f t="array" ref="I34">SUM(IF((Roadmap_Avion!$B$8:$B$38=$B34)*(Roadmap_Avion!$C$4:$Z$4=I$13)*(Roadmap_Avion!$C$6:$Z$6=I$15)*(Roadmap_Avion!$C$7:$Z$7=I$16),Roadmap_Avion!$C$8:$Z$38,0))</f>
        <v>0.63749999999999996</v>
      </c>
      <c r="J34" s="347">
        <f t="array" ref="J34">SUM(IF((Roadmap_Avion!$B$8:$B$38=$B34)*(Roadmap_Avion!$C$4:$Z$4=J$13)*(Roadmap_Avion!$C$6:$Z$6=J$15)*(Roadmap_Avion!$C$7:$Z$7=J$16),Roadmap_Avion!$C$8:$Z$38,0))</f>
        <v>0</v>
      </c>
      <c r="K34" s="348">
        <f t="array" ref="K34">SUM(IF((Roadmap_Avion!$B$8:$B$38=$B34)*(Roadmap_Avion!$C$4:$Z$4=K$13)*(Roadmap_Avion!$C$6:$Z$6=K$15)*(Roadmap_Avion!$C$7:$Z$7=K$16),Roadmap_Avion!$C$8:$Z$38,0))</f>
        <v>1</v>
      </c>
      <c r="L34" s="346">
        <f t="array" ref="L34">SUM(IF((Roadmap_Avion!$B$8:$B$38=$B34)*(Roadmap_Avion!$C$4:$Z$4=L$13)*(Roadmap_Avion!$C$6:$Z$6=L$15)*(Roadmap_Avion!$C$7:$Z$7=L$16),Roadmap_Avion!$C$8:$Z$38,0))</f>
        <v>0.5625</v>
      </c>
      <c r="M34" s="347">
        <f t="array" ref="M34">SUM(IF((Roadmap_Avion!$B$8:$B$38=$B34)*(Roadmap_Avion!$C$4:$Z$4=M$13)*(Roadmap_Avion!$C$6:$Z$6=M$15)*(Roadmap_Avion!$C$7:$Z$7=M$16),Roadmap_Avion!$C$8:$Z$38,0))</f>
        <v>1</v>
      </c>
      <c r="N34" s="348">
        <f t="array" ref="N34">SUM(IF((Roadmap_Avion!$B$8:$B$38=$B34)*(Roadmap_Avion!$C$4:$Z$4=N$13)*(Roadmap_Avion!$C$6:$Z$6=N$15)*(Roadmap_Avion!$C$7:$Z$7=N$16),Roadmap_Avion!$C$8:$Z$38,0))</f>
        <v>0</v>
      </c>
      <c r="O34" s="781">
        <f t="array" ref="O34">SUM(IF((Prod_Carburant_Alt!$A$7:$A$37=$B34)*(Prod_Carburant_Alt!$B$3:$AI$3=O$13)*(Prod_Carburant_Alt!$B$5:$AI$5='Synthèse scénarios'!O$15)*(Prod_Carburant_Alt!$B$6:$AI$6=O$16),Prod_Carburant_Alt!$B$7:$AI$37,0))</f>
        <v>81.263978342028736</v>
      </c>
      <c r="P34" s="782">
        <f t="array" ref="P34">SUM(IF((Prod_Carburant_Alt!$A$7:$A$37=$B34)*(Prod_Carburant_Alt!$B$3:$AI$3=P$13)*(Prod_Carburant_Alt!$B$5:$AI$5='Synthèse scénarios'!P$15)*(Prod_Carburant_Alt!$B$6:$AI$6=P$16),Prod_Carburant_Alt!$B$7:$AI$37,0))</f>
        <v>0.20438251753392203</v>
      </c>
      <c r="Q34" s="800">
        <f t="array" ref="Q34">SUM(IF((Prod_Carburant_Alt!$A$7:$A$37=$B34)*(Prod_Carburant_Alt!$B$3:$AI$3=Q$13)*(Prod_Carburant_Alt!$B$5:$AI$5='Synthèse scénarios'!Q$15)*(Prod_Carburant_Alt!$B$6:$AI$6=Q$16),Prod_Carburant_Alt!$B$7:$AI$37,0))</f>
        <v>29.108470992910917</v>
      </c>
      <c r="R34" s="621">
        <f>'Calculs Scénario MAVERICK'!BF33</f>
        <v>0.26390666666666651</v>
      </c>
      <c r="S34" s="622">
        <f>'Calculs Scénario MAVERICK'!BE33</f>
        <v>1294.0029658360825</v>
      </c>
      <c r="T34" s="623">
        <f>'Calculs Scénario MAVERICK'!CG33</f>
        <v>0.39510546396123247</v>
      </c>
      <c r="U34" s="622">
        <f>'Calculs Scénario MAVERICK'!CF33</f>
        <v>782.73532365220626</v>
      </c>
      <c r="V34" s="624">
        <f>'Calculs Scénario MAVERICK'!CI33</f>
        <v>0</v>
      </c>
      <c r="W34" s="624">
        <f>'Calculs Scénario MAVERICK'!CB33</f>
        <v>2347.2081331618383</v>
      </c>
      <c r="X34" s="625">
        <f>'Calculs Scénario MAVERICK'!CD33</f>
        <v>1.6706107709336928</v>
      </c>
    </row>
    <row r="35" spans="2:24" ht="15">
      <c r="B35" s="620">
        <v>2038</v>
      </c>
      <c r="C35" s="346">
        <f t="array" ref="C35">SUM(IF((Roadmap_Avion!$B$8:$B$38=$B35)*(Roadmap_Avion!$C$4:$Z$4=C$13)*(Roadmap_Avion!$C$6:$Z$6=C$15)*(Roadmap_Avion!$C$7:$Z$7=C$16),Roadmap_Avion!$C$8:$Z$38,0))</f>
        <v>0.85</v>
      </c>
      <c r="D35" s="347">
        <f t="array" ref="D35">SUM(IF((Roadmap_Avion!$B$8:$B$38=$B35)*(Roadmap_Avion!$C$4:$Z$4=D$13)*(Roadmap_Avion!$C$6:$Z$6=D$15)*(Roadmap_Avion!$C$7:$Z$7=D$16),Roadmap_Avion!$C$8:$Z$38,0))</f>
        <v>0</v>
      </c>
      <c r="E35" s="348">
        <f t="array" ref="E35">SUM(IF((Roadmap_Avion!$B$8:$B$38=$B35)*(Roadmap_Avion!$C$4:$Z$4=E$13)*(Roadmap_Avion!$C$6:$Z$6=E$15)*(Roadmap_Avion!$C$7:$Z$7=E$16),Roadmap_Avion!$C$8:$Z$38,0))</f>
        <v>1</v>
      </c>
      <c r="F35" s="346">
        <f t="array" ref="F35">SUM(IF((Roadmap_Avion!$B$8:$B$38=$B35)*(Roadmap_Avion!$C$4:$Z$4=F$13)*(Roadmap_Avion!$C$6:$Z$6=F$15)*(Roadmap_Avion!$C$7:$Z$7=F$16),Roadmap_Avion!$C$8:$Z$38,0))</f>
        <v>0.85</v>
      </c>
      <c r="G35" s="347">
        <f t="array" ref="G35">SUM(IF((Roadmap_Avion!$B$8:$B$38=$B35)*(Roadmap_Avion!$C$4:$Z$4=G$13)*(Roadmap_Avion!$C$6:$Z$6=G$15)*(Roadmap_Avion!$C$7:$Z$7=G$16),Roadmap_Avion!$C$8:$Z$38,0))</f>
        <v>0</v>
      </c>
      <c r="H35" s="348">
        <f t="array" ref="H35">SUM(IF((Roadmap_Avion!$B$8:$B$38=$B35)*(Roadmap_Avion!$C$4:$Z$4=H$13)*(Roadmap_Avion!$C$6:$Z$6=H$15)*(Roadmap_Avion!$C$7:$Z$7=H$16),Roadmap_Avion!$C$8:$Z$38,0))</f>
        <v>1</v>
      </c>
      <c r="I35" s="346">
        <f t="array" ref="I35">SUM(IF((Roadmap_Avion!$B$8:$B$38=$B35)*(Roadmap_Avion!$C$4:$Z$4=I$13)*(Roadmap_Avion!$C$6:$Z$6=I$15)*(Roadmap_Avion!$C$7:$Z$7=I$16),Roadmap_Avion!$C$8:$Z$38,0))</f>
        <v>0.63749999999999996</v>
      </c>
      <c r="J35" s="347">
        <f t="array" ref="J35">SUM(IF((Roadmap_Avion!$B$8:$B$38=$B35)*(Roadmap_Avion!$C$4:$Z$4=J$13)*(Roadmap_Avion!$C$6:$Z$6=J$15)*(Roadmap_Avion!$C$7:$Z$7=J$16),Roadmap_Avion!$C$8:$Z$38,0))</f>
        <v>0</v>
      </c>
      <c r="K35" s="348">
        <f t="array" ref="K35">SUM(IF((Roadmap_Avion!$B$8:$B$38=$B35)*(Roadmap_Avion!$C$4:$Z$4=K$13)*(Roadmap_Avion!$C$6:$Z$6=K$15)*(Roadmap_Avion!$C$7:$Z$7=K$16),Roadmap_Avion!$C$8:$Z$38,0))</f>
        <v>1</v>
      </c>
      <c r="L35" s="346">
        <f t="array" ref="L35">SUM(IF((Roadmap_Avion!$B$8:$B$38=$B35)*(Roadmap_Avion!$C$4:$Z$4=L$13)*(Roadmap_Avion!$C$6:$Z$6=L$15)*(Roadmap_Avion!$C$7:$Z$7=L$16),Roadmap_Avion!$C$8:$Z$38,0))</f>
        <v>0.5625</v>
      </c>
      <c r="M35" s="347">
        <f t="array" ref="M35">SUM(IF((Roadmap_Avion!$B$8:$B$38=$B35)*(Roadmap_Avion!$C$4:$Z$4=M$13)*(Roadmap_Avion!$C$6:$Z$6=M$15)*(Roadmap_Avion!$C$7:$Z$7=M$16),Roadmap_Avion!$C$8:$Z$38,0))</f>
        <v>1</v>
      </c>
      <c r="N35" s="348">
        <f t="array" ref="N35">SUM(IF((Roadmap_Avion!$B$8:$B$38=$B35)*(Roadmap_Avion!$C$4:$Z$4=N$13)*(Roadmap_Avion!$C$6:$Z$6=N$15)*(Roadmap_Avion!$C$7:$Z$7=N$16),Roadmap_Avion!$C$8:$Z$38,0))</f>
        <v>0</v>
      </c>
      <c r="O35" s="781">
        <f t="array" ref="O35">SUM(IF((Prod_Carburant_Alt!$A$7:$A$37=$B35)*(Prod_Carburant_Alt!$B$3:$AI$3=O$13)*(Prod_Carburant_Alt!$B$5:$AI$5='Synthèse scénarios'!O$15)*(Prod_Carburant_Alt!$B$6:$AI$6=O$16),Prod_Carburant_Alt!$B$7:$AI$37,0))</f>
        <v>93.453575093333029</v>
      </c>
      <c r="P35" s="782">
        <f t="array" ref="P35">SUM(IF((Prod_Carburant_Alt!$A$7:$A$37=$B35)*(Prod_Carburant_Alt!$B$3:$AI$3=P$13)*(Prod_Carburant_Alt!$B$5:$AI$5='Synthèse scénarios'!P$15)*(Prod_Carburant_Alt!$B$6:$AI$6=P$16),Prod_Carburant_Alt!$B$7:$AI$37,0))</f>
        <v>0.20438251753392203</v>
      </c>
      <c r="Q35" s="800">
        <f t="array" ref="Q35">SUM(IF((Prod_Carburant_Alt!$A$7:$A$37=$B35)*(Prod_Carburant_Alt!$B$3:$AI$3=Q$13)*(Prod_Carburant_Alt!$B$5:$AI$5='Synthèse scénarios'!Q$15)*(Prod_Carburant_Alt!$B$6:$AI$6=Q$16),Prod_Carburant_Alt!$B$7:$AI$37,0))</f>
        <v>36.385588741138648</v>
      </c>
      <c r="R35" s="621">
        <f>'Calculs Scénario MAVERICK'!BF34</f>
        <v>0.28072666666666668</v>
      </c>
      <c r="S35" s="622">
        <f>'Calculs Scénario MAVERICK'!BE34</f>
        <v>1311.4952823586752</v>
      </c>
      <c r="T35" s="623">
        <f>'Calculs Scénario MAVERICK'!CG34</f>
        <v>0.48122355283014173</v>
      </c>
      <c r="U35" s="622">
        <f>'Calculs Scénario MAVERICK'!CF34</f>
        <v>680.37286306206363</v>
      </c>
      <c r="V35" s="624">
        <f>'Calculs Scénario MAVERICK'!CI34</f>
        <v>0</v>
      </c>
      <c r="W35" s="624">
        <f>'Calculs Scénario MAVERICK'!CB34</f>
        <v>3030.2281970774629</v>
      </c>
      <c r="X35" s="625">
        <f>'Calculs Scénario MAVERICK'!CD34</f>
        <v>2.1567460477419664</v>
      </c>
    </row>
    <row r="36" spans="2:24" ht="15">
      <c r="B36" s="620">
        <v>2039</v>
      </c>
      <c r="C36" s="346">
        <f t="array" ref="C36">SUM(IF((Roadmap_Avion!$B$8:$B$38=$B36)*(Roadmap_Avion!$C$4:$Z$4=C$13)*(Roadmap_Avion!$C$6:$Z$6=C$15)*(Roadmap_Avion!$C$7:$Z$7=C$16),Roadmap_Avion!$C$8:$Z$38,0))</f>
        <v>0.85</v>
      </c>
      <c r="D36" s="347">
        <f t="array" ref="D36">SUM(IF((Roadmap_Avion!$B$8:$B$38=$B36)*(Roadmap_Avion!$C$4:$Z$4=D$13)*(Roadmap_Avion!$C$6:$Z$6=D$15)*(Roadmap_Avion!$C$7:$Z$7=D$16),Roadmap_Avion!$C$8:$Z$38,0))</f>
        <v>0</v>
      </c>
      <c r="E36" s="348">
        <f t="array" ref="E36">SUM(IF((Roadmap_Avion!$B$8:$B$38=$B36)*(Roadmap_Avion!$C$4:$Z$4=E$13)*(Roadmap_Avion!$C$6:$Z$6=E$15)*(Roadmap_Avion!$C$7:$Z$7=E$16),Roadmap_Avion!$C$8:$Z$38,0))</f>
        <v>1</v>
      </c>
      <c r="F36" s="346">
        <f t="array" ref="F36">SUM(IF((Roadmap_Avion!$B$8:$B$38=$B36)*(Roadmap_Avion!$C$4:$Z$4=F$13)*(Roadmap_Avion!$C$6:$Z$6=F$15)*(Roadmap_Avion!$C$7:$Z$7=F$16),Roadmap_Avion!$C$8:$Z$38,0))</f>
        <v>0.85</v>
      </c>
      <c r="G36" s="347">
        <f t="array" ref="G36">SUM(IF((Roadmap_Avion!$B$8:$B$38=$B36)*(Roadmap_Avion!$C$4:$Z$4=G$13)*(Roadmap_Avion!$C$6:$Z$6=G$15)*(Roadmap_Avion!$C$7:$Z$7=G$16),Roadmap_Avion!$C$8:$Z$38,0))</f>
        <v>0</v>
      </c>
      <c r="H36" s="348">
        <f t="array" ref="H36">SUM(IF((Roadmap_Avion!$B$8:$B$38=$B36)*(Roadmap_Avion!$C$4:$Z$4=H$13)*(Roadmap_Avion!$C$6:$Z$6=H$15)*(Roadmap_Avion!$C$7:$Z$7=H$16),Roadmap_Avion!$C$8:$Z$38,0))</f>
        <v>1</v>
      </c>
      <c r="I36" s="346">
        <f t="array" ref="I36">SUM(IF((Roadmap_Avion!$B$8:$B$38=$B36)*(Roadmap_Avion!$C$4:$Z$4=I$13)*(Roadmap_Avion!$C$6:$Z$6=I$15)*(Roadmap_Avion!$C$7:$Z$7=I$16),Roadmap_Avion!$C$8:$Z$38,0))</f>
        <v>0.63749999999999996</v>
      </c>
      <c r="J36" s="347">
        <f t="array" ref="J36">SUM(IF((Roadmap_Avion!$B$8:$B$38=$B36)*(Roadmap_Avion!$C$4:$Z$4=J$13)*(Roadmap_Avion!$C$6:$Z$6=J$15)*(Roadmap_Avion!$C$7:$Z$7=J$16),Roadmap_Avion!$C$8:$Z$38,0))</f>
        <v>0</v>
      </c>
      <c r="K36" s="348">
        <f t="array" ref="K36">SUM(IF((Roadmap_Avion!$B$8:$B$38=$B36)*(Roadmap_Avion!$C$4:$Z$4=K$13)*(Roadmap_Avion!$C$6:$Z$6=K$15)*(Roadmap_Avion!$C$7:$Z$7=K$16),Roadmap_Avion!$C$8:$Z$38,0))</f>
        <v>1</v>
      </c>
      <c r="L36" s="346">
        <f t="array" ref="L36">SUM(IF((Roadmap_Avion!$B$8:$B$38=$B36)*(Roadmap_Avion!$C$4:$Z$4=L$13)*(Roadmap_Avion!$C$6:$Z$6=L$15)*(Roadmap_Avion!$C$7:$Z$7=L$16),Roadmap_Avion!$C$8:$Z$38,0))</f>
        <v>0.5625</v>
      </c>
      <c r="M36" s="347">
        <f t="array" ref="M36">SUM(IF((Roadmap_Avion!$B$8:$B$38=$B36)*(Roadmap_Avion!$C$4:$Z$4=M$13)*(Roadmap_Avion!$C$6:$Z$6=M$15)*(Roadmap_Avion!$C$7:$Z$7=M$16),Roadmap_Avion!$C$8:$Z$38,0))</f>
        <v>1</v>
      </c>
      <c r="N36" s="348">
        <f t="array" ref="N36">SUM(IF((Roadmap_Avion!$B$8:$B$38=$B36)*(Roadmap_Avion!$C$4:$Z$4=N$13)*(Roadmap_Avion!$C$6:$Z$6=N$15)*(Roadmap_Avion!$C$7:$Z$7=N$16),Roadmap_Avion!$C$8:$Z$38,0))</f>
        <v>0</v>
      </c>
      <c r="O36" s="781">
        <f t="array" ref="O36">SUM(IF((Prod_Carburant_Alt!$A$7:$A$37=$B36)*(Prod_Carburant_Alt!$B$3:$AI$3=O$13)*(Prod_Carburant_Alt!$B$5:$AI$5='Synthèse scénarios'!O$15)*(Prod_Carburant_Alt!$B$6:$AI$6=O$16),Prod_Carburant_Alt!$B$7:$AI$37,0))</f>
        <v>107.47161135733299</v>
      </c>
      <c r="P36" s="782">
        <f t="array" ref="P36">SUM(IF((Prod_Carburant_Alt!$A$7:$A$37=$B36)*(Prod_Carburant_Alt!$B$3:$AI$3=P$13)*(Prod_Carburant_Alt!$B$5:$AI$5='Synthèse scénarios'!P$15)*(Prod_Carburant_Alt!$B$6:$AI$6=P$16),Prod_Carburant_Alt!$B$7:$AI$37,0))</f>
        <v>0.20438251753392198</v>
      </c>
      <c r="Q36" s="800">
        <f t="array" ref="Q36">SUM(IF((Prod_Carburant_Alt!$A$7:$A$37=$B36)*(Prod_Carburant_Alt!$B$3:$AI$3=Q$13)*(Prod_Carburant_Alt!$B$5:$AI$5='Synthèse scénarios'!Q$15)*(Prod_Carburant_Alt!$B$6:$AI$6=Q$16),Prod_Carburant_Alt!$B$7:$AI$37,0))</f>
        <v>45.481985926423313</v>
      </c>
      <c r="R36" s="621">
        <f>'Calculs Scénario MAVERICK'!BF35</f>
        <v>0.28926666666666678</v>
      </c>
      <c r="S36" s="622">
        <f>'Calculs Scénario MAVERICK'!BE35</f>
        <v>1343.7673520911917</v>
      </c>
      <c r="T36" s="623">
        <f>'Calculs Scénario MAVERICK'!CG35</f>
        <v>0.5709067931554298</v>
      </c>
      <c r="U36" s="622">
        <f>'Calculs Scénario MAVERICK'!CF35</f>
        <v>576.60144236184613</v>
      </c>
      <c r="V36" s="624">
        <f>'Calculs Scénario MAVERICK'!CI35</f>
        <v>0</v>
      </c>
      <c r="W36" s="624">
        <f>'Calculs Scénario MAVERICK'!CB35</f>
        <v>3824.0977938418018</v>
      </c>
      <c r="X36" s="625">
        <f>'Calculs Scénario MAVERICK'!CD35</f>
        <v>2.7217777892112465</v>
      </c>
    </row>
    <row r="37" spans="2:24" ht="15">
      <c r="B37" s="620">
        <v>2040</v>
      </c>
      <c r="C37" s="346">
        <f t="array" ref="C37">SUM(IF((Roadmap_Avion!$B$8:$B$38=$B37)*(Roadmap_Avion!$C$4:$Z$4=C$13)*(Roadmap_Avion!$C$6:$Z$6=C$15)*(Roadmap_Avion!$C$7:$Z$7=C$16),Roadmap_Avion!$C$8:$Z$38,0))</f>
        <v>0.85</v>
      </c>
      <c r="D37" s="347">
        <f t="array" ref="D37">SUM(IF((Roadmap_Avion!$B$8:$B$38=$B37)*(Roadmap_Avion!$C$4:$Z$4=D$13)*(Roadmap_Avion!$C$6:$Z$6=D$15)*(Roadmap_Avion!$C$7:$Z$7=D$16),Roadmap_Avion!$C$8:$Z$38,0))</f>
        <v>0</v>
      </c>
      <c r="E37" s="348">
        <f t="array" ref="E37">SUM(IF((Roadmap_Avion!$B$8:$B$38=$B37)*(Roadmap_Avion!$C$4:$Z$4=E$13)*(Roadmap_Avion!$C$6:$Z$6=E$15)*(Roadmap_Avion!$C$7:$Z$7=E$16),Roadmap_Avion!$C$8:$Z$38,0))</f>
        <v>1</v>
      </c>
      <c r="F37" s="346">
        <f t="array" ref="F37">SUM(IF((Roadmap_Avion!$B$8:$B$38=$B37)*(Roadmap_Avion!$C$4:$Z$4=F$13)*(Roadmap_Avion!$C$6:$Z$6=F$15)*(Roadmap_Avion!$C$7:$Z$7=F$16),Roadmap_Avion!$C$8:$Z$38,0))</f>
        <v>0.85</v>
      </c>
      <c r="G37" s="347">
        <f t="array" ref="G37">SUM(IF((Roadmap_Avion!$B$8:$B$38=$B37)*(Roadmap_Avion!$C$4:$Z$4=G$13)*(Roadmap_Avion!$C$6:$Z$6=G$15)*(Roadmap_Avion!$C$7:$Z$7=G$16),Roadmap_Avion!$C$8:$Z$38,0))</f>
        <v>0</v>
      </c>
      <c r="H37" s="348">
        <f t="array" ref="H37">SUM(IF((Roadmap_Avion!$B$8:$B$38=$B37)*(Roadmap_Avion!$C$4:$Z$4=H$13)*(Roadmap_Avion!$C$6:$Z$6=H$15)*(Roadmap_Avion!$C$7:$Z$7=H$16),Roadmap_Avion!$C$8:$Z$38,0))</f>
        <v>1</v>
      </c>
      <c r="I37" s="346">
        <f t="array" ref="I37">SUM(IF((Roadmap_Avion!$B$8:$B$38=$B37)*(Roadmap_Avion!$C$4:$Z$4=I$13)*(Roadmap_Avion!$C$6:$Z$6=I$15)*(Roadmap_Avion!$C$7:$Z$7=I$16),Roadmap_Avion!$C$8:$Z$38,0))</f>
        <v>0.63749999999999996</v>
      </c>
      <c r="J37" s="347">
        <f t="array" ref="J37">SUM(IF((Roadmap_Avion!$B$8:$B$38=$B37)*(Roadmap_Avion!$C$4:$Z$4=J$13)*(Roadmap_Avion!$C$6:$Z$6=J$15)*(Roadmap_Avion!$C$7:$Z$7=J$16),Roadmap_Avion!$C$8:$Z$38,0))</f>
        <v>0</v>
      </c>
      <c r="K37" s="348">
        <f t="array" ref="K37">SUM(IF((Roadmap_Avion!$B$8:$B$38=$B37)*(Roadmap_Avion!$C$4:$Z$4=K$13)*(Roadmap_Avion!$C$6:$Z$6=K$15)*(Roadmap_Avion!$C$7:$Z$7=K$16),Roadmap_Avion!$C$8:$Z$38,0))</f>
        <v>1</v>
      </c>
      <c r="L37" s="346">
        <f t="array" ref="L37">SUM(IF((Roadmap_Avion!$B$8:$B$38=$B37)*(Roadmap_Avion!$C$4:$Z$4=L$13)*(Roadmap_Avion!$C$6:$Z$6=L$15)*(Roadmap_Avion!$C$7:$Z$7=L$16),Roadmap_Avion!$C$8:$Z$38,0))</f>
        <v>0.5625</v>
      </c>
      <c r="M37" s="347">
        <f t="array" ref="M37">SUM(IF((Roadmap_Avion!$B$8:$B$38=$B37)*(Roadmap_Avion!$C$4:$Z$4=M$13)*(Roadmap_Avion!$C$6:$Z$6=M$15)*(Roadmap_Avion!$C$7:$Z$7=M$16),Roadmap_Avion!$C$8:$Z$38,0))</f>
        <v>1</v>
      </c>
      <c r="N37" s="348">
        <f t="array" ref="N37">SUM(IF((Roadmap_Avion!$B$8:$B$38=$B37)*(Roadmap_Avion!$C$4:$Z$4=N$13)*(Roadmap_Avion!$C$6:$Z$6=N$15)*(Roadmap_Avion!$C$7:$Z$7=N$16),Roadmap_Avion!$C$8:$Z$38,0))</f>
        <v>0</v>
      </c>
      <c r="O37" s="781">
        <f t="array" ref="O37">SUM(IF((Prod_Carburant_Alt!$A$7:$A$37=$B37)*(Prod_Carburant_Alt!$B$3:$AI$3=O$13)*(Prod_Carburant_Alt!$B$5:$AI$5='Synthèse scénarios'!O$15)*(Prod_Carburant_Alt!$B$6:$AI$6=O$16),Prod_Carburant_Alt!$B$7:$AI$37,0))</f>
        <v>123.59235306093292</v>
      </c>
      <c r="P37" s="782">
        <f t="array" ref="P37">SUM(IF((Prod_Carburant_Alt!$A$7:$A$37=$B37)*(Prod_Carburant_Alt!$B$3:$AI$3=P$13)*(Prod_Carburant_Alt!$B$5:$AI$5='Synthèse scénarios'!P$15)*(Prod_Carburant_Alt!$B$6:$AI$6=P$16),Prod_Carburant_Alt!$B$7:$AI$37,0))</f>
        <v>0.204382517533922</v>
      </c>
      <c r="Q37" s="800">
        <f t="array" ref="Q37">SUM(IF((Prod_Carburant_Alt!$A$7:$A$37=$B37)*(Prod_Carburant_Alt!$B$3:$AI$3=Q$13)*(Prod_Carburant_Alt!$B$5:$AI$5='Synthèse scénarios'!Q$15)*(Prod_Carburant_Alt!$B$6:$AI$6=Q$16),Prod_Carburant_Alt!$B$7:$AI$37,0))</f>
        <v>56.85248240802914</v>
      </c>
      <c r="R37" s="621">
        <f>'Calculs Scénario MAVERICK'!BF36</f>
        <v>0.30003333333333337</v>
      </c>
      <c r="S37" s="622">
        <f>'Calculs Scénario MAVERICK'!BE36</f>
        <v>1371.8277808707453</v>
      </c>
      <c r="T37" s="623">
        <f>'Calculs Scénario MAVERICK'!CG36</f>
        <v>0.60571413687629372</v>
      </c>
      <c r="U37" s="622">
        <f>'Calculs Scénario MAVERICK'!CF36</f>
        <v>540.89230063770037</v>
      </c>
      <c r="V37" s="624">
        <f>'Calculs Scénario MAVERICK'!CI36</f>
        <v>0</v>
      </c>
      <c r="W37" s="624">
        <f>'Calculs Scénario MAVERICK'!CB36</f>
        <v>4323.4401023583378</v>
      </c>
      <c r="X37" s="625">
        <f>'Calculs Scénario MAVERICK'!CD36</f>
        <v>3.0771815675148311</v>
      </c>
    </row>
    <row r="38" spans="2:24" ht="15">
      <c r="B38" s="620">
        <v>2041</v>
      </c>
      <c r="C38" s="346">
        <f t="array" ref="C38">SUM(IF((Roadmap_Avion!$B$8:$B$38=$B38)*(Roadmap_Avion!$C$4:$Z$4=C$13)*(Roadmap_Avion!$C$6:$Z$6=C$15)*(Roadmap_Avion!$C$7:$Z$7=C$16),Roadmap_Avion!$C$8:$Z$38,0))</f>
        <v>0.85</v>
      </c>
      <c r="D38" s="347">
        <f t="array" ref="D38">SUM(IF((Roadmap_Avion!$B$8:$B$38=$B38)*(Roadmap_Avion!$C$4:$Z$4=D$13)*(Roadmap_Avion!$C$6:$Z$6=D$15)*(Roadmap_Avion!$C$7:$Z$7=D$16),Roadmap_Avion!$C$8:$Z$38,0))</f>
        <v>0</v>
      </c>
      <c r="E38" s="348">
        <f t="array" ref="E38">SUM(IF((Roadmap_Avion!$B$8:$B$38=$B38)*(Roadmap_Avion!$C$4:$Z$4=E$13)*(Roadmap_Avion!$C$6:$Z$6=E$15)*(Roadmap_Avion!$C$7:$Z$7=E$16),Roadmap_Avion!$C$8:$Z$38,0))</f>
        <v>1</v>
      </c>
      <c r="F38" s="346">
        <f t="array" ref="F38">SUM(IF((Roadmap_Avion!$B$8:$B$38=$B38)*(Roadmap_Avion!$C$4:$Z$4=F$13)*(Roadmap_Avion!$C$6:$Z$6=F$15)*(Roadmap_Avion!$C$7:$Z$7=F$16),Roadmap_Avion!$C$8:$Z$38,0))</f>
        <v>0.85</v>
      </c>
      <c r="G38" s="347">
        <f t="array" ref="G38">SUM(IF((Roadmap_Avion!$B$8:$B$38=$B38)*(Roadmap_Avion!$C$4:$Z$4=G$13)*(Roadmap_Avion!$C$6:$Z$6=G$15)*(Roadmap_Avion!$C$7:$Z$7=G$16),Roadmap_Avion!$C$8:$Z$38,0))</f>
        <v>0</v>
      </c>
      <c r="H38" s="348">
        <f t="array" ref="H38">SUM(IF((Roadmap_Avion!$B$8:$B$38=$B38)*(Roadmap_Avion!$C$4:$Z$4=H$13)*(Roadmap_Avion!$C$6:$Z$6=H$15)*(Roadmap_Avion!$C$7:$Z$7=H$16),Roadmap_Avion!$C$8:$Z$38,0))</f>
        <v>1</v>
      </c>
      <c r="I38" s="346">
        <f t="array" ref="I38">SUM(IF((Roadmap_Avion!$B$8:$B$38=$B38)*(Roadmap_Avion!$C$4:$Z$4=I$13)*(Roadmap_Avion!$C$6:$Z$6=I$15)*(Roadmap_Avion!$C$7:$Z$7=I$16),Roadmap_Avion!$C$8:$Z$38,0))</f>
        <v>0.63749999999999996</v>
      </c>
      <c r="J38" s="347">
        <f t="array" ref="J38">SUM(IF((Roadmap_Avion!$B$8:$B$38=$B38)*(Roadmap_Avion!$C$4:$Z$4=J$13)*(Roadmap_Avion!$C$6:$Z$6=J$15)*(Roadmap_Avion!$C$7:$Z$7=J$16),Roadmap_Avion!$C$8:$Z$38,0))</f>
        <v>0</v>
      </c>
      <c r="K38" s="348">
        <f t="array" ref="K38">SUM(IF((Roadmap_Avion!$B$8:$B$38=$B38)*(Roadmap_Avion!$C$4:$Z$4=K$13)*(Roadmap_Avion!$C$6:$Z$6=K$15)*(Roadmap_Avion!$C$7:$Z$7=K$16),Roadmap_Avion!$C$8:$Z$38,0))</f>
        <v>1</v>
      </c>
      <c r="L38" s="346">
        <f t="array" ref="L38">SUM(IF((Roadmap_Avion!$B$8:$B$38=$B38)*(Roadmap_Avion!$C$4:$Z$4=L$13)*(Roadmap_Avion!$C$6:$Z$6=L$15)*(Roadmap_Avion!$C$7:$Z$7=L$16),Roadmap_Avion!$C$8:$Z$38,0))</f>
        <v>0.5625</v>
      </c>
      <c r="M38" s="347">
        <f t="array" ref="M38">SUM(IF((Roadmap_Avion!$B$8:$B$38=$B38)*(Roadmap_Avion!$C$4:$Z$4=M$13)*(Roadmap_Avion!$C$6:$Z$6=M$15)*(Roadmap_Avion!$C$7:$Z$7=M$16),Roadmap_Avion!$C$8:$Z$38,0))</f>
        <v>1</v>
      </c>
      <c r="N38" s="348">
        <f t="array" ref="N38">SUM(IF((Roadmap_Avion!$B$8:$B$38=$B38)*(Roadmap_Avion!$C$4:$Z$4=N$13)*(Roadmap_Avion!$C$6:$Z$6=N$15)*(Roadmap_Avion!$C$7:$Z$7=N$16),Roadmap_Avion!$C$8:$Z$38,0))</f>
        <v>0</v>
      </c>
      <c r="O38" s="781">
        <f t="array" ref="O38">SUM(IF((Prod_Carburant_Alt!$A$7:$A$37=$B38)*(Prod_Carburant_Alt!$B$3:$AI$3=O$13)*(Prod_Carburant_Alt!$B$5:$AI$5='Synthèse scénarios'!O$15)*(Prod_Carburant_Alt!$B$6:$AI$6=O$16),Prod_Carburant_Alt!$B$7:$AI$37,0))</f>
        <v>142.13120602007285</v>
      </c>
      <c r="P38" s="782">
        <f t="array" ref="P38">SUM(IF((Prod_Carburant_Alt!$A$7:$A$37=$B38)*(Prod_Carburant_Alt!$B$3:$AI$3=P$13)*(Prod_Carburant_Alt!$B$5:$AI$5='Synthèse scénarios'!P$15)*(Prod_Carburant_Alt!$B$6:$AI$6=P$16),Prod_Carburant_Alt!$B$7:$AI$37,0))</f>
        <v>0.20438251753392198</v>
      </c>
      <c r="Q38" s="800">
        <f t="array" ref="Q38">SUM(IF((Prod_Carburant_Alt!$A$7:$A$37=$B38)*(Prod_Carburant_Alt!$B$3:$AI$3=Q$13)*(Prod_Carburant_Alt!$B$5:$AI$5='Synthèse scénarios'!Q$15)*(Prod_Carburant_Alt!$B$6:$AI$6=Q$16),Prod_Carburant_Alt!$B$7:$AI$37,0))</f>
        <v>71.065603010036426</v>
      </c>
      <c r="R38" s="621">
        <f>'Calculs Scénario MAVERICK'!BF37</f>
        <v>0.31080000000000008</v>
      </c>
      <c r="S38" s="622">
        <f>'Calculs Scénario MAVERICK'!BE37</f>
        <v>1399.6415943492666</v>
      </c>
      <c r="T38" s="623">
        <f>'Calculs Scénario MAVERICK'!CG37</f>
        <v>0.63928558248609413</v>
      </c>
      <c r="U38" s="622">
        <f>'Calculs Scénario MAVERICK'!CF37</f>
        <v>504.87090243393021</v>
      </c>
      <c r="V38" s="624">
        <f>'Calculs Scénario MAVERICK'!CI37</f>
        <v>0</v>
      </c>
      <c r="W38" s="624">
        <f>'Calculs Scénario MAVERICK'!CB37</f>
        <v>4827.4787331985117</v>
      </c>
      <c r="X38" s="625">
        <f>'Calculs Scénario MAVERICK'!CD37</f>
        <v>3.4359279239847056</v>
      </c>
    </row>
    <row r="39" spans="2:24" ht="15">
      <c r="B39" s="620">
        <v>2042</v>
      </c>
      <c r="C39" s="346">
        <f t="array" ref="C39">SUM(IF((Roadmap_Avion!$B$8:$B$38=$B39)*(Roadmap_Avion!$C$4:$Z$4=C$13)*(Roadmap_Avion!$C$6:$Z$6=C$15)*(Roadmap_Avion!$C$7:$Z$7=C$16),Roadmap_Avion!$C$8:$Z$38,0))</f>
        <v>0.85</v>
      </c>
      <c r="D39" s="347">
        <f t="array" ref="D39">SUM(IF((Roadmap_Avion!$B$8:$B$38=$B39)*(Roadmap_Avion!$C$4:$Z$4=D$13)*(Roadmap_Avion!$C$6:$Z$6=D$15)*(Roadmap_Avion!$C$7:$Z$7=D$16),Roadmap_Avion!$C$8:$Z$38,0))</f>
        <v>0</v>
      </c>
      <c r="E39" s="348">
        <f t="array" ref="E39">SUM(IF((Roadmap_Avion!$B$8:$B$38=$B39)*(Roadmap_Avion!$C$4:$Z$4=E$13)*(Roadmap_Avion!$C$6:$Z$6=E$15)*(Roadmap_Avion!$C$7:$Z$7=E$16),Roadmap_Avion!$C$8:$Z$38,0))</f>
        <v>1</v>
      </c>
      <c r="F39" s="346">
        <f t="array" ref="F39">SUM(IF((Roadmap_Avion!$B$8:$B$38=$B39)*(Roadmap_Avion!$C$4:$Z$4=F$13)*(Roadmap_Avion!$C$6:$Z$6=F$15)*(Roadmap_Avion!$C$7:$Z$7=F$16),Roadmap_Avion!$C$8:$Z$38,0))</f>
        <v>0.85</v>
      </c>
      <c r="G39" s="347">
        <f t="array" ref="G39">SUM(IF((Roadmap_Avion!$B$8:$B$38=$B39)*(Roadmap_Avion!$C$4:$Z$4=G$13)*(Roadmap_Avion!$C$6:$Z$6=G$15)*(Roadmap_Avion!$C$7:$Z$7=G$16),Roadmap_Avion!$C$8:$Z$38,0))</f>
        <v>0</v>
      </c>
      <c r="H39" s="348">
        <f t="array" ref="H39">SUM(IF((Roadmap_Avion!$B$8:$B$38=$B39)*(Roadmap_Avion!$C$4:$Z$4=H$13)*(Roadmap_Avion!$C$6:$Z$6=H$15)*(Roadmap_Avion!$C$7:$Z$7=H$16),Roadmap_Avion!$C$8:$Z$38,0))</f>
        <v>1</v>
      </c>
      <c r="I39" s="346">
        <f t="array" ref="I39">SUM(IF((Roadmap_Avion!$B$8:$B$38=$B39)*(Roadmap_Avion!$C$4:$Z$4=I$13)*(Roadmap_Avion!$C$6:$Z$6=I$15)*(Roadmap_Avion!$C$7:$Z$7=I$16),Roadmap_Avion!$C$8:$Z$38,0))</f>
        <v>0.63749999999999996</v>
      </c>
      <c r="J39" s="347">
        <f t="array" ref="J39">SUM(IF((Roadmap_Avion!$B$8:$B$38=$B39)*(Roadmap_Avion!$C$4:$Z$4=J$13)*(Roadmap_Avion!$C$6:$Z$6=J$15)*(Roadmap_Avion!$C$7:$Z$7=J$16),Roadmap_Avion!$C$8:$Z$38,0))</f>
        <v>0</v>
      </c>
      <c r="K39" s="348">
        <f t="array" ref="K39">SUM(IF((Roadmap_Avion!$B$8:$B$38=$B39)*(Roadmap_Avion!$C$4:$Z$4=K$13)*(Roadmap_Avion!$C$6:$Z$6=K$15)*(Roadmap_Avion!$C$7:$Z$7=K$16),Roadmap_Avion!$C$8:$Z$38,0))</f>
        <v>1</v>
      </c>
      <c r="L39" s="346">
        <f t="array" ref="L39">SUM(IF((Roadmap_Avion!$B$8:$B$38=$B39)*(Roadmap_Avion!$C$4:$Z$4=L$13)*(Roadmap_Avion!$C$6:$Z$6=L$15)*(Roadmap_Avion!$C$7:$Z$7=L$16),Roadmap_Avion!$C$8:$Z$38,0))</f>
        <v>0.5625</v>
      </c>
      <c r="M39" s="347">
        <f t="array" ref="M39">SUM(IF((Roadmap_Avion!$B$8:$B$38=$B39)*(Roadmap_Avion!$C$4:$Z$4=M$13)*(Roadmap_Avion!$C$6:$Z$6=M$15)*(Roadmap_Avion!$C$7:$Z$7=M$16),Roadmap_Avion!$C$8:$Z$38,0))</f>
        <v>1</v>
      </c>
      <c r="N39" s="348">
        <f t="array" ref="N39">SUM(IF((Roadmap_Avion!$B$8:$B$38=$B39)*(Roadmap_Avion!$C$4:$Z$4=N$13)*(Roadmap_Avion!$C$6:$Z$6=N$15)*(Roadmap_Avion!$C$7:$Z$7=N$16),Roadmap_Avion!$C$8:$Z$38,0))</f>
        <v>0</v>
      </c>
      <c r="O39" s="781">
        <f t="array" ref="O39">SUM(IF((Prod_Carburant_Alt!$A$7:$A$37=$B39)*(Prod_Carburant_Alt!$B$3:$AI$3=O$13)*(Prod_Carburant_Alt!$B$5:$AI$5='Synthèse scénarios'!O$15)*(Prod_Carburant_Alt!$B$6:$AI$6=O$16),Prod_Carburant_Alt!$B$7:$AI$37,0))</f>
        <v>163.45088692308377</v>
      </c>
      <c r="P39" s="782">
        <f t="array" ref="P39">SUM(IF((Prod_Carburant_Alt!$A$7:$A$37=$B39)*(Prod_Carburant_Alt!$B$3:$AI$3=P$13)*(Prod_Carburant_Alt!$B$5:$AI$5='Synthèse scénarios'!P$15)*(Prod_Carburant_Alt!$B$6:$AI$6=P$16),Prod_Carburant_Alt!$B$7:$AI$37,0))</f>
        <v>0.20438251753392195</v>
      </c>
      <c r="Q39" s="800">
        <f t="array" ref="Q39">SUM(IF((Prod_Carburant_Alt!$A$7:$A$37=$B39)*(Prod_Carburant_Alt!$B$3:$AI$3=Q$13)*(Prod_Carburant_Alt!$B$5:$AI$5='Synthèse scénarios'!Q$15)*(Prod_Carburant_Alt!$B$6:$AI$6=Q$16),Prod_Carburant_Alt!$B$7:$AI$37,0))</f>
        <v>81.725443461541886</v>
      </c>
      <c r="R39" s="621">
        <f>'Calculs Scénario MAVERICK'!BF38</f>
        <v>0.3193666666666668</v>
      </c>
      <c r="S39" s="622">
        <f>'Calculs Scénario MAVERICK'!BE38</f>
        <v>1431.7297037462847</v>
      </c>
      <c r="T39" s="623">
        <f>'Calculs Scénario MAVERICK'!CG38</f>
        <v>0.67231446951448859</v>
      </c>
      <c r="U39" s="622">
        <f>'Calculs Scénario MAVERICK'!CF38</f>
        <v>469.15710748396543</v>
      </c>
      <c r="V39" s="624">
        <f>'Calculs Scénario MAVERICK'!CI38</f>
        <v>0</v>
      </c>
      <c r="W39" s="624">
        <f>'Calculs Scénario MAVERICK'!CB38</f>
        <v>5232.9772874087921</v>
      </c>
      <c r="X39" s="625">
        <f>'Calculs Scénario MAVERICK'!CD38</f>
        <v>3.7245389945970047</v>
      </c>
    </row>
    <row r="40" spans="2:24" ht="15">
      <c r="B40" s="620">
        <v>2043</v>
      </c>
      <c r="C40" s="346">
        <f t="array" ref="C40">SUM(IF((Roadmap_Avion!$B$8:$B$38=$B40)*(Roadmap_Avion!$C$4:$Z$4=C$13)*(Roadmap_Avion!$C$6:$Z$6=C$15)*(Roadmap_Avion!$C$7:$Z$7=C$16),Roadmap_Avion!$C$8:$Z$38,0))</f>
        <v>0.85</v>
      </c>
      <c r="D40" s="347">
        <f t="array" ref="D40">SUM(IF((Roadmap_Avion!$B$8:$B$38=$B40)*(Roadmap_Avion!$C$4:$Z$4=D$13)*(Roadmap_Avion!$C$6:$Z$6=D$15)*(Roadmap_Avion!$C$7:$Z$7=D$16),Roadmap_Avion!$C$8:$Z$38,0))</f>
        <v>0</v>
      </c>
      <c r="E40" s="348">
        <f t="array" ref="E40">SUM(IF((Roadmap_Avion!$B$8:$B$38=$B40)*(Roadmap_Avion!$C$4:$Z$4=E$13)*(Roadmap_Avion!$C$6:$Z$6=E$15)*(Roadmap_Avion!$C$7:$Z$7=E$16),Roadmap_Avion!$C$8:$Z$38,0))</f>
        <v>1</v>
      </c>
      <c r="F40" s="346">
        <f t="array" ref="F40">SUM(IF((Roadmap_Avion!$B$8:$B$38=$B40)*(Roadmap_Avion!$C$4:$Z$4=F$13)*(Roadmap_Avion!$C$6:$Z$6=F$15)*(Roadmap_Avion!$C$7:$Z$7=F$16),Roadmap_Avion!$C$8:$Z$38,0))</f>
        <v>0.85</v>
      </c>
      <c r="G40" s="347">
        <f t="array" ref="G40">SUM(IF((Roadmap_Avion!$B$8:$B$38=$B40)*(Roadmap_Avion!$C$4:$Z$4=G$13)*(Roadmap_Avion!$C$6:$Z$6=G$15)*(Roadmap_Avion!$C$7:$Z$7=G$16),Roadmap_Avion!$C$8:$Z$38,0))</f>
        <v>0</v>
      </c>
      <c r="H40" s="348">
        <f t="array" ref="H40">SUM(IF((Roadmap_Avion!$B$8:$B$38=$B40)*(Roadmap_Avion!$C$4:$Z$4=H$13)*(Roadmap_Avion!$C$6:$Z$6=H$15)*(Roadmap_Avion!$C$7:$Z$7=H$16),Roadmap_Avion!$C$8:$Z$38,0))</f>
        <v>1</v>
      </c>
      <c r="I40" s="346">
        <f t="array" ref="I40">SUM(IF((Roadmap_Avion!$B$8:$B$38=$B40)*(Roadmap_Avion!$C$4:$Z$4=I$13)*(Roadmap_Avion!$C$6:$Z$6=I$15)*(Roadmap_Avion!$C$7:$Z$7=I$16),Roadmap_Avion!$C$8:$Z$38,0))</f>
        <v>0.63749999999999996</v>
      </c>
      <c r="J40" s="347">
        <f t="array" ref="J40">SUM(IF((Roadmap_Avion!$B$8:$B$38=$B40)*(Roadmap_Avion!$C$4:$Z$4=J$13)*(Roadmap_Avion!$C$6:$Z$6=J$15)*(Roadmap_Avion!$C$7:$Z$7=J$16),Roadmap_Avion!$C$8:$Z$38,0))</f>
        <v>0</v>
      </c>
      <c r="K40" s="348">
        <f t="array" ref="K40">SUM(IF((Roadmap_Avion!$B$8:$B$38=$B40)*(Roadmap_Avion!$C$4:$Z$4=K$13)*(Roadmap_Avion!$C$6:$Z$6=K$15)*(Roadmap_Avion!$C$7:$Z$7=K$16),Roadmap_Avion!$C$8:$Z$38,0))</f>
        <v>1</v>
      </c>
      <c r="L40" s="346">
        <f t="array" ref="L40">SUM(IF((Roadmap_Avion!$B$8:$B$38=$B40)*(Roadmap_Avion!$C$4:$Z$4=L$13)*(Roadmap_Avion!$C$6:$Z$6=L$15)*(Roadmap_Avion!$C$7:$Z$7=L$16),Roadmap_Avion!$C$8:$Z$38,0))</f>
        <v>0.5625</v>
      </c>
      <c r="M40" s="347">
        <f t="array" ref="M40">SUM(IF((Roadmap_Avion!$B$8:$B$38=$B40)*(Roadmap_Avion!$C$4:$Z$4=M$13)*(Roadmap_Avion!$C$6:$Z$6=M$15)*(Roadmap_Avion!$C$7:$Z$7=M$16),Roadmap_Avion!$C$8:$Z$38,0))</f>
        <v>1</v>
      </c>
      <c r="N40" s="348">
        <f t="array" ref="N40">SUM(IF((Roadmap_Avion!$B$8:$B$38=$B40)*(Roadmap_Avion!$C$4:$Z$4=N$13)*(Roadmap_Avion!$C$6:$Z$6=N$15)*(Roadmap_Avion!$C$7:$Z$7=N$16),Roadmap_Avion!$C$8:$Z$38,0))</f>
        <v>0</v>
      </c>
      <c r="O40" s="781">
        <f t="array" ref="O40">SUM(IF((Prod_Carburant_Alt!$A$7:$A$37=$B40)*(Prod_Carburant_Alt!$B$3:$AI$3=O$13)*(Prod_Carburant_Alt!$B$5:$AI$5='Synthèse scénarios'!O$15)*(Prod_Carburant_Alt!$B$6:$AI$6=O$16),Prod_Carburant_Alt!$B$7:$AI$37,0))</f>
        <v>187.96851996154632</v>
      </c>
      <c r="P40" s="782">
        <f t="array" ref="P40">SUM(IF((Prod_Carburant_Alt!$A$7:$A$37=$B40)*(Prod_Carburant_Alt!$B$3:$AI$3=P$13)*(Prod_Carburant_Alt!$B$5:$AI$5='Synthèse scénarios'!P$15)*(Prod_Carburant_Alt!$B$6:$AI$6=P$16),Prod_Carburant_Alt!$B$7:$AI$37,0))</f>
        <v>0.204382517533922</v>
      </c>
      <c r="Q40" s="800">
        <f t="array" ref="Q40">SUM(IF((Prod_Carburant_Alt!$A$7:$A$37=$B40)*(Prod_Carburant_Alt!$B$3:$AI$3=Q$13)*(Prod_Carburant_Alt!$B$5:$AI$5='Synthèse scénarios'!Q$15)*(Prod_Carburant_Alt!$B$6:$AI$6=Q$16),Prod_Carburant_Alt!$B$7:$AI$37,0))</f>
        <v>93.98425998077316</v>
      </c>
      <c r="R40" s="621">
        <f>'Calculs Scénario MAVERICK'!BF39</f>
        <v>0.3279333333333333</v>
      </c>
      <c r="S40" s="622">
        <f>'Calculs Scénario MAVERICK'!BE39</f>
        <v>1463.6714558468723</v>
      </c>
      <c r="T40" s="623">
        <f>'Calculs Scénario MAVERICK'!CG39</f>
        <v>0.70534335654288294</v>
      </c>
      <c r="U40" s="622">
        <f>'Calculs Scénario MAVERICK'!CF39</f>
        <v>431.28051830383129</v>
      </c>
      <c r="V40" s="624">
        <f>'Calculs Scénario MAVERICK'!CI39</f>
        <v>0</v>
      </c>
      <c r="W40" s="624">
        <f>'Calculs Scénario MAVERICK'!CB39</f>
        <v>5651.1260349025688</v>
      </c>
      <c r="X40" s="625">
        <f>'Calculs Scénario MAVERICK'!CD39</f>
        <v>4.0221537614964902</v>
      </c>
    </row>
    <row r="41" spans="2:24" ht="15">
      <c r="B41" s="620">
        <v>2044</v>
      </c>
      <c r="C41" s="346">
        <f t="array" ref="C41">SUM(IF((Roadmap_Avion!$B$8:$B$38=$B41)*(Roadmap_Avion!$C$4:$Z$4=C$13)*(Roadmap_Avion!$C$6:$Z$6=C$15)*(Roadmap_Avion!$C$7:$Z$7=C$16),Roadmap_Avion!$C$8:$Z$38,0))</f>
        <v>0.85</v>
      </c>
      <c r="D41" s="347">
        <f t="array" ref="D41">SUM(IF((Roadmap_Avion!$B$8:$B$38=$B41)*(Roadmap_Avion!$C$4:$Z$4=D$13)*(Roadmap_Avion!$C$6:$Z$6=D$15)*(Roadmap_Avion!$C$7:$Z$7=D$16),Roadmap_Avion!$C$8:$Z$38,0))</f>
        <v>0</v>
      </c>
      <c r="E41" s="348">
        <f t="array" ref="E41">SUM(IF((Roadmap_Avion!$B$8:$B$38=$B41)*(Roadmap_Avion!$C$4:$Z$4=E$13)*(Roadmap_Avion!$C$6:$Z$6=E$15)*(Roadmap_Avion!$C$7:$Z$7=E$16),Roadmap_Avion!$C$8:$Z$38,0))</f>
        <v>1</v>
      </c>
      <c r="F41" s="346">
        <f t="array" ref="F41">SUM(IF((Roadmap_Avion!$B$8:$B$38=$B41)*(Roadmap_Avion!$C$4:$Z$4=F$13)*(Roadmap_Avion!$C$6:$Z$6=F$15)*(Roadmap_Avion!$C$7:$Z$7=F$16),Roadmap_Avion!$C$8:$Z$38,0))</f>
        <v>0.85</v>
      </c>
      <c r="G41" s="347">
        <f t="array" ref="G41">SUM(IF((Roadmap_Avion!$B$8:$B$38=$B41)*(Roadmap_Avion!$C$4:$Z$4=G$13)*(Roadmap_Avion!$C$6:$Z$6=G$15)*(Roadmap_Avion!$C$7:$Z$7=G$16),Roadmap_Avion!$C$8:$Z$38,0))</f>
        <v>0</v>
      </c>
      <c r="H41" s="348">
        <f t="array" ref="H41">SUM(IF((Roadmap_Avion!$B$8:$B$38=$B41)*(Roadmap_Avion!$C$4:$Z$4=H$13)*(Roadmap_Avion!$C$6:$Z$6=H$15)*(Roadmap_Avion!$C$7:$Z$7=H$16),Roadmap_Avion!$C$8:$Z$38,0))</f>
        <v>1</v>
      </c>
      <c r="I41" s="346">
        <f t="array" ref="I41">SUM(IF((Roadmap_Avion!$B$8:$B$38=$B41)*(Roadmap_Avion!$C$4:$Z$4=I$13)*(Roadmap_Avion!$C$6:$Z$6=I$15)*(Roadmap_Avion!$C$7:$Z$7=I$16),Roadmap_Avion!$C$8:$Z$38,0))</f>
        <v>0.63749999999999996</v>
      </c>
      <c r="J41" s="347">
        <f t="array" ref="J41">SUM(IF((Roadmap_Avion!$B$8:$B$38=$B41)*(Roadmap_Avion!$C$4:$Z$4=J$13)*(Roadmap_Avion!$C$6:$Z$6=J$15)*(Roadmap_Avion!$C$7:$Z$7=J$16),Roadmap_Avion!$C$8:$Z$38,0))</f>
        <v>0</v>
      </c>
      <c r="K41" s="348">
        <f t="array" ref="K41">SUM(IF((Roadmap_Avion!$B$8:$B$38=$B41)*(Roadmap_Avion!$C$4:$Z$4=K$13)*(Roadmap_Avion!$C$6:$Z$6=K$15)*(Roadmap_Avion!$C$7:$Z$7=K$16),Roadmap_Avion!$C$8:$Z$38,0))</f>
        <v>1</v>
      </c>
      <c r="L41" s="346">
        <f t="array" ref="L41">SUM(IF((Roadmap_Avion!$B$8:$B$38=$B41)*(Roadmap_Avion!$C$4:$Z$4=L$13)*(Roadmap_Avion!$C$6:$Z$6=L$15)*(Roadmap_Avion!$C$7:$Z$7=L$16),Roadmap_Avion!$C$8:$Z$38,0))</f>
        <v>0.5625</v>
      </c>
      <c r="M41" s="347">
        <f t="array" ref="M41">SUM(IF((Roadmap_Avion!$B$8:$B$38=$B41)*(Roadmap_Avion!$C$4:$Z$4=M$13)*(Roadmap_Avion!$C$6:$Z$6=M$15)*(Roadmap_Avion!$C$7:$Z$7=M$16),Roadmap_Avion!$C$8:$Z$38,0))</f>
        <v>1</v>
      </c>
      <c r="N41" s="348">
        <f t="array" ref="N41">SUM(IF((Roadmap_Avion!$B$8:$B$38=$B41)*(Roadmap_Avion!$C$4:$Z$4=N$13)*(Roadmap_Avion!$C$6:$Z$6=N$15)*(Roadmap_Avion!$C$7:$Z$7=N$16),Roadmap_Avion!$C$8:$Z$38,0))</f>
        <v>0</v>
      </c>
      <c r="O41" s="781">
        <f t="array" ref="O41">SUM(IF((Prod_Carburant_Alt!$A$7:$A$37=$B41)*(Prod_Carburant_Alt!$B$3:$AI$3=O$13)*(Prod_Carburant_Alt!$B$5:$AI$5='Synthèse scénarios'!O$15)*(Prod_Carburant_Alt!$B$6:$AI$6=O$16),Prod_Carburant_Alt!$B$7:$AI$37,0))</f>
        <v>216.16379795577825</v>
      </c>
      <c r="P41" s="782">
        <f t="array" ref="P41">SUM(IF((Prod_Carburant_Alt!$A$7:$A$37=$B41)*(Prod_Carburant_Alt!$B$3:$AI$3=P$13)*(Prod_Carburant_Alt!$B$5:$AI$5='Synthèse scénarios'!P$15)*(Prod_Carburant_Alt!$B$6:$AI$6=P$16),Prod_Carburant_Alt!$B$7:$AI$37,0))</f>
        <v>0.204382517533922</v>
      </c>
      <c r="Q41" s="800">
        <f t="array" ref="Q41">SUM(IF((Prod_Carburant_Alt!$A$7:$A$37=$B41)*(Prod_Carburant_Alt!$B$3:$AI$3=Q$13)*(Prod_Carburant_Alt!$B$5:$AI$5='Synthèse scénarios'!Q$15)*(Prod_Carburant_Alt!$B$6:$AI$6=Q$16),Prod_Carburant_Alt!$B$7:$AI$37,0))</f>
        <v>108.08189897788913</v>
      </c>
      <c r="R41" s="621">
        <f>'Calculs Scénario MAVERICK'!BF40</f>
        <v>0.33650000000000013</v>
      </c>
      <c r="S41" s="622">
        <f>'Calculs Scénario MAVERICK'!BE40</f>
        <v>1495.3422457322592</v>
      </c>
      <c r="T41" s="623">
        <f>'Calculs Scénario MAVERICK'!CG40</f>
        <v>0.73837224357127751</v>
      </c>
      <c r="U41" s="622">
        <f>'Calculs Scénario MAVERICK'!CF40</f>
        <v>391.2230368440184</v>
      </c>
      <c r="V41" s="624">
        <f>'Calculs Scénario MAVERICK'!CI40</f>
        <v>0</v>
      </c>
      <c r="W41" s="624">
        <f>'Calculs Scénario MAVERICK'!CB40</f>
        <v>6081.3278121922413</v>
      </c>
      <c r="X41" s="625">
        <f>'Calculs Scénario MAVERICK'!CD40</f>
        <v>4.3283471972898511</v>
      </c>
    </row>
    <row r="42" spans="2:24" ht="15">
      <c r="B42" s="620">
        <v>2045</v>
      </c>
      <c r="C42" s="346">
        <f t="array" ref="C42">SUM(IF((Roadmap_Avion!$B$8:$B$38=$B42)*(Roadmap_Avion!$C$4:$Z$4=C$13)*(Roadmap_Avion!$C$6:$Z$6=C$15)*(Roadmap_Avion!$C$7:$Z$7=C$16),Roadmap_Avion!$C$8:$Z$38,0))</f>
        <v>0.85</v>
      </c>
      <c r="D42" s="347">
        <f t="array" ref="D42">SUM(IF((Roadmap_Avion!$B$8:$B$38=$B42)*(Roadmap_Avion!$C$4:$Z$4=D$13)*(Roadmap_Avion!$C$6:$Z$6=D$15)*(Roadmap_Avion!$C$7:$Z$7=D$16),Roadmap_Avion!$C$8:$Z$38,0))</f>
        <v>0</v>
      </c>
      <c r="E42" s="348">
        <f t="array" ref="E42">SUM(IF((Roadmap_Avion!$B$8:$B$38=$B42)*(Roadmap_Avion!$C$4:$Z$4=E$13)*(Roadmap_Avion!$C$6:$Z$6=E$15)*(Roadmap_Avion!$C$7:$Z$7=E$16),Roadmap_Avion!$C$8:$Z$38,0))</f>
        <v>1</v>
      </c>
      <c r="F42" s="346">
        <f t="array" ref="F42">SUM(IF((Roadmap_Avion!$B$8:$B$38=$B42)*(Roadmap_Avion!$C$4:$Z$4=F$13)*(Roadmap_Avion!$C$6:$Z$6=F$15)*(Roadmap_Avion!$C$7:$Z$7=F$16),Roadmap_Avion!$C$8:$Z$38,0))</f>
        <v>0.85</v>
      </c>
      <c r="G42" s="347">
        <f t="array" ref="G42">SUM(IF((Roadmap_Avion!$B$8:$B$38=$B42)*(Roadmap_Avion!$C$4:$Z$4=G$13)*(Roadmap_Avion!$C$6:$Z$6=G$15)*(Roadmap_Avion!$C$7:$Z$7=G$16),Roadmap_Avion!$C$8:$Z$38,0))</f>
        <v>0</v>
      </c>
      <c r="H42" s="348">
        <f t="array" ref="H42">SUM(IF((Roadmap_Avion!$B$8:$B$38=$B42)*(Roadmap_Avion!$C$4:$Z$4=H$13)*(Roadmap_Avion!$C$6:$Z$6=H$15)*(Roadmap_Avion!$C$7:$Z$7=H$16),Roadmap_Avion!$C$8:$Z$38,0))</f>
        <v>1</v>
      </c>
      <c r="I42" s="346">
        <f t="array" ref="I42">SUM(IF((Roadmap_Avion!$B$8:$B$38=$B42)*(Roadmap_Avion!$C$4:$Z$4=I$13)*(Roadmap_Avion!$C$6:$Z$6=I$15)*(Roadmap_Avion!$C$7:$Z$7=I$16),Roadmap_Avion!$C$8:$Z$38,0))</f>
        <v>0.63749999999999996</v>
      </c>
      <c r="J42" s="347">
        <f t="array" ref="J42">SUM(IF((Roadmap_Avion!$B$8:$B$38=$B42)*(Roadmap_Avion!$C$4:$Z$4=J$13)*(Roadmap_Avion!$C$6:$Z$6=J$15)*(Roadmap_Avion!$C$7:$Z$7=J$16),Roadmap_Avion!$C$8:$Z$38,0))</f>
        <v>0</v>
      </c>
      <c r="K42" s="348">
        <f t="array" ref="K42">SUM(IF((Roadmap_Avion!$B$8:$B$38=$B42)*(Roadmap_Avion!$C$4:$Z$4=K$13)*(Roadmap_Avion!$C$6:$Z$6=K$15)*(Roadmap_Avion!$C$7:$Z$7=K$16),Roadmap_Avion!$C$8:$Z$38,0))</f>
        <v>1</v>
      </c>
      <c r="L42" s="346">
        <f t="array" ref="L42">SUM(IF((Roadmap_Avion!$B$8:$B$38=$B42)*(Roadmap_Avion!$C$4:$Z$4=L$13)*(Roadmap_Avion!$C$6:$Z$6=L$15)*(Roadmap_Avion!$C$7:$Z$7=L$16),Roadmap_Avion!$C$8:$Z$38,0))</f>
        <v>0.5625</v>
      </c>
      <c r="M42" s="347">
        <f t="array" ref="M42">SUM(IF((Roadmap_Avion!$B$8:$B$38=$B42)*(Roadmap_Avion!$C$4:$Z$4=M$13)*(Roadmap_Avion!$C$6:$Z$6=M$15)*(Roadmap_Avion!$C$7:$Z$7=M$16),Roadmap_Avion!$C$8:$Z$38,0))</f>
        <v>1</v>
      </c>
      <c r="N42" s="348">
        <f t="array" ref="N42">SUM(IF((Roadmap_Avion!$B$8:$B$38=$B42)*(Roadmap_Avion!$C$4:$Z$4=N$13)*(Roadmap_Avion!$C$6:$Z$6=N$15)*(Roadmap_Avion!$C$7:$Z$7=N$16),Roadmap_Avion!$C$8:$Z$38,0))</f>
        <v>0</v>
      </c>
      <c r="O42" s="781">
        <f t="array" ref="O42">SUM(IF((Prod_Carburant_Alt!$A$7:$A$37=$B42)*(Prod_Carburant_Alt!$B$3:$AI$3=O$13)*(Prod_Carburant_Alt!$B$5:$AI$5='Synthèse scénarios'!O$15)*(Prod_Carburant_Alt!$B$6:$AI$6=O$16),Prod_Carburant_Alt!$B$7:$AI$37,0))</f>
        <v>248.58836764914497</v>
      </c>
      <c r="P42" s="782">
        <f t="array" ref="P42">SUM(IF((Prod_Carburant_Alt!$A$7:$A$37=$B42)*(Prod_Carburant_Alt!$B$3:$AI$3=P$13)*(Prod_Carburant_Alt!$B$5:$AI$5='Synthèse scénarios'!P$15)*(Prod_Carburant_Alt!$B$6:$AI$6=P$16),Prod_Carburant_Alt!$B$7:$AI$37,0))</f>
        <v>0.204382517533922</v>
      </c>
      <c r="Q42" s="800">
        <f t="array" ref="Q42">SUM(IF((Prod_Carburant_Alt!$A$7:$A$37=$B42)*(Prod_Carburant_Alt!$B$3:$AI$3=Q$13)*(Prod_Carburant_Alt!$B$5:$AI$5='Synthèse scénarios'!Q$15)*(Prod_Carburant_Alt!$B$6:$AI$6=Q$16),Prod_Carburant_Alt!$B$7:$AI$37,0))</f>
        <v>124.29418382457249</v>
      </c>
      <c r="R42" s="621">
        <f>'Calculs Scénario MAVERICK'!BF41</f>
        <v>0.34450000000000003</v>
      </c>
      <c r="S42" s="622">
        <f>'Calculs Scénario MAVERICK'!BE41</f>
        <v>1527.9207745040599</v>
      </c>
      <c r="T42" s="623">
        <f>'Calculs Scénario MAVERICK'!CG41</f>
        <v>0.77132146304455396</v>
      </c>
      <c r="U42" s="622">
        <f>'Calculs Scénario MAVERICK'!CF41</f>
        <v>349.40268729742036</v>
      </c>
      <c r="V42" s="624">
        <f>'Calculs Scénario MAVERICK'!CI41</f>
        <v>0</v>
      </c>
      <c r="W42" s="624">
        <f>'Calculs Scénario MAVERICK'!CB41</f>
        <v>6526.9001333868218</v>
      </c>
      <c r="X42" s="625">
        <f>'Calculs Scénario MAVERICK'!CD41</f>
        <v>4.6454805219835036</v>
      </c>
    </row>
    <row r="43" spans="2:24" ht="15">
      <c r="B43" s="620">
        <v>2046</v>
      </c>
      <c r="C43" s="346">
        <f t="array" ref="C43">SUM(IF((Roadmap_Avion!$B$8:$B$38=$B43)*(Roadmap_Avion!$C$4:$Z$4=C$13)*(Roadmap_Avion!$C$6:$Z$6=C$15)*(Roadmap_Avion!$C$7:$Z$7=C$16),Roadmap_Avion!$C$8:$Z$38,0))</f>
        <v>0.85</v>
      </c>
      <c r="D43" s="347">
        <f t="array" ref="D43">SUM(IF((Roadmap_Avion!$B$8:$B$38=$B43)*(Roadmap_Avion!$C$4:$Z$4=D$13)*(Roadmap_Avion!$C$6:$Z$6=D$15)*(Roadmap_Avion!$C$7:$Z$7=D$16),Roadmap_Avion!$C$8:$Z$38,0))</f>
        <v>0</v>
      </c>
      <c r="E43" s="348">
        <f t="array" ref="E43">SUM(IF((Roadmap_Avion!$B$8:$B$38=$B43)*(Roadmap_Avion!$C$4:$Z$4=E$13)*(Roadmap_Avion!$C$6:$Z$6=E$15)*(Roadmap_Avion!$C$7:$Z$7=E$16),Roadmap_Avion!$C$8:$Z$38,0))</f>
        <v>1</v>
      </c>
      <c r="F43" s="346">
        <f t="array" ref="F43">SUM(IF((Roadmap_Avion!$B$8:$B$38=$B43)*(Roadmap_Avion!$C$4:$Z$4=F$13)*(Roadmap_Avion!$C$6:$Z$6=F$15)*(Roadmap_Avion!$C$7:$Z$7=F$16),Roadmap_Avion!$C$8:$Z$38,0))</f>
        <v>0.85</v>
      </c>
      <c r="G43" s="347">
        <f t="array" ref="G43">SUM(IF((Roadmap_Avion!$B$8:$B$38=$B43)*(Roadmap_Avion!$C$4:$Z$4=G$13)*(Roadmap_Avion!$C$6:$Z$6=G$15)*(Roadmap_Avion!$C$7:$Z$7=G$16),Roadmap_Avion!$C$8:$Z$38,0))</f>
        <v>0</v>
      </c>
      <c r="H43" s="348">
        <f t="array" ref="H43">SUM(IF((Roadmap_Avion!$B$8:$B$38=$B43)*(Roadmap_Avion!$C$4:$Z$4=H$13)*(Roadmap_Avion!$C$6:$Z$6=H$15)*(Roadmap_Avion!$C$7:$Z$7=H$16),Roadmap_Avion!$C$8:$Z$38,0))</f>
        <v>1</v>
      </c>
      <c r="I43" s="346">
        <f t="array" ref="I43">SUM(IF((Roadmap_Avion!$B$8:$B$38=$B43)*(Roadmap_Avion!$C$4:$Z$4=I$13)*(Roadmap_Avion!$C$6:$Z$6=I$15)*(Roadmap_Avion!$C$7:$Z$7=I$16),Roadmap_Avion!$C$8:$Z$38,0))</f>
        <v>0.63749999999999996</v>
      </c>
      <c r="J43" s="347">
        <f t="array" ref="J43">SUM(IF((Roadmap_Avion!$B$8:$B$38=$B43)*(Roadmap_Avion!$C$4:$Z$4=J$13)*(Roadmap_Avion!$C$6:$Z$6=J$15)*(Roadmap_Avion!$C$7:$Z$7=J$16),Roadmap_Avion!$C$8:$Z$38,0))</f>
        <v>0</v>
      </c>
      <c r="K43" s="348">
        <f t="array" ref="K43">SUM(IF((Roadmap_Avion!$B$8:$B$38=$B43)*(Roadmap_Avion!$C$4:$Z$4=K$13)*(Roadmap_Avion!$C$6:$Z$6=K$15)*(Roadmap_Avion!$C$7:$Z$7=K$16),Roadmap_Avion!$C$8:$Z$38,0))</f>
        <v>1</v>
      </c>
      <c r="L43" s="346">
        <f t="array" ref="L43">SUM(IF((Roadmap_Avion!$B$8:$B$38=$B43)*(Roadmap_Avion!$C$4:$Z$4=L$13)*(Roadmap_Avion!$C$6:$Z$6=L$15)*(Roadmap_Avion!$C$7:$Z$7=L$16),Roadmap_Avion!$C$8:$Z$38,0))</f>
        <v>0.5625</v>
      </c>
      <c r="M43" s="347">
        <f t="array" ref="M43">SUM(IF((Roadmap_Avion!$B$8:$B$38=$B43)*(Roadmap_Avion!$C$4:$Z$4=M$13)*(Roadmap_Avion!$C$6:$Z$6=M$15)*(Roadmap_Avion!$C$7:$Z$7=M$16),Roadmap_Avion!$C$8:$Z$38,0))</f>
        <v>1</v>
      </c>
      <c r="N43" s="348">
        <f t="array" ref="N43">SUM(IF((Roadmap_Avion!$B$8:$B$38=$B43)*(Roadmap_Avion!$C$4:$Z$4=N$13)*(Roadmap_Avion!$C$6:$Z$6=N$15)*(Roadmap_Avion!$C$7:$Z$7=N$16),Roadmap_Avion!$C$8:$Z$38,0))</f>
        <v>0</v>
      </c>
      <c r="O43" s="781">
        <f t="array" ref="O43">SUM(IF((Prod_Carburant_Alt!$A$7:$A$37=$B43)*(Prod_Carburant_Alt!$B$3:$AI$3=O$13)*(Prod_Carburant_Alt!$B$5:$AI$5='Synthèse scénarios'!O$15)*(Prod_Carburant_Alt!$B$6:$AI$6=O$16),Prod_Carburant_Alt!$B$7:$AI$37,0))</f>
        <v>285.8766227965167</v>
      </c>
      <c r="P43" s="782">
        <f t="array" ref="P43">SUM(IF((Prod_Carburant_Alt!$A$7:$A$37=$B43)*(Prod_Carburant_Alt!$B$3:$AI$3=P$13)*(Prod_Carburant_Alt!$B$5:$AI$5='Synthèse scénarios'!P$15)*(Prod_Carburant_Alt!$B$6:$AI$6=P$16),Prod_Carburant_Alt!$B$7:$AI$37,0))</f>
        <v>0.204382517533922</v>
      </c>
      <c r="Q43" s="800">
        <f t="array" ref="Q43">SUM(IF((Prod_Carburant_Alt!$A$7:$A$37=$B43)*(Prod_Carburant_Alt!$B$3:$AI$3=Q$13)*(Prod_Carburant_Alt!$B$5:$AI$5='Synthèse scénarios'!Q$15)*(Prod_Carburant_Alt!$B$6:$AI$6=Q$16),Prod_Carburant_Alt!$B$7:$AI$37,0))</f>
        <v>142.93831139825835</v>
      </c>
      <c r="R43" s="621">
        <f>'Calculs Scénario MAVERICK'!BF42</f>
        <v>0.35250000000000015</v>
      </c>
      <c r="S43" s="622">
        <f>'Calculs Scénario MAVERICK'!BE42</f>
        <v>1560.0131221809629</v>
      </c>
      <c r="T43" s="623">
        <f>'Calculs Scénario MAVERICK'!CG42</f>
        <v>0.80427068251783052</v>
      </c>
      <c r="U43" s="622">
        <f>'Calculs Scénario MAVERICK'!CF42</f>
        <v>305.3403036677081</v>
      </c>
      <c r="V43" s="624">
        <f>'Calculs Scénario MAVERICK'!CI42</f>
        <v>0</v>
      </c>
      <c r="W43" s="624">
        <f>'Calculs Scénario MAVERICK'!CB42</f>
        <v>6983.6470724208266</v>
      </c>
      <c r="X43" s="625">
        <f>'Calculs Scénario MAVERICK'!CD42</f>
        <v>4.9705673113315489</v>
      </c>
    </row>
    <row r="44" spans="2:24" ht="15">
      <c r="B44" s="620">
        <v>2047</v>
      </c>
      <c r="C44" s="346">
        <f t="array" ref="C44">SUM(IF((Roadmap_Avion!$B$8:$B$38=$B44)*(Roadmap_Avion!$C$4:$Z$4=C$13)*(Roadmap_Avion!$C$6:$Z$6=C$15)*(Roadmap_Avion!$C$7:$Z$7=C$16),Roadmap_Avion!$C$8:$Z$38,0))</f>
        <v>0.85</v>
      </c>
      <c r="D44" s="347">
        <f t="array" ref="D44">SUM(IF((Roadmap_Avion!$B$8:$B$38=$B44)*(Roadmap_Avion!$C$4:$Z$4=D$13)*(Roadmap_Avion!$C$6:$Z$6=D$15)*(Roadmap_Avion!$C$7:$Z$7=D$16),Roadmap_Avion!$C$8:$Z$38,0))</f>
        <v>0</v>
      </c>
      <c r="E44" s="348">
        <f t="array" ref="E44">SUM(IF((Roadmap_Avion!$B$8:$B$38=$B44)*(Roadmap_Avion!$C$4:$Z$4=E$13)*(Roadmap_Avion!$C$6:$Z$6=E$15)*(Roadmap_Avion!$C$7:$Z$7=E$16),Roadmap_Avion!$C$8:$Z$38,0))</f>
        <v>1</v>
      </c>
      <c r="F44" s="346">
        <f t="array" ref="F44">SUM(IF((Roadmap_Avion!$B$8:$B$38=$B44)*(Roadmap_Avion!$C$4:$Z$4=F$13)*(Roadmap_Avion!$C$6:$Z$6=F$15)*(Roadmap_Avion!$C$7:$Z$7=F$16),Roadmap_Avion!$C$8:$Z$38,0))</f>
        <v>0.85</v>
      </c>
      <c r="G44" s="347">
        <f t="array" ref="G44">SUM(IF((Roadmap_Avion!$B$8:$B$38=$B44)*(Roadmap_Avion!$C$4:$Z$4=G$13)*(Roadmap_Avion!$C$6:$Z$6=G$15)*(Roadmap_Avion!$C$7:$Z$7=G$16),Roadmap_Avion!$C$8:$Z$38,0))</f>
        <v>0</v>
      </c>
      <c r="H44" s="348">
        <f t="array" ref="H44">SUM(IF((Roadmap_Avion!$B$8:$B$38=$B44)*(Roadmap_Avion!$C$4:$Z$4=H$13)*(Roadmap_Avion!$C$6:$Z$6=H$15)*(Roadmap_Avion!$C$7:$Z$7=H$16),Roadmap_Avion!$C$8:$Z$38,0))</f>
        <v>1</v>
      </c>
      <c r="I44" s="346">
        <f t="array" ref="I44">SUM(IF((Roadmap_Avion!$B$8:$B$38=$B44)*(Roadmap_Avion!$C$4:$Z$4=I$13)*(Roadmap_Avion!$C$6:$Z$6=I$15)*(Roadmap_Avion!$C$7:$Z$7=I$16),Roadmap_Avion!$C$8:$Z$38,0))</f>
        <v>0.63749999999999996</v>
      </c>
      <c r="J44" s="347">
        <f t="array" ref="J44">SUM(IF((Roadmap_Avion!$B$8:$B$38=$B44)*(Roadmap_Avion!$C$4:$Z$4=J$13)*(Roadmap_Avion!$C$6:$Z$6=J$15)*(Roadmap_Avion!$C$7:$Z$7=J$16),Roadmap_Avion!$C$8:$Z$38,0))</f>
        <v>0</v>
      </c>
      <c r="K44" s="348">
        <f t="array" ref="K44">SUM(IF((Roadmap_Avion!$B$8:$B$38=$B44)*(Roadmap_Avion!$C$4:$Z$4=K$13)*(Roadmap_Avion!$C$6:$Z$6=K$15)*(Roadmap_Avion!$C$7:$Z$7=K$16),Roadmap_Avion!$C$8:$Z$38,0))</f>
        <v>1</v>
      </c>
      <c r="L44" s="346">
        <f t="array" ref="L44">SUM(IF((Roadmap_Avion!$B$8:$B$38=$B44)*(Roadmap_Avion!$C$4:$Z$4=L$13)*(Roadmap_Avion!$C$6:$Z$6=L$15)*(Roadmap_Avion!$C$7:$Z$7=L$16),Roadmap_Avion!$C$8:$Z$38,0))</f>
        <v>0.5625</v>
      </c>
      <c r="M44" s="347">
        <f t="array" ref="M44">SUM(IF((Roadmap_Avion!$B$8:$B$38=$B44)*(Roadmap_Avion!$C$4:$Z$4=M$13)*(Roadmap_Avion!$C$6:$Z$6=M$15)*(Roadmap_Avion!$C$7:$Z$7=M$16),Roadmap_Avion!$C$8:$Z$38,0))</f>
        <v>1</v>
      </c>
      <c r="N44" s="348">
        <f t="array" ref="N44">SUM(IF((Roadmap_Avion!$B$8:$B$38=$B44)*(Roadmap_Avion!$C$4:$Z$4=N$13)*(Roadmap_Avion!$C$6:$Z$6=N$15)*(Roadmap_Avion!$C$7:$Z$7=N$16),Roadmap_Avion!$C$8:$Z$38,0))</f>
        <v>0</v>
      </c>
      <c r="O44" s="781">
        <f t="array" ref="O44">SUM(IF((Prod_Carburant_Alt!$A$7:$A$37=$B44)*(Prod_Carburant_Alt!$B$3:$AI$3=O$13)*(Prod_Carburant_Alt!$B$5:$AI$5='Synthèse scénarios'!O$15)*(Prod_Carburant_Alt!$B$6:$AI$6=O$16),Prod_Carburant_Alt!$B$7:$AI$37,0))</f>
        <v>328.75811621599416</v>
      </c>
      <c r="P44" s="782">
        <f t="array" ref="P44">SUM(IF((Prod_Carburant_Alt!$A$7:$A$37=$B44)*(Prod_Carburant_Alt!$B$3:$AI$3=P$13)*(Prod_Carburant_Alt!$B$5:$AI$5='Synthèse scénarios'!P$15)*(Prod_Carburant_Alt!$B$6:$AI$6=P$16),Prod_Carburant_Alt!$B$7:$AI$37,0))</f>
        <v>0.20438251753392198</v>
      </c>
      <c r="Q44" s="800">
        <f t="array" ref="Q44">SUM(IF((Prod_Carburant_Alt!$A$7:$A$37=$B44)*(Prod_Carburant_Alt!$B$3:$AI$3=Q$13)*(Prod_Carburant_Alt!$B$5:$AI$5='Synthèse scénarios'!Q$15)*(Prod_Carburant_Alt!$B$6:$AI$6=Q$16),Prod_Carburant_Alt!$B$7:$AI$37,0))</f>
        <v>164.37905810799708</v>
      </c>
      <c r="R44" s="621">
        <f>'Calculs Scénario MAVERICK'!BF43</f>
        <v>0.36050000000000015</v>
      </c>
      <c r="S44" s="622">
        <f>'Calculs Scénario MAVERICK'!BE43</f>
        <v>1591.4368272116869</v>
      </c>
      <c r="T44" s="623">
        <f>'Calculs Scénario MAVERICK'!CG43</f>
        <v>0.83721990199110707</v>
      </c>
      <c r="U44" s="622">
        <f>'Calculs Scénario MAVERICK'!CF43</f>
        <v>259.05424270848005</v>
      </c>
      <c r="V44" s="624">
        <f>'Calculs Scénario MAVERICK'!CI43</f>
        <v>0</v>
      </c>
      <c r="W44" s="624">
        <f>'Calculs Scénario MAVERICK'!CB43</f>
        <v>7450.4155590536957</v>
      </c>
      <c r="X44" s="625">
        <f>'Calculs Scénario MAVERICK'!CD43</f>
        <v>5.3027868747713134</v>
      </c>
    </row>
    <row r="45" spans="2:24" ht="15">
      <c r="B45" s="620">
        <v>2048</v>
      </c>
      <c r="C45" s="346">
        <f t="array" ref="C45">SUM(IF((Roadmap_Avion!$B$8:$B$38=$B45)*(Roadmap_Avion!$C$4:$Z$4=C$13)*(Roadmap_Avion!$C$6:$Z$6=C$15)*(Roadmap_Avion!$C$7:$Z$7=C$16),Roadmap_Avion!$C$8:$Z$38,0))</f>
        <v>0.85</v>
      </c>
      <c r="D45" s="347">
        <f t="array" ref="D45">SUM(IF((Roadmap_Avion!$B$8:$B$38=$B45)*(Roadmap_Avion!$C$4:$Z$4=D$13)*(Roadmap_Avion!$C$6:$Z$6=D$15)*(Roadmap_Avion!$C$7:$Z$7=D$16),Roadmap_Avion!$C$8:$Z$38,0))</f>
        <v>0</v>
      </c>
      <c r="E45" s="348">
        <f t="array" ref="E45">SUM(IF((Roadmap_Avion!$B$8:$B$38=$B45)*(Roadmap_Avion!$C$4:$Z$4=E$13)*(Roadmap_Avion!$C$6:$Z$6=E$15)*(Roadmap_Avion!$C$7:$Z$7=E$16),Roadmap_Avion!$C$8:$Z$38,0))</f>
        <v>1</v>
      </c>
      <c r="F45" s="346">
        <f t="array" ref="F45">SUM(IF((Roadmap_Avion!$B$8:$B$38=$B45)*(Roadmap_Avion!$C$4:$Z$4=F$13)*(Roadmap_Avion!$C$6:$Z$6=F$15)*(Roadmap_Avion!$C$7:$Z$7=F$16),Roadmap_Avion!$C$8:$Z$38,0))</f>
        <v>0.85</v>
      </c>
      <c r="G45" s="347">
        <f t="array" ref="G45">SUM(IF((Roadmap_Avion!$B$8:$B$38=$B45)*(Roadmap_Avion!$C$4:$Z$4=G$13)*(Roadmap_Avion!$C$6:$Z$6=G$15)*(Roadmap_Avion!$C$7:$Z$7=G$16),Roadmap_Avion!$C$8:$Z$38,0))</f>
        <v>0</v>
      </c>
      <c r="H45" s="348">
        <f t="array" ref="H45">SUM(IF((Roadmap_Avion!$B$8:$B$38=$B45)*(Roadmap_Avion!$C$4:$Z$4=H$13)*(Roadmap_Avion!$C$6:$Z$6=H$15)*(Roadmap_Avion!$C$7:$Z$7=H$16),Roadmap_Avion!$C$8:$Z$38,0))</f>
        <v>1</v>
      </c>
      <c r="I45" s="346">
        <f t="array" ref="I45">SUM(IF((Roadmap_Avion!$B$8:$B$38=$B45)*(Roadmap_Avion!$C$4:$Z$4=I$13)*(Roadmap_Avion!$C$6:$Z$6=I$15)*(Roadmap_Avion!$C$7:$Z$7=I$16),Roadmap_Avion!$C$8:$Z$38,0))</f>
        <v>0.63749999999999996</v>
      </c>
      <c r="J45" s="347">
        <f t="array" ref="J45">SUM(IF((Roadmap_Avion!$B$8:$B$38=$B45)*(Roadmap_Avion!$C$4:$Z$4=J$13)*(Roadmap_Avion!$C$6:$Z$6=J$15)*(Roadmap_Avion!$C$7:$Z$7=J$16),Roadmap_Avion!$C$8:$Z$38,0))</f>
        <v>0</v>
      </c>
      <c r="K45" s="348">
        <f t="array" ref="K45">SUM(IF((Roadmap_Avion!$B$8:$B$38=$B45)*(Roadmap_Avion!$C$4:$Z$4=K$13)*(Roadmap_Avion!$C$6:$Z$6=K$15)*(Roadmap_Avion!$C$7:$Z$7=K$16),Roadmap_Avion!$C$8:$Z$38,0))</f>
        <v>1</v>
      </c>
      <c r="L45" s="346">
        <f t="array" ref="L45">SUM(IF((Roadmap_Avion!$B$8:$B$38=$B45)*(Roadmap_Avion!$C$4:$Z$4=L$13)*(Roadmap_Avion!$C$6:$Z$6=L$15)*(Roadmap_Avion!$C$7:$Z$7=L$16),Roadmap_Avion!$C$8:$Z$38,0))</f>
        <v>0.5625</v>
      </c>
      <c r="M45" s="347">
        <f t="array" ref="M45">SUM(IF((Roadmap_Avion!$B$8:$B$38=$B45)*(Roadmap_Avion!$C$4:$Z$4=M$13)*(Roadmap_Avion!$C$6:$Z$6=M$15)*(Roadmap_Avion!$C$7:$Z$7=M$16),Roadmap_Avion!$C$8:$Z$38,0))</f>
        <v>1</v>
      </c>
      <c r="N45" s="348">
        <f t="array" ref="N45">SUM(IF((Roadmap_Avion!$B$8:$B$38=$B45)*(Roadmap_Avion!$C$4:$Z$4=N$13)*(Roadmap_Avion!$C$6:$Z$6=N$15)*(Roadmap_Avion!$C$7:$Z$7=N$16),Roadmap_Avion!$C$8:$Z$38,0))</f>
        <v>0</v>
      </c>
      <c r="O45" s="781">
        <f t="array" ref="O45">SUM(IF((Prod_Carburant_Alt!$A$7:$A$37=$B45)*(Prod_Carburant_Alt!$B$3:$AI$3=O$13)*(Prod_Carburant_Alt!$B$5:$AI$5='Synthèse scénarios'!O$15)*(Prod_Carburant_Alt!$B$6:$AI$6=O$16),Prod_Carburant_Alt!$B$7:$AI$37,0))</f>
        <v>378.07183364839324</v>
      </c>
      <c r="P45" s="782">
        <f t="array" ref="P45">SUM(IF((Prod_Carburant_Alt!$A$7:$A$37=$B45)*(Prod_Carburant_Alt!$B$3:$AI$3=P$13)*(Prod_Carburant_Alt!$B$5:$AI$5='Synthèse scénarios'!P$15)*(Prod_Carburant_Alt!$B$6:$AI$6=P$16),Prod_Carburant_Alt!$B$7:$AI$37,0))</f>
        <v>0.20438251753392198</v>
      </c>
      <c r="Q45" s="800">
        <f t="array" ref="Q45">SUM(IF((Prod_Carburant_Alt!$A$7:$A$37=$B45)*(Prod_Carburant_Alt!$B$3:$AI$3=Q$13)*(Prod_Carburant_Alt!$B$5:$AI$5='Synthèse scénarios'!Q$15)*(Prod_Carburant_Alt!$B$6:$AI$6=Q$16),Prod_Carburant_Alt!$B$7:$AI$37,0))</f>
        <v>189.03591682419662</v>
      </c>
      <c r="R45" s="621">
        <f>'Calculs Scénario MAVERICK'!BF44</f>
        <v>0.36850000000000005</v>
      </c>
      <c r="S45" s="622">
        <f>'Calculs Scénario MAVERICK'!BE44</f>
        <v>1621.9839038357729</v>
      </c>
      <c r="T45" s="623">
        <f>'Calculs Scénario MAVERICK'!CG44</f>
        <v>0.87016912146438363</v>
      </c>
      <c r="U45" s="622">
        <f>'Calculs Scénario MAVERICK'!CF44</f>
        <v>210.58359520562709</v>
      </c>
      <c r="V45" s="624">
        <f>'Calculs Scénario MAVERICK'!CI44</f>
        <v>0</v>
      </c>
      <c r="W45" s="624">
        <f>'Calculs Scénario MAVERICK'!CB44</f>
        <v>7925.7782497114476</v>
      </c>
      <c r="X45" s="625">
        <f>'Calculs Scénario MAVERICK'!CD44</f>
        <v>5.6411233094031656</v>
      </c>
    </row>
    <row r="46" spans="2:24" ht="15">
      <c r="B46" s="620">
        <v>2049</v>
      </c>
      <c r="C46" s="346">
        <f t="array" ref="C46">SUM(IF((Roadmap_Avion!$B$8:$B$38=$B46)*(Roadmap_Avion!$C$4:$Z$4=C$13)*(Roadmap_Avion!$C$6:$Z$6=C$15)*(Roadmap_Avion!$C$7:$Z$7=C$16),Roadmap_Avion!$C$8:$Z$38,0))</f>
        <v>0.85</v>
      </c>
      <c r="D46" s="347">
        <f t="array" ref="D46">SUM(IF((Roadmap_Avion!$B$8:$B$38=$B46)*(Roadmap_Avion!$C$4:$Z$4=D$13)*(Roadmap_Avion!$C$6:$Z$6=D$15)*(Roadmap_Avion!$C$7:$Z$7=D$16),Roadmap_Avion!$C$8:$Z$38,0))</f>
        <v>0</v>
      </c>
      <c r="E46" s="348">
        <f t="array" ref="E46">SUM(IF((Roadmap_Avion!$B$8:$B$38=$B46)*(Roadmap_Avion!$C$4:$Z$4=E$13)*(Roadmap_Avion!$C$6:$Z$6=E$15)*(Roadmap_Avion!$C$7:$Z$7=E$16),Roadmap_Avion!$C$8:$Z$38,0))</f>
        <v>1</v>
      </c>
      <c r="F46" s="346">
        <f t="array" ref="F46">SUM(IF((Roadmap_Avion!$B$8:$B$38=$B46)*(Roadmap_Avion!$C$4:$Z$4=F$13)*(Roadmap_Avion!$C$6:$Z$6=F$15)*(Roadmap_Avion!$C$7:$Z$7=F$16),Roadmap_Avion!$C$8:$Z$38,0))</f>
        <v>0.85</v>
      </c>
      <c r="G46" s="347">
        <f t="array" ref="G46">SUM(IF((Roadmap_Avion!$B$8:$B$38=$B46)*(Roadmap_Avion!$C$4:$Z$4=G$13)*(Roadmap_Avion!$C$6:$Z$6=G$15)*(Roadmap_Avion!$C$7:$Z$7=G$16),Roadmap_Avion!$C$8:$Z$38,0))</f>
        <v>0</v>
      </c>
      <c r="H46" s="348">
        <f t="array" ref="H46">SUM(IF((Roadmap_Avion!$B$8:$B$38=$B46)*(Roadmap_Avion!$C$4:$Z$4=H$13)*(Roadmap_Avion!$C$6:$Z$6=H$15)*(Roadmap_Avion!$C$7:$Z$7=H$16),Roadmap_Avion!$C$8:$Z$38,0))</f>
        <v>1</v>
      </c>
      <c r="I46" s="346">
        <f t="array" ref="I46">SUM(IF((Roadmap_Avion!$B$8:$B$38=$B46)*(Roadmap_Avion!$C$4:$Z$4=I$13)*(Roadmap_Avion!$C$6:$Z$6=I$15)*(Roadmap_Avion!$C$7:$Z$7=I$16),Roadmap_Avion!$C$8:$Z$38,0))</f>
        <v>0.63749999999999996</v>
      </c>
      <c r="J46" s="347">
        <f t="array" ref="J46">SUM(IF((Roadmap_Avion!$B$8:$B$38=$B46)*(Roadmap_Avion!$C$4:$Z$4=J$13)*(Roadmap_Avion!$C$6:$Z$6=J$15)*(Roadmap_Avion!$C$7:$Z$7=J$16),Roadmap_Avion!$C$8:$Z$38,0))</f>
        <v>0</v>
      </c>
      <c r="K46" s="348">
        <f t="array" ref="K46">SUM(IF((Roadmap_Avion!$B$8:$B$38=$B46)*(Roadmap_Avion!$C$4:$Z$4=K$13)*(Roadmap_Avion!$C$6:$Z$6=K$15)*(Roadmap_Avion!$C$7:$Z$7=K$16),Roadmap_Avion!$C$8:$Z$38,0))</f>
        <v>1</v>
      </c>
      <c r="L46" s="346">
        <f t="array" ref="L46">SUM(IF((Roadmap_Avion!$B$8:$B$38=$B46)*(Roadmap_Avion!$C$4:$Z$4=L$13)*(Roadmap_Avion!$C$6:$Z$6=L$15)*(Roadmap_Avion!$C$7:$Z$7=L$16),Roadmap_Avion!$C$8:$Z$38,0))</f>
        <v>0.5625</v>
      </c>
      <c r="M46" s="347">
        <f t="array" ref="M46">SUM(IF((Roadmap_Avion!$B$8:$B$38=$B46)*(Roadmap_Avion!$C$4:$Z$4=M$13)*(Roadmap_Avion!$C$6:$Z$6=M$15)*(Roadmap_Avion!$C$7:$Z$7=M$16),Roadmap_Avion!$C$8:$Z$38,0))</f>
        <v>1</v>
      </c>
      <c r="N46" s="348">
        <f t="array" ref="N46">SUM(IF((Roadmap_Avion!$B$8:$B$38=$B46)*(Roadmap_Avion!$C$4:$Z$4=N$13)*(Roadmap_Avion!$C$6:$Z$6=N$15)*(Roadmap_Avion!$C$7:$Z$7=N$16),Roadmap_Avion!$C$8:$Z$38,0))</f>
        <v>0</v>
      </c>
      <c r="O46" s="781">
        <f t="array" ref="O46">SUM(IF((Prod_Carburant_Alt!$A$7:$A$37=$B46)*(Prod_Carburant_Alt!$B$3:$AI$3=O$13)*(Prod_Carburant_Alt!$B$5:$AI$5='Synthèse scénarios'!O$15)*(Prod_Carburant_Alt!$B$6:$AI$6=O$16),Prod_Carburant_Alt!$B$7:$AI$37,0))</f>
        <v>434.78260869565219</v>
      </c>
      <c r="P46" s="782">
        <f t="array" ref="P46">SUM(IF((Prod_Carburant_Alt!$A$7:$A$37=$B46)*(Prod_Carburant_Alt!$B$3:$AI$3=P$13)*(Prod_Carburant_Alt!$B$5:$AI$5='Synthèse scénarios'!P$15)*(Prod_Carburant_Alt!$B$6:$AI$6=P$16),Prod_Carburant_Alt!$B$7:$AI$37,0))</f>
        <v>0.204382517533922</v>
      </c>
      <c r="Q46" s="800">
        <f t="array" ref="Q46">SUM(IF((Prod_Carburant_Alt!$A$7:$A$37=$B46)*(Prod_Carburant_Alt!$B$3:$AI$3=Q$13)*(Prod_Carburant_Alt!$B$5:$AI$5='Synthèse scénarios'!Q$15)*(Prod_Carburant_Alt!$B$6:$AI$6=Q$16),Prod_Carburant_Alt!$B$7:$AI$37,0))</f>
        <v>217.39130434782609</v>
      </c>
      <c r="R46" s="621">
        <f>'Calculs Scénario MAVERICK'!BF45</f>
        <v>0.37649999999999995</v>
      </c>
      <c r="S46" s="622">
        <f>'Calculs Scénario MAVERICK'!BE45</f>
        <v>1651.417634860928</v>
      </c>
      <c r="T46" s="623">
        <f>'Calculs Scénario MAVERICK'!CG45</f>
        <v>0.90311834093766008</v>
      </c>
      <c r="U46" s="622">
        <f>'Calculs Scénario MAVERICK'!CF45</f>
        <v>159.99208027013225</v>
      </c>
      <c r="V46" s="624">
        <f>'Calculs Scénario MAVERICK'!CI45</f>
        <v>0</v>
      </c>
      <c r="W46" s="624">
        <f>'Calculs Scénario MAVERICK'!CB45</f>
        <v>8407.9910479612645</v>
      </c>
      <c r="X46" s="625">
        <f>'Calculs Scénario MAVERICK'!CD45</f>
        <v>5.9843352654528568</v>
      </c>
    </row>
    <row r="47" spans="2:24" ht="15.95" thickBot="1">
      <c r="B47" s="627">
        <v>2050</v>
      </c>
      <c r="C47" s="350">
        <f t="array" ref="C47">SUM(IF((Roadmap_Avion!$B$8:$B$38=$B47)*(Roadmap_Avion!$C$4:$Z$4=C$13)*(Roadmap_Avion!$C$6:$Z$6=C$15)*(Roadmap_Avion!$C$7:$Z$7=C$16),Roadmap_Avion!$C$8:$Z$38,0))</f>
        <v>0.85</v>
      </c>
      <c r="D47" s="351">
        <f t="array" ref="D47">SUM(IF((Roadmap_Avion!$B$8:$B$38=$B47)*(Roadmap_Avion!$C$4:$Z$4=D$13)*(Roadmap_Avion!$C$6:$Z$6=D$15)*(Roadmap_Avion!$C$7:$Z$7=D$16),Roadmap_Avion!$C$8:$Z$38,0))</f>
        <v>0</v>
      </c>
      <c r="E47" s="352">
        <f t="array" ref="E47">SUM(IF((Roadmap_Avion!$B$8:$B$38=$B47)*(Roadmap_Avion!$C$4:$Z$4=E$13)*(Roadmap_Avion!$C$6:$Z$6=E$15)*(Roadmap_Avion!$C$7:$Z$7=E$16),Roadmap_Avion!$C$8:$Z$38,0))</f>
        <v>1</v>
      </c>
      <c r="F47" s="350">
        <f t="array" ref="F47">SUM(IF((Roadmap_Avion!$B$8:$B$38=$B47)*(Roadmap_Avion!$C$4:$Z$4=F$13)*(Roadmap_Avion!$C$6:$Z$6=F$15)*(Roadmap_Avion!$C$7:$Z$7=F$16),Roadmap_Avion!$C$8:$Z$38,0))</f>
        <v>0.85</v>
      </c>
      <c r="G47" s="351">
        <f t="array" ref="G47">SUM(IF((Roadmap_Avion!$B$8:$B$38=$B47)*(Roadmap_Avion!$C$4:$Z$4=G$13)*(Roadmap_Avion!$C$6:$Z$6=G$15)*(Roadmap_Avion!$C$7:$Z$7=G$16),Roadmap_Avion!$C$8:$Z$38,0))</f>
        <v>0</v>
      </c>
      <c r="H47" s="352">
        <f t="array" ref="H47">SUM(IF((Roadmap_Avion!$B$8:$B$38=$B47)*(Roadmap_Avion!$C$4:$Z$4=H$13)*(Roadmap_Avion!$C$6:$Z$6=H$15)*(Roadmap_Avion!$C$7:$Z$7=H$16),Roadmap_Avion!$C$8:$Z$38,0))</f>
        <v>1</v>
      </c>
      <c r="I47" s="350">
        <f t="array" ref="I47">SUM(IF((Roadmap_Avion!$B$8:$B$38=$B47)*(Roadmap_Avion!$C$4:$Z$4=I$13)*(Roadmap_Avion!$C$6:$Z$6=I$15)*(Roadmap_Avion!$C$7:$Z$7=I$16),Roadmap_Avion!$C$8:$Z$38,0))</f>
        <v>0.63749999999999996</v>
      </c>
      <c r="J47" s="351">
        <f t="array" ref="J47">SUM(IF((Roadmap_Avion!$B$8:$B$38=$B47)*(Roadmap_Avion!$C$4:$Z$4=J$13)*(Roadmap_Avion!$C$6:$Z$6=J$15)*(Roadmap_Avion!$C$7:$Z$7=J$16),Roadmap_Avion!$C$8:$Z$38,0))</f>
        <v>0</v>
      </c>
      <c r="K47" s="352">
        <f t="array" ref="K47">SUM(IF((Roadmap_Avion!$B$8:$B$38=$B47)*(Roadmap_Avion!$C$4:$Z$4=K$13)*(Roadmap_Avion!$C$6:$Z$6=K$15)*(Roadmap_Avion!$C$7:$Z$7=K$16),Roadmap_Avion!$C$8:$Z$38,0))</f>
        <v>1</v>
      </c>
      <c r="L47" s="350">
        <f t="array" ref="L47">SUM(IF((Roadmap_Avion!$B$8:$B$38=$B47)*(Roadmap_Avion!$C$4:$Z$4=L$13)*(Roadmap_Avion!$C$6:$Z$6=L$15)*(Roadmap_Avion!$C$7:$Z$7=L$16),Roadmap_Avion!$C$8:$Z$38,0))</f>
        <v>0.5625</v>
      </c>
      <c r="M47" s="351">
        <f t="array" ref="M47">SUM(IF((Roadmap_Avion!$B$8:$B$38=$B47)*(Roadmap_Avion!$C$4:$Z$4=M$13)*(Roadmap_Avion!$C$6:$Z$6=M$15)*(Roadmap_Avion!$C$7:$Z$7=M$16),Roadmap_Avion!$C$8:$Z$38,0))</f>
        <v>1</v>
      </c>
      <c r="N47" s="352">
        <f t="array" ref="N47">SUM(IF((Roadmap_Avion!$B$8:$B$38=$B47)*(Roadmap_Avion!$C$4:$Z$4=N$13)*(Roadmap_Avion!$C$6:$Z$6=N$15)*(Roadmap_Avion!$C$7:$Z$7=N$16),Roadmap_Avion!$C$8:$Z$38,0))</f>
        <v>0</v>
      </c>
      <c r="O47" s="373">
        <f t="array" ref="O47">SUM(IF((Prod_Carburant_Alt!$A$7:$A$37=$B47)*(Prod_Carburant_Alt!$B$3:$AI$3=O$13)*(Prod_Carburant_Alt!$B$5:$AI$5='Synthèse scénarios'!O$15)*(Prod_Carburant_Alt!$B$6:$AI$6=O$16),Prod_Carburant_Alt!$B$7:$AI$37,0))</f>
        <v>500</v>
      </c>
      <c r="P47" s="786">
        <f t="array" ref="P47">SUM(IF((Prod_Carburant_Alt!$A$7:$A$37=$B47)*(Prod_Carburant_Alt!$B$3:$AI$3=P$13)*(Prod_Carburant_Alt!$B$5:$AI$5='Synthèse scénarios'!P$15)*(Prod_Carburant_Alt!$B$6:$AI$6=P$16),Prod_Carburant_Alt!$B$7:$AI$37,0))</f>
        <v>0.204382517533922</v>
      </c>
      <c r="Q47" s="801">
        <f t="array" ref="Q47">SUM(IF((Prod_Carburant_Alt!$A$7:$A$37=$B47)*(Prod_Carburant_Alt!$B$3:$AI$3=Q$13)*(Prod_Carburant_Alt!$B$5:$AI$5='Synthèse scénarios'!Q$15)*(Prod_Carburant_Alt!$B$6:$AI$6=Q$16),Prod_Carburant_Alt!$B$7:$AI$37,0))</f>
        <v>250</v>
      </c>
      <c r="R47" s="628">
        <f>'Calculs Scénario MAVERICK'!BF46</f>
        <v>0.37650000000000006</v>
      </c>
      <c r="S47" s="629">
        <f>'Calculs Scénario MAVERICK'!BE46</f>
        <v>1683.4228762777411</v>
      </c>
      <c r="T47" s="630">
        <f>'Calculs Scénario MAVERICK'!CG46</f>
        <v>0.90311834093766008</v>
      </c>
      <c r="U47" s="629">
        <f>'Calculs Scénario MAVERICK'!CF46</f>
        <v>163.09280115728382</v>
      </c>
      <c r="V47" s="631">
        <f>'Calculs Scénario MAVERICK'!CI46</f>
        <v>0</v>
      </c>
      <c r="W47" s="631">
        <f>'Calculs Scénario MAVERICK'!CB46</f>
        <v>8570.9418228832401</v>
      </c>
      <c r="X47" s="632">
        <f>'Calculs Scénario MAVERICK'!CD46</f>
        <v>6.1003144646855798</v>
      </c>
    </row>
    <row r="50" spans="1:24" ht="15" thickBot="1"/>
    <row r="51" spans="1:24" ht="45.95" thickBot="1">
      <c r="I51" s="583" t="s">
        <v>492</v>
      </c>
      <c r="J51" s="584" t="s">
        <v>206</v>
      </c>
      <c r="K51" s="585" t="s">
        <v>207</v>
      </c>
      <c r="L51" s="585" t="s">
        <v>208</v>
      </c>
      <c r="M51" s="585" t="s">
        <v>209</v>
      </c>
    </row>
    <row r="52" spans="1:24" ht="15.95" thickBot="1">
      <c r="I52" s="586" t="str">
        <f>VLOOKUP($B57,$B$3:$G$5,6,FALSE)</f>
        <v>Eolien</v>
      </c>
      <c r="J52" s="587">
        <f>VLOOKUP($I52,Hypothèses!$B$120:$F$123,2,FALSE)</f>
        <v>0.24620329979010511</v>
      </c>
      <c r="K52" s="588">
        <f>VLOOKUP($I52,Hypothèses!$B$120:$F$123,3,FALSE)</f>
        <v>11</v>
      </c>
      <c r="L52" s="588">
        <f>VLOOKUP($I52,Hypothèses!$B$120:$F$123,4,FALSE)</f>
        <v>651</v>
      </c>
      <c r="M52" s="588">
        <f>VLOOKUP($I52,Hypothèses!$B$120:$F$123,5,FALSE)</f>
        <v>1405</v>
      </c>
    </row>
    <row r="53" spans="1:24" ht="15" thickBot="1"/>
    <row r="54" spans="1:24" ht="15.6" customHeight="1">
      <c r="B54" s="1286" t="s">
        <v>481</v>
      </c>
      <c r="C54" s="1288" t="s">
        <v>482</v>
      </c>
      <c r="D54" s="1288"/>
      <c r="E54" s="1288"/>
      <c r="F54" s="1288"/>
      <c r="G54" s="1288"/>
      <c r="H54" s="1288"/>
      <c r="I54" s="1288"/>
      <c r="J54" s="1288"/>
      <c r="K54" s="1288"/>
      <c r="L54" s="1288"/>
      <c r="M54" s="1288"/>
      <c r="N54" s="1288"/>
      <c r="O54" s="1289" t="s">
        <v>483</v>
      </c>
      <c r="P54" s="1290"/>
      <c r="Q54" s="1293"/>
      <c r="R54" s="1294" t="s">
        <v>484</v>
      </c>
      <c r="S54" s="1295"/>
      <c r="T54" s="1295"/>
      <c r="U54" s="1295"/>
      <c r="V54" s="1295"/>
      <c r="W54" s="1295"/>
      <c r="X54" s="1296"/>
    </row>
    <row r="55" spans="1:24" ht="15" customHeight="1" thickBot="1">
      <c r="B55" s="1287"/>
      <c r="C55" s="1200" t="str">
        <f>VLOOKUP($B57,$B$3:$G$5,2,FALSE)</f>
        <v>INDUS+5</v>
      </c>
      <c r="D55" s="1200"/>
      <c r="E55" s="1200"/>
      <c r="F55" s="1200"/>
      <c r="G55" s="1200"/>
      <c r="H55" s="1200"/>
      <c r="I55" s="1200"/>
      <c r="J55" s="1200"/>
      <c r="K55" s="1200"/>
      <c r="L55" s="1200"/>
      <c r="M55" s="1200"/>
      <c r="N55" s="1200"/>
      <c r="O55" s="1199" t="str">
        <f>VLOOKUP($B57,$B$3:$G$5,3,FALSE)</f>
        <v>CAPA50</v>
      </c>
      <c r="P55" s="1200"/>
      <c r="Q55" s="1300"/>
      <c r="R55" s="1297"/>
      <c r="S55" s="1298"/>
      <c r="T55" s="1298"/>
      <c r="U55" s="1298"/>
      <c r="V55" s="1298"/>
      <c r="W55" s="1298"/>
      <c r="X55" s="1299"/>
    </row>
    <row r="56" spans="1:24" ht="15.95" hidden="1" customHeight="1" thickBot="1">
      <c r="A56" s="592"/>
      <c r="B56" s="593"/>
      <c r="C56" s="333" t="str">
        <f>$C55</f>
        <v>INDUS+5</v>
      </c>
      <c r="D56" s="333" t="str">
        <f t="shared" ref="D56:N56" si="6">$C55</f>
        <v>INDUS+5</v>
      </c>
      <c r="E56" s="333" t="str">
        <f t="shared" si="6"/>
        <v>INDUS+5</v>
      </c>
      <c r="F56" s="333" t="str">
        <f t="shared" si="6"/>
        <v>INDUS+5</v>
      </c>
      <c r="G56" s="333" t="str">
        <f t="shared" si="6"/>
        <v>INDUS+5</v>
      </c>
      <c r="H56" s="333" t="str">
        <f t="shared" si="6"/>
        <v>INDUS+5</v>
      </c>
      <c r="I56" s="333" t="str">
        <f t="shared" si="6"/>
        <v>INDUS+5</v>
      </c>
      <c r="J56" s="333" t="str">
        <f t="shared" si="6"/>
        <v>INDUS+5</v>
      </c>
      <c r="K56" s="333" t="str">
        <f t="shared" si="6"/>
        <v>INDUS+5</v>
      </c>
      <c r="L56" s="333" t="str">
        <f t="shared" si="6"/>
        <v>INDUS+5</v>
      </c>
      <c r="M56" s="333" t="str">
        <f t="shared" si="6"/>
        <v>INDUS+5</v>
      </c>
      <c r="N56" s="333" t="str">
        <f t="shared" si="6"/>
        <v>INDUS+5</v>
      </c>
      <c r="O56" s="333" t="str">
        <f>$O55</f>
        <v>CAPA50</v>
      </c>
      <c r="P56" s="333" t="str">
        <f t="shared" ref="P56:Q56" si="7">$O55</f>
        <v>CAPA50</v>
      </c>
      <c r="Q56" s="333" t="str">
        <f t="shared" si="7"/>
        <v>CAPA50</v>
      </c>
      <c r="R56" s="594"/>
      <c r="S56" s="595"/>
      <c r="T56" s="595"/>
      <c r="U56" s="595"/>
      <c r="V56" s="595"/>
      <c r="W56" s="595"/>
      <c r="X56" s="596"/>
    </row>
    <row r="57" spans="1:24" ht="17.45" customHeight="1">
      <c r="A57" s="597"/>
      <c r="B57" s="1280" t="s">
        <v>286</v>
      </c>
      <c r="C57" s="1285" t="s">
        <v>371</v>
      </c>
      <c r="D57" s="1202"/>
      <c r="E57" s="1203"/>
      <c r="F57" s="1201" t="s">
        <v>372</v>
      </c>
      <c r="G57" s="1202"/>
      <c r="H57" s="1203"/>
      <c r="I57" s="1201" t="s">
        <v>373</v>
      </c>
      <c r="J57" s="1202"/>
      <c r="K57" s="1203"/>
      <c r="L57" s="1201" t="s">
        <v>374</v>
      </c>
      <c r="M57" s="1202"/>
      <c r="N57" s="1203"/>
      <c r="O57" s="1291" t="s">
        <v>380</v>
      </c>
      <c r="P57" s="1292"/>
      <c r="Q57" s="1148" t="s">
        <v>385</v>
      </c>
      <c r="R57" s="1274" t="s">
        <v>485</v>
      </c>
      <c r="S57" s="1277" t="s">
        <v>486</v>
      </c>
      <c r="T57" s="1277" t="s">
        <v>487</v>
      </c>
      <c r="U57" s="1277" t="s">
        <v>488</v>
      </c>
      <c r="V57" s="1277" t="s">
        <v>489</v>
      </c>
      <c r="W57" s="1277" t="s">
        <v>490</v>
      </c>
      <c r="X57" s="1271" t="s">
        <v>491</v>
      </c>
    </row>
    <row r="58" spans="1:24" ht="45" hidden="1" customHeight="1">
      <c r="A58" s="595"/>
      <c r="B58" s="1280"/>
      <c r="C58" s="333" t="str">
        <f>$C57</f>
        <v>Commuters</v>
      </c>
      <c r="D58" s="333" t="str">
        <f t="shared" ref="D58:E58" si="8">$C57</f>
        <v>Commuters</v>
      </c>
      <c r="E58" s="333" t="str">
        <f t="shared" si="8"/>
        <v>Commuters</v>
      </c>
      <c r="F58" s="333" t="str">
        <f>$F57</f>
        <v>Regional</v>
      </c>
      <c r="G58" s="333" t="str">
        <f t="shared" ref="G58:H58" si="9">$F57</f>
        <v>Regional</v>
      </c>
      <c r="H58" s="333" t="str">
        <f t="shared" si="9"/>
        <v>Regional</v>
      </c>
      <c r="I58" s="333" t="str">
        <f>$I57</f>
        <v>CMC</v>
      </c>
      <c r="J58" s="333" t="str">
        <f t="shared" ref="J58:K58" si="10">$I57</f>
        <v>CMC</v>
      </c>
      <c r="K58" s="333" t="str">
        <f t="shared" si="10"/>
        <v>CMC</v>
      </c>
      <c r="L58" s="333" t="str">
        <f>$L57</f>
        <v xml:space="preserve">Long Courrier </v>
      </c>
      <c r="M58" s="333" t="str">
        <f t="shared" ref="M58:N58" si="11">$L57</f>
        <v xml:space="preserve">Long Courrier </v>
      </c>
      <c r="N58" s="333" t="str">
        <f t="shared" si="11"/>
        <v xml:space="preserve">Long Courrier </v>
      </c>
      <c r="O58" s="333" t="str">
        <f>$O$14</f>
        <v>Mix Biocarburant</v>
      </c>
      <c r="P58" s="333" t="str">
        <f>$O$14</f>
        <v>Mix Biocarburant</v>
      </c>
      <c r="Q58" s="333" t="str">
        <f>$Q$14</f>
        <v>PTL</v>
      </c>
      <c r="R58" s="1275"/>
      <c r="S58" s="1278"/>
      <c r="T58" s="1278"/>
      <c r="U58" s="1278"/>
      <c r="V58" s="1278"/>
      <c r="W58" s="1278"/>
      <c r="X58" s="1272"/>
    </row>
    <row r="59" spans="1:24" ht="65.099999999999994" thickBot="1">
      <c r="A59" s="597"/>
      <c r="B59" s="1281"/>
      <c r="C59" s="633" t="s">
        <v>375</v>
      </c>
      <c r="D59" s="634" t="s">
        <v>376</v>
      </c>
      <c r="E59" s="635" t="s">
        <v>377</v>
      </c>
      <c r="F59" s="636" t="s">
        <v>375</v>
      </c>
      <c r="G59" s="634" t="s">
        <v>376</v>
      </c>
      <c r="H59" s="635" t="s">
        <v>377</v>
      </c>
      <c r="I59" s="636" t="s">
        <v>375</v>
      </c>
      <c r="J59" s="634" t="s">
        <v>376</v>
      </c>
      <c r="K59" s="637" t="s">
        <v>377</v>
      </c>
      <c r="L59" s="636" t="s">
        <v>375</v>
      </c>
      <c r="M59" s="634" t="s">
        <v>376</v>
      </c>
      <c r="N59" s="635" t="s">
        <v>377</v>
      </c>
      <c r="O59" s="363" t="s">
        <v>386</v>
      </c>
      <c r="P59" s="364" t="s">
        <v>387</v>
      </c>
      <c r="Q59" s="365" t="s">
        <v>386</v>
      </c>
      <c r="R59" s="1276"/>
      <c r="S59" s="1279"/>
      <c r="T59" s="1279"/>
      <c r="U59" s="1279"/>
      <c r="V59" s="1279"/>
      <c r="W59" s="1279"/>
      <c r="X59" s="1273"/>
    </row>
    <row r="60" spans="1:24" ht="15">
      <c r="B60" s="606">
        <v>2020</v>
      </c>
      <c r="C60" s="607">
        <f t="array" ref="C60">SUM(IF((Roadmap_Avion!$B$8:$B$38=$B60)*(Roadmap_Avion!$C$4:$Z$4=C$56)*(Roadmap_Avion!$C$6:$Z$6=C$58)*(Roadmap_Avion!$C$7:$Z$7=C$59),Roadmap_Avion!$C$8:$Z$38,0))</f>
        <v>1</v>
      </c>
      <c r="D60" s="608">
        <f t="array" ref="D60">SUM(IF((Roadmap_Avion!$B$8:$B$38=$B60)*(Roadmap_Avion!$C$4:$Z$4=D$56)*(Roadmap_Avion!$C$6:$Z$6=D$58)*(Roadmap_Avion!$C$7:$Z$7=D$59),Roadmap_Avion!$C$8:$Z$38,0))</f>
        <v>0.5</v>
      </c>
      <c r="E60" s="609">
        <f t="array" ref="E60">SUM(IF((Roadmap_Avion!$B$8:$B$38=$B60)*(Roadmap_Avion!$C$4:$Z$4=E$56)*(Roadmap_Avion!$C$6:$Z$6=E$58)*(Roadmap_Avion!$C$7:$Z$7=E$59),Roadmap_Avion!$C$8:$Z$38,0))</f>
        <v>0</v>
      </c>
      <c r="F60" s="607">
        <f t="array" ref="F60">SUM(IF((Roadmap_Avion!$B$8:$B$38=$B60)*(Roadmap_Avion!$C$4:$Z$4=F$56)*(Roadmap_Avion!$C$6:$Z$6=F$58)*(Roadmap_Avion!$C$7:$Z$7=F$59),Roadmap_Avion!$C$8:$Z$38,0))</f>
        <v>1</v>
      </c>
      <c r="G60" s="608">
        <f t="array" ref="G60">SUM(IF((Roadmap_Avion!$B$8:$B$38=$B60)*(Roadmap_Avion!$C$4:$Z$4=G$56)*(Roadmap_Avion!$C$6:$Z$6=G$58)*(Roadmap_Avion!$C$7:$Z$7=G$59),Roadmap_Avion!$C$8:$Z$38,0))</f>
        <v>0.5</v>
      </c>
      <c r="H60" s="609">
        <f t="array" ref="H60">SUM(IF((Roadmap_Avion!$B$8:$B$38=$B60)*(Roadmap_Avion!$C$4:$Z$4=H$56)*(Roadmap_Avion!$C$6:$Z$6=H$58)*(Roadmap_Avion!$C$7:$Z$7=H$59),Roadmap_Avion!$C$8:$Z$38,0))</f>
        <v>0</v>
      </c>
      <c r="I60" s="610">
        <f t="array" ref="I60">SUM(IF((Roadmap_Avion!$B$8:$B$38=$B60)*(Roadmap_Avion!$C$4:$Z$4=I$56)*(Roadmap_Avion!$C$6:$Z$6=I$58)*(Roadmap_Avion!$C$7:$Z$7=I$59),Roadmap_Avion!$C$8:$Z$38,0))</f>
        <v>0.8</v>
      </c>
      <c r="J60" s="611">
        <f t="array" ref="J60">SUM(IF((Roadmap_Avion!$B$8:$B$38=$B60)*(Roadmap_Avion!$C$4:$Z$4=J$56)*(Roadmap_Avion!$C$6:$Z$6=J$58)*(Roadmap_Avion!$C$7:$Z$7=J$59),Roadmap_Avion!$C$8:$Z$38,0))</f>
        <v>0.5</v>
      </c>
      <c r="K60" s="611">
        <f t="array" ref="K60">SUM(IF((Roadmap_Avion!$B$8:$B$38=$B60)*(Roadmap_Avion!$C$4:$Z$4=K$56)*(Roadmap_Avion!$C$6:$Z$6=K$58)*(Roadmap_Avion!$C$7:$Z$7=K$59),Roadmap_Avion!$C$8:$Z$38,0))</f>
        <v>0</v>
      </c>
      <c r="L60" s="612">
        <f t="array" ref="L60">SUM(IF((Roadmap_Avion!$B$8:$B$38=$B60)*(Roadmap_Avion!$C$4:$Z$4=L$56)*(Roadmap_Avion!$C$6:$Z$6=L$58)*(Roadmap_Avion!$C$7:$Z$7=L$59),Roadmap_Avion!$C$8:$Z$38,0))</f>
        <v>0.75</v>
      </c>
      <c r="M60" s="613">
        <f t="array" ref="M60">SUM(IF((Roadmap_Avion!$B$8:$B$38=$B60)*(Roadmap_Avion!$C$4:$Z$4=M$56)*(Roadmap_Avion!$C$6:$Z$6=M$58)*(Roadmap_Avion!$C$7:$Z$7=M$59),Roadmap_Avion!$C$8:$Z$38,0))</f>
        <v>0.5</v>
      </c>
      <c r="N60" s="614">
        <f t="array" ref="N60">SUM(IF((Roadmap_Avion!$B$8:$B$38=$B60)*(Roadmap_Avion!$C$4:$Z$4=N$56)*(Roadmap_Avion!$C$6:$Z$6=N$58)*(Roadmap_Avion!$C$7:$Z$7=N$59),Roadmap_Avion!$C$8:$Z$38,0))</f>
        <v>0</v>
      </c>
      <c r="O60" s="798">
        <f t="array" ref="O60">SUM(IF((Prod_Carburant_Alt!$A$7:$A$37=$B60)*(Prod_Carburant_Alt!$B$3:$AI$3=O$56)*(Prod_Carburant_Alt!$B$5:$AI$5='Synthèse scénarios'!O$58)*(Prod_Carburant_Alt!$B$6:$AI$6=O$59),Prod_Carburant_Alt!$B$7:$AI$37,0))</f>
        <v>0</v>
      </c>
      <c r="P60" s="777">
        <f t="array" ref="P60">SUM(IF((Prod_Carburant_Alt!$A$7:$A$37=$B60)*(Prod_Carburant_Alt!$B$3:$AI$3=P$56)*(Prod_Carburant_Alt!$B$5:$AI$5='Synthèse scénarios'!P$58)*(Prod_Carburant_Alt!$B$6:$AI$6=P$59),Prod_Carburant_Alt!$B$7:$AI$37,0))</f>
        <v>0</v>
      </c>
      <c r="Q60" s="778">
        <f t="array" ref="Q60">SUM(IF((Prod_Carburant_Alt!$A$7:$A$37=$B60)*(Prod_Carburant_Alt!$B$3:$AI$3=Q$56)*(Prod_Carburant_Alt!$B$5:$AI$5='Synthèse scénarios'!Q$58)*(Prod_Carburant_Alt!$B$6:$AI$6=Q$59),Prod_Carburant_Alt!$B$7:$AI$37,0))</f>
        <v>0</v>
      </c>
      <c r="R60" s="615">
        <f>'Calculs Scénario ICEMAN'!BF16</f>
        <v>8.2800000000000651E-3</v>
      </c>
      <c r="S60" s="616">
        <f>'Calculs Scénario ICEMAN'!BE16</f>
        <v>365.05472936190466</v>
      </c>
      <c r="T60" s="617">
        <f>'Calculs Scénario ICEMAN'!CG16</f>
        <v>-1.5571204613666324E-16</v>
      </c>
      <c r="U60" s="616">
        <f>'Calculs Scénario ICEMAN'!CF16</f>
        <v>365.05472936190472</v>
      </c>
      <c r="V60" s="618">
        <f>'Calculs Scénario ICEMAN'!CI16</f>
        <v>0</v>
      </c>
      <c r="W60" s="618">
        <f>'Calculs Scénario ICEMAN'!CB16</f>
        <v>0</v>
      </c>
      <c r="X60" s="619">
        <f>'Calculs Scénario ICEMAN'!CD16</f>
        <v>0</v>
      </c>
    </row>
    <row r="61" spans="1:24" ht="15">
      <c r="B61" s="620">
        <v>2021</v>
      </c>
      <c r="C61" s="346">
        <f t="array" ref="C61">SUM(IF((Roadmap_Avion!$B$8:$B$38=$B61)*(Roadmap_Avion!$C$4:$Z$4=C$56)*(Roadmap_Avion!$C$6:$Z$6=C$58)*(Roadmap_Avion!$C$7:$Z$7=C$59),Roadmap_Avion!$C$8:$Z$38,0))</f>
        <v>1</v>
      </c>
      <c r="D61" s="347">
        <f t="array" ref="D61">SUM(IF((Roadmap_Avion!$B$8:$B$38=$B61)*(Roadmap_Avion!$C$4:$Z$4=D$56)*(Roadmap_Avion!$C$6:$Z$6=D$58)*(Roadmap_Avion!$C$7:$Z$7=D$59),Roadmap_Avion!$C$8:$Z$38,0))</f>
        <v>0.5</v>
      </c>
      <c r="E61" s="348">
        <f t="array" ref="E61">SUM(IF((Roadmap_Avion!$B$8:$B$38=$B61)*(Roadmap_Avion!$C$4:$Z$4=E$56)*(Roadmap_Avion!$C$6:$Z$6=E$58)*(Roadmap_Avion!$C$7:$Z$7=E$59),Roadmap_Avion!$C$8:$Z$38,0))</f>
        <v>0</v>
      </c>
      <c r="F61" s="346">
        <f t="array" ref="F61">SUM(IF((Roadmap_Avion!$B$8:$B$38=$B61)*(Roadmap_Avion!$C$4:$Z$4=F$56)*(Roadmap_Avion!$C$6:$Z$6=F$58)*(Roadmap_Avion!$C$7:$Z$7=F$59),Roadmap_Avion!$C$8:$Z$38,0))</f>
        <v>1</v>
      </c>
      <c r="G61" s="347">
        <f t="array" ref="G61">SUM(IF((Roadmap_Avion!$B$8:$B$38=$B61)*(Roadmap_Avion!$C$4:$Z$4=G$56)*(Roadmap_Avion!$C$6:$Z$6=G$58)*(Roadmap_Avion!$C$7:$Z$7=G$59),Roadmap_Avion!$C$8:$Z$38,0))</f>
        <v>0.5</v>
      </c>
      <c r="H61" s="348">
        <f t="array" ref="H61">SUM(IF((Roadmap_Avion!$B$8:$B$38=$B61)*(Roadmap_Avion!$C$4:$Z$4=H$56)*(Roadmap_Avion!$C$6:$Z$6=H$58)*(Roadmap_Avion!$C$7:$Z$7=H$59),Roadmap_Avion!$C$8:$Z$38,0))</f>
        <v>0</v>
      </c>
      <c r="I61" s="346">
        <f t="array" ref="I61">SUM(IF((Roadmap_Avion!$B$8:$B$38=$B61)*(Roadmap_Avion!$C$4:$Z$4=I$56)*(Roadmap_Avion!$C$6:$Z$6=I$58)*(Roadmap_Avion!$C$7:$Z$7=I$59),Roadmap_Avion!$C$8:$Z$38,0))</f>
        <v>0.8</v>
      </c>
      <c r="J61" s="347">
        <f t="array" ref="J61">SUM(IF((Roadmap_Avion!$B$8:$B$38=$B61)*(Roadmap_Avion!$C$4:$Z$4=J$56)*(Roadmap_Avion!$C$6:$Z$6=J$58)*(Roadmap_Avion!$C$7:$Z$7=J$59),Roadmap_Avion!$C$8:$Z$38,0))</f>
        <v>0.5</v>
      </c>
      <c r="K61" s="348">
        <f t="array" ref="K61">SUM(IF((Roadmap_Avion!$B$8:$B$38=$B61)*(Roadmap_Avion!$C$4:$Z$4=K$56)*(Roadmap_Avion!$C$6:$Z$6=K$58)*(Roadmap_Avion!$C$7:$Z$7=K$59),Roadmap_Avion!$C$8:$Z$38,0))</f>
        <v>0</v>
      </c>
      <c r="L61" s="346">
        <f t="array" ref="L61">SUM(IF((Roadmap_Avion!$B$8:$B$38=$B61)*(Roadmap_Avion!$C$4:$Z$4=L$56)*(Roadmap_Avion!$C$6:$Z$6=L$58)*(Roadmap_Avion!$C$7:$Z$7=L$59),Roadmap_Avion!$C$8:$Z$38,0))</f>
        <v>0.75</v>
      </c>
      <c r="M61" s="347">
        <f t="array" ref="M61">SUM(IF((Roadmap_Avion!$B$8:$B$38=$B61)*(Roadmap_Avion!$C$4:$Z$4=M$56)*(Roadmap_Avion!$C$6:$Z$6=M$58)*(Roadmap_Avion!$C$7:$Z$7=M$59),Roadmap_Avion!$C$8:$Z$38,0))</f>
        <v>0.5</v>
      </c>
      <c r="N61" s="348">
        <f t="array" ref="N61">SUM(IF((Roadmap_Avion!$B$8:$B$38=$B61)*(Roadmap_Avion!$C$4:$Z$4=N$56)*(Roadmap_Avion!$C$6:$Z$6=N$58)*(Roadmap_Avion!$C$7:$Z$7=N$59),Roadmap_Avion!$C$8:$Z$38,0))</f>
        <v>0</v>
      </c>
      <c r="O61" s="781">
        <f t="array" ref="O61">SUM(IF((Prod_Carburant_Alt!$A$7:$A$37=$B61)*(Prod_Carburant_Alt!$B$3:$AI$3=O$56)*(Prod_Carburant_Alt!$B$5:$AI$5='Synthèse scénarios'!O$58)*(Prod_Carburant_Alt!$B$6:$AI$6=O$59),Prod_Carburant_Alt!$B$7:$AI$37,0))</f>
        <v>2.0501851548918237</v>
      </c>
      <c r="P61" s="782">
        <f t="array" ref="P61">SUM(IF((Prod_Carburant_Alt!$A$7:$A$37=$B61)*(Prod_Carburant_Alt!$B$3:$AI$3=P$56)*(Prod_Carburant_Alt!$B$5:$AI$5='Synthèse scénarios'!P$58)*(Prod_Carburant_Alt!$B$6:$AI$6=P$59),Prod_Carburant_Alt!$B$7:$AI$37,0))</f>
        <v>0.20438251753392206</v>
      </c>
      <c r="Q61" s="784">
        <f t="array" ref="Q61">SUM(IF((Prod_Carburant_Alt!$A$7:$A$37=$B61)*(Prod_Carburant_Alt!$B$3:$AI$3=Q$56)*(Prod_Carburant_Alt!$B$5:$AI$5='Synthèse scénarios'!Q$58)*(Prod_Carburant_Alt!$B$6:$AI$6=Q$59),Prod_Carburant_Alt!$B$7:$AI$37,0))</f>
        <v>0</v>
      </c>
      <c r="R61" s="621">
        <f>'Calculs Scénario ICEMAN'!BF17</f>
        <v>1.656000000000013E-2</v>
      </c>
      <c r="S61" s="622">
        <f>'Calculs Scénario ICEMAN'!BJ17</f>
        <v>8.5880050029714265</v>
      </c>
      <c r="T61" s="623">
        <f>'Calculs Scénario ICEMAN'!CG17</f>
        <v>7.5974019622017941E-3</v>
      </c>
      <c r="U61" s="622">
        <f>'Calculs Scénario ICEMAN'!CF17</f>
        <v>799.00860721035497</v>
      </c>
      <c r="V61" s="624">
        <f>'Calculs Scénario ICEMAN'!CI17</f>
        <v>0</v>
      </c>
      <c r="W61" s="624">
        <f>'Calculs Scénario ICEMAN'!CB17</f>
        <v>0</v>
      </c>
      <c r="X61" s="625">
        <f>'Calculs Scénario ICEMAN'!CD17</f>
        <v>0</v>
      </c>
    </row>
    <row r="62" spans="1:24" ht="15">
      <c r="B62" s="620">
        <v>2022</v>
      </c>
      <c r="C62" s="346">
        <f t="array" ref="C62">SUM(IF((Roadmap_Avion!$B$8:$B$38=$B62)*(Roadmap_Avion!$C$4:$Z$4=C$56)*(Roadmap_Avion!$C$6:$Z$6=C$58)*(Roadmap_Avion!$C$7:$Z$7=C$59),Roadmap_Avion!$C$8:$Z$38,0))</f>
        <v>1</v>
      </c>
      <c r="D62" s="347">
        <f t="array" ref="D62">SUM(IF((Roadmap_Avion!$B$8:$B$38=$B62)*(Roadmap_Avion!$C$4:$Z$4=D$56)*(Roadmap_Avion!$C$6:$Z$6=D$58)*(Roadmap_Avion!$C$7:$Z$7=D$59),Roadmap_Avion!$C$8:$Z$38,0))</f>
        <v>0.5</v>
      </c>
      <c r="E62" s="348">
        <f t="array" ref="E62">SUM(IF((Roadmap_Avion!$B$8:$B$38=$B62)*(Roadmap_Avion!$C$4:$Z$4=E$56)*(Roadmap_Avion!$C$6:$Z$6=E$58)*(Roadmap_Avion!$C$7:$Z$7=E$59),Roadmap_Avion!$C$8:$Z$38,0))</f>
        <v>0</v>
      </c>
      <c r="F62" s="346">
        <f t="array" ref="F62">SUM(IF((Roadmap_Avion!$B$8:$B$38=$B62)*(Roadmap_Avion!$C$4:$Z$4=F$56)*(Roadmap_Avion!$C$6:$Z$6=F$58)*(Roadmap_Avion!$C$7:$Z$7=F$59),Roadmap_Avion!$C$8:$Z$38,0))</f>
        <v>1</v>
      </c>
      <c r="G62" s="347">
        <f t="array" ref="G62">SUM(IF((Roadmap_Avion!$B$8:$B$38=$B62)*(Roadmap_Avion!$C$4:$Z$4=G$56)*(Roadmap_Avion!$C$6:$Z$6=G$58)*(Roadmap_Avion!$C$7:$Z$7=G$59),Roadmap_Avion!$C$8:$Z$38,0))</f>
        <v>0.5</v>
      </c>
      <c r="H62" s="348">
        <f t="array" ref="H62">SUM(IF((Roadmap_Avion!$B$8:$B$38=$B62)*(Roadmap_Avion!$C$4:$Z$4=H$56)*(Roadmap_Avion!$C$6:$Z$6=H$58)*(Roadmap_Avion!$C$7:$Z$7=H$59),Roadmap_Avion!$C$8:$Z$38,0))</f>
        <v>0</v>
      </c>
      <c r="I62" s="346">
        <f t="array" ref="I62">SUM(IF((Roadmap_Avion!$B$8:$B$38=$B62)*(Roadmap_Avion!$C$4:$Z$4=I$56)*(Roadmap_Avion!$C$6:$Z$6=I$58)*(Roadmap_Avion!$C$7:$Z$7=I$59),Roadmap_Avion!$C$8:$Z$38,0))</f>
        <v>0.8</v>
      </c>
      <c r="J62" s="347">
        <f t="array" ref="J62">SUM(IF((Roadmap_Avion!$B$8:$B$38=$B62)*(Roadmap_Avion!$C$4:$Z$4=J$56)*(Roadmap_Avion!$C$6:$Z$6=J$58)*(Roadmap_Avion!$C$7:$Z$7=J$59),Roadmap_Avion!$C$8:$Z$38,0))</f>
        <v>0.5</v>
      </c>
      <c r="K62" s="348">
        <f t="array" ref="K62">SUM(IF((Roadmap_Avion!$B$8:$B$38=$B62)*(Roadmap_Avion!$C$4:$Z$4=K$56)*(Roadmap_Avion!$C$6:$Z$6=K$58)*(Roadmap_Avion!$C$7:$Z$7=K$59),Roadmap_Avion!$C$8:$Z$38,0))</f>
        <v>0</v>
      </c>
      <c r="L62" s="346">
        <f t="array" ref="L62">SUM(IF((Roadmap_Avion!$B$8:$B$38=$B62)*(Roadmap_Avion!$C$4:$Z$4=L$56)*(Roadmap_Avion!$C$6:$Z$6=L$58)*(Roadmap_Avion!$C$7:$Z$7=L$59),Roadmap_Avion!$C$8:$Z$38,0))</f>
        <v>0.75</v>
      </c>
      <c r="M62" s="347">
        <f t="array" ref="M62">SUM(IF((Roadmap_Avion!$B$8:$B$38=$B62)*(Roadmap_Avion!$C$4:$Z$4=M$56)*(Roadmap_Avion!$C$6:$Z$6=M$58)*(Roadmap_Avion!$C$7:$Z$7=M$59),Roadmap_Avion!$C$8:$Z$38,0))</f>
        <v>0.5</v>
      </c>
      <c r="N62" s="348">
        <f t="array" ref="N62">SUM(IF((Roadmap_Avion!$B$8:$B$38=$B62)*(Roadmap_Avion!$C$4:$Z$4=N$56)*(Roadmap_Avion!$C$6:$Z$6=N$58)*(Roadmap_Avion!$C$7:$Z$7=N$59),Roadmap_Avion!$C$8:$Z$38,0))</f>
        <v>0</v>
      </c>
      <c r="O62" s="781">
        <f t="array" ref="O62">SUM(IF((Prod_Carburant_Alt!$A$7:$A$37=$B62)*(Prod_Carburant_Alt!$B$3:$AI$3=O$56)*(Prod_Carburant_Alt!$B$5:$AI$5='Synthèse scénarios'!O$58)*(Prod_Carburant_Alt!$B$6:$AI$6=O$59),Prod_Carburant_Alt!$B$7:$AI$37,0))</f>
        <v>2.5627314436147799</v>
      </c>
      <c r="P62" s="782">
        <f t="array" ref="P62">SUM(IF((Prod_Carburant_Alt!$A$7:$A$37=$B62)*(Prod_Carburant_Alt!$B$3:$AI$3=P$56)*(Prod_Carburant_Alt!$B$5:$AI$5='Synthèse scénarios'!P$58)*(Prod_Carburant_Alt!$B$6:$AI$6=P$59),Prod_Carburant_Alt!$B$7:$AI$37,0))</f>
        <v>0.204382517533922</v>
      </c>
      <c r="Q62" s="784">
        <f t="array" ref="Q62">SUM(IF((Prod_Carburant_Alt!$A$7:$A$37=$B62)*(Prod_Carburant_Alt!$B$3:$AI$3=Q$56)*(Prod_Carburant_Alt!$B$5:$AI$5='Synthèse scénarios'!Q$58)*(Prod_Carburant_Alt!$B$6:$AI$6=Q$59),Prod_Carburant_Alt!$B$7:$AI$37,0))</f>
        <v>0</v>
      </c>
      <c r="R62" s="621">
        <f>'Calculs Scénario ICEMAN'!BF18</f>
        <v>2.4840000000000084E-2</v>
      </c>
      <c r="S62" s="622">
        <f>'Calculs Scénario ICEMAN'!BJ18</f>
        <v>13.989750257449806</v>
      </c>
      <c r="T62" s="623">
        <f>'Calculs Scénario ICEMAN'!CG18</f>
        <v>8.7447762907116883E-3</v>
      </c>
      <c r="U62" s="622">
        <f>'Calculs Scénario ICEMAN'!CF18</f>
        <v>866.7133138178425</v>
      </c>
      <c r="V62" s="624">
        <f>'Calculs Scénario ICEMAN'!CI18</f>
        <v>0</v>
      </c>
      <c r="W62" s="624">
        <f>'Calculs Scénario ICEMAN'!CB18</f>
        <v>0</v>
      </c>
      <c r="X62" s="625">
        <f>'Calculs Scénario ICEMAN'!CD18</f>
        <v>0</v>
      </c>
    </row>
    <row r="63" spans="1:24" ht="15">
      <c r="B63" s="620">
        <v>2023</v>
      </c>
      <c r="C63" s="346">
        <f t="array" ref="C63">SUM(IF((Roadmap_Avion!$B$8:$B$38=$B63)*(Roadmap_Avion!$C$4:$Z$4=C$56)*(Roadmap_Avion!$C$6:$Z$6=C$58)*(Roadmap_Avion!$C$7:$Z$7=C$59),Roadmap_Avion!$C$8:$Z$38,0))</f>
        <v>1</v>
      </c>
      <c r="D63" s="347">
        <f t="array" ref="D63">SUM(IF((Roadmap_Avion!$B$8:$B$38=$B63)*(Roadmap_Avion!$C$4:$Z$4=D$56)*(Roadmap_Avion!$C$6:$Z$6=D$58)*(Roadmap_Avion!$C$7:$Z$7=D$59),Roadmap_Avion!$C$8:$Z$38,0))</f>
        <v>0.5</v>
      </c>
      <c r="E63" s="348">
        <f t="array" ref="E63">SUM(IF((Roadmap_Avion!$B$8:$B$38=$B63)*(Roadmap_Avion!$C$4:$Z$4=E$56)*(Roadmap_Avion!$C$6:$Z$6=E$58)*(Roadmap_Avion!$C$7:$Z$7=E$59),Roadmap_Avion!$C$8:$Z$38,0))</f>
        <v>0</v>
      </c>
      <c r="F63" s="346">
        <f t="array" ref="F63">SUM(IF((Roadmap_Avion!$B$8:$B$38=$B63)*(Roadmap_Avion!$C$4:$Z$4=F$56)*(Roadmap_Avion!$C$6:$Z$6=F$58)*(Roadmap_Avion!$C$7:$Z$7=F$59),Roadmap_Avion!$C$8:$Z$38,0))</f>
        <v>1</v>
      </c>
      <c r="G63" s="347">
        <f t="array" ref="G63">SUM(IF((Roadmap_Avion!$B$8:$B$38=$B63)*(Roadmap_Avion!$C$4:$Z$4=G$56)*(Roadmap_Avion!$C$6:$Z$6=G$58)*(Roadmap_Avion!$C$7:$Z$7=G$59),Roadmap_Avion!$C$8:$Z$38,0))</f>
        <v>0.5</v>
      </c>
      <c r="H63" s="348">
        <f t="array" ref="H63">SUM(IF((Roadmap_Avion!$B$8:$B$38=$B63)*(Roadmap_Avion!$C$4:$Z$4=H$56)*(Roadmap_Avion!$C$6:$Z$6=H$58)*(Roadmap_Avion!$C$7:$Z$7=H$59),Roadmap_Avion!$C$8:$Z$38,0))</f>
        <v>0</v>
      </c>
      <c r="I63" s="346">
        <f t="array" ref="I63">SUM(IF((Roadmap_Avion!$B$8:$B$38=$B63)*(Roadmap_Avion!$C$4:$Z$4=I$56)*(Roadmap_Avion!$C$6:$Z$6=I$58)*(Roadmap_Avion!$C$7:$Z$7=I$59),Roadmap_Avion!$C$8:$Z$38,0))</f>
        <v>0.8</v>
      </c>
      <c r="J63" s="347">
        <f t="array" ref="J63">SUM(IF((Roadmap_Avion!$B$8:$B$38=$B63)*(Roadmap_Avion!$C$4:$Z$4=J$56)*(Roadmap_Avion!$C$6:$Z$6=J$58)*(Roadmap_Avion!$C$7:$Z$7=J$59),Roadmap_Avion!$C$8:$Z$38,0))</f>
        <v>0.5</v>
      </c>
      <c r="K63" s="348">
        <f t="array" ref="K63">SUM(IF((Roadmap_Avion!$B$8:$B$38=$B63)*(Roadmap_Avion!$C$4:$Z$4=K$56)*(Roadmap_Avion!$C$6:$Z$6=K$58)*(Roadmap_Avion!$C$7:$Z$7=K$59),Roadmap_Avion!$C$8:$Z$38,0))</f>
        <v>0</v>
      </c>
      <c r="L63" s="346">
        <f t="array" ref="L63">SUM(IF((Roadmap_Avion!$B$8:$B$38=$B63)*(Roadmap_Avion!$C$4:$Z$4=L$56)*(Roadmap_Avion!$C$6:$Z$6=L$58)*(Roadmap_Avion!$C$7:$Z$7=L$59),Roadmap_Avion!$C$8:$Z$38,0))</f>
        <v>0.75</v>
      </c>
      <c r="M63" s="347">
        <f t="array" ref="M63">SUM(IF((Roadmap_Avion!$B$8:$B$38=$B63)*(Roadmap_Avion!$C$4:$Z$4=M$56)*(Roadmap_Avion!$C$6:$Z$6=M$58)*(Roadmap_Avion!$C$7:$Z$7=M$59),Roadmap_Avion!$C$8:$Z$38,0))</f>
        <v>0.5</v>
      </c>
      <c r="N63" s="348">
        <f t="array" ref="N63">SUM(IF((Roadmap_Avion!$B$8:$B$38=$B63)*(Roadmap_Avion!$C$4:$Z$4=N$56)*(Roadmap_Avion!$C$6:$Z$6=N$58)*(Roadmap_Avion!$C$7:$Z$7=N$59),Roadmap_Avion!$C$8:$Z$38,0))</f>
        <v>0</v>
      </c>
      <c r="O63" s="781">
        <f t="array" ref="O63">SUM(IF((Prod_Carburant_Alt!$A$7:$A$37=$B63)*(Prod_Carburant_Alt!$B$3:$AI$3=O$56)*(Prod_Carburant_Alt!$B$5:$AI$5='Synthèse scénarios'!O$58)*(Prod_Carburant_Alt!$B$6:$AI$6=O$59),Prod_Carburant_Alt!$B$7:$AI$37,0))</f>
        <v>3.2034143045184749</v>
      </c>
      <c r="P63" s="782">
        <f t="array" ref="P63">SUM(IF((Prod_Carburant_Alt!$A$7:$A$37=$B63)*(Prod_Carburant_Alt!$B$3:$AI$3=P$56)*(Prod_Carburant_Alt!$B$5:$AI$5='Synthèse scénarios'!P$58)*(Prod_Carburant_Alt!$B$6:$AI$6=P$59),Prod_Carburant_Alt!$B$7:$AI$37,0))</f>
        <v>0.204382517533922</v>
      </c>
      <c r="Q63" s="784">
        <f t="array" ref="Q63">SUM(IF((Prod_Carburant_Alt!$A$7:$A$37=$B63)*(Prod_Carburant_Alt!$B$3:$AI$3=Q$56)*(Prod_Carburant_Alt!$B$5:$AI$5='Synthèse scénarios'!Q$58)*(Prod_Carburant_Alt!$B$6:$AI$6=Q$59),Prod_Carburant_Alt!$B$7:$AI$37,0))</f>
        <v>0</v>
      </c>
      <c r="R63" s="621">
        <f>'Calculs Scénario ICEMAN'!BF19</f>
        <v>3.3120000000000038E-2</v>
      </c>
      <c r="S63" s="622">
        <f>'Calculs Scénario ICEMAN'!BJ19</f>
        <v>20.254403747559582</v>
      </c>
      <c r="T63" s="623">
        <f>'Calculs Scénario ICEMAN'!CG19</f>
        <v>1.0066719143243696E-2</v>
      </c>
      <c r="U63" s="622">
        <f>'Calculs Scénario ICEMAN'!CF19</f>
        <v>939.86757907589242</v>
      </c>
      <c r="V63" s="624">
        <f>'Calculs Scénario ICEMAN'!CI19</f>
        <v>0</v>
      </c>
      <c r="W63" s="624">
        <f>'Calculs Scénario ICEMAN'!CB19</f>
        <v>0</v>
      </c>
      <c r="X63" s="625">
        <f>'Calculs Scénario ICEMAN'!CD19</f>
        <v>0</v>
      </c>
    </row>
    <row r="64" spans="1:24" ht="15">
      <c r="B64" s="620">
        <v>2024</v>
      </c>
      <c r="C64" s="346">
        <f t="array" ref="C64">SUM(IF((Roadmap_Avion!$B$8:$B$38=$B64)*(Roadmap_Avion!$C$4:$Z$4=C$56)*(Roadmap_Avion!$C$6:$Z$6=C$58)*(Roadmap_Avion!$C$7:$Z$7=C$59),Roadmap_Avion!$C$8:$Z$38,0))</f>
        <v>1</v>
      </c>
      <c r="D64" s="347">
        <f t="array" ref="D64">SUM(IF((Roadmap_Avion!$B$8:$B$38=$B64)*(Roadmap_Avion!$C$4:$Z$4=D$56)*(Roadmap_Avion!$C$6:$Z$6=D$58)*(Roadmap_Avion!$C$7:$Z$7=D$59),Roadmap_Avion!$C$8:$Z$38,0))</f>
        <v>0.5</v>
      </c>
      <c r="E64" s="348">
        <f t="array" ref="E64">SUM(IF((Roadmap_Avion!$B$8:$B$38=$B64)*(Roadmap_Avion!$C$4:$Z$4=E$56)*(Roadmap_Avion!$C$6:$Z$6=E$58)*(Roadmap_Avion!$C$7:$Z$7=E$59),Roadmap_Avion!$C$8:$Z$38,0))</f>
        <v>0</v>
      </c>
      <c r="F64" s="346">
        <f t="array" ref="F64">SUM(IF((Roadmap_Avion!$B$8:$B$38=$B64)*(Roadmap_Avion!$C$4:$Z$4=F$56)*(Roadmap_Avion!$C$6:$Z$6=F$58)*(Roadmap_Avion!$C$7:$Z$7=F$59),Roadmap_Avion!$C$8:$Z$38,0))</f>
        <v>1</v>
      </c>
      <c r="G64" s="347">
        <f t="array" ref="G64">SUM(IF((Roadmap_Avion!$B$8:$B$38=$B64)*(Roadmap_Avion!$C$4:$Z$4=G$56)*(Roadmap_Avion!$C$6:$Z$6=G$58)*(Roadmap_Avion!$C$7:$Z$7=G$59),Roadmap_Avion!$C$8:$Z$38,0))</f>
        <v>0.5</v>
      </c>
      <c r="H64" s="348">
        <f t="array" ref="H64">SUM(IF((Roadmap_Avion!$B$8:$B$38=$B64)*(Roadmap_Avion!$C$4:$Z$4=H$56)*(Roadmap_Avion!$C$6:$Z$6=H$58)*(Roadmap_Avion!$C$7:$Z$7=H$59),Roadmap_Avion!$C$8:$Z$38,0))</f>
        <v>0</v>
      </c>
      <c r="I64" s="346">
        <f t="array" ref="I64">SUM(IF((Roadmap_Avion!$B$8:$B$38=$B64)*(Roadmap_Avion!$C$4:$Z$4=I$56)*(Roadmap_Avion!$C$6:$Z$6=I$58)*(Roadmap_Avion!$C$7:$Z$7=I$59),Roadmap_Avion!$C$8:$Z$38,0))</f>
        <v>0.8</v>
      </c>
      <c r="J64" s="347">
        <f t="array" ref="J64">SUM(IF((Roadmap_Avion!$B$8:$B$38=$B64)*(Roadmap_Avion!$C$4:$Z$4=J$56)*(Roadmap_Avion!$C$6:$Z$6=J$58)*(Roadmap_Avion!$C$7:$Z$7=J$59),Roadmap_Avion!$C$8:$Z$38,0))</f>
        <v>0.5</v>
      </c>
      <c r="K64" s="348">
        <f t="array" ref="K64">SUM(IF((Roadmap_Avion!$B$8:$B$38=$B64)*(Roadmap_Avion!$C$4:$Z$4=K$56)*(Roadmap_Avion!$C$6:$Z$6=K$58)*(Roadmap_Avion!$C$7:$Z$7=K$59),Roadmap_Avion!$C$8:$Z$38,0))</f>
        <v>0</v>
      </c>
      <c r="L64" s="346">
        <f t="array" ref="L64">SUM(IF((Roadmap_Avion!$B$8:$B$38=$B64)*(Roadmap_Avion!$C$4:$Z$4=L$56)*(Roadmap_Avion!$C$6:$Z$6=L$58)*(Roadmap_Avion!$C$7:$Z$7=L$59),Roadmap_Avion!$C$8:$Z$38,0))</f>
        <v>0.75</v>
      </c>
      <c r="M64" s="347">
        <f t="array" ref="M64">SUM(IF((Roadmap_Avion!$B$8:$B$38=$B64)*(Roadmap_Avion!$C$4:$Z$4=M$56)*(Roadmap_Avion!$C$6:$Z$6=M$58)*(Roadmap_Avion!$C$7:$Z$7=M$59),Roadmap_Avion!$C$8:$Z$38,0))</f>
        <v>0.5</v>
      </c>
      <c r="N64" s="348">
        <f t="array" ref="N64">SUM(IF((Roadmap_Avion!$B$8:$B$38=$B64)*(Roadmap_Avion!$C$4:$Z$4=N$56)*(Roadmap_Avion!$C$6:$Z$6=N$58)*(Roadmap_Avion!$C$7:$Z$7=N$59),Roadmap_Avion!$C$8:$Z$38,0))</f>
        <v>0</v>
      </c>
      <c r="O64" s="781">
        <f t="array" ref="O64">SUM(IF((Prod_Carburant_Alt!$A$7:$A$37=$B64)*(Prod_Carburant_Alt!$B$3:$AI$3=O$56)*(Prod_Carburant_Alt!$B$5:$AI$5='Synthèse scénarios'!O$58)*(Prod_Carburant_Alt!$B$6:$AI$6=O$59),Prod_Carburant_Alt!$B$7:$AI$37,0))</f>
        <v>4.0042678806480936</v>
      </c>
      <c r="P64" s="782">
        <f t="array" ref="P64">SUM(IF((Prod_Carburant_Alt!$A$7:$A$37=$B64)*(Prod_Carburant_Alt!$B$3:$AI$3=P$56)*(Prod_Carburant_Alt!$B$5:$AI$5='Synthèse scénarios'!P$58)*(Prod_Carburant_Alt!$B$6:$AI$6=P$59),Prod_Carburant_Alt!$B$7:$AI$37,0))</f>
        <v>0.204382517533922</v>
      </c>
      <c r="Q64" s="784">
        <f t="array" ref="Q64">SUM(IF((Prod_Carburant_Alt!$A$7:$A$37=$B64)*(Prod_Carburant_Alt!$B$3:$AI$3=Q$56)*(Prod_Carburant_Alt!$B$5:$AI$5='Synthèse scénarios'!Q$58)*(Prod_Carburant_Alt!$B$6:$AI$6=Q$59),Prod_Carburant_Alt!$B$7:$AI$37,0))</f>
        <v>0</v>
      </c>
      <c r="R64" s="621">
        <f>'Calculs Scénario ICEMAN'!BF20</f>
        <v>4.1400000000000103E-2</v>
      </c>
      <c r="S64" s="622">
        <f>'Calculs Scénario ICEMAN'!BJ20</f>
        <v>27.487893873090361</v>
      </c>
      <c r="T64" s="623">
        <f>'Calculs Scénario ICEMAN'!CG20</f>
        <v>1.1590067776854498E-2</v>
      </c>
      <c r="U64" s="622">
        <f>'Calculs Scénario ICEMAN'!CF20</f>
        <v>1018.8490245021845</v>
      </c>
      <c r="V64" s="624">
        <f>'Calculs Scénario ICEMAN'!CI20</f>
        <v>0</v>
      </c>
      <c r="W64" s="624">
        <f>'Calculs Scénario ICEMAN'!CB20</f>
        <v>0</v>
      </c>
      <c r="X64" s="625">
        <f>'Calculs Scénario ICEMAN'!CD20</f>
        <v>0</v>
      </c>
    </row>
    <row r="65" spans="2:24" ht="15">
      <c r="B65" s="620">
        <v>2025</v>
      </c>
      <c r="C65" s="346">
        <f t="array" ref="C65">SUM(IF((Roadmap_Avion!$B$8:$B$38=$B65)*(Roadmap_Avion!$C$4:$Z$4=C$56)*(Roadmap_Avion!$C$6:$Z$6=C$58)*(Roadmap_Avion!$C$7:$Z$7=C$59),Roadmap_Avion!$C$8:$Z$38,0))</f>
        <v>1</v>
      </c>
      <c r="D65" s="347">
        <f t="array" ref="D65">SUM(IF((Roadmap_Avion!$B$8:$B$38=$B65)*(Roadmap_Avion!$C$4:$Z$4=D$56)*(Roadmap_Avion!$C$6:$Z$6=D$58)*(Roadmap_Avion!$C$7:$Z$7=D$59),Roadmap_Avion!$C$8:$Z$38,0))</f>
        <v>0.5</v>
      </c>
      <c r="E65" s="348">
        <f t="array" ref="E65">SUM(IF((Roadmap_Avion!$B$8:$B$38=$B65)*(Roadmap_Avion!$C$4:$Z$4=E$56)*(Roadmap_Avion!$C$6:$Z$6=E$58)*(Roadmap_Avion!$C$7:$Z$7=E$59),Roadmap_Avion!$C$8:$Z$38,0))</f>
        <v>0</v>
      </c>
      <c r="F65" s="346">
        <f t="array" ref="F65">SUM(IF((Roadmap_Avion!$B$8:$B$38=$B65)*(Roadmap_Avion!$C$4:$Z$4=F$56)*(Roadmap_Avion!$C$6:$Z$6=F$58)*(Roadmap_Avion!$C$7:$Z$7=F$59),Roadmap_Avion!$C$8:$Z$38,0))</f>
        <v>1</v>
      </c>
      <c r="G65" s="347">
        <f t="array" ref="G65">SUM(IF((Roadmap_Avion!$B$8:$B$38=$B65)*(Roadmap_Avion!$C$4:$Z$4=G$56)*(Roadmap_Avion!$C$6:$Z$6=G$58)*(Roadmap_Avion!$C$7:$Z$7=G$59),Roadmap_Avion!$C$8:$Z$38,0))</f>
        <v>0.5</v>
      </c>
      <c r="H65" s="348">
        <f t="array" ref="H65">SUM(IF((Roadmap_Avion!$B$8:$B$38=$B65)*(Roadmap_Avion!$C$4:$Z$4=H$56)*(Roadmap_Avion!$C$6:$Z$6=H$58)*(Roadmap_Avion!$C$7:$Z$7=H$59),Roadmap_Avion!$C$8:$Z$38,0))</f>
        <v>0</v>
      </c>
      <c r="I65" s="346">
        <f t="array" ref="I65">SUM(IF((Roadmap_Avion!$B$8:$B$38=$B65)*(Roadmap_Avion!$C$4:$Z$4=I$56)*(Roadmap_Avion!$C$6:$Z$6=I$58)*(Roadmap_Avion!$C$7:$Z$7=I$59),Roadmap_Avion!$C$8:$Z$38,0))</f>
        <v>0.8</v>
      </c>
      <c r="J65" s="347">
        <f t="array" ref="J65">SUM(IF((Roadmap_Avion!$B$8:$B$38=$B65)*(Roadmap_Avion!$C$4:$Z$4=J$56)*(Roadmap_Avion!$C$6:$Z$6=J$58)*(Roadmap_Avion!$C$7:$Z$7=J$59),Roadmap_Avion!$C$8:$Z$38,0))</f>
        <v>0.5</v>
      </c>
      <c r="K65" s="348">
        <f t="array" ref="K65">SUM(IF((Roadmap_Avion!$B$8:$B$38=$B65)*(Roadmap_Avion!$C$4:$Z$4=K$56)*(Roadmap_Avion!$C$6:$Z$6=K$58)*(Roadmap_Avion!$C$7:$Z$7=K$59),Roadmap_Avion!$C$8:$Z$38,0))</f>
        <v>0</v>
      </c>
      <c r="L65" s="346">
        <f t="array" ref="L65">SUM(IF((Roadmap_Avion!$B$8:$B$38=$B65)*(Roadmap_Avion!$C$4:$Z$4=L$56)*(Roadmap_Avion!$C$6:$Z$6=L$58)*(Roadmap_Avion!$C$7:$Z$7=L$59),Roadmap_Avion!$C$8:$Z$38,0))</f>
        <v>0.75</v>
      </c>
      <c r="M65" s="347">
        <f t="array" ref="M65">SUM(IF((Roadmap_Avion!$B$8:$B$38=$B65)*(Roadmap_Avion!$C$4:$Z$4=M$56)*(Roadmap_Avion!$C$6:$Z$6=M$58)*(Roadmap_Avion!$C$7:$Z$7=M$59),Roadmap_Avion!$C$8:$Z$38,0))</f>
        <v>0.5</v>
      </c>
      <c r="N65" s="348">
        <f t="array" ref="N65">SUM(IF((Roadmap_Avion!$B$8:$B$38=$B65)*(Roadmap_Avion!$C$4:$Z$4=N$56)*(Roadmap_Avion!$C$6:$Z$6=N$58)*(Roadmap_Avion!$C$7:$Z$7=N$59),Roadmap_Avion!$C$8:$Z$38,0))</f>
        <v>0</v>
      </c>
      <c r="O65" s="781">
        <f t="array" ref="O65">SUM(IF((Prod_Carburant_Alt!$A$7:$A$37=$B65)*(Prod_Carburant_Alt!$B$3:$AI$3=O$56)*(Prod_Carburant_Alt!$B$5:$AI$5='Synthèse scénarios'!O$58)*(Prod_Carburant_Alt!$B$6:$AI$6=O$59),Prod_Carburant_Alt!$B$7:$AI$37,0))</f>
        <v>5.005334850810117</v>
      </c>
      <c r="P65" s="782">
        <f t="array" ref="P65">SUM(IF((Prod_Carburant_Alt!$A$7:$A$37=$B65)*(Prod_Carburant_Alt!$B$3:$AI$3=P$56)*(Prod_Carburant_Alt!$B$5:$AI$5='Synthèse scénarios'!P$58)*(Prod_Carburant_Alt!$B$6:$AI$6=P$59),Prod_Carburant_Alt!$B$7:$AI$37,0))</f>
        <v>0.204382517533922</v>
      </c>
      <c r="Q65" s="784">
        <f t="array" ref="Q65">SUM(IF((Prod_Carburant_Alt!$A$7:$A$37=$B65)*(Prod_Carburant_Alt!$B$3:$AI$3=Q$56)*(Prod_Carburant_Alt!$B$5:$AI$5='Synthèse scénarios'!Q$58)*(Prod_Carburant_Alt!$B$6:$AI$6=Q$59),Prod_Carburant_Alt!$B$7:$AI$37,0))</f>
        <v>0</v>
      </c>
      <c r="R65" s="621">
        <f>'Calculs Scénario ICEMAN'!BF21</f>
        <v>4.9680000000000057E-2</v>
      </c>
      <c r="S65" s="622">
        <f>'Calculs Scénario ICEMAN'!BJ21</f>
        <v>33.984199439292865</v>
      </c>
      <c r="T65" s="623">
        <f>'Calculs Scénario ICEMAN'!CG21</f>
        <v>1.4061823948561732E-2</v>
      </c>
      <c r="U65" s="622">
        <f>'Calculs Scénario ICEMAN'!CF21</f>
        <v>1047.0724878045223</v>
      </c>
      <c r="V65" s="624">
        <f>'Calculs Scénario ICEMAN'!CI21</f>
        <v>0</v>
      </c>
      <c r="W65" s="624">
        <f>'Calculs Scénario ICEMAN'!CB21</f>
        <v>0</v>
      </c>
      <c r="X65" s="625">
        <f>'Calculs Scénario ICEMAN'!CD21</f>
        <v>0</v>
      </c>
    </row>
    <row r="66" spans="2:24" ht="15">
      <c r="B66" s="620">
        <v>2026</v>
      </c>
      <c r="C66" s="346">
        <f t="array" ref="C66">SUM(IF((Roadmap_Avion!$B$8:$B$38=$B66)*(Roadmap_Avion!$C$4:$Z$4=C$56)*(Roadmap_Avion!$C$6:$Z$6=C$58)*(Roadmap_Avion!$C$7:$Z$7=C$59),Roadmap_Avion!$C$8:$Z$38,0))</f>
        <v>1</v>
      </c>
      <c r="D66" s="347">
        <f t="array" ref="D66">SUM(IF((Roadmap_Avion!$B$8:$B$38=$B66)*(Roadmap_Avion!$C$4:$Z$4=D$56)*(Roadmap_Avion!$C$6:$Z$6=D$58)*(Roadmap_Avion!$C$7:$Z$7=D$59),Roadmap_Avion!$C$8:$Z$38,0))</f>
        <v>0.5</v>
      </c>
      <c r="E66" s="348">
        <f t="array" ref="E66">SUM(IF((Roadmap_Avion!$B$8:$B$38=$B66)*(Roadmap_Avion!$C$4:$Z$4=E$56)*(Roadmap_Avion!$C$6:$Z$6=E$58)*(Roadmap_Avion!$C$7:$Z$7=E$59),Roadmap_Avion!$C$8:$Z$38,0))</f>
        <v>0</v>
      </c>
      <c r="F66" s="346">
        <f t="array" ref="F66">SUM(IF((Roadmap_Avion!$B$8:$B$38=$B66)*(Roadmap_Avion!$C$4:$Z$4=F$56)*(Roadmap_Avion!$C$6:$Z$6=F$58)*(Roadmap_Avion!$C$7:$Z$7=F$59),Roadmap_Avion!$C$8:$Z$38,0))</f>
        <v>1</v>
      </c>
      <c r="G66" s="347">
        <f t="array" ref="G66">SUM(IF((Roadmap_Avion!$B$8:$B$38=$B66)*(Roadmap_Avion!$C$4:$Z$4=G$56)*(Roadmap_Avion!$C$6:$Z$6=G$58)*(Roadmap_Avion!$C$7:$Z$7=G$59),Roadmap_Avion!$C$8:$Z$38,0))</f>
        <v>0.5</v>
      </c>
      <c r="H66" s="348">
        <f t="array" ref="H66">SUM(IF((Roadmap_Avion!$B$8:$B$38=$B66)*(Roadmap_Avion!$C$4:$Z$4=H$56)*(Roadmap_Avion!$C$6:$Z$6=H$58)*(Roadmap_Avion!$C$7:$Z$7=H$59),Roadmap_Avion!$C$8:$Z$38,0))</f>
        <v>0</v>
      </c>
      <c r="I66" s="346">
        <f t="array" ref="I66">SUM(IF((Roadmap_Avion!$B$8:$B$38=$B66)*(Roadmap_Avion!$C$4:$Z$4=I$56)*(Roadmap_Avion!$C$6:$Z$6=I$58)*(Roadmap_Avion!$C$7:$Z$7=I$59),Roadmap_Avion!$C$8:$Z$38,0))</f>
        <v>0.8</v>
      </c>
      <c r="J66" s="347">
        <f t="array" ref="J66">SUM(IF((Roadmap_Avion!$B$8:$B$38=$B66)*(Roadmap_Avion!$C$4:$Z$4=J$56)*(Roadmap_Avion!$C$6:$Z$6=J$58)*(Roadmap_Avion!$C$7:$Z$7=J$59),Roadmap_Avion!$C$8:$Z$38,0))</f>
        <v>0.5</v>
      </c>
      <c r="K66" s="348">
        <f t="array" ref="K66">SUM(IF((Roadmap_Avion!$B$8:$B$38=$B66)*(Roadmap_Avion!$C$4:$Z$4=K$56)*(Roadmap_Avion!$C$6:$Z$6=K$58)*(Roadmap_Avion!$C$7:$Z$7=K$59),Roadmap_Avion!$C$8:$Z$38,0))</f>
        <v>0</v>
      </c>
      <c r="L66" s="346">
        <f t="array" ref="L66">SUM(IF((Roadmap_Avion!$B$8:$B$38=$B66)*(Roadmap_Avion!$C$4:$Z$4=L$56)*(Roadmap_Avion!$C$6:$Z$6=L$58)*(Roadmap_Avion!$C$7:$Z$7=L$59),Roadmap_Avion!$C$8:$Z$38,0))</f>
        <v>0.75</v>
      </c>
      <c r="M66" s="347">
        <f t="array" ref="M66">SUM(IF((Roadmap_Avion!$B$8:$B$38=$B66)*(Roadmap_Avion!$C$4:$Z$4=M$56)*(Roadmap_Avion!$C$6:$Z$6=M$58)*(Roadmap_Avion!$C$7:$Z$7=M$59),Roadmap_Avion!$C$8:$Z$38,0))</f>
        <v>0.5</v>
      </c>
      <c r="N66" s="348">
        <f t="array" ref="N66">SUM(IF((Roadmap_Avion!$B$8:$B$38=$B66)*(Roadmap_Avion!$C$4:$Z$4=N$56)*(Roadmap_Avion!$C$6:$Z$6=N$58)*(Roadmap_Avion!$C$7:$Z$7=N$59),Roadmap_Avion!$C$8:$Z$38,0))</f>
        <v>0</v>
      </c>
      <c r="O66" s="781">
        <f t="array" ref="O66">SUM(IF((Prod_Carburant_Alt!$A$7:$A$37=$B66)*(Prod_Carburant_Alt!$B$3:$AI$3=O$56)*(Prod_Carburant_Alt!$B$5:$AI$5='Synthèse scénarios'!O$58)*(Prod_Carburant_Alt!$B$6:$AI$6=O$59),Prod_Carburant_Alt!$B$7:$AI$37,0))</f>
        <v>6.2566685635126458</v>
      </c>
      <c r="P66" s="782">
        <f t="array" ref="P66">SUM(IF((Prod_Carburant_Alt!$A$7:$A$37=$B66)*(Prod_Carburant_Alt!$B$3:$AI$3=P$56)*(Prod_Carburant_Alt!$B$5:$AI$5='Synthèse scénarios'!P$58)*(Prod_Carburant_Alt!$B$6:$AI$6=P$59),Prod_Carburant_Alt!$B$7:$AI$37,0))</f>
        <v>0.204382517533922</v>
      </c>
      <c r="Q66" s="784">
        <f t="array" ref="Q66">SUM(IF((Prod_Carburant_Alt!$A$7:$A$37=$B66)*(Prod_Carburant_Alt!$B$3:$AI$3=Q$56)*(Prod_Carburant_Alt!$B$5:$AI$5='Synthèse scénarios'!Q$58)*(Prod_Carburant_Alt!$B$6:$AI$6=Q$59),Prod_Carburant_Alt!$B$7:$AI$37,0))</f>
        <v>0</v>
      </c>
      <c r="R66" s="621">
        <f>'Calculs Scénario ICEMAN'!BF22</f>
        <v>5.7960000000000234E-2</v>
      </c>
      <c r="S66" s="622">
        <f>'Calculs Scénario ICEMAN'!BJ22</f>
        <v>40.842491641665816</v>
      </c>
      <c r="T66" s="623">
        <f>'Calculs Scénario ICEMAN'!CG22</f>
        <v>1.7063309723414601E-2</v>
      </c>
      <c r="U66" s="622">
        <f>'Calculs Scénario ICEMAN'!CF22</f>
        <v>1075.3281309886097</v>
      </c>
      <c r="V66" s="624">
        <f>'Calculs Scénario ICEMAN'!CI22</f>
        <v>0</v>
      </c>
      <c r="W66" s="624">
        <f>'Calculs Scénario ICEMAN'!CB22</f>
        <v>0</v>
      </c>
      <c r="X66" s="625">
        <f>'Calculs Scénario ICEMAN'!CD22</f>
        <v>0</v>
      </c>
    </row>
    <row r="67" spans="2:24" ht="15">
      <c r="B67" s="620">
        <v>2027</v>
      </c>
      <c r="C67" s="346">
        <f t="array" ref="C67">SUM(IF((Roadmap_Avion!$B$8:$B$38=$B67)*(Roadmap_Avion!$C$4:$Z$4=C$56)*(Roadmap_Avion!$C$6:$Z$6=C$58)*(Roadmap_Avion!$C$7:$Z$7=C$59),Roadmap_Avion!$C$8:$Z$38,0))</f>
        <v>1</v>
      </c>
      <c r="D67" s="347">
        <f t="array" ref="D67">SUM(IF((Roadmap_Avion!$B$8:$B$38=$B67)*(Roadmap_Avion!$C$4:$Z$4=D$56)*(Roadmap_Avion!$C$6:$Z$6=D$58)*(Roadmap_Avion!$C$7:$Z$7=D$59),Roadmap_Avion!$C$8:$Z$38,0))</f>
        <v>0.5</v>
      </c>
      <c r="E67" s="348">
        <f t="array" ref="E67">SUM(IF((Roadmap_Avion!$B$8:$B$38=$B67)*(Roadmap_Avion!$C$4:$Z$4=E$56)*(Roadmap_Avion!$C$6:$Z$6=E$58)*(Roadmap_Avion!$C$7:$Z$7=E$59),Roadmap_Avion!$C$8:$Z$38,0))</f>
        <v>0</v>
      </c>
      <c r="F67" s="346">
        <f t="array" ref="F67">SUM(IF((Roadmap_Avion!$B$8:$B$38=$B67)*(Roadmap_Avion!$C$4:$Z$4=F$56)*(Roadmap_Avion!$C$6:$Z$6=F$58)*(Roadmap_Avion!$C$7:$Z$7=F$59),Roadmap_Avion!$C$8:$Z$38,0))</f>
        <v>1</v>
      </c>
      <c r="G67" s="347">
        <f t="array" ref="G67">SUM(IF((Roadmap_Avion!$B$8:$B$38=$B67)*(Roadmap_Avion!$C$4:$Z$4=G$56)*(Roadmap_Avion!$C$6:$Z$6=G$58)*(Roadmap_Avion!$C$7:$Z$7=G$59),Roadmap_Avion!$C$8:$Z$38,0))</f>
        <v>0.5</v>
      </c>
      <c r="H67" s="348">
        <f t="array" ref="H67">SUM(IF((Roadmap_Avion!$B$8:$B$38=$B67)*(Roadmap_Avion!$C$4:$Z$4=H$56)*(Roadmap_Avion!$C$6:$Z$6=H$58)*(Roadmap_Avion!$C$7:$Z$7=H$59),Roadmap_Avion!$C$8:$Z$38,0))</f>
        <v>0</v>
      </c>
      <c r="I67" s="346">
        <f t="array" ref="I67">SUM(IF((Roadmap_Avion!$B$8:$B$38=$B67)*(Roadmap_Avion!$C$4:$Z$4=I$56)*(Roadmap_Avion!$C$6:$Z$6=I$58)*(Roadmap_Avion!$C$7:$Z$7=I$59),Roadmap_Avion!$C$8:$Z$38,0))</f>
        <v>0.8</v>
      </c>
      <c r="J67" s="347">
        <f t="array" ref="J67">SUM(IF((Roadmap_Avion!$B$8:$B$38=$B67)*(Roadmap_Avion!$C$4:$Z$4=J$56)*(Roadmap_Avion!$C$6:$Z$6=J$58)*(Roadmap_Avion!$C$7:$Z$7=J$59),Roadmap_Avion!$C$8:$Z$38,0))</f>
        <v>0.5</v>
      </c>
      <c r="K67" s="348">
        <f t="array" ref="K67">SUM(IF((Roadmap_Avion!$B$8:$B$38=$B67)*(Roadmap_Avion!$C$4:$Z$4=K$56)*(Roadmap_Avion!$C$6:$Z$6=K$58)*(Roadmap_Avion!$C$7:$Z$7=K$59),Roadmap_Avion!$C$8:$Z$38,0))</f>
        <v>0</v>
      </c>
      <c r="L67" s="346">
        <f t="array" ref="L67">SUM(IF((Roadmap_Avion!$B$8:$B$38=$B67)*(Roadmap_Avion!$C$4:$Z$4=L$56)*(Roadmap_Avion!$C$6:$Z$6=L$58)*(Roadmap_Avion!$C$7:$Z$7=L$59),Roadmap_Avion!$C$8:$Z$38,0))</f>
        <v>0.75</v>
      </c>
      <c r="M67" s="347">
        <f t="array" ref="M67">SUM(IF((Roadmap_Avion!$B$8:$B$38=$B67)*(Roadmap_Avion!$C$4:$Z$4=M$56)*(Roadmap_Avion!$C$6:$Z$6=M$58)*(Roadmap_Avion!$C$7:$Z$7=M$59),Roadmap_Avion!$C$8:$Z$38,0))</f>
        <v>0.5</v>
      </c>
      <c r="N67" s="348">
        <f t="array" ref="N67">SUM(IF((Roadmap_Avion!$B$8:$B$38=$B67)*(Roadmap_Avion!$C$4:$Z$4=N$56)*(Roadmap_Avion!$C$6:$Z$6=N$58)*(Roadmap_Avion!$C$7:$Z$7=N$59),Roadmap_Avion!$C$8:$Z$38,0))</f>
        <v>0</v>
      </c>
      <c r="O67" s="781">
        <f t="array" ref="O67">SUM(IF((Prod_Carburant_Alt!$A$7:$A$37=$B67)*(Prod_Carburant_Alt!$B$3:$AI$3=O$56)*(Prod_Carburant_Alt!$B$5:$AI$5='Synthèse scénarios'!O$58)*(Prod_Carburant_Alt!$B$6:$AI$6=O$59),Prod_Carburant_Alt!$B$7:$AI$37,0))</f>
        <v>7.8208357043908077</v>
      </c>
      <c r="P67" s="782">
        <f t="array" ref="P67">SUM(IF((Prod_Carburant_Alt!$A$7:$A$37=$B67)*(Prod_Carburant_Alt!$B$3:$AI$3=P$56)*(Prod_Carburant_Alt!$B$5:$AI$5='Synthèse scénarios'!P$58)*(Prod_Carburant_Alt!$B$6:$AI$6=P$59),Prod_Carburant_Alt!$B$7:$AI$37,0))</f>
        <v>0.20438251753392203</v>
      </c>
      <c r="Q67" s="784">
        <f t="array" ref="Q67">SUM(IF((Prod_Carburant_Alt!$A$7:$A$37=$B67)*(Prod_Carburant_Alt!$B$3:$AI$3=Q$56)*(Prod_Carburant_Alt!$B$5:$AI$5='Synthèse scénarios'!Q$58)*(Prod_Carburant_Alt!$B$6:$AI$6=Q$59),Prod_Carburant_Alt!$B$7:$AI$37,0))</f>
        <v>0</v>
      </c>
      <c r="R67" s="621">
        <f>'Calculs Scénario ICEMAN'!BF23</f>
        <v>6.6239999999999966E-2</v>
      </c>
      <c r="S67" s="622">
        <f>'Calculs Scénario ICEMAN'!BJ23</f>
        <v>48.075358592761518</v>
      </c>
      <c r="T67" s="623">
        <f>'Calculs Scénario ICEMAN'!CG23</f>
        <v>2.0708799837745012E-2</v>
      </c>
      <c r="U67" s="622">
        <f>'Calculs Scénario ICEMAN'!CF23</f>
        <v>1103.4322409656925</v>
      </c>
      <c r="V67" s="624">
        <f>'Calculs Scénario ICEMAN'!CI23</f>
        <v>12.88308241118159</v>
      </c>
      <c r="W67" s="624">
        <f>'Calculs Scénario ICEMAN'!CB23</f>
        <v>0</v>
      </c>
      <c r="X67" s="625">
        <f>'Calculs Scénario ICEMAN'!CD23</f>
        <v>0</v>
      </c>
    </row>
    <row r="68" spans="2:24" ht="15">
      <c r="B68" s="620">
        <v>2028</v>
      </c>
      <c r="C68" s="346">
        <f t="array" ref="C68">SUM(IF((Roadmap_Avion!$B$8:$B$38=$B68)*(Roadmap_Avion!$C$4:$Z$4=C$56)*(Roadmap_Avion!$C$6:$Z$6=C$58)*(Roadmap_Avion!$C$7:$Z$7=C$59),Roadmap_Avion!$C$8:$Z$38,0))</f>
        <v>1</v>
      </c>
      <c r="D68" s="347">
        <f t="array" ref="D68">SUM(IF((Roadmap_Avion!$B$8:$B$38=$B68)*(Roadmap_Avion!$C$4:$Z$4=D$56)*(Roadmap_Avion!$C$6:$Z$6=D$58)*(Roadmap_Avion!$C$7:$Z$7=D$59),Roadmap_Avion!$C$8:$Z$38,0))</f>
        <v>0.5</v>
      </c>
      <c r="E68" s="348">
        <f t="array" ref="E68">SUM(IF((Roadmap_Avion!$B$8:$B$38=$B68)*(Roadmap_Avion!$C$4:$Z$4=E$56)*(Roadmap_Avion!$C$6:$Z$6=E$58)*(Roadmap_Avion!$C$7:$Z$7=E$59),Roadmap_Avion!$C$8:$Z$38,0))</f>
        <v>0</v>
      </c>
      <c r="F68" s="346">
        <f t="array" ref="F68">SUM(IF((Roadmap_Avion!$B$8:$B$38=$B68)*(Roadmap_Avion!$C$4:$Z$4=F$56)*(Roadmap_Avion!$C$6:$Z$6=F$58)*(Roadmap_Avion!$C$7:$Z$7=F$59),Roadmap_Avion!$C$8:$Z$38,0))</f>
        <v>1</v>
      </c>
      <c r="G68" s="347">
        <f t="array" ref="G68">SUM(IF((Roadmap_Avion!$B$8:$B$38=$B68)*(Roadmap_Avion!$C$4:$Z$4=G$56)*(Roadmap_Avion!$C$6:$Z$6=G$58)*(Roadmap_Avion!$C$7:$Z$7=G$59),Roadmap_Avion!$C$8:$Z$38,0))</f>
        <v>0.5</v>
      </c>
      <c r="H68" s="348">
        <f t="array" ref="H68">SUM(IF((Roadmap_Avion!$B$8:$B$38=$B68)*(Roadmap_Avion!$C$4:$Z$4=H$56)*(Roadmap_Avion!$C$6:$Z$6=H$58)*(Roadmap_Avion!$C$7:$Z$7=H$59),Roadmap_Avion!$C$8:$Z$38,0))</f>
        <v>0</v>
      </c>
      <c r="I68" s="346">
        <f t="array" ref="I68">SUM(IF((Roadmap_Avion!$B$8:$B$38=$B68)*(Roadmap_Avion!$C$4:$Z$4=I$56)*(Roadmap_Avion!$C$6:$Z$6=I$58)*(Roadmap_Avion!$C$7:$Z$7=I$59),Roadmap_Avion!$C$8:$Z$38,0))</f>
        <v>0.8</v>
      </c>
      <c r="J68" s="347">
        <f t="array" ref="J68">SUM(IF((Roadmap_Avion!$B$8:$B$38=$B68)*(Roadmap_Avion!$C$4:$Z$4=J$56)*(Roadmap_Avion!$C$6:$Z$6=J$58)*(Roadmap_Avion!$C$7:$Z$7=J$59),Roadmap_Avion!$C$8:$Z$38,0))</f>
        <v>0.5</v>
      </c>
      <c r="K68" s="348">
        <f t="array" ref="K68">SUM(IF((Roadmap_Avion!$B$8:$B$38=$B68)*(Roadmap_Avion!$C$4:$Z$4=K$56)*(Roadmap_Avion!$C$6:$Z$6=K$58)*(Roadmap_Avion!$C$7:$Z$7=K$59),Roadmap_Avion!$C$8:$Z$38,0))</f>
        <v>0</v>
      </c>
      <c r="L68" s="346">
        <f t="array" ref="L68">SUM(IF((Roadmap_Avion!$B$8:$B$38=$B68)*(Roadmap_Avion!$C$4:$Z$4=L$56)*(Roadmap_Avion!$C$6:$Z$6=L$58)*(Roadmap_Avion!$C$7:$Z$7=L$59),Roadmap_Avion!$C$8:$Z$38,0))</f>
        <v>0.75</v>
      </c>
      <c r="M68" s="347">
        <f t="array" ref="M68">SUM(IF((Roadmap_Avion!$B$8:$B$38=$B68)*(Roadmap_Avion!$C$4:$Z$4=M$56)*(Roadmap_Avion!$C$6:$Z$6=M$58)*(Roadmap_Avion!$C$7:$Z$7=M$59),Roadmap_Avion!$C$8:$Z$38,0))</f>
        <v>0.5</v>
      </c>
      <c r="N68" s="348">
        <f t="array" ref="N68">SUM(IF((Roadmap_Avion!$B$8:$B$38=$B68)*(Roadmap_Avion!$C$4:$Z$4=N$56)*(Roadmap_Avion!$C$6:$Z$6=N$58)*(Roadmap_Avion!$C$7:$Z$7=N$59),Roadmap_Avion!$C$8:$Z$38,0))</f>
        <v>0</v>
      </c>
      <c r="O68" s="781">
        <f t="array" ref="O68">SUM(IF((Prod_Carburant_Alt!$A$7:$A$37=$B68)*(Prod_Carburant_Alt!$B$3:$AI$3=O$56)*(Prod_Carburant_Alt!$B$5:$AI$5='Synthèse scénarios'!O$58)*(Prod_Carburant_Alt!$B$6:$AI$6=O$59),Prod_Carburant_Alt!$B$7:$AI$37,0))</f>
        <v>9.77604463048851</v>
      </c>
      <c r="P68" s="782">
        <f t="array" ref="P68">SUM(IF((Prod_Carburant_Alt!$A$7:$A$37=$B68)*(Prod_Carburant_Alt!$B$3:$AI$3=P$56)*(Prod_Carburant_Alt!$B$5:$AI$5='Synthèse scénarios'!P$58)*(Prod_Carburant_Alt!$B$6:$AI$6=P$59),Prod_Carburant_Alt!$B$7:$AI$37,0))</f>
        <v>0.20438251753392203</v>
      </c>
      <c r="Q68" s="784">
        <f t="array" ref="Q68">SUM(IF((Prod_Carburant_Alt!$A$7:$A$37=$B68)*(Prod_Carburant_Alt!$B$3:$AI$3=Q$56)*(Prod_Carburant_Alt!$B$5:$AI$5='Synthèse scénarios'!Q$58)*(Prod_Carburant_Alt!$B$6:$AI$6=Q$59),Prod_Carburant_Alt!$B$7:$AI$37,0))</f>
        <v>0</v>
      </c>
      <c r="R68" s="621">
        <f>'Calculs Scénario ICEMAN'!BF24</f>
        <v>7.451999999999992E-2</v>
      </c>
      <c r="S68" s="622">
        <f>'Calculs Scénario ICEMAN'!BJ24</f>
        <v>55.695341608358284</v>
      </c>
      <c r="T68" s="623">
        <f>'Calculs Scénario ICEMAN'!CG24</f>
        <v>2.513744458152746E-2</v>
      </c>
      <c r="U68" s="622">
        <f>'Calculs Scénario ICEMAN'!CF24</f>
        <v>1131.1521467756027</v>
      </c>
      <c r="V68" s="624">
        <f>'Calculs Scénario ICEMAN'!CI24</f>
        <v>36.167803291506175</v>
      </c>
      <c r="W68" s="624">
        <f>'Calculs Scénario ICEMAN'!CB24</f>
        <v>0</v>
      </c>
      <c r="X68" s="625">
        <f>'Calculs Scénario ICEMAN'!CD24</f>
        <v>0</v>
      </c>
    </row>
    <row r="69" spans="2:24" ht="15">
      <c r="B69" s="620">
        <v>2029</v>
      </c>
      <c r="C69" s="346">
        <f t="array" ref="C69">SUM(IF((Roadmap_Avion!$B$8:$B$38=$B69)*(Roadmap_Avion!$C$4:$Z$4=C$56)*(Roadmap_Avion!$C$6:$Z$6=C$58)*(Roadmap_Avion!$C$7:$Z$7=C$59),Roadmap_Avion!$C$8:$Z$38,0))</f>
        <v>1</v>
      </c>
      <c r="D69" s="347">
        <f t="array" ref="D69">SUM(IF((Roadmap_Avion!$B$8:$B$38=$B69)*(Roadmap_Avion!$C$4:$Z$4=D$56)*(Roadmap_Avion!$C$6:$Z$6=D$58)*(Roadmap_Avion!$C$7:$Z$7=D$59),Roadmap_Avion!$C$8:$Z$38,0))</f>
        <v>0.5</v>
      </c>
      <c r="E69" s="348">
        <f t="array" ref="E69">SUM(IF((Roadmap_Avion!$B$8:$B$38=$B69)*(Roadmap_Avion!$C$4:$Z$4=E$56)*(Roadmap_Avion!$C$6:$Z$6=E$58)*(Roadmap_Avion!$C$7:$Z$7=E$59),Roadmap_Avion!$C$8:$Z$38,0))</f>
        <v>0</v>
      </c>
      <c r="F69" s="346">
        <f t="array" ref="F69">SUM(IF((Roadmap_Avion!$B$8:$B$38=$B69)*(Roadmap_Avion!$C$4:$Z$4=F$56)*(Roadmap_Avion!$C$6:$Z$6=F$58)*(Roadmap_Avion!$C$7:$Z$7=F$59),Roadmap_Avion!$C$8:$Z$38,0))</f>
        <v>1</v>
      </c>
      <c r="G69" s="347">
        <f t="array" ref="G69">SUM(IF((Roadmap_Avion!$B$8:$B$38=$B69)*(Roadmap_Avion!$C$4:$Z$4=G$56)*(Roadmap_Avion!$C$6:$Z$6=G$58)*(Roadmap_Avion!$C$7:$Z$7=G$59),Roadmap_Avion!$C$8:$Z$38,0))</f>
        <v>0.5</v>
      </c>
      <c r="H69" s="348">
        <f t="array" ref="H69">SUM(IF((Roadmap_Avion!$B$8:$B$38=$B69)*(Roadmap_Avion!$C$4:$Z$4=H$56)*(Roadmap_Avion!$C$6:$Z$6=H$58)*(Roadmap_Avion!$C$7:$Z$7=H$59),Roadmap_Avion!$C$8:$Z$38,0))</f>
        <v>0</v>
      </c>
      <c r="I69" s="346">
        <f t="array" ref="I69">SUM(IF((Roadmap_Avion!$B$8:$B$38=$B69)*(Roadmap_Avion!$C$4:$Z$4=I$56)*(Roadmap_Avion!$C$6:$Z$6=I$58)*(Roadmap_Avion!$C$7:$Z$7=I$59),Roadmap_Avion!$C$8:$Z$38,0))</f>
        <v>0.8</v>
      </c>
      <c r="J69" s="347">
        <f t="array" ref="J69">SUM(IF((Roadmap_Avion!$B$8:$B$38=$B69)*(Roadmap_Avion!$C$4:$Z$4=J$56)*(Roadmap_Avion!$C$6:$Z$6=J$58)*(Roadmap_Avion!$C$7:$Z$7=J$59),Roadmap_Avion!$C$8:$Z$38,0))</f>
        <v>0.5</v>
      </c>
      <c r="K69" s="348">
        <f t="array" ref="K69">SUM(IF((Roadmap_Avion!$B$8:$B$38=$B69)*(Roadmap_Avion!$C$4:$Z$4=K$56)*(Roadmap_Avion!$C$6:$Z$6=K$58)*(Roadmap_Avion!$C$7:$Z$7=K$59),Roadmap_Avion!$C$8:$Z$38,0))</f>
        <v>0</v>
      </c>
      <c r="L69" s="346">
        <f t="array" ref="L69">SUM(IF((Roadmap_Avion!$B$8:$B$38=$B69)*(Roadmap_Avion!$C$4:$Z$4=L$56)*(Roadmap_Avion!$C$6:$Z$6=L$58)*(Roadmap_Avion!$C$7:$Z$7=L$59),Roadmap_Avion!$C$8:$Z$38,0))</f>
        <v>0.75</v>
      </c>
      <c r="M69" s="347">
        <f t="array" ref="M69">SUM(IF((Roadmap_Avion!$B$8:$B$38=$B69)*(Roadmap_Avion!$C$4:$Z$4=M$56)*(Roadmap_Avion!$C$6:$Z$6=M$58)*(Roadmap_Avion!$C$7:$Z$7=M$59),Roadmap_Avion!$C$8:$Z$38,0))</f>
        <v>0.5</v>
      </c>
      <c r="N69" s="348">
        <f t="array" ref="N69">SUM(IF((Roadmap_Avion!$B$8:$B$38=$B69)*(Roadmap_Avion!$C$4:$Z$4=N$56)*(Roadmap_Avion!$C$6:$Z$6=N$58)*(Roadmap_Avion!$C$7:$Z$7=N$59),Roadmap_Avion!$C$8:$Z$38,0))</f>
        <v>0</v>
      </c>
      <c r="O69" s="781">
        <f t="array" ref="O69">SUM(IF((Prod_Carburant_Alt!$A$7:$A$37=$B69)*(Prod_Carburant_Alt!$B$3:$AI$3=O$56)*(Prod_Carburant_Alt!$B$5:$AI$5='Synthèse scénarios'!O$58)*(Prod_Carburant_Alt!$B$6:$AI$6=O$59),Prod_Carburant_Alt!$B$7:$AI$37,0))</f>
        <v>12.220055788110637</v>
      </c>
      <c r="P69" s="782">
        <f t="array" ref="P69">SUM(IF((Prod_Carburant_Alt!$A$7:$A$37=$B69)*(Prod_Carburant_Alt!$B$3:$AI$3=P$56)*(Prod_Carburant_Alt!$B$5:$AI$5='Synthèse scénarios'!P$58)*(Prod_Carburant_Alt!$B$6:$AI$6=P$59),Prod_Carburant_Alt!$B$7:$AI$37,0))</f>
        <v>0.20438251753392203</v>
      </c>
      <c r="Q69" s="784">
        <f t="array" ref="Q69">SUM(IF((Prod_Carburant_Alt!$A$7:$A$37=$B69)*(Prod_Carburant_Alt!$B$3:$AI$3=Q$56)*(Prod_Carburant_Alt!$B$5:$AI$5='Synthèse scénarios'!Q$58)*(Prod_Carburant_Alt!$B$6:$AI$6=Q$59),Prod_Carburant_Alt!$B$7:$AI$37,0))</f>
        <v>0</v>
      </c>
      <c r="R69" s="621">
        <f>'Calculs Scénario ICEMAN'!BF25</f>
        <v>8.2800000000000096E-2</v>
      </c>
      <c r="S69" s="622">
        <f>'Calculs Scénario ICEMAN'!BJ25</f>
        <v>63.714854919716061</v>
      </c>
      <c r="T69" s="623">
        <f>'Calculs Scénario ICEMAN'!CG25</f>
        <v>3.051875432811536E-2</v>
      </c>
      <c r="U69" s="622">
        <f>'Calculs Scénario ICEMAN'!CF25</f>
        <v>1158.1941921631826</v>
      </c>
      <c r="V69" s="624">
        <f>'Calculs Scénario ICEMAN'!CI25</f>
        <v>58.883121417073312</v>
      </c>
      <c r="W69" s="624">
        <f>'Calculs Scénario ICEMAN'!CB25</f>
        <v>0</v>
      </c>
      <c r="X69" s="625">
        <f>'Calculs Scénario ICEMAN'!CD25</f>
        <v>0</v>
      </c>
    </row>
    <row r="70" spans="2:24" ht="15">
      <c r="B70" s="620">
        <v>2030</v>
      </c>
      <c r="C70" s="346">
        <f t="array" ref="C70">SUM(IF((Roadmap_Avion!$B$8:$B$38=$B70)*(Roadmap_Avion!$C$4:$Z$4=C$56)*(Roadmap_Avion!$C$6:$Z$6=C$58)*(Roadmap_Avion!$C$7:$Z$7=C$59),Roadmap_Avion!$C$8:$Z$38,0))</f>
        <v>0.5</v>
      </c>
      <c r="D70" s="347">
        <f t="array" ref="D70">SUM(IF((Roadmap_Avion!$B$8:$B$38=$B70)*(Roadmap_Avion!$C$4:$Z$4=D$56)*(Roadmap_Avion!$C$6:$Z$6=D$58)*(Roadmap_Avion!$C$7:$Z$7=D$59),Roadmap_Avion!$C$8:$Z$38,0))</f>
        <v>0.25</v>
      </c>
      <c r="E70" s="348">
        <f t="array" ref="E70">SUM(IF((Roadmap_Avion!$B$8:$B$38=$B70)*(Roadmap_Avion!$C$4:$Z$4=E$56)*(Roadmap_Avion!$C$6:$Z$6=E$58)*(Roadmap_Avion!$C$7:$Z$7=E$59),Roadmap_Avion!$C$8:$Z$38,0))</f>
        <v>0</v>
      </c>
      <c r="F70" s="346">
        <f t="array" ref="F70">SUM(IF((Roadmap_Avion!$B$8:$B$38=$B70)*(Roadmap_Avion!$C$4:$Z$4=F$56)*(Roadmap_Avion!$C$6:$Z$6=F$58)*(Roadmap_Avion!$C$7:$Z$7=F$59),Roadmap_Avion!$C$8:$Z$38,0))</f>
        <v>0.9</v>
      </c>
      <c r="G70" s="347">
        <f t="array" ref="G70">SUM(IF((Roadmap_Avion!$B$8:$B$38=$B70)*(Roadmap_Avion!$C$4:$Z$4=G$56)*(Roadmap_Avion!$C$6:$Z$6=G$58)*(Roadmap_Avion!$C$7:$Z$7=G$59),Roadmap_Avion!$C$8:$Z$38,0))</f>
        <v>0.5</v>
      </c>
      <c r="H70" s="348">
        <f t="array" ref="H70">SUM(IF((Roadmap_Avion!$B$8:$B$38=$B70)*(Roadmap_Avion!$C$4:$Z$4=H$56)*(Roadmap_Avion!$C$6:$Z$6=H$58)*(Roadmap_Avion!$C$7:$Z$7=H$59),Roadmap_Avion!$C$8:$Z$38,0))</f>
        <v>0</v>
      </c>
      <c r="I70" s="346">
        <f t="array" ref="I70">SUM(IF((Roadmap_Avion!$B$8:$B$38=$B70)*(Roadmap_Avion!$C$4:$Z$4=I$56)*(Roadmap_Avion!$C$6:$Z$6=I$58)*(Roadmap_Avion!$C$7:$Z$7=I$59),Roadmap_Avion!$C$8:$Z$38,0))</f>
        <v>0.8</v>
      </c>
      <c r="J70" s="347">
        <f t="array" ref="J70">SUM(IF((Roadmap_Avion!$B$8:$B$38=$B70)*(Roadmap_Avion!$C$4:$Z$4=J$56)*(Roadmap_Avion!$C$6:$Z$6=J$58)*(Roadmap_Avion!$C$7:$Z$7=J$59),Roadmap_Avion!$C$8:$Z$38,0))</f>
        <v>0.5</v>
      </c>
      <c r="K70" s="348">
        <f t="array" ref="K70">SUM(IF((Roadmap_Avion!$B$8:$B$38=$B70)*(Roadmap_Avion!$C$4:$Z$4=K$56)*(Roadmap_Avion!$C$6:$Z$6=K$58)*(Roadmap_Avion!$C$7:$Z$7=K$59),Roadmap_Avion!$C$8:$Z$38,0))</f>
        <v>0</v>
      </c>
      <c r="L70" s="346">
        <f t="array" ref="L70">SUM(IF((Roadmap_Avion!$B$8:$B$38=$B70)*(Roadmap_Avion!$C$4:$Z$4=L$56)*(Roadmap_Avion!$C$6:$Z$6=L$58)*(Roadmap_Avion!$C$7:$Z$7=L$59),Roadmap_Avion!$C$8:$Z$38,0))</f>
        <v>0.75</v>
      </c>
      <c r="M70" s="347">
        <f t="array" ref="M70">SUM(IF((Roadmap_Avion!$B$8:$B$38=$B70)*(Roadmap_Avion!$C$4:$Z$4=M$56)*(Roadmap_Avion!$C$6:$Z$6=M$58)*(Roadmap_Avion!$C$7:$Z$7=M$59),Roadmap_Avion!$C$8:$Z$38,0))</f>
        <v>0.5</v>
      </c>
      <c r="N70" s="348">
        <f t="array" ref="N70">SUM(IF((Roadmap_Avion!$B$8:$B$38=$B70)*(Roadmap_Avion!$C$4:$Z$4=N$56)*(Roadmap_Avion!$C$6:$Z$6=N$58)*(Roadmap_Avion!$C$7:$Z$7=N$59),Roadmap_Avion!$C$8:$Z$38,0))</f>
        <v>0</v>
      </c>
      <c r="O70" s="781">
        <f t="array" ref="O70">SUM(IF((Prod_Carburant_Alt!$A$7:$A$37=$B70)*(Prod_Carburant_Alt!$B$3:$AI$3=O$56)*(Prod_Carburant_Alt!$B$5:$AI$5='Synthèse scénarios'!O$58)*(Prod_Carburant_Alt!$B$6:$AI$6=O$59),Prod_Carburant_Alt!$B$7:$AI$37,0))</f>
        <v>15.275069735138295</v>
      </c>
      <c r="P70" s="782">
        <f t="array" ref="P70">SUM(IF((Prod_Carburant_Alt!$A$7:$A$37=$B70)*(Prod_Carburant_Alt!$B$3:$AI$3=P$56)*(Prod_Carburant_Alt!$B$5:$AI$5='Synthèse scénarios'!P$58)*(Prod_Carburant_Alt!$B$6:$AI$6=P$59),Prod_Carburant_Alt!$B$7:$AI$37,0))</f>
        <v>0.204382517533922</v>
      </c>
      <c r="Q70" s="370">
        <f t="array" ref="Q70">SUM(IF((Prod_Carburant_Alt!$A$7:$A$37=$B70)*(Prod_Carburant_Alt!$B$3:$AI$3=Q$56)*(Prod_Carburant_Alt!$B$5:$AI$5='Synthèse scénarios'!Q$58)*(Prod_Carburant_Alt!$B$6:$AI$6=Q$59),Prod_Carburant_Alt!$B$7:$AI$37,0))</f>
        <v>3.0522444079862554</v>
      </c>
      <c r="R70" s="621">
        <f>'Calculs Scénario ICEMAN'!BF26</f>
        <v>9.1400000000000037E-2</v>
      </c>
      <c r="S70" s="622">
        <f>'Calculs Scénario ICEMAN'!BJ26</f>
        <v>72.087908695992738</v>
      </c>
      <c r="T70" s="623">
        <f>'Calculs Scénario ICEMAN'!CG26</f>
        <v>4.5146297553676301E-2</v>
      </c>
      <c r="U70" s="622">
        <f>'Calculs Scénario ICEMAN'!CF26</f>
        <v>1173.8302612547955</v>
      </c>
      <c r="V70" s="624">
        <f>'Calculs Scénario ICEMAN'!CI26</f>
        <v>70.740289785139566</v>
      </c>
      <c r="W70" s="624">
        <f>'Calculs Scénario ICEMAN'!CB26</f>
        <v>138.21749663298201</v>
      </c>
      <c r="X70" s="625">
        <f>'Calculs Scénario ICEMAN'!CD26</f>
        <v>9.8375442443403571E-2</v>
      </c>
    </row>
    <row r="71" spans="2:24" ht="15">
      <c r="B71" s="620">
        <v>2031</v>
      </c>
      <c r="C71" s="346">
        <f t="array" ref="C71">SUM(IF((Roadmap_Avion!$B$8:$B$38=$B71)*(Roadmap_Avion!$C$4:$Z$4=C$56)*(Roadmap_Avion!$C$6:$Z$6=C$58)*(Roadmap_Avion!$C$7:$Z$7=C$59),Roadmap_Avion!$C$8:$Z$38,0))</f>
        <v>0.5</v>
      </c>
      <c r="D71" s="347">
        <f t="array" ref="D71">SUM(IF((Roadmap_Avion!$B$8:$B$38=$B71)*(Roadmap_Avion!$C$4:$Z$4=D$56)*(Roadmap_Avion!$C$6:$Z$6=D$58)*(Roadmap_Avion!$C$7:$Z$7=D$59),Roadmap_Avion!$C$8:$Z$38,0))</f>
        <v>0.25</v>
      </c>
      <c r="E71" s="348">
        <f t="array" ref="E71">SUM(IF((Roadmap_Avion!$B$8:$B$38=$B71)*(Roadmap_Avion!$C$4:$Z$4=E$56)*(Roadmap_Avion!$C$6:$Z$6=E$58)*(Roadmap_Avion!$C$7:$Z$7=E$59),Roadmap_Avion!$C$8:$Z$38,0))</f>
        <v>0</v>
      </c>
      <c r="F71" s="346">
        <f t="array" ref="F71">SUM(IF((Roadmap_Avion!$B$8:$B$38=$B71)*(Roadmap_Avion!$C$4:$Z$4=F$56)*(Roadmap_Avion!$C$6:$Z$6=F$58)*(Roadmap_Avion!$C$7:$Z$7=F$59),Roadmap_Avion!$C$8:$Z$38,0))</f>
        <v>0.9</v>
      </c>
      <c r="G71" s="347">
        <f t="array" ref="G71">SUM(IF((Roadmap_Avion!$B$8:$B$38=$B71)*(Roadmap_Avion!$C$4:$Z$4=G$56)*(Roadmap_Avion!$C$6:$Z$6=G$58)*(Roadmap_Avion!$C$7:$Z$7=G$59),Roadmap_Avion!$C$8:$Z$38,0))</f>
        <v>0.5</v>
      </c>
      <c r="H71" s="348">
        <f t="array" ref="H71">SUM(IF((Roadmap_Avion!$B$8:$B$38=$B71)*(Roadmap_Avion!$C$4:$Z$4=H$56)*(Roadmap_Avion!$C$6:$Z$6=H$58)*(Roadmap_Avion!$C$7:$Z$7=H$59),Roadmap_Avion!$C$8:$Z$38,0))</f>
        <v>0</v>
      </c>
      <c r="I71" s="346">
        <f t="array" ref="I71">SUM(IF((Roadmap_Avion!$B$8:$B$38=$B71)*(Roadmap_Avion!$C$4:$Z$4=I$56)*(Roadmap_Avion!$C$6:$Z$6=I$58)*(Roadmap_Avion!$C$7:$Z$7=I$59),Roadmap_Avion!$C$8:$Z$38,0))</f>
        <v>0.8</v>
      </c>
      <c r="J71" s="347">
        <f t="array" ref="J71">SUM(IF((Roadmap_Avion!$B$8:$B$38=$B71)*(Roadmap_Avion!$C$4:$Z$4=J$56)*(Roadmap_Avion!$C$6:$Z$6=J$58)*(Roadmap_Avion!$C$7:$Z$7=J$59),Roadmap_Avion!$C$8:$Z$38,0))</f>
        <v>0.5</v>
      </c>
      <c r="K71" s="348">
        <f t="array" ref="K71">SUM(IF((Roadmap_Avion!$B$8:$B$38=$B71)*(Roadmap_Avion!$C$4:$Z$4=K$56)*(Roadmap_Avion!$C$6:$Z$6=K$58)*(Roadmap_Avion!$C$7:$Z$7=K$59),Roadmap_Avion!$C$8:$Z$38,0))</f>
        <v>0</v>
      </c>
      <c r="L71" s="346">
        <f t="array" ref="L71">SUM(IF((Roadmap_Avion!$B$8:$B$38=$B71)*(Roadmap_Avion!$C$4:$Z$4=L$56)*(Roadmap_Avion!$C$6:$Z$6=L$58)*(Roadmap_Avion!$C$7:$Z$7=L$59),Roadmap_Avion!$C$8:$Z$38,0))</f>
        <v>0.75</v>
      </c>
      <c r="M71" s="347">
        <f t="array" ref="M71">SUM(IF((Roadmap_Avion!$B$8:$B$38=$B71)*(Roadmap_Avion!$C$4:$Z$4=M$56)*(Roadmap_Avion!$C$6:$Z$6=M$58)*(Roadmap_Avion!$C$7:$Z$7=M$59),Roadmap_Avion!$C$8:$Z$38,0))</f>
        <v>0.5</v>
      </c>
      <c r="N71" s="348">
        <f t="array" ref="N71">SUM(IF((Roadmap_Avion!$B$8:$B$38=$B71)*(Roadmap_Avion!$C$4:$Z$4=N$56)*(Roadmap_Avion!$C$6:$Z$6=N$58)*(Roadmap_Avion!$C$7:$Z$7=N$59),Roadmap_Avion!$C$8:$Z$38,0))</f>
        <v>0</v>
      </c>
      <c r="O71" s="781">
        <f t="array" ref="O71">SUM(IF((Prod_Carburant_Alt!$A$7:$A$37=$B71)*(Prod_Carburant_Alt!$B$3:$AI$3=O$56)*(Prod_Carburant_Alt!$B$5:$AI$5='Synthèse scénarios'!O$58)*(Prod_Carburant_Alt!$B$6:$AI$6=O$59),Prod_Carburant_Alt!$B$7:$AI$37,0))</f>
        <v>17.566330195409037</v>
      </c>
      <c r="P71" s="782">
        <f t="array" ref="P71">SUM(IF((Prod_Carburant_Alt!$A$7:$A$37=$B71)*(Prod_Carburant_Alt!$B$3:$AI$3=P$56)*(Prod_Carburant_Alt!$B$5:$AI$5='Synthèse scénarios'!P$58)*(Prod_Carburant_Alt!$B$6:$AI$6=P$59),Prod_Carburant_Alt!$B$7:$AI$37,0))</f>
        <v>0.20438251753392203</v>
      </c>
      <c r="Q71" s="784">
        <f t="array" ref="Q71">SUM(IF((Prod_Carburant_Alt!$A$7:$A$37=$B71)*(Prod_Carburant_Alt!$B$3:$AI$3=Q$56)*(Prod_Carburant_Alt!$B$5:$AI$5='Synthèse scénarios'!Q$58)*(Prod_Carburant_Alt!$B$6:$AI$6=Q$59),Prod_Carburant_Alt!$B$7:$AI$37,0))</f>
        <v>3.815305509982819</v>
      </c>
      <c r="R71" s="621">
        <f>'Calculs Scénario ICEMAN'!BF27</f>
        <v>0.10000000000000009</v>
      </c>
      <c r="S71" s="622">
        <f>'Calculs Scénario ICEMAN'!BJ27</f>
        <v>80.875896990351166</v>
      </c>
      <c r="T71" s="623">
        <f>'Calculs Scénario ICEMAN'!CG27</f>
        <v>5.1249435488363367E-2</v>
      </c>
      <c r="U71" s="622">
        <f>'Calculs Scénario ICEMAN'!CF27</f>
        <v>1199.9226374840589</v>
      </c>
      <c r="V71" s="624">
        <f>'Calculs Scénario ICEMAN'!CI27</f>
        <v>92.338603400498414</v>
      </c>
      <c r="W71" s="624">
        <f>'Calculs Scénario ICEMAN'!CB27</f>
        <v>172.77187079122751</v>
      </c>
      <c r="X71" s="625">
        <f>'Calculs Scénario ICEMAN'!CD27</f>
        <v>0.12296930305425446</v>
      </c>
    </row>
    <row r="72" spans="2:24" ht="15">
      <c r="B72" s="620">
        <v>2032</v>
      </c>
      <c r="C72" s="346">
        <f t="array" ref="C72">SUM(IF((Roadmap_Avion!$B$8:$B$38=$B72)*(Roadmap_Avion!$C$4:$Z$4=C$56)*(Roadmap_Avion!$C$6:$Z$6=C$58)*(Roadmap_Avion!$C$7:$Z$7=C$59),Roadmap_Avion!$C$8:$Z$38,0))</f>
        <v>0.5</v>
      </c>
      <c r="D72" s="347">
        <f t="array" ref="D72">SUM(IF((Roadmap_Avion!$B$8:$B$38=$B72)*(Roadmap_Avion!$C$4:$Z$4=D$56)*(Roadmap_Avion!$C$6:$Z$6=D$58)*(Roadmap_Avion!$C$7:$Z$7=D$59),Roadmap_Avion!$C$8:$Z$38,0))</f>
        <v>0.25</v>
      </c>
      <c r="E72" s="348">
        <f t="array" ref="E72">SUM(IF((Roadmap_Avion!$B$8:$B$38=$B72)*(Roadmap_Avion!$C$4:$Z$4=E$56)*(Roadmap_Avion!$C$6:$Z$6=E$58)*(Roadmap_Avion!$C$7:$Z$7=E$59),Roadmap_Avion!$C$8:$Z$38,0))</f>
        <v>0</v>
      </c>
      <c r="F72" s="346">
        <f t="array" ref="F72">SUM(IF((Roadmap_Avion!$B$8:$B$38=$B72)*(Roadmap_Avion!$C$4:$Z$4=F$56)*(Roadmap_Avion!$C$6:$Z$6=F$58)*(Roadmap_Avion!$C$7:$Z$7=F$59),Roadmap_Avion!$C$8:$Z$38,0))</f>
        <v>0.9</v>
      </c>
      <c r="G72" s="347">
        <f t="array" ref="G72">SUM(IF((Roadmap_Avion!$B$8:$B$38=$B72)*(Roadmap_Avion!$C$4:$Z$4=G$56)*(Roadmap_Avion!$C$6:$Z$6=G$58)*(Roadmap_Avion!$C$7:$Z$7=G$59),Roadmap_Avion!$C$8:$Z$38,0))</f>
        <v>0.5</v>
      </c>
      <c r="H72" s="348">
        <f t="array" ref="H72">SUM(IF((Roadmap_Avion!$B$8:$B$38=$B72)*(Roadmap_Avion!$C$4:$Z$4=H$56)*(Roadmap_Avion!$C$6:$Z$6=H$58)*(Roadmap_Avion!$C$7:$Z$7=H$59),Roadmap_Avion!$C$8:$Z$38,0))</f>
        <v>0</v>
      </c>
      <c r="I72" s="346">
        <f t="array" ref="I72">SUM(IF((Roadmap_Avion!$B$8:$B$38=$B72)*(Roadmap_Avion!$C$4:$Z$4=I$56)*(Roadmap_Avion!$C$6:$Z$6=I$58)*(Roadmap_Avion!$C$7:$Z$7=I$59),Roadmap_Avion!$C$8:$Z$38,0))</f>
        <v>0.75</v>
      </c>
      <c r="J72" s="347">
        <f t="array" ref="J72">SUM(IF((Roadmap_Avion!$B$8:$B$38=$B72)*(Roadmap_Avion!$C$4:$Z$4=J$56)*(Roadmap_Avion!$C$6:$Z$6=J$58)*(Roadmap_Avion!$C$7:$Z$7=J$59),Roadmap_Avion!$C$8:$Z$38,0))</f>
        <v>0.5</v>
      </c>
      <c r="K72" s="348">
        <f t="array" ref="K72">SUM(IF((Roadmap_Avion!$B$8:$B$38=$B72)*(Roadmap_Avion!$C$4:$Z$4=K$56)*(Roadmap_Avion!$C$6:$Z$6=K$58)*(Roadmap_Avion!$C$7:$Z$7=K$59),Roadmap_Avion!$C$8:$Z$38,0))</f>
        <v>0</v>
      </c>
      <c r="L72" s="346">
        <f t="array" ref="L72">SUM(IF((Roadmap_Avion!$B$8:$B$38=$B72)*(Roadmap_Avion!$C$4:$Z$4=L$56)*(Roadmap_Avion!$C$6:$Z$6=L$58)*(Roadmap_Avion!$C$7:$Z$7=L$59),Roadmap_Avion!$C$8:$Z$38,0))</f>
        <v>0.75</v>
      </c>
      <c r="M72" s="347">
        <f t="array" ref="M72">SUM(IF((Roadmap_Avion!$B$8:$B$38=$B72)*(Roadmap_Avion!$C$4:$Z$4=M$56)*(Roadmap_Avion!$C$6:$Z$6=M$58)*(Roadmap_Avion!$C$7:$Z$7=M$59),Roadmap_Avion!$C$8:$Z$38,0))</f>
        <v>0.5</v>
      </c>
      <c r="N72" s="348">
        <f t="array" ref="N72">SUM(IF((Roadmap_Avion!$B$8:$B$38=$B72)*(Roadmap_Avion!$C$4:$Z$4=N$56)*(Roadmap_Avion!$C$6:$Z$6=N$58)*(Roadmap_Avion!$C$7:$Z$7=N$59),Roadmap_Avion!$C$8:$Z$38,0))</f>
        <v>0</v>
      </c>
      <c r="O72" s="781">
        <f t="array" ref="O72">SUM(IF((Prod_Carburant_Alt!$A$7:$A$37=$B72)*(Prod_Carburant_Alt!$B$3:$AI$3=O$56)*(Prod_Carburant_Alt!$B$5:$AI$5='Synthèse scénarios'!O$58)*(Prod_Carburant_Alt!$B$6:$AI$6=O$59),Prod_Carburant_Alt!$B$7:$AI$37,0))</f>
        <v>20.201279724720393</v>
      </c>
      <c r="P72" s="782">
        <f t="array" ref="P72">SUM(IF((Prod_Carburant_Alt!$A$7:$A$37=$B72)*(Prod_Carburant_Alt!$B$3:$AI$3=P$56)*(Prod_Carburant_Alt!$B$5:$AI$5='Synthèse scénarios'!P$58)*(Prod_Carburant_Alt!$B$6:$AI$6=P$59),Prod_Carburant_Alt!$B$7:$AI$37,0))</f>
        <v>0.20438251753392198</v>
      </c>
      <c r="Q72" s="784">
        <f t="array" ref="Q72">SUM(IF((Prod_Carburant_Alt!$A$7:$A$37=$B72)*(Prod_Carburant_Alt!$B$3:$AI$3=Q$56)*(Prod_Carburant_Alt!$B$5:$AI$5='Synthèse scénarios'!Q$58)*(Prod_Carburant_Alt!$B$6:$AI$6=Q$59),Prod_Carburant_Alt!$B$7:$AI$37,0))</f>
        <v>4.7691318874785242</v>
      </c>
      <c r="R72" s="621">
        <f>'Calculs Scénario ICEMAN'!BF28</f>
        <v>0.10991999999999991</v>
      </c>
      <c r="S72" s="622">
        <f>'Calculs Scénario ICEMAN'!BJ28</f>
        <v>89.956096474548062</v>
      </c>
      <c r="T72" s="623">
        <f>'Calculs Scénario ICEMAN'!CG28</f>
        <v>5.8340130546945722E-2</v>
      </c>
      <c r="U72" s="622">
        <f>'Calculs Scénario ICEMAN'!CF28</f>
        <v>1223.1620051414507</v>
      </c>
      <c r="V72" s="624">
        <f>'Calculs Scénario ICEMAN'!CI28</f>
        <v>111.46056921117997</v>
      </c>
      <c r="W72" s="624">
        <f>'Calculs Scénario ICEMAN'!CB28</f>
        <v>215.96483848903441</v>
      </c>
      <c r="X72" s="625">
        <f>'Calculs Scénario ICEMAN'!CD28</f>
        <v>0.15371162881781808</v>
      </c>
    </row>
    <row r="73" spans="2:24" ht="15">
      <c r="B73" s="620">
        <v>2033</v>
      </c>
      <c r="C73" s="346">
        <f t="array" ref="C73">SUM(IF((Roadmap_Avion!$B$8:$B$38=$B73)*(Roadmap_Avion!$C$4:$Z$4=C$56)*(Roadmap_Avion!$C$6:$Z$6=C$58)*(Roadmap_Avion!$C$7:$Z$7=C$59),Roadmap_Avion!$C$8:$Z$38,0))</f>
        <v>0.5</v>
      </c>
      <c r="D73" s="347">
        <f t="array" ref="D73">SUM(IF((Roadmap_Avion!$B$8:$B$38=$B73)*(Roadmap_Avion!$C$4:$Z$4=D$56)*(Roadmap_Avion!$C$6:$Z$6=D$58)*(Roadmap_Avion!$C$7:$Z$7=D$59),Roadmap_Avion!$C$8:$Z$38,0))</f>
        <v>0.25</v>
      </c>
      <c r="E73" s="348">
        <f t="array" ref="E73">SUM(IF((Roadmap_Avion!$B$8:$B$38=$B73)*(Roadmap_Avion!$C$4:$Z$4=E$56)*(Roadmap_Avion!$C$6:$Z$6=E$58)*(Roadmap_Avion!$C$7:$Z$7=E$59),Roadmap_Avion!$C$8:$Z$38,0))</f>
        <v>0</v>
      </c>
      <c r="F73" s="346">
        <f t="array" ref="F73">SUM(IF((Roadmap_Avion!$B$8:$B$38=$B73)*(Roadmap_Avion!$C$4:$Z$4=F$56)*(Roadmap_Avion!$C$6:$Z$6=F$58)*(Roadmap_Avion!$C$7:$Z$7=F$59),Roadmap_Avion!$C$8:$Z$38,0))</f>
        <v>0.9</v>
      </c>
      <c r="G73" s="347">
        <f t="array" ref="G73">SUM(IF((Roadmap_Avion!$B$8:$B$38=$B73)*(Roadmap_Avion!$C$4:$Z$4=G$56)*(Roadmap_Avion!$C$6:$Z$6=G$58)*(Roadmap_Avion!$C$7:$Z$7=G$59),Roadmap_Avion!$C$8:$Z$38,0))</f>
        <v>0.5</v>
      </c>
      <c r="H73" s="348">
        <f t="array" ref="H73">SUM(IF((Roadmap_Avion!$B$8:$B$38=$B73)*(Roadmap_Avion!$C$4:$Z$4=H$56)*(Roadmap_Avion!$C$6:$Z$6=H$58)*(Roadmap_Avion!$C$7:$Z$7=H$59),Roadmap_Avion!$C$8:$Z$38,0))</f>
        <v>0</v>
      </c>
      <c r="I73" s="346">
        <f t="array" ref="I73">SUM(IF((Roadmap_Avion!$B$8:$B$38=$B73)*(Roadmap_Avion!$C$4:$Z$4=I$56)*(Roadmap_Avion!$C$6:$Z$6=I$58)*(Roadmap_Avion!$C$7:$Z$7=I$59),Roadmap_Avion!$C$8:$Z$38,0))</f>
        <v>0.75</v>
      </c>
      <c r="J73" s="347">
        <f t="array" ref="J73">SUM(IF((Roadmap_Avion!$B$8:$B$38=$B73)*(Roadmap_Avion!$C$4:$Z$4=J$56)*(Roadmap_Avion!$C$6:$Z$6=J$58)*(Roadmap_Avion!$C$7:$Z$7=J$59),Roadmap_Avion!$C$8:$Z$38,0))</f>
        <v>0.5</v>
      </c>
      <c r="K73" s="348">
        <f t="array" ref="K73">SUM(IF((Roadmap_Avion!$B$8:$B$38=$B73)*(Roadmap_Avion!$C$4:$Z$4=K$56)*(Roadmap_Avion!$C$6:$Z$6=K$58)*(Roadmap_Avion!$C$7:$Z$7=K$59),Roadmap_Avion!$C$8:$Z$38,0))</f>
        <v>0</v>
      </c>
      <c r="L73" s="346">
        <f t="array" ref="L73">SUM(IF((Roadmap_Avion!$B$8:$B$38=$B73)*(Roadmap_Avion!$C$4:$Z$4=L$56)*(Roadmap_Avion!$C$6:$Z$6=L$58)*(Roadmap_Avion!$C$7:$Z$7=L$59),Roadmap_Avion!$C$8:$Z$38,0))</f>
        <v>0.75</v>
      </c>
      <c r="M73" s="347">
        <f t="array" ref="M73">SUM(IF((Roadmap_Avion!$B$8:$B$38=$B73)*(Roadmap_Avion!$C$4:$Z$4=M$56)*(Roadmap_Avion!$C$6:$Z$6=M$58)*(Roadmap_Avion!$C$7:$Z$7=M$59),Roadmap_Avion!$C$8:$Z$38,0))</f>
        <v>0.5</v>
      </c>
      <c r="N73" s="348">
        <f t="array" ref="N73">SUM(IF((Roadmap_Avion!$B$8:$B$38=$B73)*(Roadmap_Avion!$C$4:$Z$4=N$56)*(Roadmap_Avion!$C$6:$Z$6=N$58)*(Roadmap_Avion!$C$7:$Z$7=N$59),Roadmap_Avion!$C$8:$Z$38,0))</f>
        <v>0</v>
      </c>
      <c r="O73" s="781">
        <f t="array" ref="O73">SUM(IF((Prod_Carburant_Alt!$A$7:$A$37=$B73)*(Prod_Carburant_Alt!$B$3:$AI$3=O$56)*(Prod_Carburant_Alt!$B$5:$AI$5='Synthèse scénarios'!O$58)*(Prod_Carburant_Alt!$B$6:$AI$6=O$59),Prod_Carburant_Alt!$B$7:$AI$37,0))</f>
        <v>23.231471683428445</v>
      </c>
      <c r="P73" s="782">
        <f t="array" ref="P73">SUM(IF((Prod_Carburant_Alt!$A$7:$A$37=$B73)*(Prod_Carburant_Alt!$B$3:$AI$3=P$56)*(Prod_Carburant_Alt!$B$5:$AI$5='Synthèse scénarios'!P$58)*(Prod_Carburant_Alt!$B$6:$AI$6=P$59),Prod_Carburant_Alt!$B$7:$AI$37,0))</f>
        <v>0.20438251753392206</v>
      </c>
      <c r="Q73" s="784">
        <f t="array" ref="Q73">SUM(IF((Prod_Carburant_Alt!$A$7:$A$37=$B73)*(Prod_Carburant_Alt!$B$3:$AI$3=Q$56)*(Prod_Carburant_Alt!$B$5:$AI$5='Synthèse scénarios'!Q$58)*(Prod_Carburant_Alt!$B$6:$AI$6=Q$59),Prod_Carburant_Alt!$B$7:$AI$37,0))</f>
        <v>5.9614148593481548</v>
      </c>
      <c r="R73" s="621">
        <f>'Calculs Scénario ICEMAN'!BF29</f>
        <v>0.11983999999999984</v>
      </c>
      <c r="S73" s="622">
        <f>'Calculs Scénario ICEMAN'!BJ29</f>
        <v>99.44048709889735</v>
      </c>
      <c r="T73" s="623">
        <f>'Calculs Scénario ICEMAN'!CG29</f>
        <v>6.6505640643152036E-2</v>
      </c>
      <c r="U73" s="622">
        <f>'Calculs Scénario ICEMAN'!CF29</f>
        <v>1244.999112104588</v>
      </c>
      <c r="V73" s="624">
        <f>'Calculs Scénario ICEMAN'!CI29</f>
        <v>129.30486028330552</v>
      </c>
      <c r="W73" s="624">
        <f>'Calculs Scénario ICEMAN'!CB29</f>
        <v>269.956048111293</v>
      </c>
      <c r="X73" s="625">
        <f>'Calculs Scénario ICEMAN'!CD29</f>
        <v>0.19213953602227257</v>
      </c>
    </row>
    <row r="74" spans="2:24" ht="15">
      <c r="B74" s="620">
        <v>2034</v>
      </c>
      <c r="C74" s="346">
        <f t="array" ref="C74">SUM(IF((Roadmap_Avion!$B$8:$B$38=$B74)*(Roadmap_Avion!$C$4:$Z$4=C$56)*(Roadmap_Avion!$C$6:$Z$6=C$58)*(Roadmap_Avion!$C$7:$Z$7=C$59),Roadmap_Avion!$C$8:$Z$38,0))</f>
        <v>0.5</v>
      </c>
      <c r="D74" s="347">
        <f t="array" ref="D74">SUM(IF((Roadmap_Avion!$B$8:$B$38=$B74)*(Roadmap_Avion!$C$4:$Z$4=D$56)*(Roadmap_Avion!$C$6:$Z$6=D$58)*(Roadmap_Avion!$C$7:$Z$7=D$59),Roadmap_Avion!$C$8:$Z$38,0))</f>
        <v>0.25</v>
      </c>
      <c r="E74" s="348">
        <f t="array" ref="E74">SUM(IF((Roadmap_Avion!$B$8:$B$38=$B74)*(Roadmap_Avion!$C$4:$Z$4=E$56)*(Roadmap_Avion!$C$6:$Z$6=E$58)*(Roadmap_Avion!$C$7:$Z$7=E$59),Roadmap_Avion!$C$8:$Z$38,0))</f>
        <v>0</v>
      </c>
      <c r="F74" s="346">
        <f t="array" ref="F74">SUM(IF((Roadmap_Avion!$B$8:$B$38=$B74)*(Roadmap_Avion!$C$4:$Z$4=F$56)*(Roadmap_Avion!$C$6:$Z$6=F$58)*(Roadmap_Avion!$C$7:$Z$7=F$59),Roadmap_Avion!$C$8:$Z$38,0))</f>
        <v>0.9</v>
      </c>
      <c r="G74" s="347">
        <f t="array" ref="G74">SUM(IF((Roadmap_Avion!$B$8:$B$38=$B74)*(Roadmap_Avion!$C$4:$Z$4=G$56)*(Roadmap_Avion!$C$6:$Z$6=G$58)*(Roadmap_Avion!$C$7:$Z$7=G$59),Roadmap_Avion!$C$8:$Z$38,0))</f>
        <v>0.5</v>
      </c>
      <c r="H74" s="348">
        <f t="array" ref="H74">SUM(IF((Roadmap_Avion!$B$8:$B$38=$B74)*(Roadmap_Avion!$C$4:$Z$4=H$56)*(Roadmap_Avion!$C$6:$Z$6=H$58)*(Roadmap_Avion!$C$7:$Z$7=H$59),Roadmap_Avion!$C$8:$Z$38,0))</f>
        <v>0</v>
      </c>
      <c r="I74" s="346">
        <f t="array" ref="I74">SUM(IF((Roadmap_Avion!$B$8:$B$38=$B74)*(Roadmap_Avion!$C$4:$Z$4=I$56)*(Roadmap_Avion!$C$6:$Z$6=I$58)*(Roadmap_Avion!$C$7:$Z$7=I$59),Roadmap_Avion!$C$8:$Z$38,0))</f>
        <v>0.75</v>
      </c>
      <c r="J74" s="347">
        <f t="array" ref="J74">SUM(IF((Roadmap_Avion!$B$8:$B$38=$B74)*(Roadmap_Avion!$C$4:$Z$4=J$56)*(Roadmap_Avion!$C$6:$Z$6=J$58)*(Roadmap_Avion!$C$7:$Z$7=J$59),Roadmap_Avion!$C$8:$Z$38,0))</f>
        <v>0.5</v>
      </c>
      <c r="K74" s="348">
        <f t="array" ref="K74">SUM(IF((Roadmap_Avion!$B$8:$B$38=$B74)*(Roadmap_Avion!$C$4:$Z$4=K$56)*(Roadmap_Avion!$C$6:$Z$6=K$58)*(Roadmap_Avion!$C$7:$Z$7=K$59),Roadmap_Avion!$C$8:$Z$38,0))</f>
        <v>0</v>
      </c>
      <c r="L74" s="346">
        <f t="array" ref="L74">SUM(IF((Roadmap_Avion!$B$8:$B$38=$B74)*(Roadmap_Avion!$C$4:$Z$4=L$56)*(Roadmap_Avion!$C$6:$Z$6=L$58)*(Roadmap_Avion!$C$7:$Z$7=L$59),Roadmap_Avion!$C$8:$Z$38,0))</f>
        <v>0.75</v>
      </c>
      <c r="M74" s="347">
        <f t="array" ref="M74">SUM(IF((Roadmap_Avion!$B$8:$B$38=$B74)*(Roadmap_Avion!$C$4:$Z$4=M$56)*(Roadmap_Avion!$C$6:$Z$6=M$58)*(Roadmap_Avion!$C$7:$Z$7=M$59),Roadmap_Avion!$C$8:$Z$38,0))</f>
        <v>0.5</v>
      </c>
      <c r="N74" s="348">
        <f t="array" ref="N74">SUM(IF((Roadmap_Avion!$B$8:$B$38=$B74)*(Roadmap_Avion!$C$4:$Z$4=N$56)*(Roadmap_Avion!$C$6:$Z$6=N$58)*(Roadmap_Avion!$C$7:$Z$7=N$59),Roadmap_Avion!$C$8:$Z$38,0))</f>
        <v>0</v>
      </c>
      <c r="O74" s="781">
        <f t="array" ref="O74">SUM(IF((Prod_Carburant_Alt!$A$7:$A$37=$B74)*(Prod_Carburant_Alt!$B$3:$AI$3=O$56)*(Prod_Carburant_Alt!$B$5:$AI$5='Synthèse scénarios'!O$58)*(Prod_Carburant_Alt!$B$6:$AI$6=O$59),Prod_Carburant_Alt!$B$7:$AI$37,0))</f>
        <v>26.716192435942713</v>
      </c>
      <c r="P74" s="782">
        <f t="array" ref="P74">SUM(IF((Prod_Carburant_Alt!$A$7:$A$37=$B74)*(Prod_Carburant_Alt!$B$3:$AI$3=P$56)*(Prod_Carburant_Alt!$B$5:$AI$5='Synthèse scénarios'!P$58)*(Prod_Carburant_Alt!$B$6:$AI$6=P$59),Prod_Carburant_Alt!$B$7:$AI$37,0))</f>
        <v>0.204382517533922</v>
      </c>
      <c r="Q74" s="784">
        <f t="array" ref="Q74">SUM(IF((Prod_Carburant_Alt!$A$7:$A$37=$B74)*(Prod_Carburant_Alt!$B$3:$AI$3=Q$56)*(Prod_Carburant_Alt!$B$5:$AI$5='Synthèse scénarios'!Q$58)*(Prod_Carburant_Alt!$B$6:$AI$6=Q$59),Prod_Carburant_Alt!$B$7:$AI$37,0))</f>
        <v>7.4517685741851931</v>
      </c>
      <c r="R74" s="621">
        <f>'Calculs Scénario ICEMAN'!BF30</f>
        <v>0.12975999999999999</v>
      </c>
      <c r="S74" s="622">
        <f>'Calculs Scénario ICEMAN'!BJ30</f>
        <v>109.33532356673693</v>
      </c>
      <c r="T74" s="623">
        <f>'Calculs Scénario ICEMAN'!CG30</f>
        <v>7.5926797295351539E-2</v>
      </c>
      <c r="U74" s="622">
        <f>'Calculs Scénario ICEMAN'!CF30</f>
        <v>1265.0314184106464</v>
      </c>
      <c r="V74" s="624">
        <f>'Calculs Scénario ICEMAN'!CI30</f>
        <v>145.50839910925765</v>
      </c>
      <c r="W74" s="624">
        <f>'Calculs Scénario ICEMAN'!CB30</f>
        <v>337.44506013911621</v>
      </c>
      <c r="X74" s="625">
        <f>'Calculs Scénario ICEMAN'!CD30</f>
        <v>0.24017442002784073</v>
      </c>
    </row>
    <row r="75" spans="2:24" ht="15">
      <c r="B75" s="620">
        <v>2035</v>
      </c>
      <c r="C75" s="346">
        <f t="array" ref="C75">SUM(IF((Roadmap_Avion!$B$8:$B$38=$B75)*(Roadmap_Avion!$C$4:$Z$4=C$56)*(Roadmap_Avion!$C$6:$Z$6=C$58)*(Roadmap_Avion!$C$7:$Z$7=C$59),Roadmap_Avion!$C$8:$Z$38,0))</f>
        <v>0.85</v>
      </c>
      <c r="D75" s="347">
        <f t="array" ref="D75">SUM(IF((Roadmap_Avion!$B$8:$B$38=$B75)*(Roadmap_Avion!$C$4:$Z$4=D$56)*(Roadmap_Avion!$C$6:$Z$6=D$58)*(Roadmap_Avion!$C$7:$Z$7=D$59),Roadmap_Avion!$C$8:$Z$38,0))</f>
        <v>0</v>
      </c>
      <c r="E75" s="348">
        <f t="array" ref="E75">SUM(IF((Roadmap_Avion!$B$8:$B$38=$B75)*(Roadmap_Avion!$C$4:$Z$4=E$56)*(Roadmap_Avion!$C$6:$Z$6=E$58)*(Roadmap_Avion!$C$7:$Z$7=E$59),Roadmap_Avion!$C$8:$Z$38,0))</f>
        <v>1</v>
      </c>
      <c r="F75" s="346">
        <f t="array" ref="F75">SUM(IF((Roadmap_Avion!$B$8:$B$38=$B75)*(Roadmap_Avion!$C$4:$Z$4=F$56)*(Roadmap_Avion!$C$6:$Z$6=F$58)*(Roadmap_Avion!$C$7:$Z$7=F$59),Roadmap_Avion!$C$8:$Z$38,0))</f>
        <v>0.5</v>
      </c>
      <c r="G75" s="347">
        <f t="array" ref="G75">SUM(IF((Roadmap_Avion!$B$8:$B$38=$B75)*(Roadmap_Avion!$C$4:$Z$4=G$56)*(Roadmap_Avion!$C$6:$Z$6=G$58)*(Roadmap_Avion!$C$7:$Z$7=G$59),Roadmap_Avion!$C$8:$Z$38,0))</f>
        <v>0.25</v>
      </c>
      <c r="H75" s="348">
        <f t="array" ref="H75">SUM(IF((Roadmap_Avion!$B$8:$B$38=$B75)*(Roadmap_Avion!$C$4:$Z$4=H$56)*(Roadmap_Avion!$C$6:$Z$6=H$58)*(Roadmap_Avion!$C$7:$Z$7=H$59),Roadmap_Avion!$C$8:$Z$38,0))</f>
        <v>0</v>
      </c>
      <c r="I75" s="346">
        <f t="array" ref="I75">SUM(IF((Roadmap_Avion!$B$8:$B$38=$B75)*(Roadmap_Avion!$C$4:$Z$4=I$56)*(Roadmap_Avion!$C$6:$Z$6=I$58)*(Roadmap_Avion!$C$7:$Z$7=I$59),Roadmap_Avion!$C$8:$Z$38,0))</f>
        <v>0.75</v>
      </c>
      <c r="J75" s="347">
        <f t="array" ref="J75">SUM(IF((Roadmap_Avion!$B$8:$B$38=$B75)*(Roadmap_Avion!$C$4:$Z$4=J$56)*(Roadmap_Avion!$C$6:$Z$6=J$58)*(Roadmap_Avion!$C$7:$Z$7=J$59),Roadmap_Avion!$C$8:$Z$38,0))</f>
        <v>0.5</v>
      </c>
      <c r="K75" s="348">
        <f t="array" ref="K75">SUM(IF((Roadmap_Avion!$B$8:$B$38=$B75)*(Roadmap_Avion!$C$4:$Z$4=K$56)*(Roadmap_Avion!$C$6:$Z$6=K$58)*(Roadmap_Avion!$C$7:$Z$7=K$59),Roadmap_Avion!$C$8:$Z$38,0))</f>
        <v>0</v>
      </c>
      <c r="L75" s="346">
        <f t="array" ref="L75">SUM(IF((Roadmap_Avion!$B$8:$B$38=$B75)*(Roadmap_Avion!$C$4:$Z$4=L$56)*(Roadmap_Avion!$C$6:$Z$6=L$58)*(Roadmap_Avion!$C$7:$Z$7=L$59),Roadmap_Avion!$C$8:$Z$38,0))</f>
        <v>0.75</v>
      </c>
      <c r="M75" s="347">
        <f t="array" ref="M75">SUM(IF((Roadmap_Avion!$B$8:$B$38=$B75)*(Roadmap_Avion!$C$4:$Z$4=M$56)*(Roadmap_Avion!$C$6:$Z$6=M$58)*(Roadmap_Avion!$C$7:$Z$7=M$59),Roadmap_Avion!$C$8:$Z$38,0))</f>
        <v>0.5</v>
      </c>
      <c r="N75" s="348">
        <f t="array" ref="N75">SUM(IF((Roadmap_Avion!$B$8:$B$38=$B75)*(Roadmap_Avion!$C$4:$Z$4=N$56)*(Roadmap_Avion!$C$6:$Z$6=N$58)*(Roadmap_Avion!$C$7:$Z$7=N$59),Roadmap_Avion!$C$8:$Z$38,0))</f>
        <v>0</v>
      </c>
      <c r="O75" s="781">
        <f t="array" ref="O75">SUM(IF((Prod_Carburant_Alt!$A$7:$A$37=$B75)*(Prod_Carburant_Alt!$B$3:$AI$3=O$56)*(Prod_Carburant_Alt!$B$5:$AI$5='Synthèse scénarios'!O$58)*(Prod_Carburant_Alt!$B$6:$AI$6=O$59),Prod_Carburant_Alt!$B$7:$AI$37,0))</f>
        <v>30.72362130133412</v>
      </c>
      <c r="P75" s="782">
        <f t="array" ref="P75">SUM(IF((Prod_Carburant_Alt!$A$7:$A$37=$B75)*(Prod_Carburant_Alt!$B$3:$AI$3=P$56)*(Prod_Carburant_Alt!$B$5:$AI$5='Synthèse scénarios'!P$58)*(Prod_Carburant_Alt!$B$6:$AI$6=P$59),Prod_Carburant_Alt!$B$7:$AI$37,0))</f>
        <v>0.204382517533922</v>
      </c>
      <c r="Q75" s="784">
        <f t="array" ref="Q75">SUM(IF((Prod_Carburant_Alt!$A$7:$A$37=$B75)*(Prod_Carburant_Alt!$B$3:$AI$3=Q$56)*(Prod_Carburant_Alt!$B$5:$AI$5='Synthèse scénarios'!Q$58)*(Prod_Carburant_Alt!$B$6:$AI$6=Q$59),Prod_Carburant_Alt!$B$7:$AI$37,0))</f>
        <v>9.3147107177314918</v>
      </c>
      <c r="R75" s="621">
        <f>'Calculs Scénario ICEMAN'!BF31</f>
        <v>0.14001999999999992</v>
      </c>
      <c r="S75" s="622">
        <f>'Calculs Scénario ICEMAN'!BJ31</f>
        <v>119.44859403088221</v>
      </c>
      <c r="T75" s="623">
        <f>'Calculs Scénario ICEMAN'!CG31</f>
        <v>8.7228098306166707E-2</v>
      </c>
      <c r="U75" s="622">
        <f>'Calculs Scénario ICEMAN'!CF31</f>
        <v>1281.6926370872613</v>
      </c>
      <c r="V75" s="624">
        <f>'Calculs Scénario ICEMAN'!CI31</f>
        <v>158.6955299638048</v>
      </c>
      <c r="W75" s="624">
        <f>'Calculs Scénario ICEMAN'!CB31</f>
        <v>424.92263955567904</v>
      </c>
      <c r="X75" s="625">
        <f>'Calculs Scénario ICEMAN'!CD31</f>
        <v>0.30243604238838367</v>
      </c>
    </row>
    <row r="76" spans="2:24" ht="15">
      <c r="B76" s="620">
        <v>2036</v>
      </c>
      <c r="C76" s="346">
        <f t="array" ref="C76">SUM(IF((Roadmap_Avion!$B$8:$B$38=$B76)*(Roadmap_Avion!$C$4:$Z$4=C$56)*(Roadmap_Avion!$C$6:$Z$6=C$58)*(Roadmap_Avion!$C$7:$Z$7=C$59),Roadmap_Avion!$C$8:$Z$38,0))</f>
        <v>0.85</v>
      </c>
      <c r="D76" s="347">
        <f t="array" ref="D76">SUM(IF((Roadmap_Avion!$B$8:$B$38=$B76)*(Roadmap_Avion!$C$4:$Z$4=D$56)*(Roadmap_Avion!$C$6:$Z$6=D$58)*(Roadmap_Avion!$C$7:$Z$7=D$59),Roadmap_Avion!$C$8:$Z$38,0))</f>
        <v>0</v>
      </c>
      <c r="E76" s="348">
        <f t="array" ref="E76">SUM(IF((Roadmap_Avion!$B$8:$B$38=$B76)*(Roadmap_Avion!$C$4:$Z$4=E$56)*(Roadmap_Avion!$C$6:$Z$6=E$58)*(Roadmap_Avion!$C$7:$Z$7=E$59),Roadmap_Avion!$C$8:$Z$38,0))</f>
        <v>1</v>
      </c>
      <c r="F76" s="346">
        <f t="array" ref="F76">SUM(IF((Roadmap_Avion!$B$8:$B$38=$B76)*(Roadmap_Avion!$C$4:$Z$4=F$56)*(Roadmap_Avion!$C$6:$Z$6=F$58)*(Roadmap_Avion!$C$7:$Z$7=F$59),Roadmap_Avion!$C$8:$Z$38,0))</f>
        <v>0.5</v>
      </c>
      <c r="G76" s="347">
        <f t="array" ref="G76">SUM(IF((Roadmap_Avion!$B$8:$B$38=$B76)*(Roadmap_Avion!$C$4:$Z$4=G$56)*(Roadmap_Avion!$C$6:$Z$6=G$58)*(Roadmap_Avion!$C$7:$Z$7=G$59),Roadmap_Avion!$C$8:$Z$38,0))</f>
        <v>0.25</v>
      </c>
      <c r="H76" s="348">
        <f t="array" ref="H76">SUM(IF((Roadmap_Avion!$B$8:$B$38=$B76)*(Roadmap_Avion!$C$4:$Z$4=H$56)*(Roadmap_Avion!$C$6:$Z$6=H$58)*(Roadmap_Avion!$C$7:$Z$7=H$59),Roadmap_Avion!$C$8:$Z$38,0))</f>
        <v>0</v>
      </c>
      <c r="I76" s="346">
        <f t="array" ref="I76">SUM(IF((Roadmap_Avion!$B$8:$B$38=$B76)*(Roadmap_Avion!$C$4:$Z$4=I$56)*(Roadmap_Avion!$C$6:$Z$6=I$58)*(Roadmap_Avion!$C$7:$Z$7=I$59),Roadmap_Avion!$C$8:$Z$38,0))</f>
        <v>0.75</v>
      </c>
      <c r="J76" s="347">
        <f t="array" ref="J76">SUM(IF((Roadmap_Avion!$B$8:$B$38=$B76)*(Roadmap_Avion!$C$4:$Z$4=J$56)*(Roadmap_Avion!$C$6:$Z$6=J$58)*(Roadmap_Avion!$C$7:$Z$7=J$59),Roadmap_Avion!$C$8:$Z$38,0))</f>
        <v>0.5</v>
      </c>
      <c r="K76" s="348">
        <f t="array" ref="K76">SUM(IF((Roadmap_Avion!$B$8:$B$38=$B76)*(Roadmap_Avion!$C$4:$Z$4=K$56)*(Roadmap_Avion!$C$6:$Z$6=K$58)*(Roadmap_Avion!$C$7:$Z$7=K$59),Roadmap_Avion!$C$8:$Z$38,0))</f>
        <v>0</v>
      </c>
      <c r="L76" s="346">
        <f t="array" ref="L76">SUM(IF((Roadmap_Avion!$B$8:$B$38=$B76)*(Roadmap_Avion!$C$4:$Z$4=L$56)*(Roadmap_Avion!$C$6:$Z$6=L$58)*(Roadmap_Avion!$C$7:$Z$7=L$59),Roadmap_Avion!$C$8:$Z$38,0))</f>
        <v>0.75</v>
      </c>
      <c r="M76" s="347">
        <f t="array" ref="M76">SUM(IF((Roadmap_Avion!$B$8:$B$38=$B76)*(Roadmap_Avion!$C$4:$Z$4=M$56)*(Roadmap_Avion!$C$6:$Z$6=M$58)*(Roadmap_Avion!$C$7:$Z$7=M$59),Roadmap_Avion!$C$8:$Z$38,0))</f>
        <v>0.5</v>
      </c>
      <c r="N76" s="348">
        <f t="array" ref="N76">SUM(IF((Roadmap_Avion!$B$8:$B$38=$B76)*(Roadmap_Avion!$C$4:$Z$4=N$56)*(Roadmap_Avion!$C$6:$Z$6=N$58)*(Roadmap_Avion!$C$7:$Z$7=N$59),Roadmap_Avion!$C$8:$Z$38,0))</f>
        <v>0</v>
      </c>
      <c r="O76" s="781">
        <f t="array" ref="O76">SUM(IF((Prod_Carburant_Alt!$A$7:$A$37=$B76)*(Prod_Carburant_Alt!$B$3:$AI$3=O$56)*(Prod_Carburant_Alt!$B$5:$AI$5='Synthèse scénarios'!O$58)*(Prod_Carburant_Alt!$B$6:$AI$6=O$59),Prod_Carburant_Alt!$B$7:$AI$37,0))</f>
        <v>35.332164496534233</v>
      </c>
      <c r="P76" s="782">
        <f t="array" ref="P76">SUM(IF((Prod_Carburant_Alt!$A$7:$A$37=$B76)*(Prod_Carburant_Alt!$B$3:$AI$3=P$56)*(Prod_Carburant_Alt!$B$5:$AI$5='Synthèse scénarios'!P$58)*(Prod_Carburant_Alt!$B$6:$AI$6=P$59),Prod_Carburant_Alt!$B$7:$AI$37,0))</f>
        <v>0.204382517533922</v>
      </c>
      <c r="Q76" s="784">
        <f t="array" ref="Q76">SUM(IF((Prod_Carburant_Alt!$A$7:$A$37=$B76)*(Prod_Carburant_Alt!$B$3:$AI$3=Q$56)*(Prod_Carburant_Alt!$B$5:$AI$5='Synthèse scénarios'!Q$58)*(Prod_Carburant_Alt!$B$6:$AI$6=Q$59),Prod_Carburant_Alt!$B$7:$AI$37,0))</f>
        <v>11.643388397164365</v>
      </c>
      <c r="R76" s="621">
        <f>'Calculs Scénario ICEMAN'!BF32</f>
        <v>0.15028000000000019</v>
      </c>
      <c r="S76" s="622">
        <f>'Calculs Scénario ICEMAN'!BJ32</f>
        <v>129.96369476542068</v>
      </c>
      <c r="T76" s="623">
        <f>'Calculs Scénario ICEMAN'!CG32</f>
        <v>0.10026581678739804</v>
      </c>
      <c r="U76" s="622">
        <f>'Calculs Scénario ICEMAN'!CF32</f>
        <v>1295.4148311343172</v>
      </c>
      <c r="V76" s="624">
        <f>'Calculs Scénario ICEMAN'!CI32</f>
        <v>169.21754559386909</v>
      </c>
      <c r="W76" s="624">
        <f>'Calculs Scénario ICEMAN'!CB32</f>
        <v>533.64854534169672</v>
      </c>
      <c r="X76" s="625">
        <f>'Calculs Scénario ICEMAN'!CD32</f>
        <v>0.37982102871295143</v>
      </c>
    </row>
    <row r="77" spans="2:24" ht="15">
      <c r="B77" s="620">
        <v>2037</v>
      </c>
      <c r="C77" s="346">
        <f t="array" ref="C77">SUM(IF((Roadmap_Avion!$B$8:$B$38=$B77)*(Roadmap_Avion!$C$4:$Z$4=C$56)*(Roadmap_Avion!$C$6:$Z$6=C$58)*(Roadmap_Avion!$C$7:$Z$7=C$59),Roadmap_Avion!$C$8:$Z$38,0))</f>
        <v>0.85</v>
      </c>
      <c r="D77" s="347">
        <f t="array" ref="D77">SUM(IF((Roadmap_Avion!$B$8:$B$38=$B77)*(Roadmap_Avion!$C$4:$Z$4=D$56)*(Roadmap_Avion!$C$6:$Z$6=D$58)*(Roadmap_Avion!$C$7:$Z$7=D$59),Roadmap_Avion!$C$8:$Z$38,0))</f>
        <v>0</v>
      </c>
      <c r="E77" s="348">
        <f t="array" ref="E77">SUM(IF((Roadmap_Avion!$B$8:$B$38=$B77)*(Roadmap_Avion!$C$4:$Z$4=E$56)*(Roadmap_Avion!$C$6:$Z$6=E$58)*(Roadmap_Avion!$C$7:$Z$7=E$59),Roadmap_Avion!$C$8:$Z$38,0))</f>
        <v>1</v>
      </c>
      <c r="F77" s="346">
        <f t="array" ref="F77">SUM(IF((Roadmap_Avion!$B$8:$B$38=$B77)*(Roadmap_Avion!$C$4:$Z$4=F$56)*(Roadmap_Avion!$C$6:$Z$6=F$58)*(Roadmap_Avion!$C$7:$Z$7=F$59),Roadmap_Avion!$C$8:$Z$38,0))</f>
        <v>0.5</v>
      </c>
      <c r="G77" s="347">
        <f t="array" ref="G77">SUM(IF((Roadmap_Avion!$B$8:$B$38=$B77)*(Roadmap_Avion!$C$4:$Z$4=G$56)*(Roadmap_Avion!$C$6:$Z$6=G$58)*(Roadmap_Avion!$C$7:$Z$7=G$59),Roadmap_Avion!$C$8:$Z$38,0))</f>
        <v>0.25</v>
      </c>
      <c r="H77" s="348">
        <f t="array" ref="H77">SUM(IF((Roadmap_Avion!$B$8:$B$38=$B77)*(Roadmap_Avion!$C$4:$Z$4=H$56)*(Roadmap_Avion!$C$6:$Z$6=H$58)*(Roadmap_Avion!$C$7:$Z$7=H$59),Roadmap_Avion!$C$8:$Z$38,0))</f>
        <v>0</v>
      </c>
      <c r="I77" s="346">
        <f t="array" ref="I77">SUM(IF((Roadmap_Avion!$B$8:$B$38=$B77)*(Roadmap_Avion!$C$4:$Z$4=I$56)*(Roadmap_Avion!$C$6:$Z$6=I$58)*(Roadmap_Avion!$C$7:$Z$7=I$59),Roadmap_Avion!$C$8:$Z$38,0))</f>
        <v>0.75</v>
      </c>
      <c r="J77" s="347">
        <f t="array" ref="J77">SUM(IF((Roadmap_Avion!$B$8:$B$38=$B77)*(Roadmap_Avion!$C$4:$Z$4=J$56)*(Roadmap_Avion!$C$6:$Z$6=J$58)*(Roadmap_Avion!$C$7:$Z$7=J$59),Roadmap_Avion!$C$8:$Z$38,0))</f>
        <v>0.5</v>
      </c>
      <c r="K77" s="348">
        <f t="array" ref="K77">SUM(IF((Roadmap_Avion!$B$8:$B$38=$B77)*(Roadmap_Avion!$C$4:$Z$4=K$56)*(Roadmap_Avion!$C$6:$Z$6=K$58)*(Roadmap_Avion!$C$7:$Z$7=K$59),Roadmap_Avion!$C$8:$Z$38,0))</f>
        <v>0</v>
      </c>
      <c r="L77" s="346">
        <f t="array" ref="L77">SUM(IF((Roadmap_Avion!$B$8:$B$38=$B77)*(Roadmap_Avion!$C$4:$Z$4=L$56)*(Roadmap_Avion!$C$6:$Z$6=L$58)*(Roadmap_Avion!$C$7:$Z$7=L$59),Roadmap_Avion!$C$8:$Z$38,0))</f>
        <v>0.75</v>
      </c>
      <c r="M77" s="347">
        <f t="array" ref="M77">SUM(IF((Roadmap_Avion!$B$8:$B$38=$B77)*(Roadmap_Avion!$C$4:$Z$4=M$56)*(Roadmap_Avion!$C$6:$Z$6=M$58)*(Roadmap_Avion!$C$7:$Z$7=M$59),Roadmap_Avion!$C$8:$Z$38,0))</f>
        <v>0.5</v>
      </c>
      <c r="N77" s="348">
        <f t="array" ref="N77">SUM(IF((Roadmap_Avion!$B$8:$B$38=$B77)*(Roadmap_Avion!$C$4:$Z$4=N$56)*(Roadmap_Avion!$C$6:$Z$6=N$58)*(Roadmap_Avion!$C$7:$Z$7=N$59),Roadmap_Avion!$C$8:$Z$38,0))</f>
        <v>0</v>
      </c>
      <c r="O77" s="781">
        <f t="array" ref="O77">SUM(IF((Prod_Carburant_Alt!$A$7:$A$37=$B77)*(Prod_Carburant_Alt!$B$3:$AI$3=O$56)*(Prod_Carburant_Alt!$B$5:$AI$5='Synthèse scénarios'!O$58)*(Prod_Carburant_Alt!$B$6:$AI$6=O$59),Prod_Carburant_Alt!$B$7:$AI$37,0))</f>
        <v>40.631989171014368</v>
      </c>
      <c r="P77" s="782">
        <f t="array" ref="P77">SUM(IF((Prod_Carburant_Alt!$A$7:$A$37=$B77)*(Prod_Carburant_Alt!$B$3:$AI$3=P$56)*(Prod_Carburant_Alt!$B$5:$AI$5='Synthèse scénarios'!P$58)*(Prod_Carburant_Alt!$B$6:$AI$6=P$59),Prod_Carburant_Alt!$B$7:$AI$37,0))</f>
        <v>0.20438251753392203</v>
      </c>
      <c r="Q77" s="784">
        <f t="array" ref="Q77">SUM(IF((Prod_Carburant_Alt!$A$7:$A$37=$B77)*(Prod_Carburant_Alt!$B$3:$AI$3=Q$56)*(Prod_Carburant_Alt!$B$5:$AI$5='Synthèse scénarios'!Q$58)*(Prod_Carburant_Alt!$B$6:$AI$6=Q$59),Prod_Carburant_Alt!$B$7:$AI$37,0))</f>
        <v>14.554235496455457</v>
      </c>
      <c r="R77" s="621">
        <f>'Calculs Scénario ICEMAN'!BF33</f>
        <v>0.16053999999999991</v>
      </c>
      <c r="S77" s="622">
        <f>'Calculs Scénario ICEMAN'!BJ33</f>
        <v>140.881560393744</v>
      </c>
      <c r="T77" s="623">
        <f>'Calculs Scénario ICEMAN'!CG33</f>
        <v>0.11534721034449845</v>
      </c>
      <c r="U77" s="622">
        <f>'Calculs Scénario ICEMAN'!CF33</f>
        <v>1305.495098603481</v>
      </c>
      <c r="V77" s="624">
        <f>'Calculs Scénario ICEMAN'!CI33</f>
        <v>176.43526876487749</v>
      </c>
      <c r="W77" s="624">
        <f>'Calculs Scénario ICEMAN'!CB33</f>
        <v>668.89762576262115</v>
      </c>
      <c r="X77" s="625">
        <f>'Calculs Scénario ICEMAN'!CD33</f>
        <v>0.47608371940400085</v>
      </c>
    </row>
    <row r="78" spans="2:24" ht="15">
      <c r="B78" s="620">
        <v>2038</v>
      </c>
      <c r="C78" s="346">
        <f t="array" ref="C78">SUM(IF((Roadmap_Avion!$B$8:$B$38=$B78)*(Roadmap_Avion!$C$4:$Z$4=C$56)*(Roadmap_Avion!$C$6:$Z$6=C$58)*(Roadmap_Avion!$C$7:$Z$7=C$59),Roadmap_Avion!$C$8:$Z$38,0))</f>
        <v>0.85</v>
      </c>
      <c r="D78" s="347">
        <f t="array" ref="D78">SUM(IF((Roadmap_Avion!$B$8:$B$38=$B78)*(Roadmap_Avion!$C$4:$Z$4=D$56)*(Roadmap_Avion!$C$6:$Z$6=D$58)*(Roadmap_Avion!$C$7:$Z$7=D$59),Roadmap_Avion!$C$8:$Z$38,0))</f>
        <v>0</v>
      </c>
      <c r="E78" s="348">
        <f t="array" ref="E78">SUM(IF((Roadmap_Avion!$B$8:$B$38=$B78)*(Roadmap_Avion!$C$4:$Z$4=E$56)*(Roadmap_Avion!$C$6:$Z$6=E$58)*(Roadmap_Avion!$C$7:$Z$7=E$59),Roadmap_Avion!$C$8:$Z$38,0))</f>
        <v>1</v>
      </c>
      <c r="F78" s="346">
        <f t="array" ref="F78">SUM(IF((Roadmap_Avion!$B$8:$B$38=$B78)*(Roadmap_Avion!$C$4:$Z$4=F$56)*(Roadmap_Avion!$C$6:$Z$6=F$58)*(Roadmap_Avion!$C$7:$Z$7=F$59),Roadmap_Avion!$C$8:$Z$38,0))</f>
        <v>0.5</v>
      </c>
      <c r="G78" s="347">
        <f t="array" ref="G78">SUM(IF((Roadmap_Avion!$B$8:$B$38=$B78)*(Roadmap_Avion!$C$4:$Z$4=G$56)*(Roadmap_Avion!$C$6:$Z$6=G$58)*(Roadmap_Avion!$C$7:$Z$7=G$59),Roadmap_Avion!$C$8:$Z$38,0))</f>
        <v>0.25</v>
      </c>
      <c r="H78" s="348">
        <f t="array" ref="H78">SUM(IF((Roadmap_Avion!$B$8:$B$38=$B78)*(Roadmap_Avion!$C$4:$Z$4=H$56)*(Roadmap_Avion!$C$6:$Z$6=H$58)*(Roadmap_Avion!$C$7:$Z$7=H$59),Roadmap_Avion!$C$8:$Z$38,0))</f>
        <v>0</v>
      </c>
      <c r="I78" s="346">
        <f t="array" ref="I78">SUM(IF((Roadmap_Avion!$B$8:$B$38=$B78)*(Roadmap_Avion!$C$4:$Z$4=I$56)*(Roadmap_Avion!$C$6:$Z$6=I$58)*(Roadmap_Avion!$C$7:$Z$7=I$59),Roadmap_Avion!$C$8:$Z$38,0))</f>
        <v>0.75</v>
      </c>
      <c r="J78" s="347">
        <f t="array" ref="J78">SUM(IF((Roadmap_Avion!$B$8:$B$38=$B78)*(Roadmap_Avion!$C$4:$Z$4=J$56)*(Roadmap_Avion!$C$6:$Z$6=J$58)*(Roadmap_Avion!$C$7:$Z$7=J$59),Roadmap_Avion!$C$8:$Z$38,0))</f>
        <v>0.5</v>
      </c>
      <c r="K78" s="348">
        <f t="array" ref="K78">SUM(IF((Roadmap_Avion!$B$8:$B$38=$B78)*(Roadmap_Avion!$C$4:$Z$4=K$56)*(Roadmap_Avion!$C$6:$Z$6=K$58)*(Roadmap_Avion!$C$7:$Z$7=K$59),Roadmap_Avion!$C$8:$Z$38,0))</f>
        <v>0</v>
      </c>
      <c r="L78" s="346">
        <f t="array" ref="L78">SUM(IF((Roadmap_Avion!$B$8:$B$38=$B78)*(Roadmap_Avion!$C$4:$Z$4=L$56)*(Roadmap_Avion!$C$6:$Z$6=L$58)*(Roadmap_Avion!$C$7:$Z$7=L$59),Roadmap_Avion!$C$8:$Z$38,0))</f>
        <v>0.75</v>
      </c>
      <c r="M78" s="347">
        <f t="array" ref="M78">SUM(IF((Roadmap_Avion!$B$8:$B$38=$B78)*(Roadmap_Avion!$C$4:$Z$4=M$56)*(Roadmap_Avion!$C$6:$Z$6=M$58)*(Roadmap_Avion!$C$7:$Z$7=M$59),Roadmap_Avion!$C$8:$Z$38,0))</f>
        <v>0.5</v>
      </c>
      <c r="N78" s="348">
        <f t="array" ref="N78">SUM(IF((Roadmap_Avion!$B$8:$B$38=$B78)*(Roadmap_Avion!$C$4:$Z$4=N$56)*(Roadmap_Avion!$C$6:$Z$6=N$58)*(Roadmap_Avion!$C$7:$Z$7=N$59),Roadmap_Avion!$C$8:$Z$38,0))</f>
        <v>0</v>
      </c>
      <c r="O78" s="781">
        <f t="array" ref="O78">SUM(IF((Prod_Carburant_Alt!$A$7:$A$37=$B78)*(Prod_Carburant_Alt!$B$3:$AI$3=O$56)*(Prod_Carburant_Alt!$B$5:$AI$5='Synthèse scénarios'!O$58)*(Prod_Carburant_Alt!$B$6:$AI$6=O$59),Prod_Carburant_Alt!$B$7:$AI$37,0))</f>
        <v>46.726787546666515</v>
      </c>
      <c r="P78" s="782">
        <f t="array" ref="P78">SUM(IF((Prod_Carburant_Alt!$A$7:$A$37=$B78)*(Prod_Carburant_Alt!$B$3:$AI$3=P$56)*(Prod_Carburant_Alt!$B$5:$AI$5='Synthèse scénarios'!P$58)*(Prod_Carburant_Alt!$B$6:$AI$6=P$59),Prod_Carburant_Alt!$B$7:$AI$37,0))</f>
        <v>0.20438251753392203</v>
      </c>
      <c r="Q78" s="784">
        <f t="array" ref="Q78">SUM(IF((Prod_Carburant_Alt!$A$7:$A$37=$B78)*(Prod_Carburant_Alt!$B$3:$AI$3=Q$56)*(Prod_Carburant_Alt!$B$5:$AI$5='Synthèse scénarios'!Q$58)*(Prod_Carburant_Alt!$B$6:$AI$6=Q$59),Prod_Carburant_Alt!$B$7:$AI$37,0))</f>
        <v>18.19279437056932</v>
      </c>
      <c r="R78" s="621">
        <f>'Calculs Scénario ICEMAN'!BF34</f>
        <v>0.17080000000000006</v>
      </c>
      <c r="S78" s="622">
        <f>'Calculs Scénario ICEMAN'!BJ34</f>
        <v>152.20108730839812</v>
      </c>
      <c r="T78" s="623">
        <f>'Calculs Scénario ICEMAN'!CG34</f>
        <v>0.13283977489681736</v>
      </c>
      <c r="U78" s="622">
        <f>'Calculs Scénario ICEMAN'!CF34</f>
        <v>1311.0867132248313</v>
      </c>
      <c r="V78" s="624">
        <f>'Calculs Scénario ICEMAN'!CI34</f>
        <v>179.57653538607383</v>
      </c>
      <c r="W78" s="624">
        <f>'Calculs Scénario ICEMAN'!CB34</f>
        <v>837.26230766064896</v>
      </c>
      <c r="X78" s="625">
        <f>'Calculs Scénario ICEMAN'!CD34</f>
        <v>0.59591623321042642</v>
      </c>
    </row>
    <row r="79" spans="2:24" ht="15">
      <c r="B79" s="620">
        <v>2039</v>
      </c>
      <c r="C79" s="346">
        <f t="array" ref="C79">SUM(IF((Roadmap_Avion!$B$8:$B$38=$B79)*(Roadmap_Avion!$C$4:$Z$4=C$56)*(Roadmap_Avion!$C$6:$Z$6=C$58)*(Roadmap_Avion!$C$7:$Z$7=C$59),Roadmap_Avion!$C$8:$Z$38,0))</f>
        <v>0.85</v>
      </c>
      <c r="D79" s="347">
        <f t="array" ref="D79">SUM(IF((Roadmap_Avion!$B$8:$B$38=$B79)*(Roadmap_Avion!$C$4:$Z$4=D$56)*(Roadmap_Avion!$C$6:$Z$6=D$58)*(Roadmap_Avion!$C$7:$Z$7=D$59),Roadmap_Avion!$C$8:$Z$38,0))</f>
        <v>0</v>
      </c>
      <c r="E79" s="348">
        <f t="array" ref="E79">SUM(IF((Roadmap_Avion!$B$8:$B$38=$B79)*(Roadmap_Avion!$C$4:$Z$4=E$56)*(Roadmap_Avion!$C$6:$Z$6=E$58)*(Roadmap_Avion!$C$7:$Z$7=E$59),Roadmap_Avion!$C$8:$Z$38,0))</f>
        <v>1</v>
      </c>
      <c r="F79" s="346">
        <f t="array" ref="F79">SUM(IF((Roadmap_Avion!$B$8:$B$38=$B79)*(Roadmap_Avion!$C$4:$Z$4=F$56)*(Roadmap_Avion!$C$6:$Z$6=F$58)*(Roadmap_Avion!$C$7:$Z$7=F$59),Roadmap_Avion!$C$8:$Z$38,0))</f>
        <v>0.5</v>
      </c>
      <c r="G79" s="347">
        <f t="array" ref="G79">SUM(IF((Roadmap_Avion!$B$8:$B$38=$B79)*(Roadmap_Avion!$C$4:$Z$4=G$56)*(Roadmap_Avion!$C$6:$Z$6=G$58)*(Roadmap_Avion!$C$7:$Z$7=G$59),Roadmap_Avion!$C$8:$Z$38,0))</f>
        <v>0.25</v>
      </c>
      <c r="H79" s="348">
        <f t="array" ref="H79">SUM(IF((Roadmap_Avion!$B$8:$B$38=$B79)*(Roadmap_Avion!$C$4:$Z$4=H$56)*(Roadmap_Avion!$C$6:$Z$6=H$58)*(Roadmap_Avion!$C$7:$Z$7=H$59),Roadmap_Avion!$C$8:$Z$38,0))</f>
        <v>0</v>
      </c>
      <c r="I79" s="346">
        <f t="array" ref="I79">SUM(IF((Roadmap_Avion!$B$8:$B$38=$B79)*(Roadmap_Avion!$C$4:$Z$4=I$56)*(Roadmap_Avion!$C$6:$Z$6=I$58)*(Roadmap_Avion!$C$7:$Z$7=I$59),Roadmap_Avion!$C$8:$Z$38,0))</f>
        <v>0.75</v>
      </c>
      <c r="J79" s="347">
        <f t="array" ref="J79">SUM(IF((Roadmap_Avion!$B$8:$B$38=$B79)*(Roadmap_Avion!$C$4:$Z$4=J$56)*(Roadmap_Avion!$C$6:$Z$6=J$58)*(Roadmap_Avion!$C$7:$Z$7=J$59),Roadmap_Avion!$C$8:$Z$38,0))</f>
        <v>0.5</v>
      </c>
      <c r="K79" s="348">
        <f t="array" ref="K79">SUM(IF((Roadmap_Avion!$B$8:$B$38=$B79)*(Roadmap_Avion!$C$4:$Z$4=K$56)*(Roadmap_Avion!$C$6:$Z$6=K$58)*(Roadmap_Avion!$C$7:$Z$7=K$59),Roadmap_Avion!$C$8:$Z$38,0))</f>
        <v>0</v>
      </c>
      <c r="L79" s="346">
        <f t="array" ref="L79">SUM(IF((Roadmap_Avion!$B$8:$B$38=$B79)*(Roadmap_Avion!$C$4:$Z$4=L$56)*(Roadmap_Avion!$C$6:$Z$6=L$58)*(Roadmap_Avion!$C$7:$Z$7=L$59),Roadmap_Avion!$C$8:$Z$38,0))</f>
        <v>0.75</v>
      </c>
      <c r="M79" s="347">
        <f t="array" ref="M79">SUM(IF((Roadmap_Avion!$B$8:$B$38=$B79)*(Roadmap_Avion!$C$4:$Z$4=M$56)*(Roadmap_Avion!$C$6:$Z$6=M$58)*(Roadmap_Avion!$C$7:$Z$7=M$59),Roadmap_Avion!$C$8:$Z$38,0))</f>
        <v>0.5</v>
      </c>
      <c r="N79" s="348">
        <f t="array" ref="N79">SUM(IF((Roadmap_Avion!$B$8:$B$38=$B79)*(Roadmap_Avion!$C$4:$Z$4=N$56)*(Roadmap_Avion!$C$6:$Z$6=N$58)*(Roadmap_Avion!$C$7:$Z$7=N$59),Roadmap_Avion!$C$8:$Z$38,0))</f>
        <v>0</v>
      </c>
      <c r="O79" s="781">
        <f t="array" ref="O79">SUM(IF((Prod_Carburant_Alt!$A$7:$A$37=$B79)*(Prod_Carburant_Alt!$B$3:$AI$3=O$56)*(Prod_Carburant_Alt!$B$5:$AI$5='Synthèse scénarios'!O$58)*(Prod_Carburant_Alt!$B$6:$AI$6=O$59),Prod_Carburant_Alt!$B$7:$AI$37,0))</f>
        <v>53.735805678666495</v>
      </c>
      <c r="P79" s="782">
        <f t="array" ref="P79">SUM(IF((Prod_Carburant_Alt!$A$7:$A$37=$B79)*(Prod_Carburant_Alt!$B$3:$AI$3=P$56)*(Prod_Carburant_Alt!$B$5:$AI$5='Synthèse scénarios'!P$58)*(Prod_Carburant_Alt!$B$6:$AI$6=P$59),Prod_Carburant_Alt!$B$7:$AI$37,0))</f>
        <v>0.20438251753392198</v>
      </c>
      <c r="Q79" s="784">
        <f t="array" ref="Q79">SUM(IF((Prod_Carburant_Alt!$A$7:$A$37=$B79)*(Prod_Carburant_Alt!$B$3:$AI$3=Q$56)*(Prod_Carburant_Alt!$B$5:$AI$5='Synthèse scénarios'!Q$58)*(Prod_Carburant_Alt!$B$6:$AI$6=Q$59),Prod_Carburant_Alt!$B$7:$AI$37,0))</f>
        <v>22.740992963211649</v>
      </c>
      <c r="R79" s="621">
        <f>'Calculs Scénario ICEMAN'!BF35</f>
        <v>0.18106000000000011</v>
      </c>
      <c r="S79" s="622">
        <f>'Calculs Scénario ICEMAN'!BJ35</f>
        <v>163.91878421261029</v>
      </c>
      <c r="T79" s="623">
        <f>'Calculs Scénario ICEMAN'!CG35</f>
        <v>0.15318418548382884</v>
      </c>
      <c r="U79" s="622">
        <f>'Calculs Scénario ICEMAN'!CF35</f>
        <v>1311.1683132950448</v>
      </c>
      <c r="V79" s="624">
        <f>'Calculs Scénario ICEMAN'!CI35</f>
        <v>177.70726928984141</v>
      </c>
      <c r="W79" s="624">
        <f>'Calculs Scénario ICEMAN'!CB35</f>
        <v>1046.9820214281524</v>
      </c>
      <c r="X79" s="625">
        <f>'Calculs Scénario ICEMAN'!CD35</f>
        <v>0.7451829334008202</v>
      </c>
    </row>
    <row r="80" spans="2:24" ht="15">
      <c r="B80" s="620">
        <v>2040</v>
      </c>
      <c r="C80" s="346">
        <f t="array" ref="C80">SUM(IF((Roadmap_Avion!$B$8:$B$38=$B80)*(Roadmap_Avion!$C$4:$Z$4=C$56)*(Roadmap_Avion!$C$6:$Z$6=C$58)*(Roadmap_Avion!$C$7:$Z$7=C$59),Roadmap_Avion!$C$8:$Z$38,0))</f>
        <v>0.85</v>
      </c>
      <c r="D80" s="347">
        <f t="array" ref="D80">SUM(IF((Roadmap_Avion!$B$8:$B$38=$B80)*(Roadmap_Avion!$C$4:$Z$4=D$56)*(Roadmap_Avion!$C$6:$Z$6=D$58)*(Roadmap_Avion!$C$7:$Z$7=D$59),Roadmap_Avion!$C$8:$Z$38,0))</f>
        <v>0</v>
      </c>
      <c r="E80" s="348">
        <f t="array" ref="E80">SUM(IF((Roadmap_Avion!$B$8:$B$38=$B80)*(Roadmap_Avion!$C$4:$Z$4=E$56)*(Roadmap_Avion!$C$6:$Z$6=E$58)*(Roadmap_Avion!$C$7:$Z$7=E$59),Roadmap_Avion!$C$8:$Z$38,0))</f>
        <v>1</v>
      </c>
      <c r="F80" s="346">
        <f t="array" ref="F80">SUM(IF((Roadmap_Avion!$B$8:$B$38=$B80)*(Roadmap_Avion!$C$4:$Z$4=F$56)*(Roadmap_Avion!$C$6:$Z$6=F$58)*(Roadmap_Avion!$C$7:$Z$7=F$59),Roadmap_Avion!$C$8:$Z$38,0))</f>
        <v>0.85</v>
      </c>
      <c r="G80" s="347">
        <f t="array" ref="G80">SUM(IF((Roadmap_Avion!$B$8:$B$38=$B80)*(Roadmap_Avion!$C$4:$Z$4=G$56)*(Roadmap_Avion!$C$6:$Z$6=G$58)*(Roadmap_Avion!$C$7:$Z$7=G$59),Roadmap_Avion!$C$8:$Z$38,0))</f>
        <v>0</v>
      </c>
      <c r="H80" s="348">
        <f t="array" ref="H80">SUM(IF((Roadmap_Avion!$B$8:$B$38=$B80)*(Roadmap_Avion!$C$4:$Z$4=H$56)*(Roadmap_Avion!$C$6:$Z$6=H$58)*(Roadmap_Avion!$C$7:$Z$7=H$59),Roadmap_Avion!$C$8:$Z$38,0))</f>
        <v>1</v>
      </c>
      <c r="I80" s="346">
        <f t="array" ref="I80">SUM(IF((Roadmap_Avion!$B$8:$B$38=$B80)*(Roadmap_Avion!$C$4:$Z$4=I$56)*(Roadmap_Avion!$C$6:$Z$6=I$58)*(Roadmap_Avion!$C$7:$Z$7=I$59),Roadmap_Avion!$C$8:$Z$38,0))</f>
        <v>0.63749999999999996</v>
      </c>
      <c r="J80" s="347">
        <f t="array" ref="J80">SUM(IF((Roadmap_Avion!$B$8:$B$38=$B80)*(Roadmap_Avion!$C$4:$Z$4=J$56)*(Roadmap_Avion!$C$6:$Z$6=J$58)*(Roadmap_Avion!$C$7:$Z$7=J$59),Roadmap_Avion!$C$8:$Z$38,0))</f>
        <v>0</v>
      </c>
      <c r="K80" s="348">
        <f t="array" ref="K80">SUM(IF((Roadmap_Avion!$B$8:$B$38=$B80)*(Roadmap_Avion!$C$4:$Z$4=K$56)*(Roadmap_Avion!$C$6:$Z$6=K$58)*(Roadmap_Avion!$C$7:$Z$7=K$59),Roadmap_Avion!$C$8:$Z$38,0))</f>
        <v>1</v>
      </c>
      <c r="L80" s="346">
        <f t="array" ref="L80">SUM(IF((Roadmap_Avion!$B$8:$B$38=$B80)*(Roadmap_Avion!$C$4:$Z$4=L$56)*(Roadmap_Avion!$C$6:$Z$6=L$58)*(Roadmap_Avion!$C$7:$Z$7=L$59),Roadmap_Avion!$C$8:$Z$38,0))</f>
        <v>0.5625</v>
      </c>
      <c r="M80" s="347">
        <f t="array" ref="M80">SUM(IF((Roadmap_Avion!$B$8:$B$38=$B80)*(Roadmap_Avion!$C$4:$Z$4=M$56)*(Roadmap_Avion!$C$6:$Z$6=M$58)*(Roadmap_Avion!$C$7:$Z$7=M$59),Roadmap_Avion!$C$8:$Z$38,0))</f>
        <v>1</v>
      </c>
      <c r="N80" s="348">
        <f t="array" ref="N80">SUM(IF((Roadmap_Avion!$B$8:$B$38=$B80)*(Roadmap_Avion!$C$4:$Z$4=N$56)*(Roadmap_Avion!$C$6:$Z$6=N$58)*(Roadmap_Avion!$C$7:$Z$7=N$59),Roadmap_Avion!$C$8:$Z$38,0))</f>
        <v>0</v>
      </c>
      <c r="O80" s="781">
        <f t="array" ref="O80">SUM(IF((Prod_Carburant_Alt!$A$7:$A$37=$B80)*(Prod_Carburant_Alt!$B$3:$AI$3=O$56)*(Prod_Carburant_Alt!$B$5:$AI$5='Synthèse scénarios'!O$58)*(Prod_Carburant_Alt!$B$6:$AI$6=O$59),Prod_Carburant_Alt!$B$7:$AI$37,0))</f>
        <v>61.796176530466461</v>
      </c>
      <c r="P80" s="782">
        <f t="array" ref="P80">SUM(IF((Prod_Carburant_Alt!$A$7:$A$37=$B80)*(Prod_Carburant_Alt!$B$3:$AI$3=P$56)*(Prod_Carburant_Alt!$B$5:$AI$5='Synthèse scénarios'!P$58)*(Prod_Carburant_Alt!$B$6:$AI$6=P$59),Prod_Carburant_Alt!$B$7:$AI$37,0))</f>
        <v>0.204382517533922</v>
      </c>
      <c r="Q80" s="784">
        <f t="array" ref="Q80">SUM(IF((Prod_Carburant_Alt!$A$7:$A$37=$B80)*(Prod_Carburant_Alt!$B$3:$AI$3=Q$56)*(Prod_Carburant_Alt!$B$5:$AI$5='Synthèse scénarios'!Q$58)*(Prod_Carburant_Alt!$B$6:$AI$6=Q$59),Prod_Carburant_Alt!$B$7:$AI$37,0))</f>
        <v>28.426241204014563</v>
      </c>
      <c r="R80" s="621">
        <f>'Calculs Scénario ICEMAN'!BF36</f>
        <v>0.19612000000000007</v>
      </c>
      <c r="S80" s="622">
        <f>'Calculs Scénario ICEMAN'!BJ36</f>
        <v>171.83257520564879</v>
      </c>
      <c r="T80" s="623">
        <f>'Calculs Scénario ICEMAN'!CG36</f>
        <v>0.20386867802426969</v>
      </c>
      <c r="U80" s="622">
        <f>'Calculs Scénario ICEMAN'!CF36</f>
        <v>1254.2906044342963</v>
      </c>
      <c r="V80" s="624">
        <f>'Calculs Scénario ICEMAN'!CI36</f>
        <v>125.28683874972194</v>
      </c>
      <c r="W80" s="624">
        <f>'Calculs Scénario ICEMAN'!CB36</f>
        <v>1549.48798431676</v>
      </c>
      <c r="X80" s="625">
        <f>'Calculs Scénario ICEMAN'!CD36</f>
        <v>1.1028384230012527</v>
      </c>
    </row>
    <row r="81" spans="2:24" ht="15">
      <c r="B81" s="620">
        <v>2041</v>
      </c>
      <c r="C81" s="346">
        <f t="array" ref="C81">SUM(IF((Roadmap_Avion!$B$8:$B$38=$B81)*(Roadmap_Avion!$C$4:$Z$4=C$56)*(Roadmap_Avion!$C$6:$Z$6=C$58)*(Roadmap_Avion!$C$7:$Z$7=C$59),Roadmap_Avion!$C$8:$Z$38,0))</f>
        <v>0.85</v>
      </c>
      <c r="D81" s="347">
        <f t="array" ref="D81">SUM(IF((Roadmap_Avion!$B$8:$B$38=$B81)*(Roadmap_Avion!$C$4:$Z$4=D$56)*(Roadmap_Avion!$C$6:$Z$6=D$58)*(Roadmap_Avion!$C$7:$Z$7=D$59),Roadmap_Avion!$C$8:$Z$38,0))</f>
        <v>0</v>
      </c>
      <c r="E81" s="348">
        <f t="array" ref="E81">SUM(IF((Roadmap_Avion!$B$8:$B$38=$B81)*(Roadmap_Avion!$C$4:$Z$4=E$56)*(Roadmap_Avion!$C$6:$Z$6=E$58)*(Roadmap_Avion!$C$7:$Z$7=E$59),Roadmap_Avion!$C$8:$Z$38,0))</f>
        <v>1</v>
      </c>
      <c r="F81" s="346">
        <f t="array" ref="F81">SUM(IF((Roadmap_Avion!$B$8:$B$38=$B81)*(Roadmap_Avion!$C$4:$Z$4=F$56)*(Roadmap_Avion!$C$6:$Z$6=F$58)*(Roadmap_Avion!$C$7:$Z$7=F$59),Roadmap_Avion!$C$8:$Z$38,0))</f>
        <v>0.85</v>
      </c>
      <c r="G81" s="347">
        <f t="array" ref="G81">SUM(IF((Roadmap_Avion!$B$8:$B$38=$B81)*(Roadmap_Avion!$C$4:$Z$4=G$56)*(Roadmap_Avion!$C$6:$Z$6=G$58)*(Roadmap_Avion!$C$7:$Z$7=G$59),Roadmap_Avion!$C$8:$Z$38,0))</f>
        <v>0</v>
      </c>
      <c r="H81" s="348">
        <f t="array" ref="H81">SUM(IF((Roadmap_Avion!$B$8:$B$38=$B81)*(Roadmap_Avion!$C$4:$Z$4=H$56)*(Roadmap_Avion!$C$6:$Z$6=H$58)*(Roadmap_Avion!$C$7:$Z$7=H$59),Roadmap_Avion!$C$8:$Z$38,0))</f>
        <v>1</v>
      </c>
      <c r="I81" s="346">
        <f t="array" ref="I81">SUM(IF((Roadmap_Avion!$B$8:$B$38=$B81)*(Roadmap_Avion!$C$4:$Z$4=I$56)*(Roadmap_Avion!$C$6:$Z$6=I$58)*(Roadmap_Avion!$C$7:$Z$7=I$59),Roadmap_Avion!$C$8:$Z$38,0))</f>
        <v>0.63749999999999996</v>
      </c>
      <c r="J81" s="347">
        <f t="array" ref="J81">SUM(IF((Roadmap_Avion!$B$8:$B$38=$B81)*(Roadmap_Avion!$C$4:$Z$4=J$56)*(Roadmap_Avion!$C$6:$Z$6=J$58)*(Roadmap_Avion!$C$7:$Z$7=J$59),Roadmap_Avion!$C$8:$Z$38,0))</f>
        <v>0</v>
      </c>
      <c r="K81" s="348">
        <f t="array" ref="K81">SUM(IF((Roadmap_Avion!$B$8:$B$38=$B81)*(Roadmap_Avion!$C$4:$Z$4=K$56)*(Roadmap_Avion!$C$6:$Z$6=K$58)*(Roadmap_Avion!$C$7:$Z$7=K$59),Roadmap_Avion!$C$8:$Z$38,0))</f>
        <v>1</v>
      </c>
      <c r="L81" s="346">
        <f t="array" ref="L81">SUM(IF((Roadmap_Avion!$B$8:$B$38=$B81)*(Roadmap_Avion!$C$4:$Z$4=L$56)*(Roadmap_Avion!$C$6:$Z$6=L$58)*(Roadmap_Avion!$C$7:$Z$7=L$59),Roadmap_Avion!$C$8:$Z$38,0))</f>
        <v>0.5625</v>
      </c>
      <c r="M81" s="347">
        <f t="array" ref="M81">SUM(IF((Roadmap_Avion!$B$8:$B$38=$B81)*(Roadmap_Avion!$C$4:$Z$4=M$56)*(Roadmap_Avion!$C$6:$Z$6=M$58)*(Roadmap_Avion!$C$7:$Z$7=M$59),Roadmap_Avion!$C$8:$Z$38,0))</f>
        <v>1</v>
      </c>
      <c r="N81" s="348">
        <f t="array" ref="N81">SUM(IF((Roadmap_Avion!$B$8:$B$38=$B81)*(Roadmap_Avion!$C$4:$Z$4=N$56)*(Roadmap_Avion!$C$6:$Z$6=N$58)*(Roadmap_Avion!$C$7:$Z$7=N$59),Roadmap_Avion!$C$8:$Z$38,0))</f>
        <v>0</v>
      </c>
      <c r="O81" s="781">
        <f t="array" ref="O81">SUM(IF((Prod_Carburant_Alt!$A$7:$A$37=$B81)*(Prod_Carburant_Alt!$B$3:$AI$3=O$56)*(Prod_Carburant_Alt!$B$5:$AI$5='Synthèse scénarios'!O$58)*(Prod_Carburant_Alt!$B$6:$AI$6=O$59),Prod_Carburant_Alt!$B$7:$AI$37,0))</f>
        <v>71.065603010036426</v>
      </c>
      <c r="P81" s="782">
        <f t="array" ref="P81">SUM(IF((Prod_Carburant_Alt!$A$7:$A$37=$B81)*(Prod_Carburant_Alt!$B$3:$AI$3=P$56)*(Prod_Carburant_Alt!$B$5:$AI$5='Synthèse scénarios'!P$58)*(Prod_Carburant_Alt!$B$6:$AI$6=P$59),Prod_Carburant_Alt!$B$7:$AI$37,0))</f>
        <v>0.20438251753392198</v>
      </c>
      <c r="Q81" s="784">
        <f t="array" ref="Q81">SUM(IF((Prod_Carburant_Alt!$A$7:$A$37=$B81)*(Prod_Carburant_Alt!$B$3:$AI$3=Q$56)*(Prod_Carburant_Alt!$B$5:$AI$5='Synthèse scénarios'!Q$58)*(Prod_Carburant_Alt!$B$6:$AI$6=Q$59),Prod_Carburant_Alt!$B$7:$AI$37,0))</f>
        <v>32.690177384616746</v>
      </c>
      <c r="R81" s="621">
        <f>'Calculs Scénario ICEMAN'!BF37</f>
        <v>0.21118000000000015</v>
      </c>
      <c r="S81" s="622">
        <f>'Calculs Scénario ICEMAN'!BJ37</f>
        <v>179.8458053447018</v>
      </c>
      <c r="T81" s="623">
        <f>'Calculs Scénario ICEMAN'!CG37</f>
        <v>0.25317609054774048</v>
      </c>
      <c r="U81" s="622">
        <f>'Calculs Scénario ICEMAN'!CF37</f>
        <v>1196.3760164440639</v>
      </c>
      <c r="V81" s="624">
        <f>'Calculs Scénario ICEMAN'!CI37</f>
        <v>72.514214635182157</v>
      </c>
      <c r="W81" s="624">
        <f>'Calculs Scénario ICEMAN'!CB37</f>
        <v>1995.8483958692032</v>
      </c>
      <c r="X81" s="625">
        <f>'Calculs Scénario ICEMAN'!CD37</f>
        <v>1.4205326660990769</v>
      </c>
    </row>
    <row r="82" spans="2:24" ht="15">
      <c r="B82" s="620">
        <v>2042</v>
      </c>
      <c r="C82" s="346">
        <f t="array" ref="C82">SUM(IF((Roadmap_Avion!$B$8:$B$38=$B82)*(Roadmap_Avion!$C$4:$Z$4=C$56)*(Roadmap_Avion!$C$6:$Z$6=C$58)*(Roadmap_Avion!$C$7:$Z$7=C$59),Roadmap_Avion!$C$8:$Z$38,0))</f>
        <v>0.85</v>
      </c>
      <c r="D82" s="347">
        <f t="array" ref="D82">SUM(IF((Roadmap_Avion!$B$8:$B$38=$B82)*(Roadmap_Avion!$C$4:$Z$4=D$56)*(Roadmap_Avion!$C$6:$Z$6=D$58)*(Roadmap_Avion!$C$7:$Z$7=D$59),Roadmap_Avion!$C$8:$Z$38,0))</f>
        <v>0</v>
      </c>
      <c r="E82" s="348">
        <f t="array" ref="E82">SUM(IF((Roadmap_Avion!$B$8:$B$38=$B82)*(Roadmap_Avion!$C$4:$Z$4=E$56)*(Roadmap_Avion!$C$6:$Z$6=E$58)*(Roadmap_Avion!$C$7:$Z$7=E$59),Roadmap_Avion!$C$8:$Z$38,0))</f>
        <v>1</v>
      </c>
      <c r="F82" s="346">
        <f t="array" ref="F82">SUM(IF((Roadmap_Avion!$B$8:$B$38=$B82)*(Roadmap_Avion!$C$4:$Z$4=F$56)*(Roadmap_Avion!$C$6:$Z$6=F$58)*(Roadmap_Avion!$C$7:$Z$7=F$59),Roadmap_Avion!$C$8:$Z$38,0))</f>
        <v>0.85</v>
      </c>
      <c r="G82" s="347">
        <f t="array" ref="G82">SUM(IF((Roadmap_Avion!$B$8:$B$38=$B82)*(Roadmap_Avion!$C$4:$Z$4=G$56)*(Roadmap_Avion!$C$6:$Z$6=G$58)*(Roadmap_Avion!$C$7:$Z$7=G$59),Roadmap_Avion!$C$8:$Z$38,0))</f>
        <v>0</v>
      </c>
      <c r="H82" s="348">
        <f t="array" ref="H82">SUM(IF((Roadmap_Avion!$B$8:$B$38=$B82)*(Roadmap_Avion!$C$4:$Z$4=H$56)*(Roadmap_Avion!$C$6:$Z$6=H$58)*(Roadmap_Avion!$C$7:$Z$7=H$59),Roadmap_Avion!$C$8:$Z$38,0))</f>
        <v>1</v>
      </c>
      <c r="I82" s="346">
        <f t="array" ref="I82">SUM(IF((Roadmap_Avion!$B$8:$B$38=$B82)*(Roadmap_Avion!$C$4:$Z$4=I$56)*(Roadmap_Avion!$C$6:$Z$6=I$58)*(Roadmap_Avion!$C$7:$Z$7=I$59),Roadmap_Avion!$C$8:$Z$38,0))</f>
        <v>0.63749999999999996</v>
      </c>
      <c r="J82" s="347">
        <f t="array" ref="J82">SUM(IF((Roadmap_Avion!$B$8:$B$38=$B82)*(Roadmap_Avion!$C$4:$Z$4=J$56)*(Roadmap_Avion!$C$6:$Z$6=J$58)*(Roadmap_Avion!$C$7:$Z$7=J$59),Roadmap_Avion!$C$8:$Z$38,0))</f>
        <v>0</v>
      </c>
      <c r="K82" s="348">
        <f t="array" ref="K82">SUM(IF((Roadmap_Avion!$B$8:$B$38=$B82)*(Roadmap_Avion!$C$4:$Z$4=K$56)*(Roadmap_Avion!$C$6:$Z$6=K$58)*(Roadmap_Avion!$C$7:$Z$7=K$59),Roadmap_Avion!$C$8:$Z$38,0))</f>
        <v>1</v>
      </c>
      <c r="L82" s="346">
        <f t="array" ref="L82">SUM(IF((Roadmap_Avion!$B$8:$B$38=$B82)*(Roadmap_Avion!$C$4:$Z$4=L$56)*(Roadmap_Avion!$C$6:$Z$6=L$58)*(Roadmap_Avion!$C$7:$Z$7=L$59),Roadmap_Avion!$C$8:$Z$38,0))</f>
        <v>0.5625</v>
      </c>
      <c r="M82" s="347">
        <f t="array" ref="M82">SUM(IF((Roadmap_Avion!$B$8:$B$38=$B82)*(Roadmap_Avion!$C$4:$Z$4=M$56)*(Roadmap_Avion!$C$6:$Z$6=M$58)*(Roadmap_Avion!$C$7:$Z$7=M$59),Roadmap_Avion!$C$8:$Z$38,0))</f>
        <v>1</v>
      </c>
      <c r="N82" s="348">
        <f t="array" ref="N82">SUM(IF((Roadmap_Avion!$B$8:$B$38=$B82)*(Roadmap_Avion!$C$4:$Z$4=N$56)*(Roadmap_Avion!$C$6:$Z$6=N$58)*(Roadmap_Avion!$C$7:$Z$7=N$59),Roadmap_Avion!$C$8:$Z$38,0))</f>
        <v>0</v>
      </c>
      <c r="O82" s="781">
        <f t="array" ref="O82">SUM(IF((Prod_Carburant_Alt!$A$7:$A$37=$B82)*(Prod_Carburant_Alt!$B$3:$AI$3=O$56)*(Prod_Carburant_Alt!$B$5:$AI$5='Synthèse scénarios'!O$58)*(Prod_Carburant_Alt!$B$6:$AI$6=O$59),Prod_Carburant_Alt!$B$7:$AI$37,0))</f>
        <v>81.725443461541886</v>
      </c>
      <c r="P82" s="782">
        <f t="array" ref="P82">SUM(IF((Prod_Carburant_Alt!$A$7:$A$37=$B82)*(Prod_Carburant_Alt!$B$3:$AI$3=P$56)*(Prod_Carburant_Alt!$B$5:$AI$5='Synthèse scénarios'!P$58)*(Prod_Carburant_Alt!$B$6:$AI$6=P$59),Prod_Carburant_Alt!$B$7:$AI$37,0))</f>
        <v>0.20438251753392195</v>
      </c>
      <c r="Q82" s="784">
        <f t="array" ref="Q82">SUM(IF((Prod_Carburant_Alt!$A$7:$A$37=$B82)*(Prod_Carburant_Alt!$B$3:$AI$3=Q$56)*(Prod_Carburant_Alt!$B$5:$AI$5='Synthèse scénarios'!Q$58)*(Prod_Carburant_Alt!$B$6:$AI$6=Q$59),Prod_Carburant_Alt!$B$7:$AI$37,0))</f>
        <v>37.593703992309251</v>
      </c>
      <c r="R82" s="621">
        <f>'Calculs Scénario ICEMAN'!BF38</f>
        <v>0.22624000000000022</v>
      </c>
      <c r="S82" s="622">
        <f>'Calculs Scénario ICEMAN'!BJ38</f>
        <v>187.93632245344986</v>
      </c>
      <c r="T82" s="623">
        <f>'Calculs Scénario ICEMAN'!CG38</f>
        <v>0.30567016225089183</v>
      </c>
      <c r="U82" s="622">
        <f>'Calculs Scénario ICEMAN'!CF38</f>
        <v>1130.1079354180245</v>
      </c>
      <c r="V82" s="624">
        <f>'Calculs Scénario ICEMAN'!CI38</f>
        <v>12.384561684694631</v>
      </c>
      <c r="W82" s="624">
        <f>'Calculs Scénario ICEMAN'!CB38</f>
        <v>2479.0155916067097</v>
      </c>
      <c r="X82" s="625">
        <f>'Calculs Scénario ICEMAN'!CD38</f>
        <v>1.7644239086168751</v>
      </c>
    </row>
    <row r="83" spans="2:24" ht="15">
      <c r="B83" s="620">
        <v>2043</v>
      </c>
      <c r="C83" s="346">
        <f t="array" ref="C83">SUM(IF((Roadmap_Avion!$B$8:$B$38=$B83)*(Roadmap_Avion!$C$4:$Z$4=C$56)*(Roadmap_Avion!$C$6:$Z$6=C$58)*(Roadmap_Avion!$C$7:$Z$7=C$59),Roadmap_Avion!$C$8:$Z$38,0))</f>
        <v>0.85</v>
      </c>
      <c r="D83" s="347">
        <f t="array" ref="D83">SUM(IF((Roadmap_Avion!$B$8:$B$38=$B83)*(Roadmap_Avion!$C$4:$Z$4=D$56)*(Roadmap_Avion!$C$6:$Z$6=D$58)*(Roadmap_Avion!$C$7:$Z$7=D$59),Roadmap_Avion!$C$8:$Z$38,0))</f>
        <v>0</v>
      </c>
      <c r="E83" s="348">
        <f t="array" ref="E83">SUM(IF((Roadmap_Avion!$B$8:$B$38=$B83)*(Roadmap_Avion!$C$4:$Z$4=E$56)*(Roadmap_Avion!$C$6:$Z$6=E$58)*(Roadmap_Avion!$C$7:$Z$7=E$59),Roadmap_Avion!$C$8:$Z$38,0))</f>
        <v>1</v>
      </c>
      <c r="F83" s="346">
        <f t="array" ref="F83">SUM(IF((Roadmap_Avion!$B$8:$B$38=$B83)*(Roadmap_Avion!$C$4:$Z$4=F$56)*(Roadmap_Avion!$C$6:$Z$6=F$58)*(Roadmap_Avion!$C$7:$Z$7=F$59),Roadmap_Avion!$C$8:$Z$38,0))</f>
        <v>0.85</v>
      </c>
      <c r="G83" s="347">
        <f t="array" ref="G83">SUM(IF((Roadmap_Avion!$B$8:$B$38=$B83)*(Roadmap_Avion!$C$4:$Z$4=G$56)*(Roadmap_Avion!$C$6:$Z$6=G$58)*(Roadmap_Avion!$C$7:$Z$7=G$59),Roadmap_Avion!$C$8:$Z$38,0))</f>
        <v>0</v>
      </c>
      <c r="H83" s="348">
        <f t="array" ref="H83">SUM(IF((Roadmap_Avion!$B$8:$B$38=$B83)*(Roadmap_Avion!$C$4:$Z$4=H$56)*(Roadmap_Avion!$C$6:$Z$6=H$58)*(Roadmap_Avion!$C$7:$Z$7=H$59),Roadmap_Avion!$C$8:$Z$38,0))</f>
        <v>1</v>
      </c>
      <c r="I83" s="346">
        <f t="array" ref="I83">SUM(IF((Roadmap_Avion!$B$8:$B$38=$B83)*(Roadmap_Avion!$C$4:$Z$4=I$56)*(Roadmap_Avion!$C$6:$Z$6=I$58)*(Roadmap_Avion!$C$7:$Z$7=I$59),Roadmap_Avion!$C$8:$Z$38,0))</f>
        <v>0.63749999999999996</v>
      </c>
      <c r="J83" s="347">
        <f t="array" ref="J83">SUM(IF((Roadmap_Avion!$B$8:$B$38=$B83)*(Roadmap_Avion!$C$4:$Z$4=J$56)*(Roadmap_Avion!$C$6:$Z$6=J$58)*(Roadmap_Avion!$C$7:$Z$7=J$59),Roadmap_Avion!$C$8:$Z$38,0))</f>
        <v>0</v>
      </c>
      <c r="K83" s="348">
        <f t="array" ref="K83">SUM(IF((Roadmap_Avion!$B$8:$B$38=$B83)*(Roadmap_Avion!$C$4:$Z$4=K$56)*(Roadmap_Avion!$C$6:$Z$6=K$58)*(Roadmap_Avion!$C$7:$Z$7=K$59),Roadmap_Avion!$C$8:$Z$38,0))</f>
        <v>1</v>
      </c>
      <c r="L83" s="346">
        <f t="array" ref="L83">SUM(IF((Roadmap_Avion!$B$8:$B$38=$B83)*(Roadmap_Avion!$C$4:$Z$4=L$56)*(Roadmap_Avion!$C$6:$Z$6=L$58)*(Roadmap_Avion!$C$7:$Z$7=L$59),Roadmap_Avion!$C$8:$Z$38,0))</f>
        <v>0.5625</v>
      </c>
      <c r="M83" s="347">
        <f t="array" ref="M83">SUM(IF((Roadmap_Avion!$B$8:$B$38=$B83)*(Roadmap_Avion!$C$4:$Z$4=M$56)*(Roadmap_Avion!$C$6:$Z$6=M$58)*(Roadmap_Avion!$C$7:$Z$7=M$59),Roadmap_Avion!$C$8:$Z$38,0))</f>
        <v>1</v>
      </c>
      <c r="N83" s="348">
        <f t="array" ref="N83">SUM(IF((Roadmap_Avion!$B$8:$B$38=$B83)*(Roadmap_Avion!$C$4:$Z$4=N$56)*(Roadmap_Avion!$C$6:$Z$6=N$58)*(Roadmap_Avion!$C$7:$Z$7=N$59),Roadmap_Avion!$C$8:$Z$38,0))</f>
        <v>0</v>
      </c>
      <c r="O83" s="781">
        <f t="array" ref="O83">SUM(IF((Prod_Carburant_Alt!$A$7:$A$37=$B83)*(Prod_Carburant_Alt!$B$3:$AI$3=O$56)*(Prod_Carburant_Alt!$B$5:$AI$5='Synthèse scénarios'!O$58)*(Prod_Carburant_Alt!$B$6:$AI$6=O$59),Prod_Carburant_Alt!$B$7:$AI$37,0))</f>
        <v>93.98425998077316</v>
      </c>
      <c r="P83" s="782">
        <f t="array" ref="P83">SUM(IF((Prod_Carburant_Alt!$A$7:$A$37=$B83)*(Prod_Carburant_Alt!$B$3:$AI$3=P$56)*(Prod_Carburant_Alt!$B$5:$AI$5='Synthèse scénarios'!P$58)*(Prod_Carburant_Alt!$B$6:$AI$6=P$59),Prod_Carburant_Alt!$B$7:$AI$37,0))</f>
        <v>0.204382517533922</v>
      </c>
      <c r="Q83" s="784">
        <f t="array" ref="Q83">SUM(IF((Prod_Carburant_Alt!$A$7:$A$37=$B83)*(Prod_Carburant_Alt!$B$3:$AI$3=Q$56)*(Prod_Carburant_Alt!$B$5:$AI$5='Synthèse scénarios'!Q$58)*(Prod_Carburant_Alt!$B$6:$AI$6=Q$59),Prod_Carburant_Alt!$B$7:$AI$37,0))</f>
        <v>43.232759591155634</v>
      </c>
      <c r="R83" s="621">
        <f>'Calculs Scénario ICEMAN'!BF39</f>
        <v>0.24129999999999996</v>
      </c>
      <c r="S83" s="622">
        <f>'Calculs Scénario ICEMAN'!BJ39</f>
        <v>196.07854475952976</v>
      </c>
      <c r="T83" s="623">
        <f>'Calculs Scénario ICEMAN'!CG39</f>
        <v>0.361828963825373</v>
      </c>
      <c r="U83" s="622">
        <f>'Calculs Scénario ICEMAN'!CF39</f>
        <v>1054.4801804561971</v>
      </c>
      <c r="V83" s="624">
        <f>'Calculs Scénario ICEMAN'!CI39</f>
        <v>0</v>
      </c>
      <c r="W83" s="624">
        <f>'Calculs Scénario ICEMAN'!CB39</f>
        <v>3002.8666877982496</v>
      </c>
      <c r="X83" s="625">
        <f>'Calculs Scénario ICEMAN'!CD39</f>
        <v>2.1372716639133449</v>
      </c>
    </row>
    <row r="84" spans="2:24" ht="15">
      <c r="B84" s="620">
        <v>2044</v>
      </c>
      <c r="C84" s="346">
        <f t="array" ref="C84">SUM(IF((Roadmap_Avion!$B$8:$B$38=$B84)*(Roadmap_Avion!$C$4:$Z$4=C$56)*(Roadmap_Avion!$C$6:$Z$6=C$58)*(Roadmap_Avion!$C$7:$Z$7=C$59),Roadmap_Avion!$C$8:$Z$38,0))</f>
        <v>0.85</v>
      </c>
      <c r="D84" s="347">
        <f t="array" ref="D84">SUM(IF((Roadmap_Avion!$B$8:$B$38=$B84)*(Roadmap_Avion!$C$4:$Z$4=D$56)*(Roadmap_Avion!$C$6:$Z$6=D$58)*(Roadmap_Avion!$C$7:$Z$7=D$59),Roadmap_Avion!$C$8:$Z$38,0))</f>
        <v>0</v>
      </c>
      <c r="E84" s="348">
        <f t="array" ref="E84">SUM(IF((Roadmap_Avion!$B$8:$B$38=$B84)*(Roadmap_Avion!$C$4:$Z$4=E$56)*(Roadmap_Avion!$C$6:$Z$6=E$58)*(Roadmap_Avion!$C$7:$Z$7=E$59),Roadmap_Avion!$C$8:$Z$38,0))</f>
        <v>1</v>
      </c>
      <c r="F84" s="346">
        <f t="array" ref="F84">SUM(IF((Roadmap_Avion!$B$8:$B$38=$B84)*(Roadmap_Avion!$C$4:$Z$4=F$56)*(Roadmap_Avion!$C$6:$Z$6=F$58)*(Roadmap_Avion!$C$7:$Z$7=F$59),Roadmap_Avion!$C$8:$Z$38,0))</f>
        <v>0.85</v>
      </c>
      <c r="G84" s="347">
        <f t="array" ref="G84">SUM(IF((Roadmap_Avion!$B$8:$B$38=$B84)*(Roadmap_Avion!$C$4:$Z$4=G$56)*(Roadmap_Avion!$C$6:$Z$6=G$58)*(Roadmap_Avion!$C$7:$Z$7=G$59),Roadmap_Avion!$C$8:$Z$38,0))</f>
        <v>0</v>
      </c>
      <c r="H84" s="348">
        <f t="array" ref="H84">SUM(IF((Roadmap_Avion!$B$8:$B$38=$B84)*(Roadmap_Avion!$C$4:$Z$4=H$56)*(Roadmap_Avion!$C$6:$Z$6=H$58)*(Roadmap_Avion!$C$7:$Z$7=H$59),Roadmap_Avion!$C$8:$Z$38,0))</f>
        <v>1</v>
      </c>
      <c r="I84" s="346">
        <f t="array" ref="I84">SUM(IF((Roadmap_Avion!$B$8:$B$38=$B84)*(Roadmap_Avion!$C$4:$Z$4=I$56)*(Roadmap_Avion!$C$6:$Z$6=I$58)*(Roadmap_Avion!$C$7:$Z$7=I$59),Roadmap_Avion!$C$8:$Z$38,0))</f>
        <v>0.63749999999999996</v>
      </c>
      <c r="J84" s="347">
        <f t="array" ref="J84">SUM(IF((Roadmap_Avion!$B$8:$B$38=$B84)*(Roadmap_Avion!$C$4:$Z$4=J$56)*(Roadmap_Avion!$C$6:$Z$6=J$58)*(Roadmap_Avion!$C$7:$Z$7=J$59),Roadmap_Avion!$C$8:$Z$38,0))</f>
        <v>0</v>
      </c>
      <c r="K84" s="348">
        <f t="array" ref="K84">SUM(IF((Roadmap_Avion!$B$8:$B$38=$B84)*(Roadmap_Avion!$C$4:$Z$4=K$56)*(Roadmap_Avion!$C$6:$Z$6=K$58)*(Roadmap_Avion!$C$7:$Z$7=K$59),Roadmap_Avion!$C$8:$Z$38,0))</f>
        <v>1</v>
      </c>
      <c r="L84" s="346">
        <f t="array" ref="L84">SUM(IF((Roadmap_Avion!$B$8:$B$38=$B84)*(Roadmap_Avion!$C$4:$Z$4=L$56)*(Roadmap_Avion!$C$6:$Z$6=L$58)*(Roadmap_Avion!$C$7:$Z$7=L$59),Roadmap_Avion!$C$8:$Z$38,0))</f>
        <v>0.5625</v>
      </c>
      <c r="M84" s="347">
        <f t="array" ref="M84">SUM(IF((Roadmap_Avion!$B$8:$B$38=$B84)*(Roadmap_Avion!$C$4:$Z$4=M$56)*(Roadmap_Avion!$C$6:$Z$6=M$58)*(Roadmap_Avion!$C$7:$Z$7=M$59),Roadmap_Avion!$C$8:$Z$38,0))</f>
        <v>1</v>
      </c>
      <c r="N84" s="348">
        <f t="array" ref="N84">SUM(IF((Roadmap_Avion!$B$8:$B$38=$B84)*(Roadmap_Avion!$C$4:$Z$4=N$56)*(Roadmap_Avion!$C$6:$Z$6=N$58)*(Roadmap_Avion!$C$7:$Z$7=N$59),Roadmap_Avion!$C$8:$Z$38,0))</f>
        <v>0</v>
      </c>
      <c r="O84" s="781">
        <f t="array" ref="O84">SUM(IF((Prod_Carburant_Alt!$A$7:$A$37=$B84)*(Prod_Carburant_Alt!$B$3:$AI$3=O$56)*(Prod_Carburant_Alt!$B$5:$AI$5='Synthèse scénarios'!O$58)*(Prod_Carburant_Alt!$B$6:$AI$6=O$59),Prod_Carburant_Alt!$B$7:$AI$37,0))</f>
        <v>108.08189897788913</v>
      </c>
      <c r="P84" s="782">
        <f t="array" ref="P84">SUM(IF((Prod_Carburant_Alt!$A$7:$A$37=$B84)*(Prod_Carburant_Alt!$B$3:$AI$3=P$56)*(Prod_Carburant_Alt!$B$5:$AI$5='Synthèse scénarios'!P$58)*(Prod_Carburant_Alt!$B$6:$AI$6=P$59),Prod_Carburant_Alt!$B$7:$AI$37,0))</f>
        <v>0.204382517533922</v>
      </c>
      <c r="Q84" s="784">
        <f t="array" ref="Q84">SUM(IF((Prod_Carburant_Alt!$A$7:$A$37=$B84)*(Prod_Carburant_Alt!$B$3:$AI$3=Q$56)*(Prod_Carburant_Alt!$B$5:$AI$5='Synthèse scénarios'!Q$58)*(Prod_Carburant_Alt!$B$6:$AI$6=Q$59),Prod_Carburant_Alt!$B$7:$AI$37,0))</f>
        <v>49.717673529828978</v>
      </c>
      <c r="R84" s="621">
        <f>'Calculs Scénario ICEMAN'!BF40</f>
        <v>0.25636000000000003</v>
      </c>
      <c r="S84" s="622">
        <f>'Calculs Scénario ICEMAN'!BJ40</f>
        <v>204.24307966065459</v>
      </c>
      <c r="T84" s="623">
        <f>'Calculs Scénario ICEMAN'!CG40</f>
        <v>0.42221072648680652</v>
      </c>
      <c r="U84" s="622">
        <f>'Calculs Scénario ICEMAN'!CF40</f>
        <v>968.34896567746375</v>
      </c>
      <c r="V84" s="624">
        <f>'Calculs Scénario ICEMAN'!CI40</f>
        <v>0</v>
      </c>
      <c r="W84" s="624">
        <f>'Calculs Scénario ICEMAN'!CB40</f>
        <v>3571.824478537304</v>
      </c>
      <c r="X84" s="625">
        <f>'Calculs Scénario ICEMAN'!CD40</f>
        <v>2.5422238281404299</v>
      </c>
    </row>
    <row r="85" spans="2:24" ht="15">
      <c r="B85" s="620">
        <v>2045</v>
      </c>
      <c r="C85" s="346">
        <f t="array" ref="C85">SUM(IF((Roadmap_Avion!$B$8:$B$38=$B85)*(Roadmap_Avion!$C$4:$Z$4=C$56)*(Roadmap_Avion!$C$6:$Z$6=C$58)*(Roadmap_Avion!$C$7:$Z$7=C$59),Roadmap_Avion!$C$8:$Z$38,0))</f>
        <v>0.85</v>
      </c>
      <c r="D85" s="347">
        <f t="array" ref="D85">SUM(IF((Roadmap_Avion!$B$8:$B$38=$B85)*(Roadmap_Avion!$C$4:$Z$4=D$56)*(Roadmap_Avion!$C$6:$Z$6=D$58)*(Roadmap_Avion!$C$7:$Z$7=D$59),Roadmap_Avion!$C$8:$Z$38,0))</f>
        <v>0</v>
      </c>
      <c r="E85" s="348">
        <f t="array" ref="E85">SUM(IF((Roadmap_Avion!$B$8:$B$38=$B85)*(Roadmap_Avion!$C$4:$Z$4=E$56)*(Roadmap_Avion!$C$6:$Z$6=E$58)*(Roadmap_Avion!$C$7:$Z$7=E$59),Roadmap_Avion!$C$8:$Z$38,0))</f>
        <v>1</v>
      </c>
      <c r="F85" s="346">
        <f t="array" ref="F85">SUM(IF((Roadmap_Avion!$B$8:$B$38=$B85)*(Roadmap_Avion!$C$4:$Z$4=F$56)*(Roadmap_Avion!$C$6:$Z$6=F$58)*(Roadmap_Avion!$C$7:$Z$7=F$59),Roadmap_Avion!$C$8:$Z$38,0))</f>
        <v>0.85</v>
      </c>
      <c r="G85" s="347">
        <f t="array" ref="G85">SUM(IF((Roadmap_Avion!$B$8:$B$38=$B85)*(Roadmap_Avion!$C$4:$Z$4=G$56)*(Roadmap_Avion!$C$6:$Z$6=G$58)*(Roadmap_Avion!$C$7:$Z$7=G$59),Roadmap_Avion!$C$8:$Z$38,0))</f>
        <v>0</v>
      </c>
      <c r="H85" s="348">
        <f t="array" ref="H85">SUM(IF((Roadmap_Avion!$B$8:$B$38=$B85)*(Roadmap_Avion!$C$4:$Z$4=H$56)*(Roadmap_Avion!$C$6:$Z$6=H$58)*(Roadmap_Avion!$C$7:$Z$7=H$59),Roadmap_Avion!$C$8:$Z$38,0))</f>
        <v>1</v>
      </c>
      <c r="I85" s="346">
        <f t="array" ref="I85">SUM(IF((Roadmap_Avion!$B$8:$B$38=$B85)*(Roadmap_Avion!$C$4:$Z$4=I$56)*(Roadmap_Avion!$C$6:$Z$6=I$58)*(Roadmap_Avion!$C$7:$Z$7=I$59),Roadmap_Avion!$C$8:$Z$38,0))</f>
        <v>0.63749999999999996</v>
      </c>
      <c r="J85" s="347">
        <f t="array" ref="J85">SUM(IF((Roadmap_Avion!$B$8:$B$38=$B85)*(Roadmap_Avion!$C$4:$Z$4=J$56)*(Roadmap_Avion!$C$6:$Z$6=J$58)*(Roadmap_Avion!$C$7:$Z$7=J$59),Roadmap_Avion!$C$8:$Z$38,0))</f>
        <v>0</v>
      </c>
      <c r="K85" s="348">
        <f t="array" ref="K85">SUM(IF((Roadmap_Avion!$B$8:$B$38=$B85)*(Roadmap_Avion!$C$4:$Z$4=K$56)*(Roadmap_Avion!$C$6:$Z$6=K$58)*(Roadmap_Avion!$C$7:$Z$7=K$59),Roadmap_Avion!$C$8:$Z$38,0))</f>
        <v>1</v>
      </c>
      <c r="L85" s="346">
        <f t="array" ref="L85">SUM(IF((Roadmap_Avion!$B$8:$B$38=$B85)*(Roadmap_Avion!$C$4:$Z$4=L$56)*(Roadmap_Avion!$C$6:$Z$6=L$58)*(Roadmap_Avion!$C$7:$Z$7=L$59),Roadmap_Avion!$C$8:$Z$38,0))</f>
        <v>0.5625</v>
      </c>
      <c r="M85" s="347">
        <f t="array" ref="M85">SUM(IF((Roadmap_Avion!$B$8:$B$38=$B85)*(Roadmap_Avion!$C$4:$Z$4=M$56)*(Roadmap_Avion!$C$6:$Z$6=M$58)*(Roadmap_Avion!$C$7:$Z$7=M$59),Roadmap_Avion!$C$8:$Z$38,0))</f>
        <v>1</v>
      </c>
      <c r="N85" s="348">
        <f t="array" ref="N85">SUM(IF((Roadmap_Avion!$B$8:$B$38=$B85)*(Roadmap_Avion!$C$4:$Z$4=N$56)*(Roadmap_Avion!$C$6:$Z$6=N$58)*(Roadmap_Avion!$C$7:$Z$7=N$59),Roadmap_Avion!$C$8:$Z$38,0))</f>
        <v>0</v>
      </c>
      <c r="O85" s="781">
        <f t="array" ref="O85">SUM(IF((Prod_Carburant_Alt!$A$7:$A$37=$B85)*(Prod_Carburant_Alt!$B$3:$AI$3=O$56)*(Prod_Carburant_Alt!$B$5:$AI$5='Synthèse scénarios'!O$58)*(Prod_Carburant_Alt!$B$6:$AI$6=O$59),Prod_Carburant_Alt!$B$7:$AI$37,0))</f>
        <v>124.29418382457249</v>
      </c>
      <c r="P85" s="782">
        <f t="array" ref="P85">SUM(IF((Prod_Carburant_Alt!$A$7:$A$37=$B85)*(Prod_Carburant_Alt!$B$3:$AI$3=P$56)*(Prod_Carburant_Alt!$B$5:$AI$5='Synthèse scénarios'!P$58)*(Prod_Carburant_Alt!$B$6:$AI$6=P$59),Prod_Carburant_Alt!$B$7:$AI$37,0))</f>
        <v>0.204382517533922</v>
      </c>
      <c r="Q85" s="784">
        <f t="array" ref="Q85">SUM(IF((Prod_Carburant_Alt!$A$7:$A$37=$B85)*(Prod_Carburant_Alt!$B$3:$AI$3=Q$56)*(Prod_Carburant_Alt!$B$5:$AI$5='Synthèse scénarios'!Q$58)*(Prod_Carburant_Alt!$B$6:$AI$6=Q$59),Prod_Carburant_Alt!$B$7:$AI$37,0))</f>
        <v>57.17532455930332</v>
      </c>
      <c r="R85" s="621">
        <f>'Calculs Scénario ICEMAN'!BF41</f>
        <v>0.26314000000000015</v>
      </c>
      <c r="S85" s="622">
        <f>'Calculs Scénario ICEMAN'!BJ41</f>
        <v>205.64975424503493</v>
      </c>
      <c r="T85" s="623">
        <f>'Calculs Scénario ICEMAN'!CG41</f>
        <v>0.48378537773603442</v>
      </c>
      <c r="U85" s="622">
        <f>'Calculs Scénario ICEMAN'!CF41</f>
        <v>886.63204515265647</v>
      </c>
      <c r="V85" s="624">
        <f>'Calculs Scénario ICEMAN'!CI41</f>
        <v>0</v>
      </c>
      <c r="W85" s="624">
        <f>'Calculs Scénario ICEMAN'!CB41</f>
        <v>4209.1459404208126</v>
      </c>
      <c r="X85" s="625">
        <f>'Calculs Scénario ICEMAN'!CD41</f>
        <v>2.9958334095521799</v>
      </c>
    </row>
    <row r="86" spans="2:24" ht="15">
      <c r="B86" s="620">
        <v>2046</v>
      </c>
      <c r="C86" s="346">
        <f t="array" ref="C86">SUM(IF((Roadmap_Avion!$B$8:$B$38=$B86)*(Roadmap_Avion!$C$4:$Z$4=C$56)*(Roadmap_Avion!$C$6:$Z$6=C$58)*(Roadmap_Avion!$C$7:$Z$7=C$59),Roadmap_Avion!$C$8:$Z$38,0))</f>
        <v>0.85</v>
      </c>
      <c r="D86" s="347">
        <f t="array" ref="D86">SUM(IF((Roadmap_Avion!$B$8:$B$38=$B86)*(Roadmap_Avion!$C$4:$Z$4=D$56)*(Roadmap_Avion!$C$6:$Z$6=D$58)*(Roadmap_Avion!$C$7:$Z$7=D$59),Roadmap_Avion!$C$8:$Z$38,0))</f>
        <v>0</v>
      </c>
      <c r="E86" s="348">
        <f t="array" ref="E86">SUM(IF((Roadmap_Avion!$B$8:$B$38=$B86)*(Roadmap_Avion!$C$4:$Z$4=E$56)*(Roadmap_Avion!$C$6:$Z$6=E$58)*(Roadmap_Avion!$C$7:$Z$7=E$59),Roadmap_Avion!$C$8:$Z$38,0))</f>
        <v>1</v>
      </c>
      <c r="F86" s="346">
        <f t="array" ref="F86">SUM(IF((Roadmap_Avion!$B$8:$B$38=$B86)*(Roadmap_Avion!$C$4:$Z$4=F$56)*(Roadmap_Avion!$C$6:$Z$6=F$58)*(Roadmap_Avion!$C$7:$Z$7=F$59),Roadmap_Avion!$C$8:$Z$38,0))</f>
        <v>0.85</v>
      </c>
      <c r="G86" s="347">
        <f t="array" ref="G86">SUM(IF((Roadmap_Avion!$B$8:$B$38=$B86)*(Roadmap_Avion!$C$4:$Z$4=G$56)*(Roadmap_Avion!$C$6:$Z$6=G$58)*(Roadmap_Avion!$C$7:$Z$7=G$59),Roadmap_Avion!$C$8:$Z$38,0))</f>
        <v>0</v>
      </c>
      <c r="H86" s="348">
        <f t="array" ref="H86">SUM(IF((Roadmap_Avion!$B$8:$B$38=$B86)*(Roadmap_Avion!$C$4:$Z$4=H$56)*(Roadmap_Avion!$C$6:$Z$6=H$58)*(Roadmap_Avion!$C$7:$Z$7=H$59),Roadmap_Avion!$C$8:$Z$38,0))</f>
        <v>1</v>
      </c>
      <c r="I86" s="346">
        <f t="array" ref="I86">SUM(IF((Roadmap_Avion!$B$8:$B$38=$B86)*(Roadmap_Avion!$C$4:$Z$4=I$56)*(Roadmap_Avion!$C$6:$Z$6=I$58)*(Roadmap_Avion!$C$7:$Z$7=I$59),Roadmap_Avion!$C$8:$Z$38,0))</f>
        <v>0.63749999999999996</v>
      </c>
      <c r="J86" s="347">
        <f t="array" ref="J86">SUM(IF((Roadmap_Avion!$B$8:$B$38=$B86)*(Roadmap_Avion!$C$4:$Z$4=J$56)*(Roadmap_Avion!$C$6:$Z$6=J$58)*(Roadmap_Avion!$C$7:$Z$7=J$59),Roadmap_Avion!$C$8:$Z$38,0))</f>
        <v>0</v>
      </c>
      <c r="K86" s="348">
        <f t="array" ref="K86">SUM(IF((Roadmap_Avion!$B$8:$B$38=$B86)*(Roadmap_Avion!$C$4:$Z$4=K$56)*(Roadmap_Avion!$C$6:$Z$6=K$58)*(Roadmap_Avion!$C$7:$Z$7=K$59),Roadmap_Avion!$C$8:$Z$38,0))</f>
        <v>1</v>
      </c>
      <c r="L86" s="346">
        <f t="array" ref="L86">SUM(IF((Roadmap_Avion!$B$8:$B$38=$B86)*(Roadmap_Avion!$C$4:$Z$4=L$56)*(Roadmap_Avion!$C$6:$Z$6=L$58)*(Roadmap_Avion!$C$7:$Z$7=L$59),Roadmap_Avion!$C$8:$Z$38,0))</f>
        <v>0.5625</v>
      </c>
      <c r="M86" s="347">
        <f t="array" ref="M86">SUM(IF((Roadmap_Avion!$B$8:$B$38=$B86)*(Roadmap_Avion!$C$4:$Z$4=M$56)*(Roadmap_Avion!$C$6:$Z$6=M$58)*(Roadmap_Avion!$C$7:$Z$7=M$59),Roadmap_Avion!$C$8:$Z$38,0))</f>
        <v>1</v>
      </c>
      <c r="N86" s="348">
        <f t="array" ref="N86">SUM(IF((Roadmap_Avion!$B$8:$B$38=$B86)*(Roadmap_Avion!$C$4:$Z$4=N$56)*(Roadmap_Avion!$C$6:$Z$6=N$58)*(Roadmap_Avion!$C$7:$Z$7=N$59),Roadmap_Avion!$C$8:$Z$38,0))</f>
        <v>0</v>
      </c>
      <c r="O86" s="781">
        <f t="array" ref="O86">SUM(IF((Prod_Carburant_Alt!$A$7:$A$37=$B86)*(Prod_Carburant_Alt!$B$3:$AI$3=O$56)*(Prod_Carburant_Alt!$B$5:$AI$5='Synthèse scénarios'!O$58)*(Prod_Carburant_Alt!$B$6:$AI$6=O$59),Prod_Carburant_Alt!$B$7:$AI$37,0))</f>
        <v>142.93831139825835</v>
      </c>
      <c r="P86" s="782">
        <f t="array" ref="P86">SUM(IF((Prod_Carburant_Alt!$A$7:$A$37=$B86)*(Prod_Carburant_Alt!$B$3:$AI$3=P$56)*(Prod_Carburant_Alt!$B$5:$AI$5='Synthèse scénarios'!P$58)*(Prod_Carburant_Alt!$B$6:$AI$6=P$59),Prod_Carburant_Alt!$B$7:$AI$37,0))</f>
        <v>0.204382517533922</v>
      </c>
      <c r="Q86" s="784">
        <f t="array" ref="Q86">SUM(IF((Prod_Carburant_Alt!$A$7:$A$37=$B86)*(Prod_Carburant_Alt!$B$3:$AI$3=Q$56)*(Prod_Carburant_Alt!$B$5:$AI$5='Synthèse scénarios'!Q$58)*(Prod_Carburant_Alt!$B$6:$AI$6=Q$59),Prod_Carburant_Alt!$B$7:$AI$37,0))</f>
        <v>65.751623243198807</v>
      </c>
      <c r="R86" s="621">
        <f>'Calculs Scénario ICEMAN'!BF42</f>
        <v>0.26992000000000016</v>
      </c>
      <c r="S86" s="622">
        <f>'Calculs Scénario ICEMAN'!BJ42</f>
        <v>206.85510906014639</v>
      </c>
      <c r="T86" s="623">
        <f>'Calculs Scénario ICEMAN'!CG42</f>
        <v>0.54672461887274459</v>
      </c>
      <c r="U86" s="622">
        <f>'Calculs Scénario ICEMAN'!CF42</f>
        <v>797.29871086188632</v>
      </c>
      <c r="V86" s="624">
        <f>'Calculs Scénario ICEMAN'!CI42</f>
        <v>0</v>
      </c>
      <c r="W86" s="624">
        <f>'Calculs Scénario ICEMAN'!CB42</f>
        <v>4883.6517666435129</v>
      </c>
      <c r="X86" s="625">
        <f>'Calculs Scénario ICEMAN'!CD42</f>
        <v>3.4759087307071268</v>
      </c>
    </row>
    <row r="87" spans="2:24" ht="15">
      <c r="B87" s="620">
        <v>2047</v>
      </c>
      <c r="C87" s="346">
        <f t="array" ref="C87">SUM(IF((Roadmap_Avion!$B$8:$B$38=$B87)*(Roadmap_Avion!$C$4:$Z$4=C$56)*(Roadmap_Avion!$C$6:$Z$6=C$58)*(Roadmap_Avion!$C$7:$Z$7=C$59),Roadmap_Avion!$C$8:$Z$38,0))</f>
        <v>0.85</v>
      </c>
      <c r="D87" s="347">
        <f t="array" ref="D87">SUM(IF((Roadmap_Avion!$B$8:$B$38=$B87)*(Roadmap_Avion!$C$4:$Z$4=D$56)*(Roadmap_Avion!$C$6:$Z$6=D$58)*(Roadmap_Avion!$C$7:$Z$7=D$59),Roadmap_Avion!$C$8:$Z$38,0))</f>
        <v>0</v>
      </c>
      <c r="E87" s="348">
        <f t="array" ref="E87">SUM(IF((Roadmap_Avion!$B$8:$B$38=$B87)*(Roadmap_Avion!$C$4:$Z$4=E$56)*(Roadmap_Avion!$C$6:$Z$6=E$58)*(Roadmap_Avion!$C$7:$Z$7=E$59),Roadmap_Avion!$C$8:$Z$38,0))</f>
        <v>1</v>
      </c>
      <c r="F87" s="346">
        <f t="array" ref="F87">SUM(IF((Roadmap_Avion!$B$8:$B$38=$B87)*(Roadmap_Avion!$C$4:$Z$4=F$56)*(Roadmap_Avion!$C$6:$Z$6=F$58)*(Roadmap_Avion!$C$7:$Z$7=F$59),Roadmap_Avion!$C$8:$Z$38,0))</f>
        <v>0.85</v>
      </c>
      <c r="G87" s="347">
        <f t="array" ref="G87">SUM(IF((Roadmap_Avion!$B$8:$B$38=$B87)*(Roadmap_Avion!$C$4:$Z$4=G$56)*(Roadmap_Avion!$C$6:$Z$6=G$58)*(Roadmap_Avion!$C$7:$Z$7=G$59),Roadmap_Avion!$C$8:$Z$38,0))</f>
        <v>0</v>
      </c>
      <c r="H87" s="348">
        <f t="array" ref="H87">SUM(IF((Roadmap_Avion!$B$8:$B$38=$B87)*(Roadmap_Avion!$C$4:$Z$4=H$56)*(Roadmap_Avion!$C$6:$Z$6=H$58)*(Roadmap_Avion!$C$7:$Z$7=H$59),Roadmap_Avion!$C$8:$Z$38,0))</f>
        <v>1</v>
      </c>
      <c r="I87" s="346">
        <f t="array" ref="I87">SUM(IF((Roadmap_Avion!$B$8:$B$38=$B87)*(Roadmap_Avion!$C$4:$Z$4=I$56)*(Roadmap_Avion!$C$6:$Z$6=I$58)*(Roadmap_Avion!$C$7:$Z$7=I$59),Roadmap_Avion!$C$8:$Z$38,0))</f>
        <v>0.63749999999999996</v>
      </c>
      <c r="J87" s="347">
        <f t="array" ref="J87">SUM(IF((Roadmap_Avion!$B$8:$B$38=$B87)*(Roadmap_Avion!$C$4:$Z$4=J$56)*(Roadmap_Avion!$C$6:$Z$6=J$58)*(Roadmap_Avion!$C$7:$Z$7=J$59),Roadmap_Avion!$C$8:$Z$38,0))</f>
        <v>0</v>
      </c>
      <c r="K87" s="348">
        <f t="array" ref="K87">SUM(IF((Roadmap_Avion!$B$8:$B$38=$B87)*(Roadmap_Avion!$C$4:$Z$4=K$56)*(Roadmap_Avion!$C$6:$Z$6=K$58)*(Roadmap_Avion!$C$7:$Z$7=K$59),Roadmap_Avion!$C$8:$Z$38,0))</f>
        <v>1</v>
      </c>
      <c r="L87" s="346">
        <f t="array" ref="L87">SUM(IF((Roadmap_Avion!$B$8:$B$38=$B87)*(Roadmap_Avion!$C$4:$Z$4=L$56)*(Roadmap_Avion!$C$6:$Z$6=L$58)*(Roadmap_Avion!$C$7:$Z$7=L$59),Roadmap_Avion!$C$8:$Z$38,0))</f>
        <v>0.5625</v>
      </c>
      <c r="M87" s="347">
        <f t="array" ref="M87">SUM(IF((Roadmap_Avion!$B$8:$B$38=$B87)*(Roadmap_Avion!$C$4:$Z$4=M$56)*(Roadmap_Avion!$C$6:$Z$6=M$58)*(Roadmap_Avion!$C$7:$Z$7=M$59),Roadmap_Avion!$C$8:$Z$38,0))</f>
        <v>1</v>
      </c>
      <c r="N87" s="348">
        <f t="array" ref="N87">SUM(IF((Roadmap_Avion!$B$8:$B$38=$B87)*(Roadmap_Avion!$C$4:$Z$4=N$56)*(Roadmap_Avion!$C$6:$Z$6=N$58)*(Roadmap_Avion!$C$7:$Z$7=N$59),Roadmap_Avion!$C$8:$Z$38,0))</f>
        <v>0</v>
      </c>
      <c r="O87" s="781">
        <f t="array" ref="O87">SUM(IF((Prod_Carburant_Alt!$A$7:$A$37=$B87)*(Prod_Carburant_Alt!$B$3:$AI$3=O$56)*(Prod_Carburant_Alt!$B$5:$AI$5='Synthèse scénarios'!O$58)*(Prod_Carburant_Alt!$B$6:$AI$6=O$59),Prod_Carburant_Alt!$B$7:$AI$37,0))</f>
        <v>164.37905810799708</v>
      </c>
      <c r="P87" s="782">
        <f t="array" ref="P87">SUM(IF((Prod_Carburant_Alt!$A$7:$A$37=$B87)*(Prod_Carburant_Alt!$B$3:$AI$3=P$56)*(Prod_Carburant_Alt!$B$5:$AI$5='Synthèse scénarios'!P$58)*(Prod_Carburant_Alt!$B$6:$AI$6=P$59),Prod_Carburant_Alt!$B$7:$AI$37,0))</f>
        <v>0.20438251753392198</v>
      </c>
      <c r="Q87" s="784">
        <f t="array" ref="Q87">SUM(IF((Prod_Carburant_Alt!$A$7:$A$37=$B87)*(Prod_Carburant_Alt!$B$3:$AI$3=Q$56)*(Prod_Carburant_Alt!$B$5:$AI$5='Synthèse scénarios'!Q$58)*(Prod_Carburant_Alt!$B$6:$AI$6=Q$59),Prod_Carburant_Alt!$B$7:$AI$37,0))</f>
        <v>75.614366729678622</v>
      </c>
      <c r="R87" s="621">
        <f>'Calculs Scénario ICEMAN'!BF43</f>
        <v>0.27670000000000017</v>
      </c>
      <c r="S87" s="622">
        <f>'Calculs Scénario ICEMAN'!BJ43</f>
        <v>207.83751861721899</v>
      </c>
      <c r="T87" s="623">
        <f>'Calculs Scénario ICEMAN'!CG43</f>
        <v>0.56647045911088068</v>
      </c>
      <c r="U87" s="622">
        <f>'Calculs Scénario ICEMAN'!CF43</f>
        <v>780.3438570351334</v>
      </c>
      <c r="V87" s="624">
        <f>'Calculs Scénario ICEMAN'!CI43</f>
        <v>0</v>
      </c>
      <c r="W87" s="624">
        <f>'Calculs Scénario ICEMAN'!CB43</f>
        <v>5222.347319534234</v>
      </c>
      <c r="X87" s="625">
        <f>'Calculs Scénario ICEMAN'!CD43</f>
        <v>3.7169731811631559</v>
      </c>
    </row>
    <row r="88" spans="2:24" ht="15">
      <c r="B88" s="620">
        <v>2048</v>
      </c>
      <c r="C88" s="346">
        <f t="array" ref="C88">SUM(IF((Roadmap_Avion!$B$8:$B$38=$B88)*(Roadmap_Avion!$C$4:$Z$4=C$56)*(Roadmap_Avion!$C$6:$Z$6=C$58)*(Roadmap_Avion!$C$7:$Z$7=C$59),Roadmap_Avion!$C$8:$Z$38,0))</f>
        <v>0.85</v>
      </c>
      <c r="D88" s="347">
        <f t="array" ref="D88">SUM(IF((Roadmap_Avion!$B$8:$B$38=$B88)*(Roadmap_Avion!$C$4:$Z$4=D$56)*(Roadmap_Avion!$C$6:$Z$6=D$58)*(Roadmap_Avion!$C$7:$Z$7=D$59),Roadmap_Avion!$C$8:$Z$38,0))</f>
        <v>0</v>
      </c>
      <c r="E88" s="348">
        <f t="array" ref="E88">SUM(IF((Roadmap_Avion!$B$8:$B$38=$B88)*(Roadmap_Avion!$C$4:$Z$4=E$56)*(Roadmap_Avion!$C$6:$Z$6=E$58)*(Roadmap_Avion!$C$7:$Z$7=E$59),Roadmap_Avion!$C$8:$Z$38,0))</f>
        <v>1</v>
      </c>
      <c r="F88" s="346">
        <f t="array" ref="F88">SUM(IF((Roadmap_Avion!$B$8:$B$38=$B88)*(Roadmap_Avion!$C$4:$Z$4=F$56)*(Roadmap_Avion!$C$6:$Z$6=F$58)*(Roadmap_Avion!$C$7:$Z$7=F$59),Roadmap_Avion!$C$8:$Z$38,0))</f>
        <v>0.85</v>
      </c>
      <c r="G88" s="347">
        <f t="array" ref="G88">SUM(IF((Roadmap_Avion!$B$8:$B$38=$B88)*(Roadmap_Avion!$C$4:$Z$4=G$56)*(Roadmap_Avion!$C$6:$Z$6=G$58)*(Roadmap_Avion!$C$7:$Z$7=G$59),Roadmap_Avion!$C$8:$Z$38,0))</f>
        <v>0</v>
      </c>
      <c r="H88" s="348">
        <f t="array" ref="H88">SUM(IF((Roadmap_Avion!$B$8:$B$38=$B88)*(Roadmap_Avion!$C$4:$Z$4=H$56)*(Roadmap_Avion!$C$6:$Z$6=H$58)*(Roadmap_Avion!$C$7:$Z$7=H$59),Roadmap_Avion!$C$8:$Z$38,0))</f>
        <v>1</v>
      </c>
      <c r="I88" s="346">
        <f t="array" ref="I88">SUM(IF((Roadmap_Avion!$B$8:$B$38=$B88)*(Roadmap_Avion!$C$4:$Z$4=I$56)*(Roadmap_Avion!$C$6:$Z$6=I$58)*(Roadmap_Avion!$C$7:$Z$7=I$59),Roadmap_Avion!$C$8:$Z$38,0))</f>
        <v>0.63749999999999996</v>
      </c>
      <c r="J88" s="347">
        <f t="array" ref="J88">SUM(IF((Roadmap_Avion!$B$8:$B$38=$B88)*(Roadmap_Avion!$C$4:$Z$4=J$56)*(Roadmap_Avion!$C$6:$Z$6=J$58)*(Roadmap_Avion!$C$7:$Z$7=J$59),Roadmap_Avion!$C$8:$Z$38,0))</f>
        <v>0</v>
      </c>
      <c r="K88" s="348">
        <f t="array" ref="K88">SUM(IF((Roadmap_Avion!$B$8:$B$38=$B88)*(Roadmap_Avion!$C$4:$Z$4=K$56)*(Roadmap_Avion!$C$6:$Z$6=K$58)*(Roadmap_Avion!$C$7:$Z$7=K$59),Roadmap_Avion!$C$8:$Z$38,0))</f>
        <v>1</v>
      </c>
      <c r="L88" s="346">
        <f t="array" ref="L88">SUM(IF((Roadmap_Avion!$B$8:$B$38=$B88)*(Roadmap_Avion!$C$4:$Z$4=L$56)*(Roadmap_Avion!$C$6:$Z$6=L$58)*(Roadmap_Avion!$C$7:$Z$7=L$59),Roadmap_Avion!$C$8:$Z$38,0))</f>
        <v>0.5625</v>
      </c>
      <c r="M88" s="347">
        <f t="array" ref="M88">SUM(IF((Roadmap_Avion!$B$8:$B$38=$B88)*(Roadmap_Avion!$C$4:$Z$4=M$56)*(Roadmap_Avion!$C$6:$Z$6=M$58)*(Roadmap_Avion!$C$7:$Z$7=M$59),Roadmap_Avion!$C$8:$Z$38,0))</f>
        <v>1</v>
      </c>
      <c r="N88" s="348">
        <f t="array" ref="N88">SUM(IF((Roadmap_Avion!$B$8:$B$38=$B88)*(Roadmap_Avion!$C$4:$Z$4=N$56)*(Roadmap_Avion!$C$6:$Z$6=N$58)*(Roadmap_Avion!$C$7:$Z$7=N$59),Roadmap_Avion!$C$8:$Z$38,0))</f>
        <v>0</v>
      </c>
      <c r="O88" s="781">
        <f t="array" ref="O88">SUM(IF((Prod_Carburant_Alt!$A$7:$A$37=$B88)*(Prod_Carburant_Alt!$B$3:$AI$3=O$56)*(Prod_Carburant_Alt!$B$5:$AI$5='Synthèse scénarios'!O$58)*(Prod_Carburant_Alt!$B$6:$AI$6=O$59),Prod_Carburant_Alt!$B$7:$AI$37,0))</f>
        <v>189.03591682419662</v>
      </c>
      <c r="P88" s="782">
        <f t="array" ref="P88">SUM(IF((Prod_Carburant_Alt!$A$7:$A$37=$B88)*(Prod_Carburant_Alt!$B$3:$AI$3=P$56)*(Prod_Carburant_Alt!$B$5:$AI$5='Synthèse scénarios'!P$58)*(Prod_Carburant_Alt!$B$6:$AI$6=P$59),Prod_Carburant_Alt!$B$7:$AI$37,0))</f>
        <v>0.20438251753392198</v>
      </c>
      <c r="Q88" s="784">
        <f t="array" ref="Q88">SUM(IF((Prod_Carburant_Alt!$A$7:$A$37=$B88)*(Prod_Carburant_Alt!$B$3:$AI$3=Q$56)*(Prod_Carburant_Alt!$B$5:$AI$5='Synthèse scénarios'!Q$58)*(Prod_Carburant_Alt!$B$6:$AI$6=Q$59),Prod_Carburant_Alt!$B$7:$AI$37,0))</f>
        <v>86.956521739130409</v>
      </c>
      <c r="R88" s="621">
        <f>'Calculs Scénario ICEMAN'!BF44</f>
        <v>0.28348000000000018</v>
      </c>
      <c r="S88" s="622">
        <f>'Calculs Scénario ICEMAN'!BJ44</f>
        <v>208.5735171834144</v>
      </c>
      <c r="T88" s="623">
        <f>'Calculs Scénario ICEMAN'!CG44</f>
        <v>0.58621629934901687</v>
      </c>
      <c r="U88" s="622">
        <f>'Calculs Scénario ICEMAN'!CF44</f>
        <v>761.50872174657047</v>
      </c>
      <c r="V88" s="624">
        <f>'Calculs Scénario ICEMAN'!CI44</f>
        <v>0</v>
      </c>
      <c r="W88" s="624">
        <f>'Calculs Scénario ICEMAN'!CB44</f>
        <v>5569.3796436296798</v>
      </c>
      <c r="X88" s="625">
        <f>'Calculs Scénario ICEMAN'!CD44</f>
        <v>3.9639712766047546</v>
      </c>
    </row>
    <row r="89" spans="2:24" ht="15">
      <c r="B89" s="620">
        <v>2049</v>
      </c>
      <c r="C89" s="346">
        <f t="array" ref="C89">SUM(IF((Roadmap_Avion!$B$8:$B$38=$B89)*(Roadmap_Avion!$C$4:$Z$4=C$56)*(Roadmap_Avion!$C$6:$Z$6=C$58)*(Roadmap_Avion!$C$7:$Z$7=C$59),Roadmap_Avion!$C$8:$Z$38,0))</f>
        <v>0.85</v>
      </c>
      <c r="D89" s="347">
        <f t="array" ref="D89">SUM(IF((Roadmap_Avion!$B$8:$B$38=$B89)*(Roadmap_Avion!$C$4:$Z$4=D$56)*(Roadmap_Avion!$C$6:$Z$6=D$58)*(Roadmap_Avion!$C$7:$Z$7=D$59),Roadmap_Avion!$C$8:$Z$38,0))</f>
        <v>0</v>
      </c>
      <c r="E89" s="348">
        <f t="array" ref="E89">SUM(IF((Roadmap_Avion!$B$8:$B$38=$B89)*(Roadmap_Avion!$C$4:$Z$4=E$56)*(Roadmap_Avion!$C$6:$Z$6=E$58)*(Roadmap_Avion!$C$7:$Z$7=E$59),Roadmap_Avion!$C$8:$Z$38,0))</f>
        <v>1</v>
      </c>
      <c r="F89" s="346">
        <f t="array" ref="F89">SUM(IF((Roadmap_Avion!$B$8:$B$38=$B89)*(Roadmap_Avion!$C$4:$Z$4=F$56)*(Roadmap_Avion!$C$6:$Z$6=F$58)*(Roadmap_Avion!$C$7:$Z$7=F$59),Roadmap_Avion!$C$8:$Z$38,0))</f>
        <v>0.85</v>
      </c>
      <c r="G89" s="347">
        <f t="array" ref="G89">SUM(IF((Roadmap_Avion!$B$8:$B$38=$B89)*(Roadmap_Avion!$C$4:$Z$4=G$56)*(Roadmap_Avion!$C$6:$Z$6=G$58)*(Roadmap_Avion!$C$7:$Z$7=G$59),Roadmap_Avion!$C$8:$Z$38,0))</f>
        <v>0</v>
      </c>
      <c r="H89" s="348">
        <f t="array" ref="H89">SUM(IF((Roadmap_Avion!$B$8:$B$38=$B89)*(Roadmap_Avion!$C$4:$Z$4=H$56)*(Roadmap_Avion!$C$6:$Z$6=H$58)*(Roadmap_Avion!$C$7:$Z$7=H$59),Roadmap_Avion!$C$8:$Z$38,0))</f>
        <v>1</v>
      </c>
      <c r="I89" s="346">
        <f t="array" ref="I89">SUM(IF((Roadmap_Avion!$B$8:$B$38=$B89)*(Roadmap_Avion!$C$4:$Z$4=I$56)*(Roadmap_Avion!$C$6:$Z$6=I$58)*(Roadmap_Avion!$C$7:$Z$7=I$59),Roadmap_Avion!$C$8:$Z$38,0))</f>
        <v>0.63749999999999996</v>
      </c>
      <c r="J89" s="347">
        <f t="array" ref="J89">SUM(IF((Roadmap_Avion!$B$8:$B$38=$B89)*(Roadmap_Avion!$C$4:$Z$4=J$56)*(Roadmap_Avion!$C$6:$Z$6=J$58)*(Roadmap_Avion!$C$7:$Z$7=J$59),Roadmap_Avion!$C$8:$Z$38,0))</f>
        <v>0</v>
      </c>
      <c r="K89" s="348">
        <f t="array" ref="K89">SUM(IF((Roadmap_Avion!$B$8:$B$38=$B89)*(Roadmap_Avion!$C$4:$Z$4=K$56)*(Roadmap_Avion!$C$6:$Z$6=K$58)*(Roadmap_Avion!$C$7:$Z$7=K$59),Roadmap_Avion!$C$8:$Z$38,0))</f>
        <v>1</v>
      </c>
      <c r="L89" s="346">
        <f t="array" ref="L89">SUM(IF((Roadmap_Avion!$B$8:$B$38=$B89)*(Roadmap_Avion!$C$4:$Z$4=L$56)*(Roadmap_Avion!$C$6:$Z$6=L$58)*(Roadmap_Avion!$C$7:$Z$7=L$59),Roadmap_Avion!$C$8:$Z$38,0))</f>
        <v>0.5625</v>
      </c>
      <c r="M89" s="347">
        <f t="array" ref="M89">SUM(IF((Roadmap_Avion!$B$8:$B$38=$B89)*(Roadmap_Avion!$C$4:$Z$4=M$56)*(Roadmap_Avion!$C$6:$Z$6=M$58)*(Roadmap_Avion!$C$7:$Z$7=M$59),Roadmap_Avion!$C$8:$Z$38,0))</f>
        <v>1</v>
      </c>
      <c r="N89" s="348">
        <f t="array" ref="N89">SUM(IF((Roadmap_Avion!$B$8:$B$38=$B89)*(Roadmap_Avion!$C$4:$Z$4=N$56)*(Roadmap_Avion!$C$6:$Z$6=N$58)*(Roadmap_Avion!$C$7:$Z$7=N$59),Roadmap_Avion!$C$8:$Z$38,0))</f>
        <v>0</v>
      </c>
      <c r="O89" s="781">
        <f t="array" ref="O89">SUM(IF((Prod_Carburant_Alt!$A$7:$A$37=$B89)*(Prod_Carburant_Alt!$B$3:$AI$3=O$56)*(Prod_Carburant_Alt!$B$5:$AI$5='Synthèse scénarios'!O$58)*(Prod_Carburant_Alt!$B$6:$AI$6=O$59),Prod_Carburant_Alt!$B$7:$AI$37,0))</f>
        <v>217.39130434782609</v>
      </c>
      <c r="P89" s="782">
        <f t="array" ref="P89">SUM(IF((Prod_Carburant_Alt!$A$7:$A$37=$B89)*(Prod_Carburant_Alt!$B$3:$AI$3=P$56)*(Prod_Carburant_Alt!$B$5:$AI$5='Synthèse scénarios'!P$58)*(Prod_Carburant_Alt!$B$6:$AI$6=P$59),Prod_Carburant_Alt!$B$7:$AI$37,0))</f>
        <v>0.204382517533922</v>
      </c>
      <c r="Q89" s="784">
        <f t="array" ref="Q89">SUM(IF((Prod_Carburant_Alt!$A$7:$A$37=$B89)*(Prod_Carburant_Alt!$B$3:$AI$3=Q$56)*(Prod_Carburant_Alt!$B$5:$AI$5='Synthèse scénarios'!Q$58)*(Prod_Carburant_Alt!$B$6:$AI$6=Q$59),Prod_Carburant_Alt!$B$7:$AI$37,0))</f>
        <v>99.999999999999957</v>
      </c>
      <c r="R89" s="621">
        <f>'Calculs Scénario ICEMAN'!BF45</f>
        <v>0.29026000000000007</v>
      </c>
      <c r="S89" s="622">
        <f>'Calculs Scénario ICEMAN'!BJ45</f>
        <v>209.03765729090753</v>
      </c>
      <c r="T89" s="623">
        <f>'Calculs Scénario ICEMAN'!CG45</f>
        <v>0.60596213958715306</v>
      </c>
      <c r="U89" s="622">
        <f>'Calculs Scénario ICEMAN'!CF45</f>
        <v>740.72618007754659</v>
      </c>
      <c r="V89" s="624">
        <f>'Calculs Scénario ICEMAN'!CI45</f>
        <v>0</v>
      </c>
      <c r="W89" s="624">
        <f>'Calculs Scénario ICEMAN'!CB45</f>
        <v>5923.6770200346891</v>
      </c>
      <c r="X89" s="625">
        <f>'Calculs Scénario ICEMAN'!CD45</f>
        <v>4.2161402277826969</v>
      </c>
    </row>
    <row r="90" spans="2:24" ht="15.95" thickBot="1">
      <c r="B90" s="627">
        <v>2050</v>
      </c>
      <c r="C90" s="350">
        <f t="array" ref="C90">SUM(IF((Roadmap_Avion!$B$8:$B$38=$B90)*(Roadmap_Avion!$C$4:$Z$4=C$56)*(Roadmap_Avion!$C$6:$Z$6=C$58)*(Roadmap_Avion!$C$7:$Z$7=C$59),Roadmap_Avion!$C$8:$Z$38,0))</f>
        <v>0.85</v>
      </c>
      <c r="D90" s="351">
        <f t="array" ref="D90">SUM(IF((Roadmap_Avion!$B$8:$B$38=$B90)*(Roadmap_Avion!$C$4:$Z$4=D$56)*(Roadmap_Avion!$C$6:$Z$6=D$58)*(Roadmap_Avion!$C$7:$Z$7=D$59),Roadmap_Avion!$C$8:$Z$38,0))</f>
        <v>0</v>
      </c>
      <c r="E90" s="352">
        <f t="array" ref="E90">SUM(IF((Roadmap_Avion!$B$8:$B$38=$B90)*(Roadmap_Avion!$C$4:$Z$4=E$56)*(Roadmap_Avion!$C$6:$Z$6=E$58)*(Roadmap_Avion!$C$7:$Z$7=E$59),Roadmap_Avion!$C$8:$Z$38,0))</f>
        <v>1</v>
      </c>
      <c r="F90" s="350">
        <f t="array" ref="F90">SUM(IF((Roadmap_Avion!$B$8:$B$38=$B90)*(Roadmap_Avion!$C$4:$Z$4=F$56)*(Roadmap_Avion!$C$6:$Z$6=F$58)*(Roadmap_Avion!$C$7:$Z$7=F$59),Roadmap_Avion!$C$8:$Z$38,0))</f>
        <v>0.85</v>
      </c>
      <c r="G90" s="351">
        <f t="array" ref="G90">SUM(IF((Roadmap_Avion!$B$8:$B$38=$B90)*(Roadmap_Avion!$C$4:$Z$4=G$56)*(Roadmap_Avion!$C$6:$Z$6=G$58)*(Roadmap_Avion!$C$7:$Z$7=G$59),Roadmap_Avion!$C$8:$Z$38,0))</f>
        <v>0</v>
      </c>
      <c r="H90" s="352">
        <f t="array" ref="H90">SUM(IF((Roadmap_Avion!$B$8:$B$38=$B90)*(Roadmap_Avion!$C$4:$Z$4=H$56)*(Roadmap_Avion!$C$6:$Z$6=H$58)*(Roadmap_Avion!$C$7:$Z$7=H$59),Roadmap_Avion!$C$8:$Z$38,0))</f>
        <v>1</v>
      </c>
      <c r="I90" s="350">
        <f t="array" ref="I90">SUM(IF((Roadmap_Avion!$B$8:$B$38=$B90)*(Roadmap_Avion!$C$4:$Z$4=I$56)*(Roadmap_Avion!$C$6:$Z$6=I$58)*(Roadmap_Avion!$C$7:$Z$7=I$59),Roadmap_Avion!$C$8:$Z$38,0))</f>
        <v>0.63749999999999996</v>
      </c>
      <c r="J90" s="351">
        <f t="array" ref="J90">SUM(IF((Roadmap_Avion!$B$8:$B$38=$B90)*(Roadmap_Avion!$C$4:$Z$4=J$56)*(Roadmap_Avion!$C$6:$Z$6=J$58)*(Roadmap_Avion!$C$7:$Z$7=J$59),Roadmap_Avion!$C$8:$Z$38,0))</f>
        <v>0</v>
      </c>
      <c r="K90" s="352">
        <f t="array" ref="K90">SUM(IF((Roadmap_Avion!$B$8:$B$38=$B90)*(Roadmap_Avion!$C$4:$Z$4=K$56)*(Roadmap_Avion!$C$6:$Z$6=K$58)*(Roadmap_Avion!$C$7:$Z$7=K$59),Roadmap_Avion!$C$8:$Z$38,0))</f>
        <v>1</v>
      </c>
      <c r="L90" s="350">
        <f t="array" ref="L90">SUM(IF((Roadmap_Avion!$B$8:$B$38=$B90)*(Roadmap_Avion!$C$4:$Z$4=L$56)*(Roadmap_Avion!$C$6:$Z$6=L$58)*(Roadmap_Avion!$C$7:$Z$7=L$59),Roadmap_Avion!$C$8:$Z$38,0))</f>
        <v>0.5625</v>
      </c>
      <c r="M90" s="351">
        <f t="array" ref="M90">SUM(IF((Roadmap_Avion!$B$8:$B$38=$B90)*(Roadmap_Avion!$C$4:$Z$4=M$56)*(Roadmap_Avion!$C$6:$Z$6=M$58)*(Roadmap_Avion!$C$7:$Z$7=M$59),Roadmap_Avion!$C$8:$Z$38,0))</f>
        <v>1</v>
      </c>
      <c r="N90" s="352">
        <f t="array" ref="N90">SUM(IF((Roadmap_Avion!$B$8:$B$38=$B90)*(Roadmap_Avion!$C$4:$Z$4=N$56)*(Roadmap_Avion!$C$6:$Z$6=N$58)*(Roadmap_Avion!$C$7:$Z$7=N$59),Roadmap_Avion!$C$8:$Z$38,0))</f>
        <v>0</v>
      </c>
      <c r="O90" s="373">
        <f t="array" ref="O90">SUM(IF((Prod_Carburant_Alt!$A$7:$A$37=$B90)*(Prod_Carburant_Alt!$B$3:$AI$3=O$56)*(Prod_Carburant_Alt!$B$5:$AI$5='Synthèse scénarios'!O$58)*(Prod_Carburant_Alt!$B$6:$AI$6=O$59),Prod_Carburant_Alt!$B$7:$AI$37,0))</f>
        <v>250</v>
      </c>
      <c r="P90" s="786">
        <f t="array" ref="P90">SUM(IF((Prod_Carburant_Alt!$A$7:$A$37=$B90)*(Prod_Carburant_Alt!$B$3:$AI$3=P$56)*(Prod_Carburant_Alt!$B$5:$AI$5='Synthèse scénarios'!P$58)*(Prod_Carburant_Alt!$B$6:$AI$6=P$59),Prod_Carburant_Alt!$B$7:$AI$37,0))</f>
        <v>0.204382517533922</v>
      </c>
      <c r="Q90" s="788">
        <f t="array" ref="Q90">SUM(IF((Prod_Carburant_Alt!$A$7:$A$37=$B90)*(Prod_Carburant_Alt!$B$3:$AI$3=Q$56)*(Prod_Carburant_Alt!$B$5:$AI$5='Synthèse scénarios'!Q$58)*(Prod_Carburant_Alt!$B$6:$AI$6=Q$59),Prod_Carburant_Alt!$B$7:$AI$37,0))</f>
        <v>125</v>
      </c>
      <c r="R90" s="628">
        <f>'Calculs Scénario ICEMAN'!BF46</f>
        <v>0.29704000000000019</v>
      </c>
      <c r="S90" s="629">
        <f>'Calculs Scénario ICEMAN'!BJ46</f>
        <v>207.0043254955377</v>
      </c>
      <c r="T90" s="630">
        <f>'Calculs Scénario ICEMAN'!CG46</f>
        <v>0.62624247952772572</v>
      </c>
      <c r="U90" s="629">
        <f>'Calculs Scénario ICEMAN'!CF46</f>
        <v>709.37735413430084</v>
      </c>
      <c r="V90" s="631">
        <f>'Calculs Scénario ICEMAN'!CI46</f>
        <v>0</v>
      </c>
      <c r="W90" s="631">
        <f>'Calculs Scénario ICEMAN'!CB46</f>
        <v>6389.0938426650155</v>
      </c>
      <c r="X90" s="632">
        <f>'Calculs Scénario ICEMAN'!CD46</f>
        <v>4.5473977527864884</v>
      </c>
    </row>
    <row r="93" spans="2:24" ht="15" thickBot="1"/>
    <row r="94" spans="2:24" ht="45.95" thickBot="1">
      <c r="I94" s="583" t="s">
        <v>493</v>
      </c>
      <c r="J94" s="584" t="s">
        <v>206</v>
      </c>
      <c r="K94" s="585" t="s">
        <v>207</v>
      </c>
      <c r="L94" s="585" t="s">
        <v>208</v>
      </c>
      <c r="M94" s="585" t="s">
        <v>209</v>
      </c>
    </row>
    <row r="95" spans="2:24" ht="15.95" thickBot="1">
      <c r="I95" s="586" t="str">
        <f>VLOOKUP($B100,$B$3:$G$5,6,FALSE)</f>
        <v>Eolien</v>
      </c>
      <c r="J95" s="587">
        <f>VLOOKUP($I95,Hypothèses!$B$120:$F$123,2,FALSE)</f>
        <v>0.24620329979010511</v>
      </c>
      <c r="K95" s="588">
        <f>VLOOKUP($I95,Hypothèses!$B$120:$F$123,3,FALSE)</f>
        <v>11</v>
      </c>
      <c r="L95" s="588">
        <f>VLOOKUP($I95,Hypothèses!$B$120:$F$123,4,FALSE)</f>
        <v>651</v>
      </c>
      <c r="M95" s="588">
        <f>VLOOKUP($I95,Hypothèses!$B$120:$F$123,5,FALSE)</f>
        <v>1405</v>
      </c>
    </row>
    <row r="96" spans="2:24" ht="15" thickBot="1"/>
    <row r="97" spans="2:24" ht="15.95">
      <c r="B97" s="1286" t="s">
        <v>481</v>
      </c>
      <c r="C97" s="1288" t="s">
        <v>482</v>
      </c>
      <c r="D97" s="1288"/>
      <c r="E97" s="1288"/>
      <c r="F97" s="1288"/>
      <c r="G97" s="1288"/>
      <c r="H97" s="1288"/>
      <c r="I97" s="1288"/>
      <c r="J97" s="1288"/>
      <c r="K97" s="1288"/>
      <c r="L97" s="1288"/>
      <c r="M97" s="1288"/>
      <c r="N97" s="1288"/>
      <c r="O97" s="1289" t="s">
        <v>483</v>
      </c>
      <c r="P97" s="1290"/>
      <c r="Q97" s="1293"/>
      <c r="R97" s="1294" t="s">
        <v>484</v>
      </c>
      <c r="S97" s="1295"/>
      <c r="T97" s="1295"/>
      <c r="U97" s="1295"/>
      <c r="V97" s="1295"/>
      <c r="W97" s="1295"/>
      <c r="X97" s="1296"/>
    </row>
    <row r="98" spans="2:24" ht="15" thickBot="1">
      <c r="B98" s="1287"/>
      <c r="C98" s="1200" t="str">
        <f>VLOOKUP($B100,$B$3:$G$5,2,FALSE)</f>
        <v>INDUS+5</v>
      </c>
      <c r="D98" s="1200"/>
      <c r="E98" s="1200"/>
      <c r="F98" s="1200"/>
      <c r="G98" s="1200"/>
      <c r="H98" s="1200"/>
      <c r="I98" s="1200"/>
      <c r="J98" s="1200"/>
      <c r="K98" s="1200"/>
      <c r="L98" s="1200"/>
      <c r="M98" s="1200"/>
      <c r="N98" s="1200"/>
      <c r="O98" s="1199" t="str">
        <f>VLOOKUP($B100,$B$3:$G$5,3,FALSE)</f>
        <v>CAPA50</v>
      </c>
      <c r="P98" s="1200"/>
      <c r="Q98" s="1300"/>
      <c r="R98" s="1297"/>
      <c r="S98" s="1298"/>
      <c r="T98" s="1298"/>
      <c r="U98" s="1298"/>
      <c r="V98" s="1298"/>
      <c r="W98" s="1298"/>
      <c r="X98" s="1299"/>
    </row>
    <row r="99" spans="2:24" ht="15.95" hidden="1" thickBot="1">
      <c r="B99" s="593"/>
      <c r="C99" s="333" t="str">
        <f>$C98</f>
        <v>INDUS+5</v>
      </c>
      <c r="D99" s="333" t="str">
        <f t="shared" ref="D99:N99" si="12">$C98</f>
        <v>INDUS+5</v>
      </c>
      <c r="E99" s="333" t="str">
        <f t="shared" si="12"/>
        <v>INDUS+5</v>
      </c>
      <c r="F99" s="333" t="str">
        <f t="shared" si="12"/>
        <v>INDUS+5</v>
      </c>
      <c r="G99" s="333" t="str">
        <f t="shared" si="12"/>
        <v>INDUS+5</v>
      </c>
      <c r="H99" s="333" t="str">
        <f t="shared" si="12"/>
        <v>INDUS+5</v>
      </c>
      <c r="I99" s="333" t="str">
        <f t="shared" si="12"/>
        <v>INDUS+5</v>
      </c>
      <c r="J99" s="333" t="str">
        <f t="shared" si="12"/>
        <v>INDUS+5</v>
      </c>
      <c r="K99" s="333" t="str">
        <f t="shared" si="12"/>
        <v>INDUS+5</v>
      </c>
      <c r="L99" s="333" t="str">
        <f t="shared" si="12"/>
        <v>INDUS+5</v>
      </c>
      <c r="M99" s="333" t="str">
        <f t="shared" si="12"/>
        <v>INDUS+5</v>
      </c>
      <c r="N99" s="333" t="str">
        <f t="shared" si="12"/>
        <v>INDUS+5</v>
      </c>
      <c r="O99" s="333" t="str">
        <f>$O98</f>
        <v>CAPA50</v>
      </c>
      <c r="P99" s="333" t="str">
        <f t="shared" ref="P99:Q99" si="13">$O98</f>
        <v>CAPA50</v>
      </c>
      <c r="Q99" s="333" t="str">
        <f t="shared" si="13"/>
        <v>CAPA50</v>
      </c>
      <c r="R99" s="594"/>
      <c r="S99" s="595"/>
      <c r="T99" s="595"/>
      <c r="U99" s="595"/>
      <c r="V99" s="595"/>
      <c r="W99" s="595"/>
      <c r="X99" s="596"/>
    </row>
    <row r="100" spans="2:24" ht="15">
      <c r="B100" s="1280" t="s">
        <v>285</v>
      </c>
      <c r="C100" s="1285" t="s">
        <v>371</v>
      </c>
      <c r="D100" s="1202"/>
      <c r="E100" s="1203"/>
      <c r="F100" s="1201" t="s">
        <v>372</v>
      </c>
      <c r="G100" s="1202"/>
      <c r="H100" s="1203"/>
      <c r="I100" s="1201" t="s">
        <v>373</v>
      </c>
      <c r="J100" s="1202"/>
      <c r="K100" s="1203"/>
      <c r="L100" s="1201" t="s">
        <v>374</v>
      </c>
      <c r="M100" s="1202"/>
      <c r="N100" s="1203"/>
      <c r="O100" s="1291" t="s">
        <v>380</v>
      </c>
      <c r="P100" s="1292"/>
      <c r="Q100" s="1148" t="s">
        <v>385</v>
      </c>
      <c r="R100" s="1274" t="s">
        <v>485</v>
      </c>
      <c r="S100" s="1277" t="s">
        <v>486</v>
      </c>
      <c r="T100" s="1277" t="s">
        <v>487</v>
      </c>
      <c r="U100" s="1277" t="s">
        <v>488</v>
      </c>
      <c r="V100" s="1277" t="s">
        <v>489</v>
      </c>
      <c r="W100" s="1277" t="s">
        <v>490</v>
      </c>
      <c r="X100" s="1271" t="s">
        <v>491</v>
      </c>
    </row>
    <row r="101" spans="2:24" ht="45" hidden="1">
      <c r="B101" s="1280"/>
      <c r="C101" s="333" t="str">
        <f>$C100</f>
        <v>Commuters</v>
      </c>
      <c r="D101" s="333" t="str">
        <f t="shared" ref="D101:E101" si="14">$C100</f>
        <v>Commuters</v>
      </c>
      <c r="E101" s="333" t="str">
        <f t="shared" si="14"/>
        <v>Commuters</v>
      </c>
      <c r="F101" s="333" t="str">
        <f>$F100</f>
        <v>Regional</v>
      </c>
      <c r="G101" s="333" t="str">
        <f t="shared" ref="G101:H101" si="15">$F100</f>
        <v>Regional</v>
      </c>
      <c r="H101" s="333" t="str">
        <f t="shared" si="15"/>
        <v>Regional</v>
      </c>
      <c r="I101" s="333" t="str">
        <f>$I100</f>
        <v>CMC</v>
      </c>
      <c r="J101" s="333" t="str">
        <f t="shared" ref="J101:K101" si="16">$I100</f>
        <v>CMC</v>
      </c>
      <c r="K101" s="333" t="str">
        <f t="shared" si="16"/>
        <v>CMC</v>
      </c>
      <c r="L101" s="333" t="str">
        <f>$L100</f>
        <v xml:space="preserve">Long Courrier </v>
      </c>
      <c r="M101" s="333" t="str">
        <f t="shared" ref="M101:N101" si="17">$L100</f>
        <v xml:space="preserve">Long Courrier </v>
      </c>
      <c r="N101" s="333" t="str">
        <f t="shared" si="17"/>
        <v xml:space="preserve">Long Courrier </v>
      </c>
      <c r="O101" s="333" t="str">
        <f>$O$14</f>
        <v>Mix Biocarburant</v>
      </c>
      <c r="P101" s="333" t="str">
        <f>$O$14</f>
        <v>Mix Biocarburant</v>
      </c>
      <c r="Q101" s="333" t="str">
        <f>$Q$14</f>
        <v>PTL</v>
      </c>
      <c r="R101" s="1275"/>
      <c r="S101" s="1278"/>
      <c r="T101" s="1278"/>
      <c r="U101" s="1278"/>
      <c r="V101" s="1278"/>
      <c r="W101" s="1278"/>
      <c r="X101" s="1272"/>
    </row>
    <row r="102" spans="2:24" ht="65.099999999999994" thickBot="1">
      <c r="B102" s="1281"/>
      <c r="C102" s="633" t="s">
        <v>375</v>
      </c>
      <c r="D102" s="634" t="s">
        <v>376</v>
      </c>
      <c r="E102" s="635" t="s">
        <v>377</v>
      </c>
      <c r="F102" s="636" t="s">
        <v>375</v>
      </c>
      <c r="G102" s="634" t="s">
        <v>376</v>
      </c>
      <c r="H102" s="635" t="s">
        <v>377</v>
      </c>
      <c r="I102" s="636" t="s">
        <v>375</v>
      </c>
      <c r="J102" s="634" t="s">
        <v>376</v>
      </c>
      <c r="K102" s="637" t="s">
        <v>377</v>
      </c>
      <c r="L102" s="636" t="s">
        <v>375</v>
      </c>
      <c r="M102" s="634" t="s">
        <v>376</v>
      </c>
      <c r="N102" s="635" t="s">
        <v>377</v>
      </c>
      <c r="O102" s="363" t="s">
        <v>386</v>
      </c>
      <c r="P102" s="364" t="s">
        <v>387</v>
      </c>
      <c r="Q102" s="365" t="s">
        <v>386</v>
      </c>
      <c r="R102" s="1276"/>
      <c r="S102" s="1279"/>
      <c r="T102" s="1279"/>
      <c r="U102" s="1279"/>
      <c r="V102" s="1279"/>
      <c r="W102" s="1279"/>
      <c r="X102" s="1273"/>
    </row>
    <row r="103" spans="2:24" ht="15">
      <c r="B103" s="606">
        <v>2020</v>
      </c>
      <c r="C103" s="607">
        <f t="array" ref="C103">SUM(IF((Roadmap_Avion!$B$8:$B$38=$B103)*(Roadmap_Avion!$C$4:$Z$4=C$56)*(Roadmap_Avion!$C$6:$Z$6=C$58)*(Roadmap_Avion!$C$7:$Z$7=C$59),Roadmap_Avion!$C$8:$Z$38,0))</f>
        <v>1</v>
      </c>
      <c r="D103" s="608">
        <f t="array" ref="D103">SUM(IF((Roadmap_Avion!$B$8:$B$38=$B103)*(Roadmap_Avion!$C$4:$Z$4=D$56)*(Roadmap_Avion!$C$6:$Z$6=D$58)*(Roadmap_Avion!$C$7:$Z$7=D$59),Roadmap_Avion!$C$8:$Z$38,0))</f>
        <v>0.5</v>
      </c>
      <c r="E103" s="609">
        <f t="array" ref="E103">SUM(IF((Roadmap_Avion!$B$8:$B$38=$B103)*(Roadmap_Avion!$C$4:$Z$4=E$56)*(Roadmap_Avion!$C$6:$Z$6=E$58)*(Roadmap_Avion!$C$7:$Z$7=E$59),Roadmap_Avion!$C$8:$Z$38,0))</f>
        <v>0</v>
      </c>
      <c r="F103" s="607">
        <f t="array" ref="F103">SUM(IF((Roadmap_Avion!$B$8:$B$38=$B103)*(Roadmap_Avion!$C$4:$Z$4=F$56)*(Roadmap_Avion!$C$6:$Z$6=F$58)*(Roadmap_Avion!$C$7:$Z$7=F$59),Roadmap_Avion!$C$8:$Z$38,0))</f>
        <v>1</v>
      </c>
      <c r="G103" s="608">
        <f t="array" ref="G103">SUM(IF((Roadmap_Avion!$B$8:$B$38=$B103)*(Roadmap_Avion!$C$4:$Z$4=G$56)*(Roadmap_Avion!$C$6:$Z$6=G$58)*(Roadmap_Avion!$C$7:$Z$7=G$59),Roadmap_Avion!$C$8:$Z$38,0))</f>
        <v>0.5</v>
      </c>
      <c r="H103" s="609">
        <f t="array" ref="H103">SUM(IF((Roadmap_Avion!$B$8:$B$38=$B103)*(Roadmap_Avion!$C$4:$Z$4=H$56)*(Roadmap_Avion!$C$6:$Z$6=H$58)*(Roadmap_Avion!$C$7:$Z$7=H$59),Roadmap_Avion!$C$8:$Z$38,0))</f>
        <v>0</v>
      </c>
      <c r="I103" s="610">
        <f t="array" ref="I103">SUM(IF((Roadmap_Avion!$B$8:$B$38=$B103)*(Roadmap_Avion!$C$4:$Z$4=I$56)*(Roadmap_Avion!$C$6:$Z$6=I$58)*(Roadmap_Avion!$C$7:$Z$7=I$59),Roadmap_Avion!$C$8:$Z$38,0))</f>
        <v>0.8</v>
      </c>
      <c r="J103" s="611">
        <f t="array" ref="J103">SUM(IF((Roadmap_Avion!$B$8:$B$38=$B103)*(Roadmap_Avion!$C$4:$Z$4=J$56)*(Roadmap_Avion!$C$6:$Z$6=J$58)*(Roadmap_Avion!$C$7:$Z$7=J$59),Roadmap_Avion!$C$8:$Z$38,0))</f>
        <v>0.5</v>
      </c>
      <c r="K103" s="611">
        <f t="array" ref="K103">SUM(IF((Roadmap_Avion!$B$8:$B$38=$B103)*(Roadmap_Avion!$C$4:$Z$4=K$56)*(Roadmap_Avion!$C$6:$Z$6=K$58)*(Roadmap_Avion!$C$7:$Z$7=K$59),Roadmap_Avion!$C$8:$Z$38,0))</f>
        <v>0</v>
      </c>
      <c r="L103" s="612">
        <f t="array" ref="L103">SUM(IF((Roadmap_Avion!$B$8:$B$38=$B103)*(Roadmap_Avion!$C$4:$Z$4=L$56)*(Roadmap_Avion!$C$6:$Z$6=L$58)*(Roadmap_Avion!$C$7:$Z$7=L$59),Roadmap_Avion!$C$8:$Z$38,0))</f>
        <v>0.75</v>
      </c>
      <c r="M103" s="613">
        <f t="array" ref="M103">SUM(IF((Roadmap_Avion!$B$8:$B$38=$B103)*(Roadmap_Avion!$C$4:$Z$4=M$56)*(Roadmap_Avion!$C$6:$Z$6=M$58)*(Roadmap_Avion!$C$7:$Z$7=M$59),Roadmap_Avion!$C$8:$Z$38,0))</f>
        <v>0.5</v>
      </c>
      <c r="N103" s="614">
        <f t="array" ref="N103">SUM(IF((Roadmap_Avion!$B$8:$B$38=$B103)*(Roadmap_Avion!$C$4:$Z$4=N$56)*(Roadmap_Avion!$C$6:$Z$6=N$58)*(Roadmap_Avion!$C$7:$Z$7=N$59),Roadmap_Avion!$C$8:$Z$38,0))</f>
        <v>0</v>
      </c>
      <c r="O103" s="798">
        <f t="array" ref="O103">SUM(IF((Prod_Carburant_Alt!$A$7:$A$37=$B103)*(Prod_Carburant_Alt!$B$3:$AI$3=O$56)*(Prod_Carburant_Alt!$B$5:$AI$5='Synthèse scénarios'!O$58)*(Prod_Carburant_Alt!$B$6:$AI$6=O$59),Prod_Carburant_Alt!$B$7:$AI$37,0))</f>
        <v>0</v>
      </c>
      <c r="P103" s="777">
        <f t="array" ref="P103">SUM(IF((Prod_Carburant_Alt!$A$7:$A$37=$B103)*(Prod_Carburant_Alt!$B$3:$AI$3=P$56)*(Prod_Carburant_Alt!$B$5:$AI$5='Synthèse scénarios'!P$58)*(Prod_Carburant_Alt!$B$6:$AI$6=P$59),Prod_Carburant_Alt!$B$7:$AI$37,0))</f>
        <v>0</v>
      </c>
      <c r="Q103" s="778">
        <f t="array" ref="Q103">SUM(IF((Prod_Carburant_Alt!$A$7:$A$37=$B103)*(Prod_Carburant_Alt!$B$3:$AI$3=Q$56)*(Prod_Carburant_Alt!$B$5:$AI$5='Synthèse scénarios'!Q$58)*(Prod_Carburant_Alt!$B$6:$AI$6=Q$59),Prod_Carburant_Alt!$B$7:$AI$37,0))</f>
        <v>0</v>
      </c>
      <c r="R103" s="615">
        <f>'Calculs Scénario CHARLIE'!BF16</f>
        <v>8.2800000000000651E-3</v>
      </c>
      <c r="S103" s="616">
        <f>'Calculs Scénario CHARLIE'!BE16</f>
        <v>365.05472936190466</v>
      </c>
      <c r="T103" s="766">
        <f>'Calculs Scénario CHARLIE'!CG16</f>
        <v>-1.5571204613666324E-16</v>
      </c>
      <c r="U103" s="616">
        <f>'Calculs Scénario CHARLIE'!CF16</f>
        <v>365.05472936190472</v>
      </c>
      <c r="V103" s="616">
        <f>'Calculs Scénario CHARLIE'!CI16</f>
        <v>0</v>
      </c>
      <c r="W103" s="616">
        <f>'Calculs Scénario CHARLIE'!CB16</f>
        <v>0</v>
      </c>
      <c r="X103" s="767">
        <f>'Calculs Scénario CHARLIE'!CD16</f>
        <v>0</v>
      </c>
    </row>
    <row r="104" spans="2:24" ht="15">
      <c r="B104" s="620">
        <v>2021</v>
      </c>
      <c r="C104" s="346">
        <f t="array" ref="C104">SUM(IF((Roadmap_Avion!$B$8:$B$38=$B104)*(Roadmap_Avion!$C$4:$Z$4=C$56)*(Roadmap_Avion!$C$6:$Z$6=C$58)*(Roadmap_Avion!$C$7:$Z$7=C$59),Roadmap_Avion!$C$8:$Z$38,0))</f>
        <v>1</v>
      </c>
      <c r="D104" s="347">
        <f t="array" ref="D104">SUM(IF((Roadmap_Avion!$B$8:$B$38=$B104)*(Roadmap_Avion!$C$4:$Z$4=D$56)*(Roadmap_Avion!$C$6:$Z$6=D$58)*(Roadmap_Avion!$C$7:$Z$7=D$59),Roadmap_Avion!$C$8:$Z$38,0))</f>
        <v>0.5</v>
      </c>
      <c r="E104" s="348">
        <f t="array" ref="E104">SUM(IF((Roadmap_Avion!$B$8:$B$38=$B104)*(Roadmap_Avion!$C$4:$Z$4=E$56)*(Roadmap_Avion!$C$6:$Z$6=E$58)*(Roadmap_Avion!$C$7:$Z$7=E$59),Roadmap_Avion!$C$8:$Z$38,0))</f>
        <v>0</v>
      </c>
      <c r="F104" s="346">
        <f t="array" ref="F104">SUM(IF((Roadmap_Avion!$B$8:$B$38=$B104)*(Roadmap_Avion!$C$4:$Z$4=F$56)*(Roadmap_Avion!$C$6:$Z$6=F$58)*(Roadmap_Avion!$C$7:$Z$7=F$59),Roadmap_Avion!$C$8:$Z$38,0))</f>
        <v>1</v>
      </c>
      <c r="G104" s="347">
        <f t="array" ref="G104">SUM(IF((Roadmap_Avion!$B$8:$B$38=$B104)*(Roadmap_Avion!$C$4:$Z$4=G$56)*(Roadmap_Avion!$C$6:$Z$6=G$58)*(Roadmap_Avion!$C$7:$Z$7=G$59),Roadmap_Avion!$C$8:$Z$38,0))</f>
        <v>0.5</v>
      </c>
      <c r="H104" s="348">
        <f t="array" ref="H104">SUM(IF((Roadmap_Avion!$B$8:$B$38=$B104)*(Roadmap_Avion!$C$4:$Z$4=H$56)*(Roadmap_Avion!$C$6:$Z$6=H$58)*(Roadmap_Avion!$C$7:$Z$7=H$59),Roadmap_Avion!$C$8:$Z$38,0))</f>
        <v>0</v>
      </c>
      <c r="I104" s="346">
        <f t="array" ref="I104">SUM(IF((Roadmap_Avion!$B$8:$B$38=$B104)*(Roadmap_Avion!$C$4:$Z$4=I$56)*(Roadmap_Avion!$C$6:$Z$6=I$58)*(Roadmap_Avion!$C$7:$Z$7=I$59),Roadmap_Avion!$C$8:$Z$38,0))</f>
        <v>0.8</v>
      </c>
      <c r="J104" s="347">
        <f t="array" ref="J104">SUM(IF((Roadmap_Avion!$B$8:$B$38=$B104)*(Roadmap_Avion!$C$4:$Z$4=J$56)*(Roadmap_Avion!$C$6:$Z$6=J$58)*(Roadmap_Avion!$C$7:$Z$7=J$59),Roadmap_Avion!$C$8:$Z$38,0))</f>
        <v>0.5</v>
      </c>
      <c r="K104" s="348">
        <f t="array" ref="K104">SUM(IF((Roadmap_Avion!$B$8:$B$38=$B104)*(Roadmap_Avion!$C$4:$Z$4=K$56)*(Roadmap_Avion!$C$6:$Z$6=K$58)*(Roadmap_Avion!$C$7:$Z$7=K$59),Roadmap_Avion!$C$8:$Z$38,0))</f>
        <v>0</v>
      </c>
      <c r="L104" s="346">
        <f t="array" ref="L104">SUM(IF((Roadmap_Avion!$B$8:$B$38=$B104)*(Roadmap_Avion!$C$4:$Z$4=L$56)*(Roadmap_Avion!$C$6:$Z$6=L$58)*(Roadmap_Avion!$C$7:$Z$7=L$59),Roadmap_Avion!$C$8:$Z$38,0))</f>
        <v>0.75</v>
      </c>
      <c r="M104" s="347">
        <f t="array" ref="M104">SUM(IF((Roadmap_Avion!$B$8:$B$38=$B104)*(Roadmap_Avion!$C$4:$Z$4=M$56)*(Roadmap_Avion!$C$6:$Z$6=M$58)*(Roadmap_Avion!$C$7:$Z$7=M$59),Roadmap_Avion!$C$8:$Z$38,0))</f>
        <v>0.5</v>
      </c>
      <c r="N104" s="348">
        <f t="array" ref="N104">SUM(IF((Roadmap_Avion!$B$8:$B$38=$B104)*(Roadmap_Avion!$C$4:$Z$4=N$56)*(Roadmap_Avion!$C$6:$Z$6=N$58)*(Roadmap_Avion!$C$7:$Z$7=N$59),Roadmap_Avion!$C$8:$Z$38,0))</f>
        <v>0</v>
      </c>
      <c r="O104" s="781">
        <f t="array" ref="O104">SUM(IF((Prod_Carburant_Alt!$A$7:$A$37=$B104)*(Prod_Carburant_Alt!$B$3:$AI$3=O$56)*(Prod_Carburant_Alt!$B$5:$AI$5='Synthèse scénarios'!O$58)*(Prod_Carburant_Alt!$B$6:$AI$6=O$59),Prod_Carburant_Alt!$B$7:$AI$37,0))</f>
        <v>2.0501851548918237</v>
      </c>
      <c r="P104" s="782">
        <f t="array" ref="P104">SUM(IF((Prod_Carburant_Alt!$A$7:$A$37=$B104)*(Prod_Carburant_Alt!$B$3:$AI$3=P$56)*(Prod_Carburant_Alt!$B$5:$AI$5='Synthèse scénarios'!P$58)*(Prod_Carburant_Alt!$B$6:$AI$6=P$59),Prod_Carburant_Alt!$B$7:$AI$37,0))</f>
        <v>0.20438251753392206</v>
      </c>
      <c r="Q104" s="784">
        <f t="array" ref="Q104">SUM(IF((Prod_Carburant_Alt!$A$7:$A$37=$B104)*(Prod_Carburant_Alt!$B$3:$AI$3=Q$56)*(Prod_Carburant_Alt!$B$5:$AI$5='Synthèse scénarios'!Q$58)*(Prod_Carburant_Alt!$B$6:$AI$6=Q$59),Prod_Carburant_Alt!$B$7:$AI$37,0))</f>
        <v>0</v>
      </c>
      <c r="R104" s="621">
        <f>'Calculs Scénario CHARLIE'!BF17</f>
        <v>1.656000000000013E-2</v>
      </c>
      <c r="S104" s="622">
        <f>'Calculs Scénario CHARLIE'!BE17</f>
        <v>805.12546902857127</v>
      </c>
      <c r="T104" s="623">
        <f>'Calculs Scénario CHARLIE'!CG17</f>
        <v>7.5974019622017941E-3</v>
      </c>
      <c r="U104" s="622">
        <f>'Calculs Scénario CHARLIE'!CF17</f>
        <v>799.00860721035497</v>
      </c>
      <c r="V104" s="624">
        <f>'Calculs Scénario CHARLIE'!CI17</f>
        <v>0</v>
      </c>
      <c r="W104" s="624">
        <f>'Calculs Scénario CHARLIE'!CB17</f>
        <v>0</v>
      </c>
      <c r="X104" s="625">
        <f>'Calculs Scénario CHARLIE'!CD17</f>
        <v>0</v>
      </c>
    </row>
    <row r="105" spans="2:24" ht="15">
      <c r="B105" s="620">
        <v>2022</v>
      </c>
      <c r="C105" s="346">
        <f t="array" ref="C105">SUM(IF((Roadmap_Avion!$B$8:$B$38=$B105)*(Roadmap_Avion!$C$4:$Z$4=C$56)*(Roadmap_Avion!$C$6:$Z$6=C$58)*(Roadmap_Avion!$C$7:$Z$7=C$59),Roadmap_Avion!$C$8:$Z$38,0))</f>
        <v>1</v>
      </c>
      <c r="D105" s="347">
        <f t="array" ref="D105">SUM(IF((Roadmap_Avion!$B$8:$B$38=$B105)*(Roadmap_Avion!$C$4:$Z$4=D$56)*(Roadmap_Avion!$C$6:$Z$6=D$58)*(Roadmap_Avion!$C$7:$Z$7=D$59),Roadmap_Avion!$C$8:$Z$38,0))</f>
        <v>0.5</v>
      </c>
      <c r="E105" s="348">
        <f t="array" ref="E105">SUM(IF((Roadmap_Avion!$B$8:$B$38=$B105)*(Roadmap_Avion!$C$4:$Z$4=E$56)*(Roadmap_Avion!$C$6:$Z$6=E$58)*(Roadmap_Avion!$C$7:$Z$7=E$59),Roadmap_Avion!$C$8:$Z$38,0))</f>
        <v>0</v>
      </c>
      <c r="F105" s="346">
        <f t="array" ref="F105">SUM(IF((Roadmap_Avion!$B$8:$B$38=$B105)*(Roadmap_Avion!$C$4:$Z$4=F$56)*(Roadmap_Avion!$C$6:$Z$6=F$58)*(Roadmap_Avion!$C$7:$Z$7=F$59),Roadmap_Avion!$C$8:$Z$38,0))</f>
        <v>1</v>
      </c>
      <c r="G105" s="347">
        <f t="array" ref="G105">SUM(IF((Roadmap_Avion!$B$8:$B$38=$B105)*(Roadmap_Avion!$C$4:$Z$4=G$56)*(Roadmap_Avion!$C$6:$Z$6=G$58)*(Roadmap_Avion!$C$7:$Z$7=G$59),Roadmap_Avion!$C$8:$Z$38,0))</f>
        <v>0.5</v>
      </c>
      <c r="H105" s="348">
        <f t="array" ref="H105">SUM(IF((Roadmap_Avion!$B$8:$B$38=$B105)*(Roadmap_Avion!$C$4:$Z$4=H$56)*(Roadmap_Avion!$C$6:$Z$6=H$58)*(Roadmap_Avion!$C$7:$Z$7=H$59),Roadmap_Avion!$C$8:$Z$38,0))</f>
        <v>0</v>
      </c>
      <c r="I105" s="346">
        <f t="array" ref="I105">SUM(IF((Roadmap_Avion!$B$8:$B$38=$B105)*(Roadmap_Avion!$C$4:$Z$4=I$56)*(Roadmap_Avion!$C$6:$Z$6=I$58)*(Roadmap_Avion!$C$7:$Z$7=I$59),Roadmap_Avion!$C$8:$Z$38,0))</f>
        <v>0.8</v>
      </c>
      <c r="J105" s="347">
        <f t="array" ref="J105">SUM(IF((Roadmap_Avion!$B$8:$B$38=$B105)*(Roadmap_Avion!$C$4:$Z$4=J$56)*(Roadmap_Avion!$C$6:$Z$6=J$58)*(Roadmap_Avion!$C$7:$Z$7=J$59),Roadmap_Avion!$C$8:$Z$38,0))</f>
        <v>0.5</v>
      </c>
      <c r="K105" s="348">
        <f t="array" ref="K105">SUM(IF((Roadmap_Avion!$B$8:$B$38=$B105)*(Roadmap_Avion!$C$4:$Z$4=K$56)*(Roadmap_Avion!$C$6:$Z$6=K$58)*(Roadmap_Avion!$C$7:$Z$7=K$59),Roadmap_Avion!$C$8:$Z$38,0))</f>
        <v>0</v>
      </c>
      <c r="L105" s="346">
        <f t="array" ref="L105">SUM(IF((Roadmap_Avion!$B$8:$B$38=$B105)*(Roadmap_Avion!$C$4:$Z$4=L$56)*(Roadmap_Avion!$C$6:$Z$6=L$58)*(Roadmap_Avion!$C$7:$Z$7=L$59),Roadmap_Avion!$C$8:$Z$38,0))</f>
        <v>0.75</v>
      </c>
      <c r="M105" s="347">
        <f t="array" ref="M105">SUM(IF((Roadmap_Avion!$B$8:$B$38=$B105)*(Roadmap_Avion!$C$4:$Z$4=M$56)*(Roadmap_Avion!$C$6:$Z$6=M$58)*(Roadmap_Avion!$C$7:$Z$7=M$59),Roadmap_Avion!$C$8:$Z$38,0))</f>
        <v>0.5</v>
      </c>
      <c r="N105" s="348">
        <f t="array" ref="N105">SUM(IF((Roadmap_Avion!$B$8:$B$38=$B105)*(Roadmap_Avion!$C$4:$Z$4=N$56)*(Roadmap_Avion!$C$6:$Z$6=N$58)*(Roadmap_Avion!$C$7:$Z$7=N$59),Roadmap_Avion!$C$8:$Z$38,0))</f>
        <v>0</v>
      </c>
      <c r="O105" s="781">
        <f t="array" ref="O105">SUM(IF((Prod_Carburant_Alt!$A$7:$A$37=$B105)*(Prod_Carburant_Alt!$B$3:$AI$3=O$56)*(Prod_Carburant_Alt!$B$5:$AI$5='Synthèse scénarios'!O$58)*(Prod_Carburant_Alt!$B$6:$AI$6=O$59),Prod_Carburant_Alt!$B$7:$AI$37,0))</f>
        <v>2.5627314436147799</v>
      </c>
      <c r="P105" s="782">
        <f t="array" ref="P105">SUM(IF((Prod_Carburant_Alt!$A$7:$A$37=$B105)*(Prod_Carburant_Alt!$B$3:$AI$3=P$56)*(Prod_Carburant_Alt!$B$5:$AI$5='Synthèse scénarios'!P$58)*(Prod_Carburant_Alt!$B$6:$AI$6=P$59),Prod_Carburant_Alt!$B$7:$AI$37,0))</f>
        <v>0.204382517533922</v>
      </c>
      <c r="Q105" s="784">
        <f t="array" ref="Q105">SUM(IF((Prod_Carburant_Alt!$A$7:$A$37=$B105)*(Prod_Carburant_Alt!$B$3:$AI$3=Q$56)*(Prod_Carburant_Alt!$B$5:$AI$5='Synthèse scénarios'!Q$58)*(Prod_Carburant_Alt!$B$6:$AI$6=Q$59),Prod_Carburant_Alt!$B$7:$AI$37,0))</f>
        <v>0</v>
      </c>
      <c r="R105" s="621">
        <f>'Calculs Scénario CHARLIE'!BF18</f>
        <v>2.4840000000000084E-2</v>
      </c>
      <c r="S105" s="622">
        <f>'Calculs Scénario CHARLIE'!BE18</f>
        <v>874.3593910906128</v>
      </c>
      <c r="T105" s="623">
        <f>'Calculs Scénario CHARLIE'!CG18</f>
        <v>8.7447762907116883E-3</v>
      </c>
      <c r="U105" s="622">
        <f>'Calculs Scénario CHARLIE'!CF18</f>
        <v>866.7133138178425</v>
      </c>
      <c r="V105" s="624">
        <f>'Calculs Scénario CHARLIE'!CI18</f>
        <v>0</v>
      </c>
      <c r="W105" s="624">
        <f>'Calculs Scénario CHARLIE'!CB18</f>
        <v>0</v>
      </c>
      <c r="X105" s="625">
        <f>'Calculs Scénario CHARLIE'!CD18</f>
        <v>0</v>
      </c>
    </row>
    <row r="106" spans="2:24" ht="15">
      <c r="B106" s="620">
        <v>2023</v>
      </c>
      <c r="C106" s="346">
        <f t="array" ref="C106">SUM(IF((Roadmap_Avion!$B$8:$B$38=$B106)*(Roadmap_Avion!$C$4:$Z$4=C$56)*(Roadmap_Avion!$C$6:$Z$6=C$58)*(Roadmap_Avion!$C$7:$Z$7=C$59),Roadmap_Avion!$C$8:$Z$38,0))</f>
        <v>1</v>
      </c>
      <c r="D106" s="347">
        <f t="array" ref="D106">SUM(IF((Roadmap_Avion!$B$8:$B$38=$B106)*(Roadmap_Avion!$C$4:$Z$4=D$56)*(Roadmap_Avion!$C$6:$Z$6=D$58)*(Roadmap_Avion!$C$7:$Z$7=D$59),Roadmap_Avion!$C$8:$Z$38,0))</f>
        <v>0.5</v>
      </c>
      <c r="E106" s="348">
        <f t="array" ref="E106">SUM(IF((Roadmap_Avion!$B$8:$B$38=$B106)*(Roadmap_Avion!$C$4:$Z$4=E$56)*(Roadmap_Avion!$C$6:$Z$6=E$58)*(Roadmap_Avion!$C$7:$Z$7=E$59),Roadmap_Avion!$C$8:$Z$38,0))</f>
        <v>0</v>
      </c>
      <c r="F106" s="346">
        <f t="array" ref="F106">SUM(IF((Roadmap_Avion!$B$8:$B$38=$B106)*(Roadmap_Avion!$C$4:$Z$4=F$56)*(Roadmap_Avion!$C$6:$Z$6=F$58)*(Roadmap_Avion!$C$7:$Z$7=F$59),Roadmap_Avion!$C$8:$Z$38,0))</f>
        <v>1</v>
      </c>
      <c r="G106" s="347">
        <f t="array" ref="G106">SUM(IF((Roadmap_Avion!$B$8:$B$38=$B106)*(Roadmap_Avion!$C$4:$Z$4=G$56)*(Roadmap_Avion!$C$6:$Z$6=G$58)*(Roadmap_Avion!$C$7:$Z$7=G$59),Roadmap_Avion!$C$8:$Z$38,0))</f>
        <v>0.5</v>
      </c>
      <c r="H106" s="348">
        <f t="array" ref="H106">SUM(IF((Roadmap_Avion!$B$8:$B$38=$B106)*(Roadmap_Avion!$C$4:$Z$4=H$56)*(Roadmap_Avion!$C$6:$Z$6=H$58)*(Roadmap_Avion!$C$7:$Z$7=H$59),Roadmap_Avion!$C$8:$Z$38,0))</f>
        <v>0</v>
      </c>
      <c r="I106" s="346">
        <f t="array" ref="I106">SUM(IF((Roadmap_Avion!$B$8:$B$38=$B106)*(Roadmap_Avion!$C$4:$Z$4=I$56)*(Roadmap_Avion!$C$6:$Z$6=I$58)*(Roadmap_Avion!$C$7:$Z$7=I$59),Roadmap_Avion!$C$8:$Z$38,0))</f>
        <v>0.8</v>
      </c>
      <c r="J106" s="347">
        <f t="array" ref="J106">SUM(IF((Roadmap_Avion!$B$8:$B$38=$B106)*(Roadmap_Avion!$C$4:$Z$4=J$56)*(Roadmap_Avion!$C$6:$Z$6=J$58)*(Roadmap_Avion!$C$7:$Z$7=J$59),Roadmap_Avion!$C$8:$Z$38,0))</f>
        <v>0.5</v>
      </c>
      <c r="K106" s="348">
        <f t="array" ref="K106">SUM(IF((Roadmap_Avion!$B$8:$B$38=$B106)*(Roadmap_Avion!$C$4:$Z$4=K$56)*(Roadmap_Avion!$C$6:$Z$6=K$58)*(Roadmap_Avion!$C$7:$Z$7=K$59),Roadmap_Avion!$C$8:$Z$38,0))</f>
        <v>0</v>
      </c>
      <c r="L106" s="346">
        <f t="array" ref="L106">SUM(IF((Roadmap_Avion!$B$8:$B$38=$B106)*(Roadmap_Avion!$C$4:$Z$4=L$56)*(Roadmap_Avion!$C$6:$Z$6=L$58)*(Roadmap_Avion!$C$7:$Z$7=L$59),Roadmap_Avion!$C$8:$Z$38,0))</f>
        <v>0.75</v>
      </c>
      <c r="M106" s="347">
        <f t="array" ref="M106">SUM(IF((Roadmap_Avion!$B$8:$B$38=$B106)*(Roadmap_Avion!$C$4:$Z$4=M$56)*(Roadmap_Avion!$C$6:$Z$6=M$58)*(Roadmap_Avion!$C$7:$Z$7=M$59),Roadmap_Avion!$C$8:$Z$38,0))</f>
        <v>0.5</v>
      </c>
      <c r="N106" s="348">
        <f t="array" ref="N106">SUM(IF((Roadmap_Avion!$B$8:$B$38=$B106)*(Roadmap_Avion!$C$4:$Z$4=N$56)*(Roadmap_Avion!$C$6:$Z$6=N$58)*(Roadmap_Avion!$C$7:$Z$7=N$59),Roadmap_Avion!$C$8:$Z$38,0))</f>
        <v>0</v>
      </c>
      <c r="O106" s="781">
        <f t="array" ref="O106">SUM(IF((Prod_Carburant_Alt!$A$7:$A$37=$B106)*(Prod_Carburant_Alt!$B$3:$AI$3=O$56)*(Prod_Carburant_Alt!$B$5:$AI$5='Synthèse scénarios'!O$58)*(Prod_Carburant_Alt!$B$6:$AI$6=O$59),Prod_Carburant_Alt!$B$7:$AI$37,0))</f>
        <v>3.2034143045184749</v>
      </c>
      <c r="P106" s="782">
        <f t="array" ref="P106">SUM(IF((Prod_Carburant_Alt!$A$7:$A$37=$B106)*(Prod_Carburant_Alt!$B$3:$AI$3=P$56)*(Prod_Carburant_Alt!$B$5:$AI$5='Synthèse scénarios'!P$58)*(Prod_Carburant_Alt!$B$6:$AI$6=P$59),Prod_Carburant_Alt!$B$7:$AI$37,0))</f>
        <v>0.204382517533922</v>
      </c>
      <c r="Q106" s="784">
        <f t="array" ref="Q106">SUM(IF((Prod_Carburant_Alt!$A$7:$A$37=$B106)*(Prod_Carburant_Alt!$B$3:$AI$3=Q$56)*(Prod_Carburant_Alt!$B$5:$AI$5='Synthèse scénarios'!Q$58)*(Prod_Carburant_Alt!$B$6:$AI$6=Q$59),Prod_Carburant_Alt!$B$7:$AI$37,0))</f>
        <v>0</v>
      </c>
      <c r="R106" s="621">
        <f>'Calculs Scénario CHARLIE'!BF19</f>
        <v>3.3120000000000038E-2</v>
      </c>
      <c r="S106" s="622">
        <f>'Calculs Scénario CHARLIE'!BE19</f>
        <v>949.42517566685547</v>
      </c>
      <c r="T106" s="623">
        <f>'Calculs Scénario CHARLIE'!CG19</f>
        <v>1.0066719143243696E-2</v>
      </c>
      <c r="U106" s="622">
        <f>'Calculs Scénario CHARLIE'!CF19</f>
        <v>939.86757907589242</v>
      </c>
      <c r="V106" s="624">
        <f>'Calculs Scénario CHARLIE'!CI19</f>
        <v>0</v>
      </c>
      <c r="W106" s="624">
        <f>'Calculs Scénario CHARLIE'!CB19</f>
        <v>0</v>
      </c>
      <c r="X106" s="625">
        <f>'Calculs Scénario CHARLIE'!CD19</f>
        <v>0</v>
      </c>
    </row>
    <row r="107" spans="2:24" ht="15">
      <c r="B107" s="620">
        <v>2024</v>
      </c>
      <c r="C107" s="346">
        <f t="array" ref="C107">SUM(IF((Roadmap_Avion!$B$8:$B$38=$B107)*(Roadmap_Avion!$C$4:$Z$4=C$56)*(Roadmap_Avion!$C$6:$Z$6=C$58)*(Roadmap_Avion!$C$7:$Z$7=C$59),Roadmap_Avion!$C$8:$Z$38,0))</f>
        <v>1</v>
      </c>
      <c r="D107" s="347">
        <f t="array" ref="D107">SUM(IF((Roadmap_Avion!$B$8:$B$38=$B107)*(Roadmap_Avion!$C$4:$Z$4=D$56)*(Roadmap_Avion!$C$6:$Z$6=D$58)*(Roadmap_Avion!$C$7:$Z$7=D$59),Roadmap_Avion!$C$8:$Z$38,0))</f>
        <v>0.5</v>
      </c>
      <c r="E107" s="348">
        <f t="array" ref="E107">SUM(IF((Roadmap_Avion!$B$8:$B$38=$B107)*(Roadmap_Avion!$C$4:$Z$4=E$56)*(Roadmap_Avion!$C$6:$Z$6=E$58)*(Roadmap_Avion!$C$7:$Z$7=E$59),Roadmap_Avion!$C$8:$Z$38,0))</f>
        <v>0</v>
      </c>
      <c r="F107" s="346">
        <f t="array" ref="F107">SUM(IF((Roadmap_Avion!$B$8:$B$38=$B107)*(Roadmap_Avion!$C$4:$Z$4=F$56)*(Roadmap_Avion!$C$6:$Z$6=F$58)*(Roadmap_Avion!$C$7:$Z$7=F$59),Roadmap_Avion!$C$8:$Z$38,0))</f>
        <v>1</v>
      </c>
      <c r="G107" s="347">
        <f t="array" ref="G107">SUM(IF((Roadmap_Avion!$B$8:$B$38=$B107)*(Roadmap_Avion!$C$4:$Z$4=G$56)*(Roadmap_Avion!$C$6:$Z$6=G$58)*(Roadmap_Avion!$C$7:$Z$7=G$59),Roadmap_Avion!$C$8:$Z$38,0))</f>
        <v>0.5</v>
      </c>
      <c r="H107" s="348">
        <f t="array" ref="H107">SUM(IF((Roadmap_Avion!$B$8:$B$38=$B107)*(Roadmap_Avion!$C$4:$Z$4=H$56)*(Roadmap_Avion!$C$6:$Z$6=H$58)*(Roadmap_Avion!$C$7:$Z$7=H$59),Roadmap_Avion!$C$8:$Z$38,0))</f>
        <v>0</v>
      </c>
      <c r="I107" s="346">
        <f t="array" ref="I107">SUM(IF((Roadmap_Avion!$B$8:$B$38=$B107)*(Roadmap_Avion!$C$4:$Z$4=I$56)*(Roadmap_Avion!$C$6:$Z$6=I$58)*(Roadmap_Avion!$C$7:$Z$7=I$59),Roadmap_Avion!$C$8:$Z$38,0))</f>
        <v>0.8</v>
      </c>
      <c r="J107" s="347">
        <f t="array" ref="J107">SUM(IF((Roadmap_Avion!$B$8:$B$38=$B107)*(Roadmap_Avion!$C$4:$Z$4=J$56)*(Roadmap_Avion!$C$6:$Z$6=J$58)*(Roadmap_Avion!$C$7:$Z$7=J$59),Roadmap_Avion!$C$8:$Z$38,0))</f>
        <v>0.5</v>
      </c>
      <c r="K107" s="348">
        <f t="array" ref="K107">SUM(IF((Roadmap_Avion!$B$8:$B$38=$B107)*(Roadmap_Avion!$C$4:$Z$4=K$56)*(Roadmap_Avion!$C$6:$Z$6=K$58)*(Roadmap_Avion!$C$7:$Z$7=K$59),Roadmap_Avion!$C$8:$Z$38,0))</f>
        <v>0</v>
      </c>
      <c r="L107" s="346">
        <f t="array" ref="L107">SUM(IF((Roadmap_Avion!$B$8:$B$38=$B107)*(Roadmap_Avion!$C$4:$Z$4=L$56)*(Roadmap_Avion!$C$6:$Z$6=L$58)*(Roadmap_Avion!$C$7:$Z$7=L$59),Roadmap_Avion!$C$8:$Z$38,0))</f>
        <v>0.75</v>
      </c>
      <c r="M107" s="347">
        <f t="array" ref="M107">SUM(IF((Roadmap_Avion!$B$8:$B$38=$B107)*(Roadmap_Avion!$C$4:$Z$4=M$56)*(Roadmap_Avion!$C$6:$Z$6=M$58)*(Roadmap_Avion!$C$7:$Z$7=M$59),Roadmap_Avion!$C$8:$Z$38,0))</f>
        <v>0.5</v>
      </c>
      <c r="N107" s="348">
        <f t="array" ref="N107">SUM(IF((Roadmap_Avion!$B$8:$B$38=$B107)*(Roadmap_Avion!$C$4:$Z$4=N$56)*(Roadmap_Avion!$C$6:$Z$6=N$58)*(Roadmap_Avion!$C$7:$Z$7=N$59),Roadmap_Avion!$C$8:$Z$38,0))</f>
        <v>0</v>
      </c>
      <c r="O107" s="781">
        <f t="array" ref="O107">SUM(IF((Prod_Carburant_Alt!$A$7:$A$37=$B107)*(Prod_Carburant_Alt!$B$3:$AI$3=O$56)*(Prod_Carburant_Alt!$B$5:$AI$5='Synthèse scénarios'!O$58)*(Prod_Carburant_Alt!$B$6:$AI$6=O$59),Prod_Carburant_Alt!$B$7:$AI$37,0))</f>
        <v>4.0042678806480936</v>
      </c>
      <c r="P107" s="782">
        <f t="array" ref="P107">SUM(IF((Prod_Carburant_Alt!$A$7:$A$37=$B107)*(Prod_Carburant_Alt!$B$3:$AI$3=P$56)*(Prod_Carburant_Alt!$B$5:$AI$5='Synthèse scénarios'!P$58)*(Prod_Carburant_Alt!$B$6:$AI$6=P$59),Prod_Carburant_Alt!$B$7:$AI$37,0))</f>
        <v>0.204382517533922</v>
      </c>
      <c r="Q107" s="784">
        <f t="array" ref="Q107">SUM(IF((Prod_Carburant_Alt!$A$7:$A$37=$B107)*(Prod_Carburant_Alt!$B$3:$AI$3=Q$56)*(Prod_Carburant_Alt!$B$5:$AI$5='Synthèse scénarios'!Q$58)*(Prod_Carburant_Alt!$B$6:$AI$6=Q$59),Prod_Carburant_Alt!$B$7:$AI$37,0))</f>
        <v>0</v>
      </c>
      <c r="R107" s="621">
        <f>'Calculs Scénario CHARLIE'!BF20</f>
        <v>4.1400000000000103E-2</v>
      </c>
      <c r="S107" s="622">
        <f>'Calculs Scénario CHARLIE'!BE20</f>
        <v>1030.7960202408883</v>
      </c>
      <c r="T107" s="623">
        <f>'Calculs Scénario CHARLIE'!CG20</f>
        <v>1.1590067776854498E-2</v>
      </c>
      <c r="U107" s="622">
        <f>'Calculs Scénario CHARLIE'!CF20</f>
        <v>1018.8490245021845</v>
      </c>
      <c r="V107" s="624">
        <f>'Calculs Scénario CHARLIE'!CI20</f>
        <v>0</v>
      </c>
      <c r="W107" s="624">
        <f>'Calculs Scénario CHARLIE'!CB20</f>
        <v>0</v>
      </c>
      <c r="X107" s="625">
        <f>'Calculs Scénario CHARLIE'!CD20</f>
        <v>0</v>
      </c>
    </row>
    <row r="108" spans="2:24" ht="15">
      <c r="B108" s="620">
        <v>2025</v>
      </c>
      <c r="C108" s="346">
        <f t="array" ref="C108">SUM(IF((Roadmap_Avion!$B$8:$B$38=$B108)*(Roadmap_Avion!$C$4:$Z$4=C$56)*(Roadmap_Avion!$C$6:$Z$6=C$58)*(Roadmap_Avion!$C$7:$Z$7=C$59),Roadmap_Avion!$C$8:$Z$38,0))</f>
        <v>1</v>
      </c>
      <c r="D108" s="347">
        <f t="array" ref="D108">SUM(IF((Roadmap_Avion!$B$8:$B$38=$B108)*(Roadmap_Avion!$C$4:$Z$4=D$56)*(Roadmap_Avion!$C$6:$Z$6=D$58)*(Roadmap_Avion!$C$7:$Z$7=D$59),Roadmap_Avion!$C$8:$Z$38,0))</f>
        <v>0.5</v>
      </c>
      <c r="E108" s="348">
        <f t="array" ref="E108">SUM(IF((Roadmap_Avion!$B$8:$B$38=$B108)*(Roadmap_Avion!$C$4:$Z$4=E$56)*(Roadmap_Avion!$C$6:$Z$6=E$58)*(Roadmap_Avion!$C$7:$Z$7=E$59),Roadmap_Avion!$C$8:$Z$38,0))</f>
        <v>0</v>
      </c>
      <c r="F108" s="346">
        <f t="array" ref="F108">SUM(IF((Roadmap_Avion!$B$8:$B$38=$B108)*(Roadmap_Avion!$C$4:$Z$4=F$56)*(Roadmap_Avion!$C$6:$Z$6=F$58)*(Roadmap_Avion!$C$7:$Z$7=F$59),Roadmap_Avion!$C$8:$Z$38,0))</f>
        <v>1</v>
      </c>
      <c r="G108" s="347">
        <f t="array" ref="G108">SUM(IF((Roadmap_Avion!$B$8:$B$38=$B108)*(Roadmap_Avion!$C$4:$Z$4=G$56)*(Roadmap_Avion!$C$6:$Z$6=G$58)*(Roadmap_Avion!$C$7:$Z$7=G$59),Roadmap_Avion!$C$8:$Z$38,0))</f>
        <v>0.5</v>
      </c>
      <c r="H108" s="348">
        <f t="array" ref="H108">SUM(IF((Roadmap_Avion!$B$8:$B$38=$B108)*(Roadmap_Avion!$C$4:$Z$4=H$56)*(Roadmap_Avion!$C$6:$Z$6=H$58)*(Roadmap_Avion!$C$7:$Z$7=H$59),Roadmap_Avion!$C$8:$Z$38,0))</f>
        <v>0</v>
      </c>
      <c r="I108" s="346">
        <f t="array" ref="I108">SUM(IF((Roadmap_Avion!$B$8:$B$38=$B108)*(Roadmap_Avion!$C$4:$Z$4=I$56)*(Roadmap_Avion!$C$6:$Z$6=I$58)*(Roadmap_Avion!$C$7:$Z$7=I$59),Roadmap_Avion!$C$8:$Z$38,0))</f>
        <v>0.8</v>
      </c>
      <c r="J108" s="347">
        <f t="array" ref="J108">SUM(IF((Roadmap_Avion!$B$8:$B$38=$B108)*(Roadmap_Avion!$C$4:$Z$4=J$56)*(Roadmap_Avion!$C$6:$Z$6=J$58)*(Roadmap_Avion!$C$7:$Z$7=J$59),Roadmap_Avion!$C$8:$Z$38,0))</f>
        <v>0.5</v>
      </c>
      <c r="K108" s="348">
        <f t="array" ref="K108">SUM(IF((Roadmap_Avion!$B$8:$B$38=$B108)*(Roadmap_Avion!$C$4:$Z$4=K$56)*(Roadmap_Avion!$C$6:$Z$6=K$58)*(Roadmap_Avion!$C$7:$Z$7=K$59),Roadmap_Avion!$C$8:$Z$38,0))</f>
        <v>0</v>
      </c>
      <c r="L108" s="346">
        <f t="array" ref="L108">SUM(IF((Roadmap_Avion!$B$8:$B$38=$B108)*(Roadmap_Avion!$C$4:$Z$4=L$56)*(Roadmap_Avion!$C$6:$Z$6=L$58)*(Roadmap_Avion!$C$7:$Z$7=L$59),Roadmap_Avion!$C$8:$Z$38,0))</f>
        <v>0.75</v>
      </c>
      <c r="M108" s="347">
        <f t="array" ref="M108">SUM(IF((Roadmap_Avion!$B$8:$B$38=$B108)*(Roadmap_Avion!$C$4:$Z$4=M$56)*(Roadmap_Avion!$C$6:$Z$6=M$58)*(Roadmap_Avion!$C$7:$Z$7=M$59),Roadmap_Avion!$C$8:$Z$38,0))</f>
        <v>0.5</v>
      </c>
      <c r="N108" s="348">
        <f t="array" ref="N108">SUM(IF((Roadmap_Avion!$B$8:$B$38=$B108)*(Roadmap_Avion!$C$4:$Z$4=N$56)*(Roadmap_Avion!$C$6:$Z$6=N$58)*(Roadmap_Avion!$C$7:$Z$7=N$59),Roadmap_Avion!$C$8:$Z$38,0))</f>
        <v>0</v>
      </c>
      <c r="O108" s="781">
        <f t="array" ref="O108">SUM(IF((Prod_Carburant_Alt!$A$7:$A$37=$B108)*(Prod_Carburant_Alt!$B$3:$AI$3=O$56)*(Prod_Carburant_Alt!$B$5:$AI$5='Synthèse scénarios'!O$58)*(Prod_Carburant_Alt!$B$6:$AI$6=O$59),Prod_Carburant_Alt!$B$7:$AI$37,0))</f>
        <v>5.005334850810117</v>
      </c>
      <c r="P108" s="782">
        <f t="array" ref="P108">SUM(IF((Prod_Carburant_Alt!$A$7:$A$37=$B108)*(Prod_Carburant_Alt!$B$3:$AI$3=P$56)*(Prod_Carburant_Alt!$B$5:$AI$5='Synthèse scénarios'!P$58)*(Prod_Carburant_Alt!$B$6:$AI$6=P$59),Prod_Carburant_Alt!$B$7:$AI$37,0))</f>
        <v>0.204382517533922</v>
      </c>
      <c r="Q108" s="784">
        <f t="array" ref="Q108">SUM(IF((Prod_Carburant_Alt!$A$7:$A$37=$B108)*(Prod_Carburant_Alt!$B$3:$AI$3=Q$56)*(Prod_Carburant_Alt!$B$5:$AI$5='Synthèse scénarios'!Q$58)*(Prod_Carburant_Alt!$B$6:$AI$6=Q$59),Prod_Carburant_Alt!$B$7:$AI$37,0))</f>
        <v>0</v>
      </c>
      <c r="R108" s="621">
        <f>'Calculs Scénario CHARLIE'!BF21</f>
        <v>5.5200000000000027E-2</v>
      </c>
      <c r="S108" s="622">
        <f>'Calculs Scénario CHARLIE'!BE21</f>
        <v>1055.8374952070058</v>
      </c>
      <c r="T108" s="623">
        <f>'Calculs Scénario CHARLIE'!CG21</f>
        <v>1.4143980244281524E-2</v>
      </c>
      <c r="U108" s="622">
        <f>'Calculs Scénario CHARLIE'!CF21</f>
        <v>1040.9037505336262</v>
      </c>
      <c r="V108" s="624">
        <f>'Calculs Scénario CHARLIE'!CI21</f>
        <v>0</v>
      </c>
      <c r="W108" s="624">
        <f>'Calculs Scénario CHARLIE'!CB21</f>
        <v>0</v>
      </c>
      <c r="X108" s="625">
        <f>'Calculs Scénario CHARLIE'!CD21</f>
        <v>0</v>
      </c>
    </row>
    <row r="109" spans="2:24" ht="15">
      <c r="B109" s="620">
        <v>2026</v>
      </c>
      <c r="C109" s="346">
        <f t="array" ref="C109">SUM(IF((Roadmap_Avion!$B$8:$B$38=$B109)*(Roadmap_Avion!$C$4:$Z$4=C$56)*(Roadmap_Avion!$C$6:$Z$6=C$58)*(Roadmap_Avion!$C$7:$Z$7=C$59),Roadmap_Avion!$C$8:$Z$38,0))</f>
        <v>1</v>
      </c>
      <c r="D109" s="347">
        <f t="array" ref="D109">SUM(IF((Roadmap_Avion!$B$8:$B$38=$B109)*(Roadmap_Avion!$C$4:$Z$4=D$56)*(Roadmap_Avion!$C$6:$Z$6=D$58)*(Roadmap_Avion!$C$7:$Z$7=D$59),Roadmap_Avion!$C$8:$Z$38,0))</f>
        <v>0.5</v>
      </c>
      <c r="E109" s="348">
        <f t="array" ref="E109">SUM(IF((Roadmap_Avion!$B$8:$B$38=$B109)*(Roadmap_Avion!$C$4:$Z$4=E$56)*(Roadmap_Avion!$C$6:$Z$6=E$58)*(Roadmap_Avion!$C$7:$Z$7=E$59),Roadmap_Avion!$C$8:$Z$38,0))</f>
        <v>0</v>
      </c>
      <c r="F109" s="346">
        <f t="array" ref="F109">SUM(IF((Roadmap_Avion!$B$8:$B$38=$B109)*(Roadmap_Avion!$C$4:$Z$4=F$56)*(Roadmap_Avion!$C$6:$Z$6=F$58)*(Roadmap_Avion!$C$7:$Z$7=F$59),Roadmap_Avion!$C$8:$Z$38,0))</f>
        <v>1</v>
      </c>
      <c r="G109" s="347">
        <f t="array" ref="G109">SUM(IF((Roadmap_Avion!$B$8:$B$38=$B109)*(Roadmap_Avion!$C$4:$Z$4=G$56)*(Roadmap_Avion!$C$6:$Z$6=G$58)*(Roadmap_Avion!$C$7:$Z$7=G$59),Roadmap_Avion!$C$8:$Z$38,0))</f>
        <v>0.5</v>
      </c>
      <c r="H109" s="348">
        <f t="array" ref="H109">SUM(IF((Roadmap_Avion!$B$8:$B$38=$B109)*(Roadmap_Avion!$C$4:$Z$4=H$56)*(Roadmap_Avion!$C$6:$Z$6=H$58)*(Roadmap_Avion!$C$7:$Z$7=H$59),Roadmap_Avion!$C$8:$Z$38,0))</f>
        <v>0</v>
      </c>
      <c r="I109" s="346">
        <f t="array" ref="I109">SUM(IF((Roadmap_Avion!$B$8:$B$38=$B109)*(Roadmap_Avion!$C$4:$Z$4=I$56)*(Roadmap_Avion!$C$6:$Z$6=I$58)*(Roadmap_Avion!$C$7:$Z$7=I$59),Roadmap_Avion!$C$8:$Z$38,0))</f>
        <v>0.8</v>
      </c>
      <c r="J109" s="347">
        <f t="array" ref="J109">SUM(IF((Roadmap_Avion!$B$8:$B$38=$B109)*(Roadmap_Avion!$C$4:$Z$4=J$56)*(Roadmap_Avion!$C$6:$Z$6=J$58)*(Roadmap_Avion!$C$7:$Z$7=J$59),Roadmap_Avion!$C$8:$Z$38,0))</f>
        <v>0.5</v>
      </c>
      <c r="K109" s="348">
        <f t="array" ref="K109">SUM(IF((Roadmap_Avion!$B$8:$B$38=$B109)*(Roadmap_Avion!$C$4:$Z$4=K$56)*(Roadmap_Avion!$C$6:$Z$6=K$58)*(Roadmap_Avion!$C$7:$Z$7=K$59),Roadmap_Avion!$C$8:$Z$38,0))</f>
        <v>0</v>
      </c>
      <c r="L109" s="346">
        <f t="array" ref="L109">SUM(IF((Roadmap_Avion!$B$8:$B$38=$B109)*(Roadmap_Avion!$C$4:$Z$4=L$56)*(Roadmap_Avion!$C$6:$Z$6=L$58)*(Roadmap_Avion!$C$7:$Z$7=L$59),Roadmap_Avion!$C$8:$Z$38,0))</f>
        <v>0.75</v>
      </c>
      <c r="M109" s="347">
        <f t="array" ref="M109">SUM(IF((Roadmap_Avion!$B$8:$B$38=$B109)*(Roadmap_Avion!$C$4:$Z$4=M$56)*(Roadmap_Avion!$C$6:$Z$6=M$58)*(Roadmap_Avion!$C$7:$Z$7=M$59),Roadmap_Avion!$C$8:$Z$38,0))</f>
        <v>0.5</v>
      </c>
      <c r="N109" s="348">
        <f t="array" ref="N109">SUM(IF((Roadmap_Avion!$B$8:$B$38=$B109)*(Roadmap_Avion!$C$4:$Z$4=N$56)*(Roadmap_Avion!$C$6:$Z$6=N$58)*(Roadmap_Avion!$C$7:$Z$7=N$59),Roadmap_Avion!$C$8:$Z$38,0))</f>
        <v>0</v>
      </c>
      <c r="O109" s="781">
        <f t="array" ref="O109">SUM(IF((Prod_Carburant_Alt!$A$7:$A$37=$B109)*(Prod_Carburant_Alt!$B$3:$AI$3=O$56)*(Prod_Carburant_Alt!$B$5:$AI$5='Synthèse scénarios'!O$58)*(Prod_Carburant_Alt!$B$6:$AI$6=O$59),Prod_Carburant_Alt!$B$7:$AI$37,0))</f>
        <v>6.2566685635126458</v>
      </c>
      <c r="P109" s="782">
        <f t="array" ref="P109">SUM(IF((Prod_Carburant_Alt!$A$7:$A$37=$B109)*(Prod_Carburant_Alt!$B$3:$AI$3=P$56)*(Prod_Carburant_Alt!$B$5:$AI$5='Synthèse scénarios'!P$58)*(Prod_Carburant_Alt!$B$6:$AI$6=P$59),Prod_Carburant_Alt!$B$7:$AI$37,0))</f>
        <v>0.204382517533922</v>
      </c>
      <c r="Q109" s="784">
        <f t="array" ref="Q109">SUM(IF((Prod_Carburant_Alt!$A$7:$A$37=$B109)*(Prod_Carburant_Alt!$B$3:$AI$3=Q$56)*(Prod_Carburant_Alt!$B$5:$AI$5='Synthèse scénarios'!Q$58)*(Prod_Carburant_Alt!$B$6:$AI$6=Q$59),Prod_Carburant_Alt!$B$7:$AI$37,0))</f>
        <v>0</v>
      </c>
      <c r="R109" s="621">
        <f>'Calculs Scénario CHARLIE'!BF22</f>
        <v>6.9000000000000061E-2</v>
      </c>
      <c r="S109" s="622">
        <f>'Calculs Scénario CHARLIE'!BE22</f>
        <v>1081.174509908328</v>
      </c>
      <c r="T109" s="623">
        <f>'Calculs Scénario CHARLIE'!CG22</f>
        <v>1.7265650152358203E-2</v>
      </c>
      <c r="U109" s="622">
        <f>'Calculs Scénario CHARLIE'!CF22</f>
        <v>1062.5073290666035</v>
      </c>
      <c r="V109" s="624">
        <f>'Calculs Scénario CHARLIE'!CI22</f>
        <v>0</v>
      </c>
      <c r="W109" s="624">
        <f>'Calculs Scénario CHARLIE'!CB22</f>
        <v>0</v>
      </c>
      <c r="X109" s="625">
        <f>'Calculs Scénario CHARLIE'!CD22</f>
        <v>0</v>
      </c>
    </row>
    <row r="110" spans="2:24" ht="15">
      <c r="B110" s="620">
        <v>2027</v>
      </c>
      <c r="C110" s="346">
        <f t="array" ref="C110">SUM(IF((Roadmap_Avion!$B$8:$B$38=$B110)*(Roadmap_Avion!$C$4:$Z$4=C$56)*(Roadmap_Avion!$C$6:$Z$6=C$58)*(Roadmap_Avion!$C$7:$Z$7=C$59),Roadmap_Avion!$C$8:$Z$38,0))</f>
        <v>1</v>
      </c>
      <c r="D110" s="347">
        <f t="array" ref="D110">SUM(IF((Roadmap_Avion!$B$8:$B$38=$B110)*(Roadmap_Avion!$C$4:$Z$4=D$56)*(Roadmap_Avion!$C$6:$Z$6=D$58)*(Roadmap_Avion!$C$7:$Z$7=D$59),Roadmap_Avion!$C$8:$Z$38,0))</f>
        <v>0.5</v>
      </c>
      <c r="E110" s="348">
        <f t="array" ref="E110">SUM(IF((Roadmap_Avion!$B$8:$B$38=$B110)*(Roadmap_Avion!$C$4:$Z$4=E$56)*(Roadmap_Avion!$C$6:$Z$6=E$58)*(Roadmap_Avion!$C$7:$Z$7=E$59),Roadmap_Avion!$C$8:$Z$38,0))</f>
        <v>0</v>
      </c>
      <c r="F110" s="346">
        <f t="array" ref="F110">SUM(IF((Roadmap_Avion!$B$8:$B$38=$B110)*(Roadmap_Avion!$C$4:$Z$4=F$56)*(Roadmap_Avion!$C$6:$Z$6=F$58)*(Roadmap_Avion!$C$7:$Z$7=F$59),Roadmap_Avion!$C$8:$Z$38,0))</f>
        <v>1</v>
      </c>
      <c r="G110" s="347">
        <f t="array" ref="G110">SUM(IF((Roadmap_Avion!$B$8:$B$38=$B110)*(Roadmap_Avion!$C$4:$Z$4=G$56)*(Roadmap_Avion!$C$6:$Z$6=G$58)*(Roadmap_Avion!$C$7:$Z$7=G$59),Roadmap_Avion!$C$8:$Z$38,0))</f>
        <v>0.5</v>
      </c>
      <c r="H110" s="348">
        <f t="array" ref="H110">SUM(IF((Roadmap_Avion!$B$8:$B$38=$B110)*(Roadmap_Avion!$C$4:$Z$4=H$56)*(Roadmap_Avion!$C$6:$Z$6=H$58)*(Roadmap_Avion!$C$7:$Z$7=H$59),Roadmap_Avion!$C$8:$Z$38,0))</f>
        <v>0</v>
      </c>
      <c r="I110" s="346">
        <f t="array" ref="I110">SUM(IF((Roadmap_Avion!$B$8:$B$38=$B110)*(Roadmap_Avion!$C$4:$Z$4=I$56)*(Roadmap_Avion!$C$6:$Z$6=I$58)*(Roadmap_Avion!$C$7:$Z$7=I$59),Roadmap_Avion!$C$8:$Z$38,0))</f>
        <v>0.8</v>
      </c>
      <c r="J110" s="347">
        <f t="array" ref="J110">SUM(IF((Roadmap_Avion!$B$8:$B$38=$B110)*(Roadmap_Avion!$C$4:$Z$4=J$56)*(Roadmap_Avion!$C$6:$Z$6=J$58)*(Roadmap_Avion!$C$7:$Z$7=J$59),Roadmap_Avion!$C$8:$Z$38,0))</f>
        <v>0.5</v>
      </c>
      <c r="K110" s="348">
        <f t="array" ref="K110">SUM(IF((Roadmap_Avion!$B$8:$B$38=$B110)*(Roadmap_Avion!$C$4:$Z$4=K$56)*(Roadmap_Avion!$C$6:$Z$6=K$58)*(Roadmap_Avion!$C$7:$Z$7=K$59),Roadmap_Avion!$C$8:$Z$38,0))</f>
        <v>0</v>
      </c>
      <c r="L110" s="346">
        <f t="array" ref="L110">SUM(IF((Roadmap_Avion!$B$8:$B$38=$B110)*(Roadmap_Avion!$C$4:$Z$4=L$56)*(Roadmap_Avion!$C$6:$Z$6=L$58)*(Roadmap_Avion!$C$7:$Z$7=L$59),Roadmap_Avion!$C$8:$Z$38,0))</f>
        <v>0.75</v>
      </c>
      <c r="M110" s="347">
        <f t="array" ref="M110">SUM(IF((Roadmap_Avion!$B$8:$B$38=$B110)*(Roadmap_Avion!$C$4:$Z$4=M$56)*(Roadmap_Avion!$C$6:$Z$6=M$58)*(Roadmap_Avion!$C$7:$Z$7=M$59),Roadmap_Avion!$C$8:$Z$38,0))</f>
        <v>0.5</v>
      </c>
      <c r="N110" s="348">
        <f t="array" ref="N110">SUM(IF((Roadmap_Avion!$B$8:$B$38=$B110)*(Roadmap_Avion!$C$4:$Z$4=N$56)*(Roadmap_Avion!$C$6:$Z$6=N$58)*(Roadmap_Avion!$C$7:$Z$7=N$59),Roadmap_Avion!$C$8:$Z$38,0))</f>
        <v>0</v>
      </c>
      <c r="O110" s="781">
        <f t="array" ref="O110">SUM(IF((Prod_Carburant_Alt!$A$7:$A$37=$B110)*(Prod_Carburant_Alt!$B$3:$AI$3=O$56)*(Prod_Carburant_Alt!$B$5:$AI$5='Synthèse scénarios'!O$58)*(Prod_Carburant_Alt!$B$6:$AI$6=O$59),Prod_Carburant_Alt!$B$7:$AI$37,0))</f>
        <v>7.8208357043908077</v>
      </c>
      <c r="P110" s="782">
        <f t="array" ref="P110">SUM(IF((Prod_Carburant_Alt!$A$7:$A$37=$B110)*(Prod_Carburant_Alt!$B$3:$AI$3=P$56)*(Prod_Carburant_Alt!$B$5:$AI$5='Synthèse scénarios'!P$58)*(Prod_Carburant_Alt!$B$6:$AI$6=P$59),Prod_Carburant_Alt!$B$7:$AI$37,0))</f>
        <v>0.20438251753392203</v>
      </c>
      <c r="Q110" s="784">
        <f t="array" ref="Q110">SUM(IF((Prod_Carburant_Alt!$A$7:$A$37=$B110)*(Prod_Carburant_Alt!$B$3:$AI$3=Q$56)*(Prod_Carburant_Alt!$B$5:$AI$5='Synthèse scénarios'!Q$58)*(Prod_Carburant_Alt!$B$6:$AI$6=Q$59),Prod_Carburant_Alt!$B$7:$AI$37,0))</f>
        <v>0</v>
      </c>
      <c r="R110" s="621">
        <f>'Calculs Scénario CHARLIE'!BF23</f>
        <v>8.2799999999999985E-2</v>
      </c>
      <c r="S110" s="622">
        <f>'Calculs Scénario CHARLIE'!BE23</f>
        <v>1106.7833000436626</v>
      </c>
      <c r="T110" s="623">
        <f>'Calculs Scénario CHARLIE'!CG23</f>
        <v>2.1082696180214546E-2</v>
      </c>
      <c r="U110" s="622">
        <f>'Calculs Scénario CHARLIE'!CF23</f>
        <v>1083.4493239915068</v>
      </c>
      <c r="V110" s="624">
        <f>'Calculs Scénario CHARLIE'!CI23</f>
        <v>0</v>
      </c>
      <c r="W110" s="624">
        <f>'Calculs Scénario CHARLIE'!CB23</f>
        <v>0</v>
      </c>
      <c r="X110" s="625">
        <f>'Calculs Scénario CHARLIE'!CD23</f>
        <v>0</v>
      </c>
    </row>
    <row r="111" spans="2:24" ht="15">
      <c r="B111" s="620">
        <v>2028</v>
      </c>
      <c r="C111" s="346">
        <f t="array" ref="C111">SUM(IF((Roadmap_Avion!$B$8:$B$38=$B111)*(Roadmap_Avion!$C$4:$Z$4=C$56)*(Roadmap_Avion!$C$6:$Z$6=C$58)*(Roadmap_Avion!$C$7:$Z$7=C$59),Roadmap_Avion!$C$8:$Z$38,0))</f>
        <v>1</v>
      </c>
      <c r="D111" s="347">
        <f t="array" ref="D111">SUM(IF((Roadmap_Avion!$B$8:$B$38=$B111)*(Roadmap_Avion!$C$4:$Z$4=D$56)*(Roadmap_Avion!$C$6:$Z$6=D$58)*(Roadmap_Avion!$C$7:$Z$7=D$59),Roadmap_Avion!$C$8:$Z$38,0))</f>
        <v>0.5</v>
      </c>
      <c r="E111" s="348">
        <f t="array" ref="E111">SUM(IF((Roadmap_Avion!$B$8:$B$38=$B111)*(Roadmap_Avion!$C$4:$Z$4=E$56)*(Roadmap_Avion!$C$6:$Z$6=E$58)*(Roadmap_Avion!$C$7:$Z$7=E$59),Roadmap_Avion!$C$8:$Z$38,0))</f>
        <v>0</v>
      </c>
      <c r="F111" s="346">
        <f t="array" ref="F111">SUM(IF((Roadmap_Avion!$B$8:$B$38=$B111)*(Roadmap_Avion!$C$4:$Z$4=F$56)*(Roadmap_Avion!$C$6:$Z$6=F$58)*(Roadmap_Avion!$C$7:$Z$7=F$59),Roadmap_Avion!$C$8:$Z$38,0))</f>
        <v>1</v>
      </c>
      <c r="G111" s="347">
        <f t="array" ref="G111">SUM(IF((Roadmap_Avion!$B$8:$B$38=$B111)*(Roadmap_Avion!$C$4:$Z$4=G$56)*(Roadmap_Avion!$C$6:$Z$6=G$58)*(Roadmap_Avion!$C$7:$Z$7=G$59),Roadmap_Avion!$C$8:$Z$38,0))</f>
        <v>0.5</v>
      </c>
      <c r="H111" s="348">
        <f t="array" ref="H111">SUM(IF((Roadmap_Avion!$B$8:$B$38=$B111)*(Roadmap_Avion!$C$4:$Z$4=H$56)*(Roadmap_Avion!$C$6:$Z$6=H$58)*(Roadmap_Avion!$C$7:$Z$7=H$59),Roadmap_Avion!$C$8:$Z$38,0))</f>
        <v>0</v>
      </c>
      <c r="I111" s="346">
        <f t="array" ref="I111">SUM(IF((Roadmap_Avion!$B$8:$B$38=$B111)*(Roadmap_Avion!$C$4:$Z$4=I$56)*(Roadmap_Avion!$C$6:$Z$6=I$58)*(Roadmap_Avion!$C$7:$Z$7=I$59),Roadmap_Avion!$C$8:$Z$38,0))</f>
        <v>0.8</v>
      </c>
      <c r="J111" s="347">
        <f t="array" ref="J111">SUM(IF((Roadmap_Avion!$B$8:$B$38=$B111)*(Roadmap_Avion!$C$4:$Z$4=J$56)*(Roadmap_Avion!$C$6:$Z$6=J$58)*(Roadmap_Avion!$C$7:$Z$7=J$59),Roadmap_Avion!$C$8:$Z$38,0))</f>
        <v>0.5</v>
      </c>
      <c r="K111" s="348">
        <f t="array" ref="K111">SUM(IF((Roadmap_Avion!$B$8:$B$38=$B111)*(Roadmap_Avion!$C$4:$Z$4=K$56)*(Roadmap_Avion!$C$6:$Z$6=K$58)*(Roadmap_Avion!$C$7:$Z$7=K$59),Roadmap_Avion!$C$8:$Z$38,0))</f>
        <v>0</v>
      </c>
      <c r="L111" s="346">
        <f t="array" ref="L111">SUM(IF((Roadmap_Avion!$B$8:$B$38=$B111)*(Roadmap_Avion!$C$4:$Z$4=L$56)*(Roadmap_Avion!$C$6:$Z$6=L$58)*(Roadmap_Avion!$C$7:$Z$7=L$59),Roadmap_Avion!$C$8:$Z$38,0))</f>
        <v>0.75</v>
      </c>
      <c r="M111" s="347">
        <f t="array" ref="M111">SUM(IF((Roadmap_Avion!$B$8:$B$38=$B111)*(Roadmap_Avion!$C$4:$Z$4=M$56)*(Roadmap_Avion!$C$6:$Z$6=M$58)*(Roadmap_Avion!$C$7:$Z$7=M$59),Roadmap_Avion!$C$8:$Z$38,0))</f>
        <v>0.5</v>
      </c>
      <c r="N111" s="348">
        <f t="array" ref="N111">SUM(IF((Roadmap_Avion!$B$8:$B$38=$B111)*(Roadmap_Avion!$C$4:$Z$4=N$56)*(Roadmap_Avion!$C$6:$Z$6=N$58)*(Roadmap_Avion!$C$7:$Z$7=N$59),Roadmap_Avion!$C$8:$Z$38,0))</f>
        <v>0</v>
      </c>
      <c r="O111" s="781">
        <f t="array" ref="O111">SUM(IF((Prod_Carburant_Alt!$A$7:$A$37=$B111)*(Prod_Carburant_Alt!$B$3:$AI$3=O$56)*(Prod_Carburant_Alt!$B$5:$AI$5='Synthèse scénarios'!O$58)*(Prod_Carburant_Alt!$B$6:$AI$6=O$59),Prod_Carburant_Alt!$B$7:$AI$37,0))</f>
        <v>9.77604463048851</v>
      </c>
      <c r="P111" s="782">
        <f t="array" ref="P111">SUM(IF((Prod_Carburant_Alt!$A$7:$A$37=$B111)*(Prod_Carburant_Alt!$B$3:$AI$3=P$56)*(Prod_Carburant_Alt!$B$5:$AI$5='Synthèse scénarios'!P$58)*(Prod_Carburant_Alt!$B$6:$AI$6=P$59),Prod_Carburant_Alt!$B$7:$AI$37,0))</f>
        <v>0.20438251753392203</v>
      </c>
      <c r="Q111" s="784">
        <f t="array" ref="Q111">SUM(IF((Prod_Carburant_Alt!$A$7:$A$37=$B111)*(Prod_Carburant_Alt!$B$3:$AI$3=Q$56)*(Prod_Carburant_Alt!$B$5:$AI$5='Synthèse scénarios'!Q$58)*(Prod_Carburant_Alt!$B$6:$AI$6=Q$59),Prod_Carburant_Alt!$B$7:$AI$37,0))</f>
        <v>0</v>
      </c>
      <c r="R111" s="621">
        <f>'Calculs Scénario CHARLIE'!BF24</f>
        <v>9.6600000000000019E-2</v>
      </c>
      <c r="S111" s="622">
        <f>'Calculs Scénario CHARLIE'!BE24</f>
        <v>1132.6368391040069</v>
      </c>
      <c r="T111" s="623">
        <f>'Calculs Scénario CHARLIE'!CG24</f>
        <v>2.5751828881239801E-2</v>
      </c>
      <c r="U111" s="622">
        <f>'Calculs Scénario CHARLIE'!CF24</f>
        <v>1103.4693690388121</v>
      </c>
      <c r="V111" s="624">
        <f>'Calculs Scénario CHARLIE'!CI24</f>
        <v>12.914269992602158</v>
      </c>
      <c r="W111" s="624">
        <f>'Calculs Scénario CHARLIE'!CB24</f>
        <v>0</v>
      </c>
      <c r="X111" s="625">
        <f>'Calculs Scénario CHARLIE'!CD24</f>
        <v>0</v>
      </c>
    </row>
    <row r="112" spans="2:24" ht="15">
      <c r="B112" s="620">
        <v>2029</v>
      </c>
      <c r="C112" s="346">
        <f t="array" ref="C112">SUM(IF((Roadmap_Avion!$B$8:$B$38=$B112)*(Roadmap_Avion!$C$4:$Z$4=C$56)*(Roadmap_Avion!$C$6:$Z$6=C$58)*(Roadmap_Avion!$C$7:$Z$7=C$59),Roadmap_Avion!$C$8:$Z$38,0))</f>
        <v>1</v>
      </c>
      <c r="D112" s="347">
        <f t="array" ref="D112">SUM(IF((Roadmap_Avion!$B$8:$B$38=$B112)*(Roadmap_Avion!$C$4:$Z$4=D$56)*(Roadmap_Avion!$C$6:$Z$6=D$58)*(Roadmap_Avion!$C$7:$Z$7=D$59),Roadmap_Avion!$C$8:$Z$38,0))</f>
        <v>0.5</v>
      </c>
      <c r="E112" s="348">
        <f t="array" ref="E112">SUM(IF((Roadmap_Avion!$B$8:$B$38=$B112)*(Roadmap_Avion!$C$4:$Z$4=E$56)*(Roadmap_Avion!$C$6:$Z$6=E$58)*(Roadmap_Avion!$C$7:$Z$7=E$59),Roadmap_Avion!$C$8:$Z$38,0))</f>
        <v>0</v>
      </c>
      <c r="F112" s="346">
        <f t="array" ref="F112">SUM(IF((Roadmap_Avion!$B$8:$B$38=$B112)*(Roadmap_Avion!$C$4:$Z$4=F$56)*(Roadmap_Avion!$C$6:$Z$6=F$58)*(Roadmap_Avion!$C$7:$Z$7=F$59),Roadmap_Avion!$C$8:$Z$38,0))</f>
        <v>1</v>
      </c>
      <c r="G112" s="347">
        <f t="array" ref="G112">SUM(IF((Roadmap_Avion!$B$8:$B$38=$B112)*(Roadmap_Avion!$C$4:$Z$4=G$56)*(Roadmap_Avion!$C$6:$Z$6=G$58)*(Roadmap_Avion!$C$7:$Z$7=G$59),Roadmap_Avion!$C$8:$Z$38,0))</f>
        <v>0.5</v>
      </c>
      <c r="H112" s="348">
        <f t="array" ref="H112">SUM(IF((Roadmap_Avion!$B$8:$B$38=$B112)*(Roadmap_Avion!$C$4:$Z$4=H$56)*(Roadmap_Avion!$C$6:$Z$6=H$58)*(Roadmap_Avion!$C$7:$Z$7=H$59),Roadmap_Avion!$C$8:$Z$38,0))</f>
        <v>0</v>
      </c>
      <c r="I112" s="346">
        <f t="array" ref="I112">SUM(IF((Roadmap_Avion!$B$8:$B$38=$B112)*(Roadmap_Avion!$C$4:$Z$4=I$56)*(Roadmap_Avion!$C$6:$Z$6=I$58)*(Roadmap_Avion!$C$7:$Z$7=I$59),Roadmap_Avion!$C$8:$Z$38,0))</f>
        <v>0.8</v>
      </c>
      <c r="J112" s="347">
        <f t="array" ref="J112">SUM(IF((Roadmap_Avion!$B$8:$B$38=$B112)*(Roadmap_Avion!$C$4:$Z$4=J$56)*(Roadmap_Avion!$C$6:$Z$6=J$58)*(Roadmap_Avion!$C$7:$Z$7=J$59),Roadmap_Avion!$C$8:$Z$38,0))</f>
        <v>0.5</v>
      </c>
      <c r="K112" s="348">
        <f t="array" ref="K112">SUM(IF((Roadmap_Avion!$B$8:$B$38=$B112)*(Roadmap_Avion!$C$4:$Z$4=K$56)*(Roadmap_Avion!$C$6:$Z$6=K$58)*(Roadmap_Avion!$C$7:$Z$7=K$59),Roadmap_Avion!$C$8:$Z$38,0))</f>
        <v>0</v>
      </c>
      <c r="L112" s="346">
        <f t="array" ref="L112">SUM(IF((Roadmap_Avion!$B$8:$B$38=$B112)*(Roadmap_Avion!$C$4:$Z$4=L$56)*(Roadmap_Avion!$C$6:$Z$6=L$58)*(Roadmap_Avion!$C$7:$Z$7=L$59),Roadmap_Avion!$C$8:$Z$38,0))</f>
        <v>0.75</v>
      </c>
      <c r="M112" s="347">
        <f t="array" ref="M112">SUM(IF((Roadmap_Avion!$B$8:$B$38=$B112)*(Roadmap_Avion!$C$4:$Z$4=M$56)*(Roadmap_Avion!$C$6:$Z$6=M$58)*(Roadmap_Avion!$C$7:$Z$7=M$59),Roadmap_Avion!$C$8:$Z$38,0))</f>
        <v>0.5</v>
      </c>
      <c r="N112" s="348">
        <f t="array" ref="N112">SUM(IF((Roadmap_Avion!$B$8:$B$38=$B112)*(Roadmap_Avion!$C$4:$Z$4=N$56)*(Roadmap_Avion!$C$6:$Z$6=N$58)*(Roadmap_Avion!$C$7:$Z$7=N$59),Roadmap_Avion!$C$8:$Z$38,0))</f>
        <v>0</v>
      </c>
      <c r="O112" s="781">
        <f t="array" ref="O112">SUM(IF((Prod_Carburant_Alt!$A$7:$A$37=$B112)*(Prod_Carburant_Alt!$B$3:$AI$3=O$56)*(Prod_Carburant_Alt!$B$5:$AI$5='Synthèse scénarios'!O$58)*(Prod_Carburant_Alt!$B$6:$AI$6=O$59),Prod_Carburant_Alt!$B$7:$AI$37,0))</f>
        <v>12.220055788110637</v>
      </c>
      <c r="P112" s="782">
        <f t="array" ref="P112">SUM(IF((Prod_Carburant_Alt!$A$7:$A$37=$B112)*(Prod_Carburant_Alt!$B$3:$AI$3=P$56)*(Prod_Carburant_Alt!$B$5:$AI$5='Synthèse scénarios'!P$58)*(Prod_Carburant_Alt!$B$6:$AI$6=P$59),Prod_Carburant_Alt!$B$7:$AI$37,0))</f>
        <v>0.20438251753392203</v>
      </c>
      <c r="Q112" s="784">
        <f t="array" ref="Q112">SUM(IF((Prod_Carburant_Alt!$A$7:$A$37=$B112)*(Prod_Carburant_Alt!$B$3:$AI$3=Q$56)*(Prod_Carburant_Alt!$B$5:$AI$5='Synthèse scénarios'!Q$58)*(Prod_Carburant_Alt!$B$6:$AI$6=Q$59),Prod_Carburant_Alt!$B$7:$AI$37,0))</f>
        <v>0</v>
      </c>
      <c r="R112" s="621">
        <f>'Calculs Scénario CHARLIE'!BF25</f>
        <v>0.11039999999999994</v>
      </c>
      <c r="S112" s="622">
        <f>'Calculs Scénario CHARLIE'!BE25</f>
        <v>1158.7045138038204</v>
      </c>
      <c r="T112" s="623">
        <f>'Calculs Scénario CHARLIE'!CG25</f>
        <v>3.1465604170129724E-2</v>
      </c>
      <c r="U112" s="622">
        <f>'Calculs Scénario CHARLIE'!CF25</f>
        <v>1122.2451762223268</v>
      </c>
      <c r="V112" s="624">
        <f>'Calculs Scénario CHARLIE'!CI25</f>
        <v>28.685948026754431</v>
      </c>
      <c r="W112" s="624">
        <f>'Calculs Scénario CHARLIE'!CB25</f>
        <v>0</v>
      </c>
      <c r="X112" s="625">
        <f>'Calculs Scénario CHARLIE'!CD25</f>
        <v>0</v>
      </c>
    </row>
    <row r="113" spans="2:24" ht="15">
      <c r="B113" s="620">
        <v>2030</v>
      </c>
      <c r="C113" s="346">
        <f t="array" ref="C113">SUM(IF((Roadmap_Avion!$B$8:$B$38=$B113)*(Roadmap_Avion!$C$4:$Z$4=C$56)*(Roadmap_Avion!$C$6:$Z$6=C$58)*(Roadmap_Avion!$C$7:$Z$7=C$59),Roadmap_Avion!$C$8:$Z$38,0))</f>
        <v>0.5</v>
      </c>
      <c r="D113" s="347">
        <f t="array" ref="D113">SUM(IF((Roadmap_Avion!$B$8:$B$38=$B113)*(Roadmap_Avion!$C$4:$Z$4=D$56)*(Roadmap_Avion!$C$6:$Z$6=D$58)*(Roadmap_Avion!$C$7:$Z$7=D$59),Roadmap_Avion!$C$8:$Z$38,0))</f>
        <v>0.25</v>
      </c>
      <c r="E113" s="348">
        <f t="array" ref="E113">SUM(IF((Roadmap_Avion!$B$8:$B$38=$B113)*(Roadmap_Avion!$C$4:$Z$4=E$56)*(Roadmap_Avion!$C$6:$Z$6=E$58)*(Roadmap_Avion!$C$7:$Z$7=E$59),Roadmap_Avion!$C$8:$Z$38,0))</f>
        <v>0</v>
      </c>
      <c r="F113" s="346">
        <f t="array" ref="F113">SUM(IF((Roadmap_Avion!$B$8:$B$38=$B113)*(Roadmap_Avion!$C$4:$Z$4=F$56)*(Roadmap_Avion!$C$6:$Z$6=F$58)*(Roadmap_Avion!$C$7:$Z$7=F$59),Roadmap_Avion!$C$8:$Z$38,0))</f>
        <v>0.9</v>
      </c>
      <c r="G113" s="347">
        <f t="array" ref="G113">SUM(IF((Roadmap_Avion!$B$8:$B$38=$B113)*(Roadmap_Avion!$C$4:$Z$4=G$56)*(Roadmap_Avion!$C$6:$Z$6=G$58)*(Roadmap_Avion!$C$7:$Z$7=G$59),Roadmap_Avion!$C$8:$Z$38,0))</f>
        <v>0.5</v>
      </c>
      <c r="H113" s="348">
        <f t="array" ref="H113">SUM(IF((Roadmap_Avion!$B$8:$B$38=$B113)*(Roadmap_Avion!$C$4:$Z$4=H$56)*(Roadmap_Avion!$C$6:$Z$6=H$58)*(Roadmap_Avion!$C$7:$Z$7=H$59),Roadmap_Avion!$C$8:$Z$38,0))</f>
        <v>0</v>
      </c>
      <c r="I113" s="346">
        <f t="array" ref="I113">SUM(IF((Roadmap_Avion!$B$8:$B$38=$B113)*(Roadmap_Avion!$C$4:$Z$4=I$56)*(Roadmap_Avion!$C$6:$Z$6=I$58)*(Roadmap_Avion!$C$7:$Z$7=I$59),Roadmap_Avion!$C$8:$Z$38,0))</f>
        <v>0.8</v>
      </c>
      <c r="J113" s="347">
        <f t="array" ref="J113">SUM(IF((Roadmap_Avion!$B$8:$B$38=$B113)*(Roadmap_Avion!$C$4:$Z$4=J$56)*(Roadmap_Avion!$C$6:$Z$6=J$58)*(Roadmap_Avion!$C$7:$Z$7=J$59),Roadmap_Avion!$C$8:$Z$38,0))</f>
        <v>0.5</v>
      </c>
      <c r="K113" s="348">
        <f t="array" ref="K113">SUM(IF((Roadmap_Avion!$B$8:$B$38=$B113)*(Roadmap_Avion!$C$4:$Z$4=K$56)*(Roadmap_Avion!$C$6:$Z$6=K$58)*(Roadmap_Avion!$C$7:$Z$7=K$59),Roadmap_Avion!$C$8:$Z$38,0))</f>
        <v>0</v>
      </c>
      <c r="L113" s="346">
        <f t="array" ref="L113">SUM(IF((Roadmap_Avion!$B$8:$B$38=$B113)*(Roadmap_Avion!$C$4:$Z$4=L$56)*(Roadmap_Avion!$C$6:$Z$6=L$58)*(Roadmap_Avion!$C$7:$Z$7=L$59),Roadmap_Avion!$C$8:$Z$38,0))</f>
        <v>0.75</v>
      </c>
      <c r="M113" s="347">
        <f t="array" ref="M113">SUM(IF((Roadmap_Avion!$B$8:$B$38=$B113)*(Roadmap_Avion!$C$4:$Z$4=M$56)*(Roadmap_Avion!$C$6:$Z$6=M$58)*(Roadmap_Avion!$C$7:$Z$7=M$59),Roadmap_Avion!$C$8:$Z$38,0))</f>
        <v>0.5</v>
      </c>
      <c r="N113" s="348">
        <f t="array" ref="N113">SUM(IF((Roadmap_Avion!$B$8:$B$38=$B113)*(Roadmap_Avion!$C$4:$Z$4=N$56)*(Roadmap_Avion!$C$6:$Z$6=N$58)*(Roadmap_Avion!$C$7:$Z$7=N$59),Roadmap_Avion!$C$8:$Z$38,0))</f>
        <v>0</v>
      </c>
      <c r="O113" s="781">
        <f t="array" ref="O113">SUM(IF((Prod_Carburant_Alt!$A$7:$A$37=$B113)*(Prod_Carburant_Alt!$B$3:$AI$3=O$56)*(Prod_Carburant_Alt!$B$5:$AI$5='Synthèse scénarios'!O$58)*(Prod_Carburant_Alt!$B$6:$AI$6=O$59),Prod_Carburant_Alt!$B$7:$AI$37,0))</f>
        <v>15.275069735138295</v>
      </c>
      <c r="P113" s="782">
        <f t="array" ref="P113">SUM(IF((Prod_Carburant_Alt!$A$7:$A$37=$B113)*(Prod_Carburant_Alt!$B$3:$AI$3=P$56)*(Prod_Carburant_Alt!$B$5:$AI$5='Synthèse scénarios'!P$58)*(Prod_Carburant_Alt!$B$6:$AI$6=P$59),Prod_Carburant_Alt!$B$7:$AI$37,0))</f>
        <v>0.204382517533922</v>
      </c>
      <c r="Q113" s="370">
        <f t="array" ref="Q113">SUM(IF((Prod_Carburant_Alt!$A$7:$A$37=$B113)*(Prod_Carburant_Alt!$B$3:$AI$3=Q$56)*(Prod_Carburant_Alt!$B$5:$AI$5='Synthèse scénarios'!Q$58)*(Prod_Carburant_Alt!$B$6:$AI$6=Q$59),Prod_Carburant_Alt!$B$7:$AI$37,0))</f>
        <v>3.0522444079862554</v>
      </c>
      <c r="R113" s="621">
        <f>'Calculs Scénario CHARLIE'!BF26</f>
        <v>0.12473333333333336</v>
      </c>
      <c r="S113" s="622">
        <f>'Calculs Scénario CHARLIE'!BE26</f>
        <v>1184.2301716467794</v>
      </c>
      <c r="T113" s="623">
        <f>'Calculs Scénario CHARLIE'!CG26</f>
        <v>4.6865632520302326E-2</v>
      </c>
      <c r="U113" s="622">
        <f>'Calculs Scénario CHARLIE'!CF26</f>
        <v>1128.7304756029268</v>
      </c>
      <c r="V113" s="624">
        <f>'Calculs Scénario CHARLIE'!CI26</f>
        <v>32.856469837569762</v>
      </c>
      <c r="W113" s="624">
        <f>'Calculs Scénario CHARLIE'!CB26</f>
        <v>138.21749663298201</v>
      </c>
      <c r="X113" s="625">
        <f>'Calculs Scénario CHARLIE'!CD26</f>
        <v>9.8375442443403571E-2</v>
      </c>
    </row>
    <row r="114" spans="2:24" ht="15">
      <c r="B114" s="620">
        <v>2031</v>
      </c>
      <c r="C114" s="346">
        <f t="array" ref="C114">SUM(IF((Roadmap_Avion!$B$8:$B$38=$B114)*(Roadmap_Avion!$C$4:$Z$4=C$56)*(Roadmap_Avion!$C$6:$Z$6=C$58)*(Roadmap_Avion!$C$7:$Z$7=C$59),Roadmap_Avion!$C$8:$Z$38,0))</f>
        <v>0.5</v>
      </c>
      <c r="D114" s="347">
        <f t="array" ref="D114">SUM(IF((Roadmap_Avion!$B$8:$B$38=$B114)*(Roadmap_Avion!$C$4:$Z$4=D$56)*(Roadmap_Avion!$C$6:$Z$6=D$58)*(Roadmap_Avion!$C$7:$Z$7=D$59),Roadmap_Avion!$C$8:$Z$38,0))</f>
        <v>0.25</v>
      </c>
      <c r="E114" s="348">
        <f t="array" ref="E114">SUM(IF((Roadmap_Avion!$B$8:$B$38=$B114)*(Roadmap_Avion!$C$4:$Z$4=E$56)*(Roadmap_Avion!$C$6:$Z$6=E$58)*(Roadmap_Avion!$C$7:$Z$7=E$59),Roadmap_Avion!$C$8:$Z$38,0))</f>
        <v>0</v>
      </c>
      <c r="F114" s="346">
        <f t="array" ref="F114">SUM(IF((Roadmap_Avion!$B$8:$B$38=$B114)*(Roadmap_Avion!$C$4:$Z$4=F$56)*(Roadmap_Avion!$C$6:$Z$6=F$58)*(Roadmap_Avion!$C$7:$Z$7=F$59),Roadmap_Avion!$C$8:$Z$38,0))</f>
        <v>0.9</v>
      </c>
      <c r="G114" s="347">
        <f t="array" ref="G114">SUM(IF((Roadmap_Avion!$B$8:$B$38=$B114)*(Roadmap_Avion!$C$4:$Z$4=G$56)*(Roadmap_Avion!$C$6:$Z$6=G$58)*(Roadmap_Avion!$C$7:$Z$7=G$59),Roadmap_Avion!$C$8:$Z$38,0))</f>
        <v>0.5</v>
      </c>
      <c r="H114" s="348">
        <f t="array" ref="H114">SUM(IF((Roadmap_Avion!$B$8:$B$38=$B114)*(Roadmap_Avion!$C$4:$Z$4=H$56)*(Roadmap_Avion!$C$6:$Z$6=H$58)*(Roadmap_Avion!$C$7:$Z$7=H$59),Roadmap_Avion!$C$8:$Z$38,0))</f>
        <v>0</v>
      </c>
      <c r="I114" s="346">
        <f t="array" ref="I114">SUM(IF((Roadmap_Avion!$B$8:$B$38=$B114)*(Roadmap_Avion!$C$4:$Z$4=I$56)*(Roadmap_Avion!$C$6:$Z$6=I$58)*(Roadmap_Avion!$C$7:$Z$7=I$59),Roadmap_Avion!$C$8:$Z$38,0))</f>
        <v>0.8</v>
      </c>
      <c r="J114" s="347">
        <f t="array" ref="J114">SUM(IF((Roadmap_Avion!$B$8:$B$38=$B114)*(Roadmap_Avion!$C$4:$Z$4=J$56)*(Roadmap_Avion!$C$6:$Z$6=J$58)*(Roadmap_Avion!$C$7:$Z$7=J$59),Roadmap_Avion!$C$8:$Z$38,0))</f>
        <v>0.5</v>
      </c>
      <c r="K114" s="348">
        <f t="array" ref="K114">SUM(IF((Roadmap_Avion!$B$8:$B$38=$B114)*(Roadmap_Avion!$C$4:$Z$4=K$56)*(Roadmap_Avion!$C$6:$Z$6=K$58)*(Roadmap_Avion!$C$7:$Z$7=K$59),Roadmap_Avion!$C$8:$Z$38,0))</f>
        <v>0</v>
      </c>
      <c r="L114" s="346">
        <f t="array" ref="L114">SUM(IF((Roadmap_Avion!$B$8:$B$38=$B114)*(Roadmap_Avion!$C$4:$Z$4=L$56)*(Roadmap_Avion!$C$6:$Z$6=L$58)*(Roadmap_Avion!$C$7:$Z$7=L$59),Roadmap_Avion!$C$8:$Z$38,0))</f>
        <v>0.75</v>
      </c>
      <c r="M114" s="347">
        <f t="array" ref="M114">SUM(IF((Roadmap_Avion!$B$8:$B$38=$B114)*(Roadmap_Avion!$C$4:$Z$4=M$56)*(Roadmap_Avion!$C$6:$Z$6=M$58)*(Roadmap_Avion!$C$7:$Z$7=M$59),Roadmap_Avion!$C$8:$Z$38,0))</f>
        <v>0.5</v>
      </c>
      <c r="N114" s="348">
        <f t="array" ref="N114">SUM(IF((Roadmap_Avion!$B$8:$B$38=$B114)*(Roadmap_Avion!$C$4:$Z$4=N$56)*(Roadmap_Avion!$C$6:$Z$6=N$58)*(Roadmap_Avion!$C$7:$Z$7=N$59),Roadmap_Avion!$C$8:$Z$38,0))</f>
        <v>0</v>
      </c>
      <c r="O114" s="781">
        <f t="array" ref="O114">SUM(IF((Prod_Carburant_Alt!$A$7:$A$37=$B114)*(Prod_Carburant_Alt!$B$3:$AI$3=O$56)*(Prod_Carburant_Alt!$B$5:$AI$5='Synthèse scénarios'!O$58)*(Prod_Carburant_Alt!$B$6:$AI$6=O$59),Prod_Carburant_Alt!$B$7:$AI$37,0))</f>
        <v>17.566330195409037</v>
      </c>
      <c r="P114" s="782">
        <f t="array" ref="P114">SUM(IF((Prod_Carburant_Alt!$A$7:$A$37=$B114)*(Prod_Carburant_Alt!$B$3:$AI$3=P$56)*(Prod_Carburant_Alt!$B$5:$AI$5='Synthèse scénarios'!P$58)*(Prod_Carburant_Alt!$B$6:$AI$6=P$59),Prod_Carburant_Alt!$B$7:$AI$37,0))</f>
        <v>0.20438251753392203</v>
      </c>
      <c r="Q114" s="784">
        <f t="array" ref="Q114">SUM(IF((Prod_Carburant_Alt!$A$7:$A$37=$B114)*(Prod_Carburant_Alt!$B$3:$AI$3=Q$56)*(Prod_Carburant_Alt!$B$5:$AI$5='Synthèse scénarios'!Q$58)*(Prod_Carburant_Alt!$B$6:$AI$6=Q$59),Prod_Carburant_Alt!$B$7:$AI$37,0))</f>
        <v>3.815305509982819</v>
      </c>
      <c r="R114" s="621">
        <f>'Calculs Scénario CHARLIE'!BF27</f>
        <v>0.13906666666666678</v>
      </c>
      <c r="S114" s="622">
        <f>'Calculs Scénario CHARLIE'!BE27</f>
        <v>1209.8407628271182</v>
      </c>
      <c r="T114" s="623">
        <f>'Calculs Scénario CHARLIE'!CG27</f>
        <v>5.3574986765751148E-2</v>
      </c>
      <c r="U114" s="622">
        <f>'Calculs Scénario CHARLIE'!CF27</f>
        <v>1145.023559969989</v>
      </c>
      <c r="V114" s="624">
        <f>'Calculs Scénario CHARLIE'!CI27</f>
        <v>46.223378288679783</v>
      </c>
      <c r="W114" s="624">
        <f>'Calculs Scénario CHARLIE'!CB27</f>
        <v>172.77187079122751</v>
      </c>
      <c r="X114" s="625">
        <f>'Calculs Scénario CHARLIE'!CD27</f>
        <v>0.12296930305425446</v>
      </c>
    </row>
    <row r="115" spans="2:24" ht="15">
      <c r="B115" s="620">
        <v>2032</v>
      </c>
      <c r="C115" s="346">
        <f t="array" ref="C115">SUM(IF((Roadmap_Avion!$B$8:$B$38=$B115)*(Roadmap_Avion!$C$4:$Z$4=C$56)*(Roadmap_Avion!$C$6:$Z$6=C$58)*(Roadmap_Avion!$C$7:$Z$7=C$59),Roadmap_Avion!$C$8:$Z$38,0))</f>
        <v>0.5</v>
      </c>
      <c r="D115" s="347">
        <f t="array" ref="D115">SUM(IF((Roadmap_Avion!$B$8:$B$38=$B115)*(Roadmap_Avion!$C$4:$Z$4=D$56)*(Roadmap_Avion!$C$6:$Z$6=D$58)*(Roadmap_Avion!$C$7:$Z$7=D$59),Roadmap_Avion!$C$8:$Z$38,0))</f>
        <v>0.25</v>
      </c>
      <c r="E115" s="348">
        <f t="array" ref="E115">SUM(IF((Roadmap_Avion!$B$8:$B$38=$B115)*(Roadmap_Avion!$C$4:$Z$4=E$56)*(Roadmap_Avion!$C$6:$Z$6=E$58)*(Roadmap_Avion!$C$7:$Z$7=E$59),Roadmap_Avion!$C$8:$Z$38,0))</f>
        <v>0</v>
      </c>
      <c r="F115" s="346">
        <f t="array" ref="F115">SUM(IF((Roadmap_Avion!$B$8:$B$38=$B115)*(Roadmap_Avion!$C$4:$Z$4=F$56)*(Roadmap_Avion!$C$6:$Z$6=F$58)*(Roadmap_Avion!$C$7:$Z$7=F$59),Roadmap_Avion!$C$8:$Z$38,0))</f>
        <v>0.9</v>
      </c>
      <c r="G115" s="347">
        <f t="array" ref="G115">SUM(IF((Roadmap_Avion!$B$8:$B$38=$B115)*(Roadmap_Avion!$C$4:$Z$4=G$56)*(Roadmap_Avion!$C$6:$Z$6=G$58)*(Roadmap_Avion!$C$7:$Z$7=G$59),Roadmap_Avion!$C$8:$Z$38,0))</f>
        <v>0.5</v>
      </c>
      <c r="H115" s="348">
        <f t="array" ref="H115">SUM(IF((Roadmap_Avion!$B$8:$B$38=$B115)*(Roadmap_Avion!$C$4:$Z$4=H$56)*(Roadmap_Avion!$C$6:$Z$6=H$58)*(Roadmap_Avion!$C$7:$Z$7=H$59),Roadmap_Avion!$C$8:$Z$38,0))</f>
        <v>0</v>
      </c>
      <c r="I115" s="346">
        <f t="array" ref="I115">SUM(IF((Roadmap_Avion!$B$8:$B$38=$B115)*(Roadmap_Avion!$C$4:$Z$4=I$56)*(Roadmap_Avion!$C$6:$Z$6=I$58)*(Roadmap_Avion!$C$7:$Z$7=I$59),Roadmap_Avion!$C$8:$Z$38,0))</f>
        <v>0.75</v>
      </c>
      <c r="J115" s="347">
        <f t="array" ref="J115">SUM(IF((Roadmap_Avion!$B$8:$B$38=$B115)*(Roadmap_Avion!$C$4:$Z$4=J$56)*(Roadmap_Avion!$C$6:$Z$6=J$58)*(Roadmap_Avion!$C$7:$Z$7=J$59),Roadmap_Avion!$C$8:$Z$38,0))</f>
        <v>0.5</v>
      </c>
      <c r="K115" s="348">
        <f t="array" ref="K115">SUM(IF((Roadmap_Avion!$B$8:$B$38=$B115)*(Roadmap_Avion!$C$4:$Z$4=K$56)*(Roadmap_Avion!$C$6:$Z$6=K$58)*(Roadmap_Avion!$C$7:$Z$7=K$59),Roadmap_Avion!$C$8:$Z$38,0))</f>
        <v>0</v>
      </c>
      <c r="L115" s="346">
        <f t="array" ref="L115">SUM(IF((Roadmap_Avion!$B$8:$B$38=$B115)*(Roadmap_Avion!$C$4:$Z$4=L$56)*(Roadmap_Avion!$C$6:$Z$6=L$58)*(Roadmap_Avion!$C$7:$Z$7=L$59),Roadmap_Avion!$C$8:$Z$38,0))</f>
        <v>0.75</v>
      </c>
      <c r="M115" s="347">
        <f t="array" ref="M115">SUM(IF((Roadmap_Avion!$B$8:$B$38=$B115)*(Roadmap_Avion!$C$4:$Z$4=M$56)*(Roadmap_Avion!$C$6:$Z$6=M$58)*(Roadmap_Avion!$C$7:$Z$7=M$59),Roadmap_Avion!$C$8:$Z$38,0))</f>
        <v>0.5</v>
      </c>
      <c r="N115" s="348">
        <f t="array" ref="N115">SUM(IF((Roadmap_Avion!$B$8:$B$38=$B115)*(Roadmap_Avion!$C$4:$Z$4=N$56)*(Roadmap_Avion!$C$6:$Z$6=N$58)*(Roadmap_Avion!$C$7:$Z$7=N$59),Roadmap_Avion!$C$8:$Z$38,0))</f>
        <v>0</v>
      </c>
      <c r="O115" s="781">
        <f t="array" ref="O115">SUM(IF((Prod_Carburant_Alt!$A$7:$A$37=$B115)*(Prod_Carburant_Alt!$B$3:$AI$3=O$56)*(Prod_Carburant_Alt!$B$5:$AI$5='Synthèse scénarios'!O$58)*(Prod_Carburant_Alt!$B$6:$AI$6=O$59),Prod_Carburant_Alt!$B$7:$AI$37,0))</f>
        <v>20.201279724720393</v>
      </c>
      <c r="P115" s="782">
        <f t="array" ref="P115">SUM(IF((Prod_Carburant_Alt!$A$7:$A$37=$B115)*(Prod_Carburant_Alt!$B$3:$AI$3=P$56)*(Prod_Carburant_Alt!$B$5:$AI$5='Synthèse scénarios'!P$58)*(Prod_Carburant_Alt!$B$6:$AI$6=P$59),Prod_Carburant_Alt!$B$7:$AI$37,0))</f>
        <v>0.20438251753392198</v>
      </c>
      <c r="Q115" s="784">
        <f t="array" ref="Q115">SUM(IF((Prod_Carburant_Alt!$A$7:$A$37=$B115)*(Prod_Carburant_Alt!$B$3:$AI$3=Q$56)*(Prod_Carburant_Alt!$B$5:$AI$5='Synthèse scénarios'!Q$58)*(Prod_Carburant_Alt!$B$6:$AI$6=Q$59),Prod_Carburant_Alt!$B$7:$AI$37,0))</f>
        <v>4.7691318874785242</v>
      </c>
      <c r="R115" s="621">
        <f>'Calculs Scénario CHARLIE'!BF28</f>
        <v>0.15559999999999996</v>
      </c>
      <c r="S115" s="622">
        <f>'Calculs Scénario CHARLIE'!BE28</f>
        <v>1232.2791537987091</v>
      </c>
      <c r="T115" s="623">
        <f>'Calculs Scénario CHARLIE'!CG28</f>
        <v>6.1496190664644068E-2</v>
      </c>
      <c r="U115" s="622">
        <f>'Calculs Scénario CHARLIE'!CF28</f>
        <v>1156.4986800046374</v>
      </c>
      <c r="V115" s="624">
        <f>'Calculs Scénario CHARLIE'!CI28</f>
        <v>55.463376096256866</v>
      </c>
      <c r="W115" s="624">
        <f>'Calculs Scénario CHARLIE'!CB28</f>
        <v>215.96483848903441</v>
      </c>
      <c r="X115" s="625">
        <f>'Calculs Scénario CHARLIE'!CD28</f>
        <v>0.15371162881781808</v>
      </c>
    </row>
    <row r="116" spans="2:24" ht="15">
      <c r="B116" s="620">
        <v>2033</v>
      </c>
      <c r="C116" s="346">
        <f t="array" ref="C116">SUM(IF((Roadmap_Avion!$B$8:$B$38=$B116)*(Roadmap_Avion!$C$4:$Z$4=C$56)*(Roadmap_Avion!$C$6:$Z$6=C$58)*(Roadmap_Avion!$C$7:$Z$7=C$59),Roadmap_Avion!$C$8:$Z$38,0))</f>
        <v>0.5</v>
      </c>
      <c r="D116" s="347">
        <f t="array" ref="D116">SUM(IF((Roadmap_Avion!$B$8:$B$38=$B116)*(Roadmap_Avion!$C$4:$Z$4=D$56)*(Roadmap_Avion!$C$6:$Z$6=D$58)*(Roadmap_Avion!$C$7:$Z$7=D$59),Roadmap_Avion!$C$8:$Z$38,0))</f>
        <v>0.25</v>
      </c>
      <c r="E116" s="348">
        <f t="array" ref="E116">SUM(IF((Roadmap_Avion!$B$8:$B$38=$B116)*(Roadmap_Avion!$C$4:$Z$4=E$56)*(Roadmap_Avion!$C$6:$Z$6=E$58)*(Roadmap_Avion!$C$7:$Z$7=E$59),Roadmap_Avion!$C$8:$Z$38,0))</f>
        <v>0</v>
      </c>
      <c r="F116" s="346">
        <f t="array" ref="F116">SUM(IF((Roadmap_Avion!$B$8:$B$38=$B116)*(Roadmap_Avion!$C$4:$Z$4=F$56)*(Roadmap_Avion!$C$6:$Z$6=F$58)*(Roadmap_Avion!$C$7:$Z$7=F$59),Roadmap_Avion!$C$8:$Z$38,0))</f>
        <v>0.9</v>
      </c>
      <c r="G116" s="347">
        <f t="array" ref="G116">SUM(IF((Roadmap_Avion!$B$8:$B$38=$B116)*(Roadmap_Avion!$C$4:$Z$4=G$56)*(Roadmap_Avion!$C$6:$Z$6=G$58)*(Roadmap_Avion!$C$7:$Z$7=G$59),Roadmap_Avion!$C$8:$Z$38,0))</f>
        <v>0.5</v>
      </c>
      <c r="H116" s="348">
        <f t="array" ref="H116">SUM(IF((Roadmap_Avion!$B$8:$B$38=$B116)*(Roadmap_Avion!$C$4:$Z$4=H$56)*(Roadmap_Avion!$C$6:$Z$6=H$58)*(Roadmap_Avion!$C$7:$Z$7=H$59),Roadmap_Avion!$C$8:$Z$38,0))</f>
        <v>0</v>
      </c>
      <c r="I116" s="346">
        <f t="array" ref="I116">SUM(IF((Roadmap_Avion!$B$8:$B$38=$B116)*(Roadmap_Avion!$C$4:$Z$4=I$56)*(Roadmap_Avion!$C$6:$Z$6=I$58)*(Roadmap_Avion!$C$7:$Z$7=I$59),Roadmap_Avion!$C$8:$Z$38,0))</f>
        <v>0.75</v>
      </c>
      <c r="J116" s="347">
        <f t="array" ref="J116">SUM(IF((Roadmap_Avion!$B$8:$B$38=$B116)*(Roadmap_Avion!$C$4:$Z$4=J$56)*(Roadmap_Avion!$C$6:$Z$6=J$58)*(Roadmap_Avion!$C$7:$Z$7=J$59),Roadmap_Avion!$C$8:$Z$38,0))</f>
        <v>0.5</v>
      </c>
      <c r="K116" s="348">
        <f t="array" ref="K116">SUM(IF((Roadmap_Avion!$B$8:$B$38=$B116)*(Roadmap_Avion!$C$4:$Z$4=K$56)*(Roadmap_Avion!$C$6:$Z$6=K$58)*(Roadmap_Avion!$C$7:$Z$7=K$59),Roadmap_Avion!$C$8:$Z$38,0))</f>
        <v>0</v>
      </c>
      <c r="L116" s="346">
        <f t="array" ref="L116">SUM(IF((Roadmap_Avion!$B$8:$B$38=$B116)*(Roadmap_Avion!$C$4:$Z$4=L$56)*(Roadmap_Avion!$C$6:$Z$6=L$58)*(Roadmap_Avion!$C$7:$Z$7=L$59),Roadmap_Avion!$C$8:$Z$38,0))</f>
        <v>0.75</v>
      </c>
      <c r="M116" s="347">
        <f t="array" ref="M116">SUM(IF((Roadmap_Avion!$B$8:$B$38=$B116)*(Roadmap_Avion!$C$4:$Z$4=M$56)*(Roadmap_Avion!$C$6:$Z$6=M$58)*(Roadmap_Avion!$C$7:$Z$7=M$59),Roadmap_Avion!$C$8:$Z$38,0))</f>
        <v>0.5</v>
      </c>
      <c r="N116" s="348">
        <f t="array" ref="N116">SUM(IF((Roadmap_Avion!$B$8:$B$38=$B116)*(Roadmap_Avion!$C$4:$Z$4=N$56)*(Roadmap_Avion!$C$6:$Z$6=N$58)*(Roadmap_Avion!$C$7:$Z$7=N$59),Roadmap_Avion!$C$8:$Z$38,0))</f>
        <v>0</v>
      </c>
      <c r="O116" s="781">
        <f t="array" ref="O116">SUM(IF((Prod_Carburant_Alt!$A$7:$A$37=$B116)*(Prod_Carburant_Alt!$B$3:$AI$3=O$56)*(Prod_Carburant_Alt!$B$5:$AI$5='Synthèse scénarios'!O$58)*(Prod_Carburant_Alt!$B$6:$AI$6=O$59),Prod_Carburant_Alt!$B$7:$AI$37,0))</f>
        <v>23.231471683428445</v>
      </c>
      <c r="P116" s="782">
        <f t="array" ref="P116">SUM(IF((Prod_Carburant_Alt!$A$7:$A$37=$B116)*(Prod_Carburant_Alt!$B$3:$AI$3=P$56)*(Prod_Carburant_Alt!$B$5:$AI$5='Synthèse scénarios'!P$58)*(Prod_Carburant_Alt!$B$6:$AI$6=P$59),Prod_Carburant_Alt!$B$7:$AI$37,0))</f>
        <v>0.20438251753392206</v>
      </c>
      <c r="Q116" s="784">
        <f t="array" ref="Q116">SUM(IF((Prod_Carburant_Alt!$A$7:$A$37=$B116)*(Prod_Carburant_Alt!$B$3:$AI$3=Q$56)*(Prod_Carburant_Alt!$B$5:$AI$5='Synthèse scénarios'!Q$58)*(Prod_Carburant_Alt!$B$6:$AI$6=Q$59),Prod_Carburant_Alt!$B$7:$AI$37,0))</f>
        <v>5.9614148593481548</v>
      </c>
      <c r="R116" s="621">
        <f>'Calculs Scénario CHARLIE'!BF29</f>
        <v>0.17213333333333314</v>
      </c>
      <c r="S116" s="622">
        <f>'Calculs Scénario CHARLIE'!BE29</f>
        <v>1254.4579625402955</v>
      </c>
      <c r="T116" s="623">
        <f>'Calculs Scénario CHARLIE'!CG29</f>
        <v>7.0706560639970231E-2</v>
      </c>
      <c r="U116" s="622">
        <f>'Calculs Scénario CHARLIE'!CF29</f>
        <v>1165.7595545416466</v>
      </c>
      <c r="V116" s="624">
        <f>'Calculs Scénario CHARLIE'!CI29</f>
        <v>62.743631930434844</v>
      </c>
      <c r="W116" s="624">
        <f>'Calculs Scénario CHARLIE'!CB29</f>
        <v>269.956048111293</v>
      </c>
      <c r="X116" s="625">
        <f>'Calculs Scénario CHARLIE'!CD29</f>
        <v>0.19213953602227257</v>
      </c>
    </row>
    <row r="117" spans="2:24" ht="15">
      <c r="B117" s="620">
        <v>2034</v>
      </c>
      <c r="C117" s="346">
        <f t="array" ref="C117">SUM(IF((Roadmap_Avion!$B$8:$B$38=$B117)*(Roadmap_Avion!$C$4:$Z$4=C$56)*(Roadmap_Avion!$C$6:$Z$6=C$58)*(Roadmap_Avion!$C$7:$Z$7=C$59),Roadmap_Avion!$C$8:$Z$38,0))</f>
        <v>0.5</v>
      </c>
      <c r="D117" s="347">
        <f t="array" ref="D117">SUM(IF((Roadmap_Avion!$B$8:$B$38=$B117)*(Roadmap_Avion!$C$4:$Z$4=D$56)*(Roadmap_Avion!$C$6:$Z$6=D$58)*(Roadmap_Avion!$C$7:$Z$7=D$59),Roadmap_Avion!$C$8:$Z$38,0))</f>
        <v>0.25</v>
      </c>
      <c r="E117" s="348">
        <f t="array" ref="E117">SUM(IF((Roadmap_Avion!$B$8:$B$38=$B117)*(Roadmap_Avion!$C$4:$Z$4=E$56)*(Roadmap_Avion!$C$6:$Z$6=E$58)*(Roadmap_Avion!$C$7:$Z$7=E$59),Roadmap_Avion!$C$8:$Z$38,0))</f>
        <v>0</v>
      </c>
      <c r="F117" s="346">
        <f t="array" ref="F117">SUM(IF((Roadmap_Avion!$B$8:$B$38=$B117)*(Roadmap_Avion!$C$4:$Z$4=F$56)*(Roadmap_Avion!$C$6:$Z$6=F$58)*(Roadmap_Avion!$C$7:$Z$7=F$59),Roadmap_Avion!$C$8:$Z$38,0))</f>
        <v>0.9</v>
      </c>
      <c r="G117" s="347">
        <f t="array" ref="G117">SUM(IF((Roadmap_Avion!$B$8:$B$38=$B117)*(Roadmap_Avion!$C$4:$Z$4=G$56)*(Roadmap_Avion!$C$6:$Z$6=G$58)*(Roadmap_Avion!$C$7:$Z$7=G$59),Roadmap_Avion!$C$8:$Z$38,0))</f>
        <v>0.5</v>
      </c>
      <c r="H117" s="348">
        <f t="array" ref="H117">SUM(IF((Roadmap_Avion!$B$8:$B$38=$B117)*(Roadmap_Avion!$C$4:$Z$4=H$56)*(Roadmap_Avion!$C$6:$Z$6=H$58)*(Roadmap_Avion!$C$7:$Z$7=H$59),Roadmap_Avion!$C$8:$Z$38,0))</f>
        <v>0</v>
      </c>
      <c r="I117" s="346">
        <f t="array" ref="I117">SUM(IF((Roadmap_Avion!$B$8:$B$38=$B117)*(Roadmap_Avion!$C$4:$Z$4=I$56)*(Roadmap_Avion!$C$6:$Z$6=I$58)*(Roadmap_Avion!$C$7:$Z$7=I$59),Roadmap_Avion!$C$8:$Z$38,0))</f>
        <v>0.75</v>
      </c>
      <c r="J117" s="347">
        <f t="array" ref="J117">SUM(IF((Roadmap_Avion!$B$8:$B$38=$B117)*(Roadmap_Avion!$C$4:$Z$4=J$56)*(Roadmap_Avion!$C$6:$Z$6=J$58)*(Roadmap_Avion!$C$7:$Z$7=J$59),Roadmap_Avion!$C$8:$Z$38,0))</f>
        <v>0.5</v>
      </c>
      <c r="K117" s="348">
        <f t="array" ref="K117">SUM(IF((Roadmap_Avion!$B$8:$B$38=$B117)*(Roadmap_Avion!$C$4:$Z$4=K$56)*(Roadmap_Avion!$C$6:$Z$6=K$58)*(Roadmap_Avion!$C$7:$Z$7=K$59),Roadmap_Avion!$C$8:$Z$38,0))</f>
        <v>0</v>
      </c>
      <c r="L117" s="346">
        <f t="array" ref="L117">SUM(IF((Roadmap_Avion!$B$8:$B$38=$B117)*(Roadmap_Avion!$C$4:$Z$4=L$56)*(Roadmap_Avion!$C$6:$Z$6=L$58)*(Roadmap_Avion!$C$7:$Z$7=L$59),Roadmap_Avion!$C$8:$Z$38,0))</f>
        <v>0.75</v>
      </c>
      <c r="M117" s="347">
        <f t="array" ref="M117">SUM(IF((Roadmap_Avion!$B$8:$B$38=$B117)*(Roadmap_Avion!$C$4:$Z$4=M$56)*(Roadmap_Avion!$C$6:$Z$6=M$58)*(Roadmap_Avion!$C$7:$Z$7=M$59),Roadmap_Avion!$C$8:$Z$38,0))</f>
        <v>0.5</v>
      </c>
      <c r="N117" s="348">
        <f t="array" ref="N117">SUM(IF((Roadmap_Avion!$B$8:$B$38=$B117)*(Roadmap_Avion!$C$4:$Z$4=N$56)*(Roadmap_Avion!$C$6:$Z$6=N$58)*(Roadmap_Avion!$C$7:$Z$7=N$59),Roadmap_Avion!$C$8:$Z$38,0))</f>
        <v>0</v>
      </c>
      <c r="O117" s="781">
        <f t="array" ref="O117">SUM(IF((Prod_Carburant_Alt!$A$7:$A$37=$B117)*(Prod_Carburant_Alt!$B$3:$AI$3=O$56)*(Prod_Carburant_Alt!$B$5:$AI$5='Synthèse scénarios'!O$58)*(Prod_Carburant_Alt!$B$6:$AI$6=O$59),Prod_Carburant_Alt!$B$7:$AI$37,0))</f>
        <v>26.716192435942713</v>
      </c>
      <c r="P117" s="782">
        <f t="array" ref="P117">SUM(IF((Prod_Carburant_Alt!$A$7:$A$37=$B117)*(Prod_Carburant_Alt!$B$3:$AI$3=P$56)*(Prod_Carburant_Alt!$B$5:$AI$5='Synthèse scénarios'!P$58)*(Prod_Carburant_Alt!$B$6:$AI$6=P$59),Prod_Carburant_Alt!$B$7:$AI$37,0))</f>
        <v>0.204382517533922</v>
      </c>
      <c r="Q117" s="784">
        <f t="array" ref="Q117">SUM(IF((Prod_Carburant_Alt!$A$7:$A$37=$B117)*(Prod_Carburant_Alt!$B$3:$AI$3=Q$56)*(Prod_Carburant_Alt!$B$5:$AI$5='Synthèse scénarios'!Q$58)*(Prod_Carburant_Alt!$B$6:$AI$6=Q$59),Prod_Carburant_Alt!$B$7:$AI$37,0))</f>
        <v>7.4517685741851931</v>
      </c>
      <c r="R117" s="621">
        <f>'Calculs Scénario CHARLIE'!BF30</f>
        <v>0.18866666666666676</v>
      </c>
      <c r="S117" s="622">
        <f>'Calculs Scénario CHARLIE'!BE30</f>
        <v>1276.3071824363349</v>
      </c>
      <c r="T117" s="623">
        <f>'Calculs Scénario CHARLIE'!CG30</f>
        <v>8.1439444632259717E-2</v>
      </c>
      <c r="U117" s="622">
        <f>'Calculs Scénario CHARLIE'!CF30</f>
        <v>1172.3654343185556</v>
      </c>
      <c r="V117" s="624">
        <f>'Calculs Scénario CHARLIE'!CI30</f>
        <v>67.66897247190127</v>
      </c>
      <c r="W117" s="624">
        <f>'Calculs Scénario CHARLIE'!CB30</f>
        <v>337.44506013911621</v>
      </c>
      <c r="X117" s="625">
        <f>'Calculs Scénario CHARLIE'!CD30</f>
        <v>0.24017442002784073</v>
      </c>
    </row>
    <row r="118" spans="2:24" ht="15">
      <c r="B118" s="620">
        <v>2035</v>
      </c>
      <c r="C118" s="346">
        <f t="array" ref="C118">SUM(IF((Roadmap_Avion!$B$8:$B$38=$B118)*(Roadmap_Avion!$C$4:$Z$4=C$56)*(Roadmap_Avion!$C$6:$Z$6=C$58)*(Roadmap_Avion!$C$7:$Z$7=C$59),Roadmap_Avion!$C$8:$Z$38,0))</f>
        <v>0.85</v>
      </c>
      <c r="D118" s="347">
        <f t="array" ref="D118">SUM(IF((Roadmap_Avion!$B$8:$B$38=$B118)*(Roadmap_Avion!$C$4:$Z$4=D$56)*(Roadmap_Avion!$C$6:$Z$6=D$58)*(Roadmap_Avion!$C$7:$Z$7=D$59),Roadmap_Avion!$C$8:$Z$38,0))</f>
        <v>0</v>
      </c>
      <c r="E118" s="348">
        <f t="array" ref="E118">SUM(IF((Roadmap_Avion!$B$8:$B$38=$B118)*(Roadmap_Avion!$C$4:$Z$4=E$56)*(Roadmap_Avion!$C$6:$Z$6=E$58)*(Roadmap_Avion!$C$7:$Z$7=E$59),Roadmap_Avion!$C$8:$Z$38,0))</f>
        <v>1</v>
      </c>
      <c r="F118" s="346">
        <f t="array" ref="F118">SUM(IF((Roadmap_Avion!$B$8:$B$38=$B118)*(Roadmap_Avion!$C$4:$Z$4=F$56)*(Roadmap_Avion!$C$6:$Z$6=F$58)*(Roadmap_Avion!$C$7:$Z$7=F$59),Roadmap_Avion!$C$8:$Z$38,0))</f>
        <v>0.5</v>
      </c>
      <c r="G118" s="347">
        <f t="array" ref="G118">SUM(IF((Roadmap_Avion!$B$8:$B$38=$B118)*(Roadmap_Avion!$C$4:$Z$4=G$56)*(Roadmap_Avion!$C$6:$Z$6=G$58)*(Roadmap_Avion!$C$7:$Z$7=G$59),Roadmap_Avion!$C$8:$Z$38,0))</f>
        <v>0.25</v>
      </c>
      <c r="H118" s="348">
        <f t="array" ref="H118">SUM(IF((Roadmap_Avion!$B$8:$B$38=$B118)*(Roadmap_Avion!$C$4:$Z$4=H$56)*(Roadmap_Avion!$C$6:$Z$6=H$58)*(Roadmap_Avion!$C$7:$Z$7=H$59),Roadmap_Avion!$C$8:$Z$38,0))</f>
        <v>0</v>
      </c>
      <c r="I118" s="346">
        <f t="array" ref="I118">SUM(IF((Roadmap_Avion!$B$8:$B$38=$B118)*(Roadmap_Avion!$C$4:$Z$4=I$56)*(Roadmap_Avion!$C$6:$Z$6=I$58)*(Roadmap_Avion!$C$7:$Z$7=I$59),Roadmap_Avion!$C$8:$Z$38,0))</f>
        <v>0.75</v>
      </c>
      <c r="J118" s="347">
        <f t="array" ref="J118">SUM(IF((Roadmap_Avion!$B$8:$B$38=$B118)*(Roadmap_Avion!$C$4:$Z$4=J$56)*(Roadmap_Avion!$C$6:$Z$6=J$58)*(Roadmap_Avion!$C$7:$Z$7=J$59),Roadmap_Avion!$C$8:$Z$38,0))</f>
        <v>0.5</v>
      </c>
      <c r="K118" s="348">
        <f t="array" ref="K118">SUM(IF((Roadmap_Avion!$B$8:$B$38=$B118)*(Roadmap_Avion!$C$4:$Z$4=K$56)*(Roadmap_Avion!$C$6:$Z$6=K$58)*(Roadmap_Avion!$C$7:$Z$7=K$59),Roadmap_Avion!$C$8:$Z$38,0))</f>
        <v>0</v>
      </c>
      <c r="L118" s="346">
        <f t="array" ref="L118">SUM(IF((Roadmap_Avion!$B$8:$B$38=$B118)*(Roadmap_Avion!$C$4:$Z$4=L$56)*(Roadmap_Avion!$C$6:$Z$6=L$58)*(Roadmap_Avion!$C$7:$Z$7=L$59),Roadmap_Avion!$C$8:$Z$38,0))</f>
        <v>0.75</v>
      </c>
      <c r="M118" s="347">
        <f t="array" ref="M118">SUM(IF((Roadmap_Avion!$B$8:$B$38=$B118)*(Roadmap_Avion!$C$4:$Z$4=M$56)*(Roadmap_Avion!$C$6:$Z$6=M$58)*(Roadmap_Avion!$C$7:$Z$7=M$59),Roadmap_Avion!$C$8:$Z$38,0))</f>
        <v>0.5</v>
      </c>
      <c r="N118" s="348">
        <f t="array" ref="N118">SUM(IF((Roadmap_Avion!$B$8:$B$38=$B118)*(Roadmap_Avion!$C$4:$Z$4=N$56)*(Roadmap_Avion!$C$6:$Z$6=N$58)*(Roadmap_Avion!$C$7:$Z$7=N$59),Roadmap_Avion!$C$8:$Z$38,0))</f>
        <v>0</v>
      </c>
      <c r="O118" s="781">
        <f t="array" ref="O118">SUM(IF((Prod_Carburant_Alt!$A$7:$A$37=$B118)*(Prod_Carburant_Alt!$B$3:$AI$3=O$56)*(Prod_Carburant_Alt!$B$5:$AI$5='Synthèse scénarios'!O$58)*(Prod_Carburant_Alt!$B$6:$AI$6=O$59),Prod_Carburant_Alt!$B$7:$AI$37,0))</f>
        <v>30.72362130133412</v>
      </c>
      <c r="P118" s="782">
        <f t="array" ref="P118">SUM(IF((Prod_Carburant_Alt!$A$7:$A$37=$B118)*(Prod_Carburant_Alt!$B$3:$AI$3=P$56)*(Prod_Carburant_Alt!$B$5:$AI$5='Synthèse scénarios'!P$58)*(Prod_Carburant_Alt!$B$6:$AI$6=P$59),Prod_Carburant_Alt!$B$7:$AI$37,0))</f>
        <v>0.204382517533922</v>
      </c>
      <c r="Q118" s="784">
        <f t="array" ref="Q118">SUM(IF((Prod_Carburant_Alt!$A$7:$A$37=$B118)*(Prod_Carburant_Alt!$B$3:$AI$3=Q$56)*(Prod_Carburant_Alt!$B$5:$AI$5='Synthèse scénarios'!Q$58)*(Prod_Carburant_Alt!$B$6:$AI$6=Q$59),Prod_Carburant_Alt!$B$7:$AI$37,0))</f>
        <v>9.3147107177314918</v>
      </c>
      <c r="R118" s="621">
        <f>'Calculs Scénario CHARLIE'!BF31</f>
        <v>0.20576666666666665</v>
      </c>
      <c r="S118" s="622">
        <f>'Calculs Scénario CHARLIE'!BE31</f>
        <v>1296.8250345937506</v>
      </c>
      <c r="T118" s="623">
        <f>'Calculs Scénario CHARLIE'!CG31</f>
        <v>9.4668144241627603E-2</v>
      </c>
      <c r="U118" s="622">
        <f>'Calculs Scénario CHARLIE'!CF31</f>
        <v>1174.0570151626757</v>
      </c>
      <c r="V118" s="624">
        <f>'Calculs Scénario CHARLIE'!CI31</f>
        <v>68.266080047696732</v>
      </c>
      <c r="W118" s="624">
        <f>'Calculs Scénario CHARLIE'!CB31</f>
        <v>426.60310486481586</v>
      </c>
      <c r="X118" s="625">
        <f>'Calculs Scénario CHARLIE'!CD31</f>
        <v>0.30363210310663052</v>
      </c>
    </row>
    <row r="119" spans="2:24" ht="15">
      <c r="B119" s="620">
        <v>2036</v>
      </c>
      <c r="C119" s="346">
        <f t="array" ref="C119">SUM(IF((Roadmap_Avion!$B$8:$B$38=$B119)*(Roadmap_Avion!$C$4:$Z$4=C$56)*(Roadmap_Avion!$C$6:$Z$6=C$58)*(Roadmap_Avion!$C$7:$Z$7=C$59),Roadmap_Avion!$C$8:$Z$38,0))</f>
        <v>0.85</v>
      </c>
      <c r="D119" s="347">
        <f t="array" ref="D119">SUM(IF((Roadmap_Avion!$B$8:$B$38=$B119)*(Roadmap_Avion!$C$4:$Z$4=D$56)*(Roadmap_Avion!$C$6:$Z$6=D$58)*(Roadmap_Avion!$C$7:$Z$7=D$59),Roadmap_Avion!$C$8:$Z$38,0))</f>
        <v>0</v>
      </c>
      <c r="E119" s="348">
        <f t="array" ref="E119">SUM(IF((Roadmap_Avion!$B$8:$B$38=$B119)*(Roadmap_Avion!$C$4:$Z$4=E$56)*(Roadmap_Avion!$C$6:$Z$6=E$58)*(Roadmap_Avion!$C$7:$Z$7=E$59),Roadmap_Avion!$C$8:$Z$38,0))</f>
        <v>1</v>
      </c>
      <c r="F119" s="346">
        <f t="array" ref="F119">SUM(IF((Roadmap_Avion!$B$8:$B$38=$B119)*(Roadmap_Avion!$C$4:$Z$4=F$56)*(Roadmap_Avion!$C$6:$Z$6=F$58)*(Roadmap_Avion!$C$7:$Z$7=F$59),Roadmap_Avion!$C$8:$Z$38,0))</f>
        <v>0.5</v>
      </c>
      <c r="G119" s="347">
        <f t="array" ref="G119">SUM(IF((Roadmap_Avion!$B$8:$B$38=$B119)*(Roadmap_Avion!$C$4:$Z$4=G$56)*(Roadmap_Avion!$C$6:$Z$6=G$58)*(Roadmap_Avion!$C$7:$Z$7=G$59),Roadmap_Avion!$C$8:$Z$38,0))</f>
        <v>0.25</v>
      </c>
      <c r="H119" s="348">
        <f t="array" ref="H119">SUM(IF((Roadmap_Avion!$B$8:$B$38=$B119)*(Roadmap_Avion!$C$4:$Z$4=H$56)*(Roadmap_Avion!$C$6:$Z$6=H$58)*(Roadmap_Avion!$C$7:$Z$7=H$59),Roadmap_Avion!$C$8:$Z$38,0))</f>
        <v>0</v>
      </c>
      <c r="I119" s="346">
        <f t="array" ref="I119">SUM(IF((Roadmap_Avion!$B$8:$B$38=$B119)*(Roadmap_Avion!$C$4:$Z$4=I$56)*(Roadmap_Avion!$C$6:$Z$6=I$58)*(Roadmap_Avion!$C$7:$Z$7=I$59),Roadmap_Avion!$C$8:$Z$38,0))</f>
        <v>0.75</v>
      </c>
      <c r="J119" s="347">
        <f t="array" ref="J119">SUM(IF((Roadmap_Avion!$B$8:$B$38=$B119)*(Roadmap_Avion!$C$4:$Z$4=J$56)*(Roadmap_Avion!$C$6:$Z$6=J$58)*(Roadmap_Avion!$C$7:$Z$7=J$59),Roadmap_Avion!$C$8:$Z$38,0))</f>
        <v>0.5</v>
      </c>
      <c r="K119" s="348">
        <f t="array" ref="K119">SUM(IF((Roadmap_Avion!$B$8:$B$38=$B119)*(Roadmap_Avion!$C$4:$Z$4=K$56)*(Roadmap_Avion!$C$6:$Z$6=K$58)*(Roadmap_Avion!$C$7:$Z$7=K$59),Roadmap_Avion!$C$8:$Z$38,0))</f>
        <v>0</v>
      </c>
      <c r="L119" s="346">
        <f t="array" ref="L119">SUM(IF((Roadmap_Avion!$B$8:$B$38=$B119)*(Roadmap_Avion!$C$4:$Z$4=L$56)*(Roadmap_Avion!$C$6:$Z$6=L$58)*(Roadmap_Avion!$C$7:$Z$7=L$59),Roadmap_Avion!$C$8:$Z$38,0))</f>
        <v>0.75</v>
      </c>
      <c r="M119" s="347">
        <f t="array" ref="M119">SUM(IF((Roadmap_Avion!$B$8:$B$38=$B119)*(Roadmap_Avion!$C$4:$Z$4=M$56)*(Roadmap_Avion!$C$6:$Z$6=M$58)*(Roadmap_Avion!$C$7:$Z$7=M$59),Roadmap_Avion!$C$8:$Z$38,0))</f>
        <v>0.5</v>
      </c>
      <c r="N119" s="348">
        <f t="array" ref="N119">SUM(IF((Roadmap_Avion!$B$8:$B$38=$B119)*(Roadmap_Avion!$C$4:$Z$4=N$56)*(Roadmap_Avion!$C$6:$Z$6=N$58)*(Roadmap_Avion!$C$7:$Z$7=N$59),Roadmap_Avion!$C$8:$Z$38,0))</f>
        <v>0</v>
      </c>
      <c r="O119" s="781">
        <f t="array" ref="O119">SUM(IF((Prod_Carburant_Alt!$A$7:$A$37=$B119)*(Prod_Carburant_Alt!$B$3:$AI$3=O$56)*(Prod_Carburant_Alt!$B$5:$AI$5='Synthèse scénarios'!O$58)*(Prod_Carburant_Alt!$B$6:$AI$6=O$59),Prod_Carburant_Alt!$B$7:$AI$37,0))</f>
        <v>35.332164496534233</v>
      </c>
      <c r="P119" s="782">
        <f t="array" ref="P119">SUM(IF((Prod_Carburant_Alt!$A$7:$A$37=$B119)*(Prod_Carburant_Alt!$B$3:$AI$3=P$56)*(Prod_Carburant_Alt!$B$5:$AI$5='Synthèse scénarios'!P$58)*(Prod_Carburant_Alt!$B$6:$AI$6=P$59),Prod_Carburant_Alt!$B$7:$AI$37,0))</f>
        <v>0.204382517533922</v>
      </c>
      <c r="Q119" s="784">
        <f t="array" ref="Q119">SUM(IF((Prod_Carburant_Alt!$A$7:$A$37=$B119)*(Prod_Carburant_Alt!$B$3:$AI$3=Q$56)*(Prod_Carburant_Alt!$B$5:$AI$5='Synthèse scénarios'!Q$58)*(Prod_Carburant_Alt!$B$6:$AI$6=Q$59),Prod_Carburant_Alt!$B$7:$AI$37,0))</f>
        <v>11.643388397164365</v>
      </c>
      <c r="R119" s="621">
        <f>'Calculs Scénario CHARLIE'!BF32</f>
        <v>0.22286666666666688</v>
      </c>
      <c r="S119" s="622">
        <f>'Calculs Scénario CHARLIE'!BE32</f>
        <v>1316.7833945616953</v>
      </c>
      <c r="T119" s="623">
        <f>'Calculs Scénario CHARLIE'!CG32</f>
        <v>0.1100615766952034</v>
      </c>
      <c r="U119" s="622">
        <f>'Calculs Scénario CHARLIE'!CF32</f>
        <v>1171.856137990173</v>
      </c>
      <c r="V119" s="624">
        <f>'Calculs Scénario CHARLIE'!CI32</f>
        <v>65.397284113396154</v>
      </c>
      <c r="W119" s="624">
        <f>'Calculs Scénario CHARLIE'!CB32</f>
        <v>536.99911237546394</v>
      </c>
      <c r="X119" s="625">
        <f>'Calculs Scénario CHARLIE'!CD32</f>
        <v>0.38220577393271454</v>
      </c>
    </row>
    <row r="120" spans="2:24" ht="15">
      <c r="B120" s="620">
        <v>2037</v>
      </c>
      <c r="C120" s="346">
        <f t="array" ref="C120">SUM(IF((Roadmap_Avion!$B$8:$B$38=$B120)*(Roadmap_Avion!$C$4:$Z$4=C$56)*(Roadmap_Avion!$C$6:$Z$6=C$58)*(Roadmap_Avion!$C$7:$Z$7=C$59),Roadmap_Avion!$C$8:$Z$38,0))</f>
        <v>0.85</v>
      </c>
      <c r="D120" s="347">
        <f t="array" ref="D120">SUM(IF((Roadmap_Avion!$B$8:$B$38=$B120)*(Roadmap_Avion!$C$4:$Z$4=D$56)*(Roadmap_Avion!$C$6:$Z$6=D$58)*(Roadmap_Avion!$C$7:$Z$7=D$59),Roadmap_Avion!$C$8:$Z$38,0))</f>
        <v>0</v>
      </c>
      <c r="E120" s="348">
        <f t="array" ref="E120">SUM(IF((Roadmap_Avion!$B$8:$B$38=$B120)*(Roadmap_Avion!$C$4:$Z$4=E$56)*(Roadmap_Avion!$C$6:$Z$6=E$58)*(Roadmap_Avion!$C$7:$Z$7=E$59),Roadmap_Avion!$C$8:$Z$38,0))</f>
        <v>1</v>
      </c>
      <c r="F120" s="346">
        <f t="array" ref="F120">SUM(IF((Roadmap_Avion!$B$8:$B$38=$B120)*(Roadmap_Avion!$C$4:$Z$4=F$56)*(Roadmap_Avion!$C$6:$Z$6=F$58)*(Roadmap_Avion!$C$7:$Z$7=F$59),Roadmap_Avion!$C$8:$Z$38,0))</f>
        <v>0.5</v>
      </c>
      <c r="G120" s="347">
        <f t="array" ref="G120">SUM(IF((Roadmap_Avion!$B$8:$B$38=$B120)*(Roadmap_Avion!$C$4:$Z$4=G$56)*(Roadmap_Avion!$C$6:$Z$6=G$58)*(Roadmap_Avion!$C$7:$Z$7=G$59),Roadmap_Avion!$C$8:$Z$38,0))</f>
        <v>0.25</v>
      </c>
      <c r="H120" s="348">
        <f t="array" ref="H120">SUM(IF((Roadmap_Avion!$B$8:$B$38=$B120)*(Roadmap_Avion!$C$4:$Z$4=H$56)*(Roadmap_Avion!$C$6:$Z$6=H$58)*(Roadmap_Avion!$C$7:$Z$7=H$59),Roadmap_Avion!$C$8:$Z$38,0))</f>
        <v>0</v>
      </c>
      <c r="I120" s="346">
        <f t="array" ref="I120">SUM(IF((Roadmap_Avion!$B$8:$B$38=$B120)*(Roadmap_Avion!$C$4:$Z$4=I$56)*(Roadmap_Avion!$C$6:$Z$6=I$58)*(Roadmap_Avion!$C$7:$Z$7=I$59),Roadmap_Avion!$C$8:$Z$38,0))</f>
        <v>0.75</v>
      </c>
      <c r="J120" s="347">
        <f t="array" ref="J120">SUM(IF((Roadmap_Avion!$B$8:$B$38=$B120)*(Roadmap_Avion!$C$4:$Z$4=J$56)*(Roadmap_Avion!$C$6:$Z$6=J$58)*(Roadmap_Avion!$C$7:$Z$7=J$59),Roadmap_Avion!$C$8:$Z$38,0))</f>
        <v>0.5</v>
      </c>
      <c r="K120" s="348">
        <f t="array" ref="K120">SUM(IF((Roadmap_Avion!$B$8:$B$38=$B120)*(Roadmap_Avion!$C$4:$Z$4=K$56)*(Roadmap_Avion!$C$6:$Z$6=K$58)*(Roadmap_Avion!$C$7:$Z$7=K$59),Roadmap_Avion!$C$8:$Z$38,0))</f>
        <v>0</v>
      </c>
      <c r="L120" s="346">
        <f t="array" ref="L120">SUM(IF((Roadmap_Avion!$B$8:$B$38=$B120)*(Roadmap_Avion!$C$4:$Z$4=L$56)*(Roadmap_Avion!$C$6:$Z$6=L$58)*(Roadmap_Avion!$C$7:$Z$7=L$59),Roadmap_Avion!$C$8:$Z$38,0))</f>
        <v>0.75</v>
      </c>
      <c r="M120" s="347">
        <f t="array" ref="M120">SUM(IF((Roadmap_Avion!$B$8:$B$38=$B120)*(Roadmap_Avion!$C$4:$Z$4=M$56)*(Roadmap_Avion!$C$6:$Z$6=M$58)*(Roadmap_Avion!$C$7:$Z$7=M$59),Roadmap_Avion!$C$8:$Z$38,0))</f>
        <v>0.5</v>
      </c>
      <c r="N120" s="348">
        <f t="array" ref="N120">SUM(IF((Roadmap_Avion!$B$8:$B$38=$B120)*(Roadmap_Avion!$C$4:$Z$4=N$56)*(Roadmap_Avion!$C$6:$Z$6=N$58)*(Roadmap_Avion!$C$7:$Z$7=N$59),Roadmap_Avion!$C$8:$Z$38,0))</f>
        <v>0</v>
      </c>
      <c r="O120" s="781">
        <f t="array" ref="O120">SUM(IF((Prod_Carburant_Alt!$A$7:$A$37=$B120)*(Prod_Carburant_Alt!$B$3:$AI$3=O$56)*(Prod_Carburant_Alt!$B$5:$AI$5='Synthèse scénarios'!O$58)*(Prod_Carburant_Alt!$B$6:$AI$6=O$59),Prod_Carburant_Alt!$B$7:$AI$37,0))</f>
        <v>40.631989171014368</v>
      </c>
      <c r="P120" s="782">
        <f t="array" ref="P120">SUM(IF((Prod_Carburant_Alt!$A$7:$A$37=$B120)*(Prod_Carburant_Alt!$B$3:$AI$3=P$56)*(Prod_Carburant_Alt!$B$5:$AI$5='Synthèse scénarios'!P$58)*(Prod_Carburant_Alt!$B$6:$AI$6=P$59),Prod_Carburant_Alt!$B$7:$AI$37,0))</f>
        <v>0.20438251753392203</v>
      </c>
      <c r="Q120" s="784">
        <f t="array" ref="Q120">SUM(IF((Prod_Carburant_Alt!$A$7:$A$37=$B120)*(Prod_Carburant_Alt!$B$3:$AI$3=Q$56)*(Prod_Carburant_Alt!$B$5:$AI$5='Synthèse scénarios'!Q$58)*(Prod_Carburant_Alt!$B$6:$AI$6=Q$59),Prod_Carburant_Alt!$B$7:$AI$37,0))</f>
        <v>14.554235496455457</v>
      </c>
      <c r="R120" s="621">
        <f>'Calculs Scénario CHARLIE'!BF33</f>
        <v>0.22340666666666653</v>
      </c>
      <c r="S120" s="622">
        <f>'Calculs Scénario CHARLIE'!BE33</f>
        <v>1365.1992635651222</v>
      </c>
      <c r="T120" s="623">
        <f>'Calculs Scénario CHARLIE'!CG33</f>
        <v>0.12534474184524547</v>
      </c>
      <c r="U120" s="622">
        <f>'Calculs Scénario CHARLIE'!CF33</f>
        <v>1194.0787143062328</v>
      </c>
      <c r="V120" s="624">
        <f>'Calculs Scénario CHARLIE'!CI33</f>
        <v>82.796313882809613</v>
      </c>
      <c r="W120" s="624">
        <f>'Calculs Scénario CHARLIE'!CB33</f>
        <v>674.22144311970089</v>
      </c>
      <c r="X120" s="625">
        <f>'Calculs Scénario CHARLIE'!CD33</f>
        <v>0.47987291325245618</v>
      </c>
    </row>
    <row r="121" spans="2:24" ht="15">
      <c r="B121" s="620">
        <v>2038</v>
      </c>
      <c r="C121" s="346">
        <f t="array" ref="C121">SUM(IF((Roadmap_Avion!$B$8:$B$38=$B121)*(Roadmap_Avion!$C$4:$Z$4=C$56)*(Roadmap_Avion!$C$6:$Z$6=C$58)*(Roadmap_Avion!$C$7:$Z$7=C$59),Roadmap_Avion!$C$8:$Z$38,0))</f>
        <v>0.85</v>
      </c>
      <c r="D121" s="347">
        <f t="array" ref="D121">SUM(IF((Roadmap_Avion!$B$8:$B$38=$B121)*(Roadmap_Avion!$C$4:$Z$4=D$56)*(Roadmap_Avion!$C$6:$Z$6=D$58)*(Roadmap_Avion!$C$7:$Z$7=D$59),Roadmap_Avion!$C$8:$Z$38,0))</f>
        <v>0</v>
      </c>
      <c r="E121" s="348">
        <f t="array" ref="E121">SUM(IF((Roadmap_Avion!$B$8:$B$38=$B121)*(Roadmap_Avion!$C$4:$Z$4=E$56)*(Roadmap_Avion!$C$6:$Z$6=E$58)*(Roadmap_Avion!$C$7:$Z$7=E$59),Roadmap_Avion!$C$8:$Z$38,0))</f>
        <v>1</v>
      </c>
      <c r="F121" s="346">
        <f t="array" ref="F121">SUM(IF((Roadmap_Avion!$B$8:$B$38=$B121)*(Roadmap_Avion!$C$4:$Z$4=F$56)*(Roadmap_Avion!$C$6:$Z$6=F$58)*(Roadmap_Avion!$C$7:$Z$7=F$59),Roadmap_Avion!$C$8:$Z$38,0))</f>
        <v>0.5</v>
      </c>
      <c r="G121" s="347">
        <f t="array" ref="G121">SUM(IF((Roadmap_Avion!$B$8:$B$38=$B121)*(Roadmap_Avion!$C$4:$Z$4=G$56)*(Roadmap_Avion!$C$6:$Z$6=G$58)*(Roadmap_Avion!$C$7:$Z$7=G$59),Roadmap_Avion!$C$8:$Z$38,0))</f>
        <v>0.25</v>
      </c>
      <c r="H121" s="348">
        <f t="array" ref="H121">SUM(IF((Roadmap_Avion!$B$8:$B$38=$B121)*(Roadmap_Avion!$C$4:$Z$4=H$56)*(Roadmap_Avion!$C$6:$Z$6=H$58)*(Roadmap_Avion!$C$7:$Z$7=H$59),Roadmap_Avion!$C$8:$Z$38,0))</f>
        <v>0</v>
      </c>
      <c r="I121" s="346">
        <f t="array" ref="I121">SUM(IF((Roadmap_Avion!$B$8:$B$38=$B121)*(Roadmap_Avion!$C$4:$Z$4=I$56)*(Roadmap_Avion!$C$6:$Z$6=I$58)*(Roadmap_Avion!$C$7:$Z$7=I$59),Roadmap_Avion!$C$8:$Z$38,0))</f>
        <v>0.75</v>
      </c>
      <c r="J121" s="347">
        <f t="array" ref="J121">SUM(IF((Roadmap_Avion!$B$8:$B$38=$B121)*(Roadmap_Avion!$C$4:$Z$4=J$56)*(Roadmap_Avion!$C$6:$Z$6=J$58)*(Roadmap_Avion!$C$7:$Z$7=J$59),Roadmap_Avion!$C$8:$Z$38,0))</f>
        <v>0.5</v>
      </c>
      <c r="K121" s="348">
        <f t="array" ref="K121">SUM(IF((Roadmap_Avion!$B$8:$B$38=$B121)*(Roadmap_Avion!$C$4:$Z$4=K$56)*(Roadmap_Avion!$C$6:$Z$6=K$58)*(Roadmap_Avion!$C$7:$Z$7=K$59),Roadmap_Avion!$C$8:$Z$38,0))</f>
        <v>0</v>
      </c>
      <c r="L121" s="346">
        <f t="array" ref="L121">SUM(IF((Roadmap_Avion!$B$8:$B$38=$B121)*(Roadmap_Avion!$C$4:$Z$4=L$56)*(Roadmap_Avion!$C$6:$Z$6=L$58)*(Roadmap_Avion!$C$7:$Z$7=L$59),Roadmap_Avion!$C$8:$Z$38,0))</f>
        <v>0.75</v>
      </c>
      <c r="M121" s="347">
        <f t="array" ref="M121">SUM(IF((Roadmap_Avion!$B$8:$B$38=$B121)*(Roadmap_Avion!$C$4:$Z$4=M$56)*(Roadmap_Avion!$C$6:$Z$6=M$58)*(Roadmap_Avion!$C$7:$Z$7=M$59),Roadmap_Avion!$C$8:$Z$38,0))</f>
        <v>0.5</v>
      </c>
      <c r="N121" s="348">
        <f t="array" ref="N121">SUM(IF((Roadmap_Avion!$B$8:$B$38=$B121)*(Roadmap_Avion!$C$4:$Z$4=N$56)*(Roadmap_Avion!$C$6:$Z$6=N$58)*(Roadmap_Avion!$C$7:$Z$7=N$59),Roadmap_Avion!$C$8:$Z$38,0))</f>
        <v>0</v>
      </c>
      <c r="O121" s="781">
        <f t="array" ref="O121">SUM(IF((Prod_Carburant_Alt!$A$7:$A$37=$B121)*(Prod_Carburant_Alt!$B$3:$AI$3=O$56)*(Prod_Carburant_Alt!$B$5:$AI$5='Synthèse scénarios'!O$58)*(Prod_Carburant_Alt!$B$6:$AI$6=O$59),Prod_Carburant_Alt!$B$7:$AI$37,0))</f>
        <v>46.726787546666515</v>
      </c>
      <c r="P121" s="782">
        <f t="array" ref="P121">SUM(IF((Prod_Carburant_Alt!$A$7:$A$37=$B121)*(Prod_Carburant_Alt!$B$3:$AI$3=P$56)*(Prod_Carburant_Alt!$B$5:$AI$5='Synthèse scénarios'!P$58)*(Prod_Carburant_Alt!$B$6:$AI$6=P$59),Prod_Carburant_Alt!$B$7:$AI$37,0))</f>
        <v>0.20438251753392203</v>
      </c>
      <c r="Q121" s="784">
        <f t="array" ref="Q121">SUM(IF((Prod_Carburant_Alt!$A$7:$A$37=$B121)*(Prod_Carburant_Alt!$B$3:$AI$3=Q$56)*(Prod_Carburant_Alt!$B$5:$AI$5='Synthèse scénarios'!Q$58)*(Prod_Carburant_Alt!$B$6:$AI$6=Q$59),Prod_Carburant_Alt!$B$7:$AI$37,0))</f>
        <v>18.19279437056932</v>
      </c>
      <c r="R121" s="621">
        <f>'Calculs Scénario CHARLIE'!BF34</f>
        <v>0.2322266666666668</v>
      </c>
      <c r="S121" s="622">
        <f>'Calculs Scénario CHARLIE'!BE34</f>
        <v>1399.9283136509921</v>
      </c>
      <c r="T121" s="623">
        <f>'Calculs Scénario CHARLIE'!CG34</f>
        <v>0.14434915664778247</v>
      </c>
      <c r="U121" s="622">
        <f>'Calculs Scénario CHARLIE'!CF34</f>
        <v>1197.8498422081191</v>
      </c>
      <c r="V121" s="624">
        <f>'Calculs Scénario CHARLIE'!CI34</f>
        <v>84.390197201402543</v>
      </c>
      <c r="W121" s="624">
        <f>'Calculs Scénario CHARLIE'!CB34</f>
        <v>844.5530577291579</v>
      </c>
      <c r="X121" s="625">
        <f>'Calculs Scénario CHARLIE'!CD34</f>
        <v>0.6011053791666604</v>
      </c>
    </row>
    <row r="122" spans="2:24" ht="15">
      <c r="B122" s="620">
        <v>2039</v>
      </c>
      <c r="C122" s="346">
        <f t="array" ref="C122">SUM(IF((Roadmap_Avion!$B$8:$B$38=$B122)*(Roadmap_Avion!$C$4:$Z$4=C$56)*(Roadmap_Avion!$C$6:$Z$6=C$58)*(Roadmap_Avion!$C$7:$Z$7=C$59),Roadmap_Avion!$C$8:$Z$38,0))</f>
        <v>0.85</v>
      </c>
      <c r="D122" s="347">
        <f t="array" ref="D122">SUM(IF((Roadmap_Avion!$B$8:$B$38=$B122)*(Roadmap_Avion!$C$4:$Z$4=D$56)*(Roadmap_Avion!$C$6:$Z$6=D$58)*(Roadmap_Avion!$C$7:$Z$7=D$59),Roadmap_Avion!$C$8:$Z$38,0))</f>
        <v>0</v>
      </c>
      <c r="E122" s="348">
        <f t="array" ref="E122">SUM(IF((Roadmap_Avion!$B$8:$B$38=$B122)*(Roadmap_Avion!$C$4:$Z$4=E$56)*(Roadmap_Avion!$C$6:$Z$6=E$58)*(Roadmap_Avion!$C$7:$Z$7=E$59),Roadmap_Avion!$C$8:$Z$38,0))</f>
        <v>1</v>
      </c>
      <c r="F122" s="346">
        <f t="array" ref="F122">SUM(IF((Roadmap_Avion!$B$8:$B$38=$B122)*(Roadmap_Avion!$C$4:$Z$4=F$56)*(Roadmap_Avion!$C$6:$Z$6=F$58)*(Roadmap_Avion!$C$7:$Z$7=F$59),Roadmap_Avion!$C$8:$Z$38,0))</f>
        <v>0.5</v>
      </c>
      <c r="G122" s="347">
        <f t="array" ref="G122">SUM(IF((Roadmap_Avion!$B$8:$B$38=$B122)*(Roadmap_Avion!$C$4:$Z$4=G$56)*(Roadmap_Avion!$C$6:$Z$6=G$58)*(Roadmap_Avion!$C$7:$Z$7=G$59),Roadmap_Avion!$C$8:$Z$38,0))</f>
        <v>0.25</v>
      </c>
      <c r="H122" s="348">
        <f t="array" ref="H122">SUM(IF((Roadmap_Avion!$B$8:$B$38=$B122)*(Roadmap_Avion!$C$4:$Z$4=H$56)*(Roadmap_Avion!$C$6:$Z$6=H$58)*(Roadmap_Avion!$C$7:$Z$7=H$59),Roadmap_Avion!$C$8:$Z$38,0))</f>
        <v>0</v>
      </c>
      <c r="I122" s="346">
        <f t="array" ref="I122">SUM(IF((Roadmap_Avion!$B$8:$B$38=$B122)*(Roadmap_Avion!$C$4:$Z$4=I$56)*(Roadmap_Avion!$C$6:$Z$6=I$58)*(Roadmap_Avion!$C$7:$Z$7=I$59),Roadmap_Avion!$C$8:$Z$38,0))</f>
        <v>0.75</v>
      </c>
      <c r="J122" s="347">
        <f t="array" ref="J122">SUM(IF((Roadmap_Avion!$B$8:$B$38=$B122)*(Roadmap_Avion!$C$4:$Z$4=J$56)*(Roadmap_Avion!$C$6:$Z$6=J$58)*(Roadmap_Avion!$C$7:$Z$7=J$59),Roadmap_Avion!$C$8:$Z$38,0))</f>
        <v>0.5</v>
      </c>
      <c r="K122" s="348">
        <f t="array" ref="K122">SUM(IF((Roadmap_Avion!$B$8:$B$38=$B122)*(Roadmap_Avion!$C$4:$Z$4=K$56)*(Roadmap_Avion!$C$6:$Z$6=K$58)*(Roadmap_Avion!$C$7:$Z$7=K$59),Roadmap_Avion!$C$8:$Z$38,0))</f>
        <v>0</v>
      </c>
      <c r="L122" s="346">
        <f t="array" ref="L122">SUM(IF((Roadmap_Avion!$B$8:$B$38=$B122)*(Roadmap_Avion!$C$4:$Z$4=L$56)*(Roadmap_Avion!$C$6:$Z$6=L$58)*(Roadmap_Avion!$C$7:$Z$7=L$59),Roadmap_Avion!$C$8:$Z$38,0))</f>
        <v>0.75</v>
      </c>
      <c r="M122" s="347">
        <f t="array" ref="M122">SUM(IF((Roadmap_Avion!$B$8:$B$38=$B122)*(Roadmap_Avion!$C$4:$Z$4=M$56)*(Roadmap_Avion!$C$6:$Z$6=M$58)*(Roadmap_Avion!$C$7:$Z$7=M$59),Roadmap_Avion!$C$8:$Z$38,0))</f>
        <v>0.5</v>
      </c>
      <c r="N122" s="348">
        <f t="array" ref="N122">SUM(IF((Roadmap_Avion!$B$8:$B$38=$B122)*(Roadmap_Avion!$C$4:$Z$4=N$56)*(Roadmap_Avion!$C$6:$Z$6=N$58)*(Roadmap_Avion!$C$7:$Z$7=N$59),Roadmap_Avion!$C$8:$Z$38,0))</f>
        <v>0</v>
      </c>
      <c r="O122" s="781">
        <f t="array" ref="O122">SUM(IF((Prod_Carburant_Alt!$A$7:$A$37=$B122)*(Prod_Carburant_Alt!$B$3:$AI$3=O$56)*(Prod_Carburant_Alt!$B$5:$AI$5='Synthèse scénarios'!O$58)*(Prod_Carburant_Alt!$B$6:$AI$6=O$59),Prod_Carburant_Alt!$B$7:$AI$37,0))</f>
        <v>53.735805678666495</v>
      </c>
      <c r="P122" s="782">
        <f t="array" ref="P122">SUM(IF((Prod_Carburant_Alt!$A$7:$A$37=$B122)*(Prod_Carburant_Alt!$B$3:$AI$3=P$56)*(Prod_Carburant_Alt!$B$5:$AI$5='Synthèse scénarios'!P$58)*(Prod_Carburant_Alt!$B$6:$AI$6=P$59),Prod_Carburant_Alt!$B$7:$AI$37,0))</f>
        <v>0.20438251753392198</v>
      </c>
      <c r="Q122" s="784">
        <f t="array" ref="Q122">SUM(IF((Prod_Carburant_Alt!$A$7:$A$37=$B122)*(Prod_Carburant_Alt!$B$3:$AI$3=Q$56)*(Prod_Carburant_Alt!$B$5:$AI$5='Synthèse scénarios'!Q$58)*(Prod_Carburant_Alt!$B$6:$AI$6=Q$59),Prod_Carburant_Alt!$B$7:$AI$37,0))</f>
        <v>22.740992963211649</v>
      </c>
      <c r="R122" s="621">
        <f>'Calculs Scénario CHARLIE'!BF35</f>
        <v>0.23276666666666668</v>
      </c>
      <c r="S122" s="622">
        <f>'Calculs Scénario CHARLIE'!BE35</f>
        <v>1450.5906173474798</v>
      </c>
      <c r="T122" s="623">
        <f>'Calculs Scénario CHARLIE'!CG35</f>
        <v>0.16463322647854631</v>
      </c>
      <c r="U122" s="622">
        <f>'Calculs Scénario CHARLIE'!CF35</f>
        <v>1211.7752037140579</v>
      </c>
      <c r="V122" s="624">
        <f>'Calculs Scénario CHARLIE'!CI35</f>
        <v>94.12792574730031</v>
      </c>
      <c r="W122" s="624">
        <f>'Calculs Scénario CHARLIE'!CB35</f>
        <v>1056.628287067984</v>
      </c>
      <c r="X122" s="625">
        <f>'Calculs Scénario CHARLIE'!CD35</f>
        <v>0.75204860289536235</v>
      </c>
    </row>
    <row r="123" spans="2:24" ht="15">
      <c r="B123" s="620">
        <v>2040</v>
      </c>
      <c r="C123" s="346">
        <f t="array" ref="C123">SUM(IF((Roadmap_Avion!$B$8:$B$38=$B123)*(Roadmap_Avion!$C$4:$Z$4=C$56)*(Roadmap_Avion!$C$6:$Z$6=C$58)*(Roadmap_Avion!$C$7:$Z$7=C$59),Roadmap_Avion!$C$8:$Z$38,0))</f>
        <v>0.85</v>
      </c>
      <c r="D123" s="347">
        <f t="array" ref="D123">SUM(IF((Roadmap_Avion!$B$8:$B$38=$B123)*(Roadmap_Avion!$C$4:$Z$4=D$56)*(Roadmap_Avion!$C$6:$Z$6=D$58)*(Roadmap_Avion!$C$7:$Z$7=D$59),Roadmap_Avion!$C$8:$Z$38,0))</f>
        <v>0</v>
      </c>
      <c r="E123" s="348">
        <f t="array" ref="E123">SUM(IF((Roadmap_Avion!$B$8:$B$38=$B123)*(Roadmap_Avion!$C$4:$Z$4=E$56)*(Roadmap_Avion!$C$6:$Z$6=E$58)*(Roadmap_Avion!$C$7:$Z$7=E$59),Roadmap_Avion!$C$8:$Z$38,0))</f>
        <v>1</v>
      </c>
      <c r="F123" s="346">
        <f t="array" ref="F123">SUM(IF((Roadmap_Avion!$B$8:$B$38=$B123)*(Roadmap_Avion!$C$4:$Z$4=F$56)*(Roadmap_Avion!$C$6:$Z$6=F$58)*(Roadmap_Avion!$C$7:$Z$7=F$59),Roadmap_Avion!$C$8:$Z$38,0))</f>
        <v>0.85</v>
      </c>
      <c r="G123" s="347">
        <f t="array" ref="G123">SUM(IF((Roadmap_Avion!$B$8:$B$38=$B123)*(Roadmap_Avion!$C$4:$Z$4=G$56)*(Roadmap_Avion!$C$6:$Z$6=G$58)*(Roadmap_Avion!$C$7:$Z$7=G$59),Roadmap_Avion!$C$8:$Z$38,0))</f>
        <v>0</v>
      </c>
      <c r="H123" s="348">
        <f t="array" ref="H123">SUM(IF((Roadmap_Avion!$B$8:$B$38=$B123)*(Roadmap_Avion!$C$4:$Z$4=H$56)*(Roadmap_Avion!$C$6:$Z$6=H$58)*(Roadmap_Avion!$C$7:$Z$7=H$59),Roadmap_Avion!$C$8:$Z$38,0))</f>
        <v>1</v>
      </c>
      <c r="I123" s="346">
        <f t="array" ref="I123">SUM(IF((Roadmap_Avion!$B$8:$B$38=$B123)*(Roadmap_Avion!$C$4:$Z$4=I$56)*(Roadmap_Avion!$C$6:$Z$6=I$58)*(Roadmap_Avion!$C$7:$Z$7=I$59),Roadmap_Avion!$C$8:$Z$38,0))</f>
        <v>0.63749999999999996</v>
      </c>
      <c r="J123" s="347">
        <f t="array" ref="J123">SUM(IF((Roadmap_Avion!$B$8:$B$38=$B123)*(Roadmap_Avion!$C$4:$Z$4=J$56)*(Roadmap_Avion!$C$6:$Z$6=J$58)*(Roadmap_Avion!$C$7:$Z$7=J$59),Roadmap_Avion!$C$8:$Z$38,0))</f>
        <v>0</v>
      </c>
      <c r="K123" s="348">
        <f t="array" ref="K123">SUM(IF((Roadmap_Avion!$B$8:$B$38=$B123)*(Roadmap_Avion!$C$4:$Z$4=K$56)*(Roadmap_Avion!$C$6:$Z$6=K$58)*(Roadmap_Avion!$C$7:$Z$7=K$59),Roadmap_Avion!$C$8:$Z$38,0))</f>
        <v>1</v>
      </c>
      <c r="L123" s="346">
        <f t="array" ref="L123">SUM(IF((Roadmap_Avion!$B$8:$B$38=$B123)*(Roadmap_Avion!$C$4:$Z$4=L$56)*(Roadmap_Avion!$C$6:$Z$6=L$58)*(Roadmap_Avion!$C$7:$Z$7=L$59),Roadmap_Avion!$C$8:$Z$38,0))</f>
        <v>0.5625</v>
      </c>
      <c r="M123" s="347">
        <f t="array" ref="M123">SUM(IF((Roadmap_Avion!$B$8:$B$38=$B123)*(Roadmap_Avion!$C$4:$Z$4=M$56)*(Roadmap_Avion!$C$6:$Z$6=M$58)*(Roadmap_Avion!$C$7:$Z$7=M$59),Roadmap_Avion!$C$8:$Z$38,0))</f>
        <v>1</v>
      </c>
      <c r="N123" s="348">
        <f t="array" ref="N123">SUM(IF((Roadmap_Avion!$B$8:$B$38=$B123)*(Roadmap_Avion!$C$4:$Z$4=N$56)*(Roadmap_Avion!$C$6:$Z$6=N$58)*(Roadmap_Avion!$C$7:$Z$7=N$59),Roadmap_Avion!$C$8:$Z$38,0))</f>
        <v>0</v>
      </c>
      <c r="O123" s="781">
        <f t="array" ref="O123">SUM(IF((Prod_Carburant_Alt!$A$7:$A$37=$B123)*(Prod_Carburant_Alt!$B$3:$AI$3=O$56)*(Prod_Carburant_Alt!$B$5:$AI$5='Synthèse scénarios'!O$58)*(Prod_Carburant_Alt!$B$6:$AI$6=O$59),Prod_Carburant_Alt!$B$7:$AI$37,0))</f>
        <v>61.796176530466461</v>
      </c>
      <c r="P123" s="782">
        <f t="array" ref="P123">SUM(IF((Prod_Carburant_Alt!$A$7:$A$37=$B123)*(Prod_Carburant_Alt!$B$3:$AI$3=P$56)*(Prod_Carburant_Alt!$B$5:$AI$5='Synthèse scénarios'!P$58)*(Prod_Carburant_Alt!$B$6:$AI$6=P$59),Prod_Carburant_Alt!$B$7:$AI$37,0))</f>
        <v>0.204382517533922</v>
      </c>
      <c r="Q123" s="784">
        <f t="array" ref="Q123">SUM(IF((Prod_Carburant_Alt!$A$7:$A$37=$B123)*(Prod_Carburant_Alt!$B$3:$AI$3=Q$56)*(Prod_Carburant_Alt!$B$5:$AI$5='Synthèse scénarios'!Q$58)*(Prod_Carburant_Alt!$B$6:$AI$6=Q$59),Prod_Carburant_Alt!$B$7:$AI$37,0))</f>
        <v>28.426241204014563</v>
      </c>
      <c r="R123" s="621">
        <f>'Calculs Scénario CHARLIE'!BF36</f>
        <v>0.24406666666666665</v>
      </c>
      <c r="S123" s="622">
        <f>'Calculs Scénario CHARLIE'!BE36</f>
        <v>1481.5139013565772</v>
      </c>
      <c r="T123" s="623">
        <f>'Calculs Scénario CHARLIE'!CG36</f>
        <v>0.23379217169302516</v>
      </c>
      <c r="U123" s="622">
        <f>'Calculs Scénario CHARLIE'!CF36</f>
        <v>1135.1475489650168</v>
      </c>
      <c r="V123" s="624">
        <f>'Calculs Scénario CHARLIE'!CI36</f>
        <v>23.832160538725816</v>
      </c>
      <c r="W123" s="624">
        <f>'Calculs Scénario CHARLIE'!CB36</f>
        <v>1698.244652801759</v>
      </c>
      <c r="X123" s="625">
        <f>'Calculs Scénario CHARLIE'!CD36</f>
        <v>1.2087150553749175</v>
      </c>
    </row>
    <row r="124" spans="2:24" ht="15">
      <c r="B124" s="620">
        <v>2041</v>
      </c>
      <c r="C124" s="346">
        <f t="array" ref="C124">SUM(IF((Roadmap_Avion!$B$8:$B$38=$B124)*(Roadmap_Avion!$C$4:$Z$4=C$56)*(Roadmap_Avion!$C$6:$Z$6=C$58)*(Roadmap_Avion!$C$7:$Z$7=C$59),Roadmap_Avion!$C$8:$Z$38,0))</f>
        <v>0.85</v>
      </c>
      <c r="D124" s="347">
        <f t="array" ref="D124">SUM(IF((Roadmap_Avion!$B$8:$B$38=$B124)*(Roadmap_Avion!$C$4:$Z$4=D$56)*(Roadmap_Avion!$C$6:$Z$6=D$58)*(Roadmap_Avion!$C$7:$Z$7=D$59),Roadmap_Avion!$C$8:$Z$38,0))</f>
        <v>0</v>
      </c>
      <c r="E124" s="348">
        <f t="array" ref="E124">SUM(IF((Roadmap_Avion!$B$8:$B$38=$B124)*(Roadmap_Avion!$C$4:$Z$4=E$56)*(Roadmap_Avion!$C$6:$Z$6=E$58)*(Roadmap_Avion!$C$7:$Z$7=E$59),Roadmap_Avion!$C$8:$Z$38,0))</f>
        <v>1</v>
      </c>
      <c r="F124" s="346">
        <f t="array" ref="F124">SUM(IF((Roadmap_Avion!$B$8:$B$38=$B124)*(Roadmap_Avion!$C$4:$Z$4=F$56)*(Roadmap_Avion!$C$6:$Z$6=F$58)*(Roadmap_Avion!$C$7:$Z$7=F$59),Roadmap_Avion!$C$8:$Z$38,0))</f>
        <v>0.85</v>
      </c>
      <c r="G124" s="347">
        <f t="array" ref="G124">SUM(IF((Roadmap_Avion!$B$8:$B$38=$B124)*(Roadmap_Avion!$C$4:$Z$4=G$56)*(Roadmap_Avion!$C$6:$Z$6=G$58)*(Roadmap_Avion!$C$7:$Z$7=G$59),Roadmap_Avion!$C$8:$Z$38,0))</f>
        <v>0</v>
      </c>
      <c r="H124" s="348">
        <f t="array" ref="H124">SUM(IF((Roadmap_Avion!$B$8:$B$38=$B124)*(Roadmap_Avion!$C$4:$Z$4=H$56)*(Roadmap_Avion!$C$6:$Z$6=H$58)*(Roadmap_Avion!$C$7:$Z$7=H$59),Roadmap_Avion!$C$8:$Z$38,0))</f>
        <v>1</v>
      </c>
      <c r="I124" s="346">
        <f t="array" ref="I124">SUM(IF((Roadmap_Avion!$B$8:$B$38=$B124)*(Roadmap_Avion!$C$4:$Z$4=I$56)*(Roadmap_Avion!$C$6:$Z$6=I$58)*(Roadmap_Avion!$C$7:$Z$7=I$59),Roadmap_Avion!$C$8:$Z$38,0))</f>
        <v>0.63749999999999996</v>
      </c>
      <c r="J124" s="347">
        <f t="array" ref="J124">SUM(IF((Roadmap_Avion!$B$8:$B$38=$B124)*(Roadmap_Avion!$C$4:$Z$4=J$56)*(Roadmap_Avion!$C$6:$Z$6=J$58)*(Roadmap_Avion!$C$7:$Z$7=J$59),Roadmap_Avion!$C$8:$Z$38,0))</f>
        <v>0</v>
      </c>
      <c r="K124" s="348">
        <f t="array" ref="K124">SUM(IF((Roadmap_Avion!$B$8:$B$38=$B124)*(Roadmap_Avion!$C$4:$Z$4=K$56)*(Roadmap_Avion!$C$6:$Z$6=K$58)*(Roadmap_Avion!$C$7:$Z$7=K$59),Roadmap_Avion!$C$8:$Z$38,0))</f>
        <v>1</v>
      </c>
      <c r="L124" s="346">
        <f t="array" ref="L124">SUM(IF((Roadmap_Avion!$B$8:$B$38=$B124)*(Roadmap_Avion!$C$4:$Z$4=L$56)*(Roadmap_Avion!$C$6:$Z$6=L$58)*(Roadmap_Avion!$C$7:$Z$7=L$59),Roadmap_Avion!$C$8:$Z$38,0))</f>
        <v>0.5625</v>
      </c>
      <c r="M124" s="347">
        <f t="array" ref="M124">SUM(IF((Roadmap_Avion!$B$8:$B$38=$B124)*(Roadmap_Avion!$C$4:$Z$4=M$56)*(Roadmap_Avion!$C$6:$Z$6=M$58)*(Roadmap_Avion!$C$7:$Z$7=M$59),Roadmap_Avion!$C$8:$Z$38,0))</f>
        <v>1</v>
      </c>
      <c r="N124" s="348">
        <f t="array" ref="N124">SUM(IF((Roadmap_Avion!$B$8:$B$38=$B124)*(Roadmap_Avion!$C$4:$Z$4=N$56)*(Roadmap_Avion!$C$6:$Z$6=N$58)*(Roadmap_Avion!$C$7:$Z$7=N$59),Roadmap_Avion!$C$8:$Z$38,0))</f>
        <v>0</v>
      </c>
      <c r="O124" s="781">
        <f t="array" ref="O124">SUM(IF((Prod_Carburant_Alt!$A$7:$A$37=$B124)*(Prod_Carburant_Alt!$B$3:$AI$3=O$56)*(Prod_Carburant_Alt!$B$5:$AI$5='Synthèse scénarios'!O$58)*(Prod_Carburant_Alt!$B$6:$AI$6=O$59),Prod_Carburant_Alt!$B$7:$AI$37,0))</f>
        <v>71.065603010036426</v>
      </c>
      <c r="P124" s="782">
        <f t="array" ref="P124">SUM(IF((Prod_Carburant_Alt!$A$7:$A$37=$B124)*(Prod_Carburant_Alt!$B$3:$AI$3=P$56)*(Prod_Carburant_Alt!$B$5:$AI$5='Synthèse scénarios'!P$58)*(Prod_Carburant_Alt!$B$6:$AI$6=P$59),Prod_Carburant_Alt!$B$7:$AI$37,0))</f>
        <v>0.20438251753392198</v>
      </c>
      <c r="Q124" s="784">
        <f t="array" ref="Q124">SUM(IF((Prod_Carburant_Alt!$A$7:$A$37=$B124)*(Prod_Carburant_Alt!$B$3:$AI$3=Q$56)*(Prod_Carburant_Alt!$B$5:$AI$5='Synthèse scénarios'!Q$58)*(Prod_Carburant_Alt!$B$6:$AI$6=Q$59),Prod_Carburant_Alt!$B$7:$AI$37,0))</f>
        <v>32.690177384616746</v>
      </c>
      <c r="R124" s="621">
        <f>'Calculs Scénario CHARLIE'!BF37</f>
        <v>0.25536666666666663</v>
      </c>
      <c r="S124" s="622">
        <f>'Calculs Scénario CHARLIE'!BE37</f>
        <v>1512.216752571497</v>
      </c>
      <c r="T124" s="623">
        <f>'Calculs Scénario CHARLIE'!CG37</f>
        <v>0.30127471684416074</v>
      </c>
      <c r="U124" s="622">
        <f>'Calculs Scénario CHARLIE'!CF37</f>
        <v>1056.6240786335229</v>
      </c>
      <c r="V124" s="624">
        <f>'Calculs Scénario CHARLIE'!CI37</f>
        <v>0</v>
      </c>
      <c r="W124" s="624">
        <f>'Calculs Scénario CHARLIE'!CB37</f>
        <v>2291.3935991670523</v>
      </c>
      <c r="X124" s="625">
        <f>'Calculs Scénario CHARLIE'!CD37</f>
        <v>1.630885123962315</v>
      </c>
    </row>
    <row r="125" spans="2:24" ht="15">
      <c r="B125" s="620">
        <v>2042</v>
      </c>
      <c r="C125" s="346">
        <f t="array" ref="C125">SUM(IF((Roadmap_Avion!$B$8:$B$38=$B125)*(Roadmap_Avion!$C$4:$Z$4=C$56)*(Roadmap_Avion!$C$6:$Z$6=C$58)*(Roadmap_Avion!$C$7:$Z$7=C$59),Roadmap_Avion!$C$8:$Z$38,0))</f>
        <v>0.85</v>
      </c>
      <c r="D125" s="347">
        <f t="array" ref="D125">SUM(IF((Roadmap_Avion!$B$8:$B$38=$B125)*(Roadmap_Avion!$C$4:$Z$4=D$56)*(Roadmap_Avion!$C$6:$Z$6=D$58)*(Roadmap_Avion!$C$7:$Z$7=D$59),Roadmap_Avion!$C$8:$Z$38,0))</f>
        <v>0</v>
      </c>
      <c r="E125" s="348">
        <f t="array" ref="E125">SUM(IF((Roadmap_Avion!$B$8:$B$38=$B125)*(Roadmap_Avion!$C$4:$Z$4=E$56)*(Roadmap_Avion!$C$6:$Z$6=E$58)*(Roadmap_Avion!$C$7:$Z$7=E$59),Roadmap_Avion!$C$8:$Z$38,0))</f>
        <v>1</v>
      </c>
      <c r="F125" s="346">
        <f t="array" ref="F125">SUM(IF((Roadmap_Avion!$B$8:$B$38=$B125)*(Roadmap_Avion!$C$4:$Z$4=F$56)*(Roadmap_Avion!$C$6:$Z$6=F$58)*(Roadmap_Avion!$C$7:$Z$7=F$59),Roadmap_Avion!$C$8:$Z$38,0))</f>
        <v>0.85</v>
      </c>
      <c r="G125" s="347">
        <f t="array" ref="G125">SUM(IF((Roadmap_Avion!$B$8:$B$38=$B125)*(Roadmap_Avion!$C$4:$Z$4=G$56)*(Roadmap_Avion!$C$6:$Z$6=G$58)*(Roadmap_Avion!$C$7:$Z$7=G$59),Roadmap_Avion!$C$8:$Z$38,0))</f>
        <v>0</v>
      </c>
      <c r="H125" s="348">
        <f t="array" ref="H125">SUM(IF((Roadmap_Avion!$B$8:$B$38=$B125)*(Roadmap_Avion!$C$4:$Z$4=H$56)*(Roadmap_Avion!$C$6:$Z$6=H$58)*(Roadmap_Avion!$C$7:$Z$7=H$59),Roadmap_Avion!$C$8:$Z$38,0))</f>
        <v>1</v>
      </c>
      <c r="I125" s="346">
        <f t="array" ref="I125">SUM(IF((Roadmap_Avion!$B$8:$B$38=$B125)*(Roadmap_Avion!$C$4:$Z$4=I$56)*(Roadmap_Avion!$C$6:$Z$6=I$58)*(Roadmap_Avion!$C$7:$Z$7=I$59),Roadmap_Avion!$C$8:$Z$38,0))</f>
        <v>0.63749999999999996</v>
      </c>
      <c r="J125" s="347">
        <f t="array" ref="J125">SUM(IF((Roadmap_Avion!$B$8:$B$38=$B125)*(Roadmap_Avion!$C$4:$Z$4=J$56)*(Roadmap_Avion!$C$6:$Z$6=J$58)*(Roadmap_Avion!$C$7:$Z$7=J$59),Roadmap_Avion!$C$8:$Z$38,0))</f>
        <v>0</v>
      </c>
      <c r="K125" s="348">
        <f t="array" ref="K125">SUM(IF((Roadmap_Avion!$B$8:$B$38=$B125)*(Roadmap_Avion!$C$4:$Z$4=K$56)*(Roadmap_Avion!$C$6:$Z$6=K$58)*(Roadmap_Avion!$C$7:$Z$7=K$59),Roadmap_Avion!$C$8:$Z$38,0))</f>
        <v>1</v>
      </c>
      <c r="L125" s="346">
        <f t="array" ref="L125">SUM(IF((Roadmap_Avion!$B$8:$B$38=$B125)*(Roadmap_Avion!$C$4:$Z$4=L$56)*(Roadmap_Avion!$C$6:$Z$6=L$58)*(Roadmap_Avion!$C$7:$Z$7=L$59),Roadmap_Avion!$C$8:$Z$38,0))</f>
        <v>0.5625</v>
      </c>
      <c r="M125" s="347">
        <f t="array" ref="M125">SUM(IF((Roadmap_Avion!$B$8:$B$38=$B125)*(Roadmap_Avion!$C$4:$Z$4=M$56)*(Roadmap_Avion!$C$6:$Z$6=M$58)*(Roadmap_Avion!$C$7:$Z$7=M$59),Roadmap_Avion!$C$8:$Z$38,0))</f>
        <v>1</v>
      </c>
      <c r="N125" s="348">
        <f t="array" ref="N125">SUM(IF((Roadmap_Avion!$B$8:$B$38=$B125)*(Roadmap_Avion!$C$4:$Z$4=N$56)*(Roadmap_Avion!$C$6:$Z$6=N$58)*(Roadmap_Avion!$C$7:$Z$7=N$59),Roadmap_Avion!$C$8:$Z$38,0))</f>
        <v>0</v>
      </c>
      <c r="O125" s="781">
        <f t="array" ref="O125">SUM(IF((Prod_Carburant_Alt!$A$7:$A$37=$B125)*(Prod_Carburant_Alt!$B$3:$AI$3=O$56)*(Prod_Carburant_Alt!$B$5:$AI$5='Synthèse scénarios'!O$58)*(Prod_Carburant_Alt!$B$6:$AI$6=O$59),Prod_Carburant_Alt!$B$7:$AI$37,0))</f>
        <v>81.725443461541886</v>
      </c>
      <c r="P125" s="782">
        <f t="array" ref="P125">SUM(IF((Prod_Carburant_Alt!$A$7:$A$37=$B125)*(Prod_Carburant_Alt!$B$3:$AI$3=P$56)*(Prod_Carburant_Alt!$B$5:$AI$5='Synthèse scénarios'!P$58)*(Prod_Carburant_Alt!$B$6:$AI$6=P$59),Prod_Carburant_Alt!$B$7:$AI$37,0))</f>
        <v>0.20438251753392195</v>
      </c>
      <c r="Q125" s="784">
        <f t="array" ref="Q125">SUM(IF((Prod_Carburant_Alt!$A$7:$A$37=$B125)*(Prod_Carburant_Alt!$B$3:$AI$3=Q$56)*(Prod_Carburant_Alt!$B$5:$AI$5='Synthèse scénarios'!Q$58)*(Prod_Carburant_Alt!$B$6:$AI$6=Q$59),Prod_Carburant_Alt!$B$7:$AI$37,0))</f>
        <v>37.593703992309251</v>
      </c>
      <c r="R125" s="621">
        <f>'Calculs Scénario CHARLIE'!BF38</f>
        <v>0.26666666666666672</v>
      </c>
      <c r="S125" s="622">
        <f>'Calculs Scénario CHARLIE'!BE38</f>
        <v>1542.5855077338883</v>
      </c>
      <c r="T125" s="623">
        <f>'Calculs Scénario CHARLIE'!CG38</f>
        <v>0.37190353286898037</v>
      </c>
      <c r="U125" s="622">
        <f>'Calculs Scénario CHARLIE'!CF38</f>
        <v>968.89250765516545</v>
      </c>
      <c r="V125" s="624">
        <f>'Calculs Scénario CHARLIE'!CI38</f>
        <v>0</v>
      </c>
      <c r="W125" s="624">
        <f>'Calculs Scénario CHARLIE'!CB38</f>
        <v>2929.1391903396834</v>
      </c>
      <c r="X125" s="625">
        <f>'Calculs Scénario CHARLIE'!CD38</f>
        <v>2.0847965767542229</v>
      </c>
    </row>
    <row r="126" spans="2:24" ht="15">
      <c r="B126" s="620">
        <v>2043</v>
      </c>
      <c r="C126" s="346">
        <f t="array" ref="C126">SUM(IF((Roadmap_Avion!$B$8:$B$38=$B126)*(Roadmap_Avion!$C$4:$Z$4=C$56)*(Roadmap_Avion!$C$6:$Z$6=C$58)*(Roadmap_Avion!$C$7:$Z$7=C$59),Roadmap_Avion!$C$8:$Z$38,0))</f>
        <v>0.85</v>
      </c>
      <c r="D126" s="347">
        <f t="array" ref="D126">SUM(IF((Roadmap_Avion!$B$8:$B$38=$B126)*(Roadmap_Avion!$C$4:$Z$4=D$56)*(Roadmap_Avion!$C$6:$Z$6=D$58)*(Roadmap_Avion!$C$7:$Z$7=D$59),Roadmap_Avion!$C$8:$Z$38,0))</f>
        <v>0</v>
      </c>
      <c r="E126" s="348">
        <f t="array" ref="E126">SUM(IF((Roadmap_Avion!$B$8:$B$38=$B126)*(Roadmap_Avion!$C$4:$Z$4=E$56)*(Roadmap_Avion!$C$6:$Z$6=E$58)*(Roadmap_Avion!$C$7:$Z$7=E$59),Roadmap_Avion!$C$8:$Z$38,0))</f>
        <v>1</v>
      </c>
      <c r="F126" s="346">
        <f t="array" ref="F126">SUM(IF((Roadmap_Avion!$B$8:$B$38=$B126)*(Roadmap_Avion!$C$4:$Z$4=F$56)*(Roadmap_Avion!$C$6:$Z$6=F$58)*(Roadmap_Avion!$C$7:$Z$7=F$59),Roadmap_Avion!$C$8:$Z$38,0))</f>
        <v>0.85</v>
      </c>
      <c r="G126" s="347">
        <f t="array" ref="G126">SUM(IF((Roadmap_Avion!$B$8:$B$38=$B126)*(Roadmap_Avion!$C$4:$Z$4=G$56)*(Roadmap_Avion!$C$6:$Z$6=G$58)*(Roadmap_Avion!$C$7:$Z$7=G$59),Roadmap_Avion!$C$8:$Z$38,0))</f>
        <v>0</v>
      </c>
      <c r="H126" s="348">
        <f t="array" ref="H126">SUM(IF((Roadmap_Avion!$B$8:$B$38=$B126)*(Roadmap_Avion!$C$4:$Z$4=H$56)*(Roadmap_Avion!$C$6:$Z$6=H$58)*(Roadmap_Avion!$C$7:$Z$7=H$59),Roadmap_Avion!$C$8:$Z$38,0))</f>
        <v>1</v>
      </c>
      <c r="I126" s="346">
        <f t="array" ref="I126">SUM(IF((Roadmap_Avion!$B$8:$B$38=$B126)*(Roadmap_Avion!$C$4:$Z$4=I$56)*(Roadmap_Avion!$C$6:$Z$6=I$58)*(Roadmap_Avion!$C$7:$Z$7=I$59),Roadmap_Avion!$C$8:$Z$38,0))</f>
        <v>0.63749999999999996</v>
      </c>
      <c r="J126" s="347">
        <f t="array" ref="J126">SUM(IF((Roadmap_Avion!$B$8:$B$38=$B126)*(Roadmap_Avion!$C$4:$Z$4=J$56)*(Roadmap_Avion!$C$6:$Z$6=J$58)*(Roadmap_Avion!$C$7:$Z$7=J$59),Roadmap_Avion!$C$8:$Z$38,0))</f>
        <v>0</v>
      </c>
      <c r="K126" s="348">
        <f t="array" ref="K126">SUM(IF((Roadmap_Avion!$B$8:$B$38=$B126)*(Roadmap_Avion!$C$4:$Z$4=K$56)*(Roadmap_Avion!$C$6:$Z$6=K$58)*(Roadmap_Avion!$C$7:$Z$7=K$59),Roadmap_Avion!$C$8:$Z$38,0))</f>
        <v>1</v>
      </c>
      <c r="L126" s="346">
        <f t="array" ref="L126">SUM(IF((Roadmap_Avion!$B$8:$B$38=$B126)*(Roadmap_Avion!$C$4:$Z$4=L$56)*(Roadmap_Avion!$C$6:$Z$6=L$58)*(Roadmap_Avion!$C$7:$Z$7=L$59),Roadmap_Avion!$C$8:$Z$38,0))</f>
        <v>0.5625</v>
      </c>
      <c r="M126" s="347">
        <f t="array" ref="M126">SUM(IF((Roadmap_Avion!$B$8:$B$38=$B126)*(Roadmap_Avion!$C$4:$Z$4=M$56)*(Roadmap_Avion!$C$6:$Z$6=M$58)*(Roadmap_Avion!$C$7:$Z$7=M$59),Roadmap_Avion!$C$8:$Z$38,0))</f>
        <v>1</v>
      </c>
      <c r="N126" s="348">
        <f t="array" ref="N126">SUM(IF((Roadmap_Avion!$B$8:$B$38=$B126)*(Roadmap_Avion!$C$4:$Z$4=N$56)*(Roadmap_Avion!$C$6:$Z$6=N$58)*(Roadmap_Avion!$C$7:$Z$7=N$59),Roadmap_Avion!$C$8:$Z$38,0))</f>
        <v>0</v>
      </c>
      <c r="O126" s="781">
        <f t="array" ref="O126">SUM(IF((Prod_Carburant_Alt!$A$7:$A$37=$B126)*(Prod_Carburant_Alt!$B$3:$AI$3=O$56)*(Prod_Carburant_Alt!$B$5:$AI$5='Synthèse scénarios'!O$58)*(Prod_Carburant_Alt!$B$6:$AI$6=O$59),Prod_Carburant_Alt!$B$7:$AI$37,0))</f>
        <v>93.98425998077316</v>
      </c>
      <c r="P126" s="782">
        <f t="array" ref="P126">SUM(IF((Prod_Carburant_Alt!$A$7:$A$37=$B126)*(Prod_Carburant_Alt!$B$3:$AI$3=P$56)*(Prod_Carburant_Alt!$B$5:$AI$5='Synthèse scénarios'!P$58)*(Prod_Carburant_Alt!$B$6:$AI$6=P$59),Prod_Carburant_Alt!$B$7:$AI$37,0))</f>
        <v>0.204382517533922</v>
      </c>
      <c r="Q126" s="784">
        <f t="array" ref="Q126">SUM(IF((Prod_Carburant_Alt!$A$7:$A$37=$B126)*(Prod_Carburant_Alt!$B$3:$AI$3=Q$56)*(Prod_Carburant_Alt!$B$5:$AI$5='Synthèse scénarios'!Q$58)*(Prod_Carburant_Alt!$B$6:$AI$6=Q$59),Prod_Carburant_Alt!$B$7:$AI$37,0))</f>
        <v>43.232759591155634</v>
      </c>
      <c r="R126" s="621">
        <f>'Calculs Scénario CHARLIE'!BF39</f>
        <v>0.2779666666666667</v>
      </c>
      <c r="S126" s="622">
        <f>'Calculs Scénario CHARLIE'!BE39</f>
        <v>1572.4921835680536</v>
      </c>
      <c r="T126" s="623">
        <f>'Calculs Scénario CHARLIE'!CG39</f>
        <v>0.44612928809484798</v>
      </c>
      <c r="U126" s="622">
        <f>'Calculs Scénario CHARLIE'!CF39</f>
        <v>870.95736517812486</v>
      </c>
      <c r="V126" s="624">
        <f>'Calculs Scénario CHARLIE'!CI39</f>
        <v>0</v>
      </c>
      <c r="W126" s="624">
        <f>'Calculs Scénario CHARLIE'!CB39</f>
        <v>3615.4314677145835</v>
      </c>
      <c r="X126" s="625">
        <f>'Calculs Scénario CHARLIE'!CD39</f>
        <v>2.5732608311135827</v>
      </c>
    </row>
    <row r="127" spans="2:24" ht="15">
      <c r="B127" s="620">
        <v>2044</v>
      </c>
      <c r="C127" s="346">
        <f t="array" ref="C127">SUM(IF((Roadmap_Avion!$B$8:$B$38=$B127)*(Roadmap_Avion!$C$4:$Z$4=C$56)*(Roadmap_Avion!$C$6:$Z$6=C$58)*(Roadmap_Avion!$C$7:$Z$7=C$59),Roadmap_Avion!$C$8:$Z$38,0))</f>
        <v>0.85</v>
      </c>
      <c r="D127" s="347">
        <f t="array" ref="D127">SUM(IF((Roadmap_Avion!$B$8:$B$38=$B127)*(Roadmap_Avion!$C$4:$Z$4=D$56)*(Roadmap_Avion!$C$6:$Z$6=D$58)*(Roadmap_Avion!$C$7:$Z$7=D$59),Roadmap_Avion!$C$8:$Z$38,0))</f>
        <v>0</v>
      </c>
      <c r="E127" s="348">
        <f t="array" ref="E127">SUM(IF((Roadmap_Avion!$B$8:$B$38=$B127)*(Roadmap_Avion!$C$4:$Z$4=E$56)*(Roadmap_Avion!$C$6:$Z$6=E$58)*(Roadmap_Avion!$C$7:$Z$7=E$59),Roadmap_Avion!$C$8:$Z$38,0))</f>
        <v>1</v>
      </c>
      <c r="F127" s="346">
        <f t="array" ref="F127">SUM(IF((Roadmap_Avion!$B$8:$B$38=$B127)*(Roadmap_Avion!$C$4:$Z$4=F$56)*(Roadmap_Avion!$C$6:$Z$6=F$58)*(Roadmap_Avion!$C$7:$Z$7=F$59),Roadmap_Avion!$C$8:$Z$38,0))</f>
        <v>0.85</v>
      </c>
      <c r="G127" s="347">
        <f t="array" ref="G127">SUM(IF((Roadmap_Avion!$B$8:$B$38=$B127)*(Roadmap_Avion!$C$4:$Z$4=G$56)*(Roadmap_Avion!$C$6:$Z$6=G$58)*(Roadmap_Avion!$C$7:$Z$7=G$59),Roadmap_Avion!$C$8:$Z$38,0))</f>
        <v>0</v>
      </c>
      <c r="H127" s="348">
        <f t="array" ref="H127">SUM(IF((Roadmap_Avion!$B$8:$B$38=$B127)*(Roadmap_Avion!$C$4:$Z$4=H$56)*(Roadmap_Avion!$C$6:$Z$6=H$58)*(Roadmap_Avion!$C$7:$Z$7=H$59),Roadmap_Avion!$C$8:$Z$38,0))</f>
        <v>1</v>
      </c>
      <c r="I127" s="346">
        <f t="array" ref="I127">SUM(IF((Roadmap_Avion!$B$8:$B$38=$B127)*(Roadmap_Avion!$C$4:$Z$4=I$56)*(Roadmap_Avion!$C$6:$Z$6=I$58)*(Roadmap_Avion!$C$7:$Z$7=I$59),Roadmap_Avion!$C$8:$Z$38,0))</f>
        <v>0.63749999999999996</v>
      </c>
      <c r="J127" s="347">
        <f t="array" ref="J127">SUM(IF((Roadmap_Avion!$B$8:$B$38=$B127)*(Roadmap_Avion!$C$4:$Z$4=J$56)*(Roadmap_Avion!$C$6:$Z$6=J$58)*(Roadmap_Avion!$C$7:$Z$7=J$59),Roadmap_Avion!$C$8:$Z$38,0))</f>
        <v>0</v>
      </c>
      <c r="K127" s="348">
        <f t="array" ref="K127">SUM(IF((Roadmap_Avion!$B$8:$B$38=$B127)*(Roadmap_Avion!$C$4:$Z$4=K$56)*(Roadmap_Avion!$C$6:$Z$6=K$58)*(Roadmap_Avion!$C$7:$Z$7=K$59),Roadmap_Avion!$C$8:$Z$38,0))</f>
        <v>1</v>
      </c>
      <c r="L127" s="346">
        <f t="array" ref="L127">SUM(IF((Roadmap_Avion!$B$8:$B$38=$B127)*(Roadmap_Avion!$C$4:$Z$4=L$56)*(Roadmap_Avion!$C$6:$Z$6=L$58)*(Roadmap_Avion!$C$7:$Z$7=L$59),Roadmap_Avion!$C$8:$Z$38,0))</f>
        <v>0.5625</v>
      </c>
      <c r="M127" s="347">
        <f t="array" ref="M127">SUM(IF((Roadmap_Avion!$B$8:$B$38=$B127)*(Roadmap_Avion!$C$4:$Z$4=M$56)*(Roadmap_Avion!$C$6:$Z$6=M$58)*(Roadmap_Avion!$C$7:$Z$7=M$59),Roadmap_Avion!$C$8:$Z$38,0))</f>
        <v>1</v>
      </c>
      <c r="N127" s="348">
        <f t="array" ref="N127">SUM(IF((Roadmap_Avion!$B$8:$B$38=$B127)*(Roadmap_Avion!$C$4:$Z$4=N$56)*(Roadmap_Avion!$C$6:$Z$6=N$58)*(Roadmap_Avion!$C$7:$Z$7=N$59),Roadmap_Avion!$C$8:$Z$38,0))</f>
        <v>0</v>
      </c>
      <c r="O127" s="781">
        <f t="array" ref="O127">SUM(IF((Prod_Carburant_Alt!$A$7:$A$37=$B127)*(Prod_Carburant_Alt!$B$3:$AI$3=O$56)*(Prod_Carburant_Alt!$B$5:$AI$5='Synthèse scénarios'!O$58)*(Prod_Carburant_Alt!$B$6:$AI$6=O$59),Prod_Carburant_Alt!$B$7:$AI$37,0))</f>
        <v>108.08189897788913</v>
      </c>
      <c r="P127" s="782">
        <f t="array" ref="P127">SUM(IF((Prod_Carburant_Alt!$A$7:$A$37=$B127)*(Prod_Carburant_Alt!$B$3:$AI$3=P$56)*(Prod_Carburant_Alt!$B$5:$AI$5='Synthèse scénarios'!P$58)*(Prod_Carburant_Alt!$B$6:$AI$6=P$59),Prod_Carburant_Alt!$B$7:$AI$37,0))</f>
        <v>0.204382517533922</v>
      </c>
      <c r="Q127" s="784">
        <f t="array" ref="Q127">SUM(IF((Prod_Carburant_Alt!$A$7:$A$37=$B127)*(Prod_Carburant_Alt!$B$3:$AI$3=Q$56)*(Prod_Carburant_Alt!$B$5:$AI$5='Synthèse scénarios'!Q$58)*(Prod_Carburant_Alt!$B$6:$AI$6=Q$59),Prod_Carburant_Alt!$B$7:$AI$37,0))</f>
        <v>49.717673529828978</v>
      </c>
      <c r="R127" s="621">
        <f>'Calculs Scénario CHARLIE'!BF40</f>
        <v>0.28926666666666667</v>
      </c>
      <c r="S127" s="622">
        <f>'Calculs Scénario CHARLIE'!BE40</f>
        <v>1601.7928843759476</v>
      </c>
      <c r="T127" s="623">
        <f>'Calculs Scénario CHARLIE'!CG40</f>
        <v>0.52447466351488903</v>
      </c>
      <c r="U127" s="622">
        <f>'Calculs Scénario CHARLIE'!CF40</f>
        <v>761.69310032232897</v>
      </c>
      <c r="V127" s="624">
        <f>'Calculs Scénario CHARLIE'!CI40</f>
        <v>0</v>
      </c>
      <c r="W127" s="624">
        <f>'Calculs Scénario CHARLIE'!CB40</f>
        <v>4354.7186988554777</v>
      </c>
      <c r="X127" s="625">
        <f>'Calculs Scénario CHARLIE'!CD40</f>
        <v>3.0994439137761405</v>
      </c>
    </row>
    <row r="128" spans="2:24" ht="15">
      <c r="B128" s="620">
        <v>2045</v>
      </c>
      <c r="C128" s="346">
        <f t="array" ref="C128">SUM(IF((Roadmap_Avion!$B$8:$B$38=$B128)*(Roadmap_Avion!$C$4:$Z$4=C$56)*(Roadmap_Avion!$C$6:$Z$6=C$58)*(Roadmap_Avion!$C$7:$Z$7=C$59),Roadmap_Avion!$C$8:$Z$38,0))</f>
        <v>0.85</v>
      </c>
      <c r="D128" s="347">
        <f t="array" ref="D128">SUM(IF((Roadmap_Avion!$B$8:$B$38=$B128)*(Roadmap_Avion!$C$4:$Z$4=D$56)*(Roadmap_Avion!$C$6:$Z$6=D$58)*(Roadmap_Avion!$C$7:$Z$7=D$59),Roadmap_Avion!$C$8:$Z$38,0))</f>
        <v>0</v>
      </c>
      <c r="E128" s="348">
        <f t="array" ref="E128">SUM(IF((Roadmap_Avion!$B$8:$B$38=$B128)*(Roadmap_Avion!$C$4:$Z$4=E$56)*(Roadmap_Avion!$C$6:$Z$6=E$58)*(Roadmap_Avion!$C$7:$Z$7=E$59),Roadmap_Avion!$C$8:$Z$38,0))</f>
        <v>1</v>
      </c>
      <c r="F128" s="346">
        <f t="array" ref="F128">SUM(IF((Roadmap_Avion!$B$8:$B$38=$B128)*(Roadmap_Avion!$C$4:$Z$4=F$56)*(Roadmap_Avion!$C$6:$Z$6=F$58)*(Roadmap_Avion!$C$7:$Z$7=F$59),Roadmap_Avion!$C$8:$Z$38,0))</f>
        <v>0.85</v>
      </c>
      <c r="G128" s="347">
        <f t="array" ref="G128">SUM(IF((Roadmap_Avion!$B$8:$B$38=$B128)*(Roadmap_Avion!$C$4:$Z$4=G$56)*(Roadmap_Avion!$C$6:$Z$6=G$58)*(Roadmap_Avion!$C$7:$Z$7=G$59),Roadmap_Avion!$C$8:$Z$38,0))</f>
        <v>0</v>
      </c>
      <c r="H128" s="348">
        <f t="array" ref="H128">SUM(IF((Roadmap_Avion!$B$8:$B$38=$B128)*(Roadmap_Avion!$C$4:$Z$4=H$56)*(Roadmap_Avion!$C$6:$Z$6=H$58)*(Roadmap_Avion!$C$7:$Z$7=H$59),Roadmap_Avion!$C$8:$Z$38,0))</f>
        <v>1</v>
      </c>
      <c r="I128" s="346">
        <f t="array" ref="I128">SUM(IF((Roadmap_Avion!$B$8:$B$38=$B128)*(Roadmap_Avion!$C$4:$Z$4=I$56)*(Roadmap_Avion!$C$6:$Z$6=I$58)*(Roadmap_Avion!$C$7:$Z$7=I$59),Roadmap_Avion!$C$8:$Z$38,0))</f>
        <v>0.63749999999999996</v>
      </c>
      <c r="J128" s="347">
        <f t="array" ref="J128">SUM(IF((Roadmap_Avion!$B$8:$B$38=$B128)*(Roadmap_Avion!$C$4:$Z$4=J$56)*(Roadmap_Avion!$C$6:$Z$6=J$58)*(Roadmap_Avion!$C$7:$Z$7=J$59),Roadmap_Avion!$C$8:$Z$38,0))</f>
        <v>0</v>
      </c>
      <c r="K128" s="348">
        <f t="array" ref="K128">SUM(IF((Roadmap_Avion!$B$8:$B$38=$B128)*(Roadmap_Avion!$C$4:$Z$4=K$56)*(Roadmap_Avion!$C$6:$Z$6=K$58)*(Roadmap_Avion!$C$7:$Z$7=K$59),Roadmap_Avion!$C$8:$Z$38,0))</f>
        <v>1</v>
      </c>
      <c r="L128" s="346">
        <f t="array" ref="L128">SUM(IF((Roadmap_Avion!$B$8:$B$38=$B128)*(Roadmap_Avion!$C$4:$Z$4=L$56)*(Roadmap_Avion!$C$6:$Z$6=L$58)*(Roadmap_Avion!$C$7:$Z$7=L$59),Roadmap_Avion!$C$8:$Z$38,0))</f>
        <v>0.5625</v>
      </c>
      <c r="M128" s="347">
        <f t="array" ref="M128">SUM(IF((Roadmap_Avion!$B$8:$B$38=$B128)*(Roadmap_Avion!$C$4:$Z$4=M$56)*(Roadmap_Avion!$C$6:$Z$6=M$58)*(Roadmap_Avion!$C$7:$Z$7=M$59),Roadmap_Avion!$C$8:$Z$38,0))</f>
        <v>1</v>
      </c>
      <c r="N128" s="348">
        <f t="array" ref="N128">SUM(IF((Roadmap_Avion!$B$8:$B$38=$B128)*(Roadmap_Avion!$C$4:$Z$4=N$56)*(Roadmap_Avion!$C$6:$Z$6=N$58)*(Roadmap_Avion!$C$7:$Z$7=N$59),Roadmap_Avion!$C$8:$Z$38,0))</f>
        <v>0</v>
      </c>
      <c r="O128" s="781">
        <f t="array" ref="O128">SUM(IF((Prod_Carburant_Alt!$A$7:$A$37=$B128)*(Prod_Carburant_Alt!$B$3:$AI$3=O$56)*(Prod_Carburant_Alt!$B$5:$AI$5='Synthèse scénarios'!O$58)*(Prod_Carburant_Alt!$B$6:$AI$6=O$59),Prod_Carburant_Alt!$B$7:$AI$37,0))</f>
        <v>124.29418382457249</v>
      </c>
      <c r="P128" s="782">
        <f t="array" ref="P128">SUM(IF((Prod_Carburant_Alt!$A$7:$A$37=$B128)*(Prod_Carburant_Alt!$B$3:$AI$3=P$56)*(Prod_Carburant_Alt!$B$5:$AI$5='Synthèse scénarios'!P$58)*(Prod_Carburant_Alt!$B$6:$AI$6=P$59),Prod_Carburant_Alt!$B$7:$AI$37,0))</f>
        <v>0.204382517533922</v>
      </c>
      <c r="Q128" s="784">
        <f t="array" ref="Q128">SUM(IF((Prod_Carburant_Alt!$A$7:$A$37=$B128)*(Prod_Carburant_Alt!$B$3:$AI$3=Q$56)*(Prod_Carburant_Alt!$B$5:$AI$5='Synthèse scénarios'!Q$58)*(Prod_Carburant_Alt!$B$6:$AI$6=Q$59),Prod_Carburant_Alt!$B$7:$AI$37,0))</f>
        <v>57.17532455930332</v>
      </c>
      <c r="R128" s="621">
        <f>'Calculs Scénario CHARLIE'!BF41</f>
        <v>0.30003333333333337</v>
      </c>
      <c r="S128" s="622">
        <f>'Calculs Scénario CHARLIE'!BE41</f>
        <v>1631.5692013125224</v>
      </c>
      <c r="T128" s="623">
        <f>'Calculs Scénario CHARLIE'!CG41</f>
        <v>0.60571413687629383</v>
      </c>
      <c r="U128" s="622">
        <f>'Calculs Scénario CHARLIE'!CF41</f>
        <v>643.30467078556387</v>
      </c>
      <c r="V128" s="624">
        <f>'Calculs Scénario CHARLIE'!CI41</f>
        <v>0</v>
      </c>
      <c r="W128" s="624">
        <f>'Calculs Scénario CHARLIE'!CB41</f>
        <v>5142.0388281172709</v>
      </c>
      <c r="X128" s="625">
        <f>'Calculs Scénario CHARLIE'!CD41</f>
        <v>3.6598141125389829</v>
      </c>
    </row>
    <row r="129" spans="2:24" ht="15">
      <c r="B129" s="620">
        <v>2046</v>
      </c>
      <c r="C129" s="346">
        <f t="array" ref="C129">SUM(IF((Roadmap_Avion!$B$8:$B$38=$B129)*(Roadmap_Avion!$C$4:$Z$4=C$56)*(Roadmap_Avion!$C$6:$Z$6=C$58)*(Roadmap_Avion!$C$7:$Z$7=C$59),Roadmap_Avion!$C$8:$Z$38,0))</f>
        <v>0.85</v>
      </c>
      <c r="D129" s="347">
        <f t="array" ref="D129">SUM(IF((Roadmap_Avion!$B$8:$B$38=$B129)*(Roadmap_Avion!$C$4:$Z$4=D$56)*(Roadmap_Avion!$C$6:$Z$6=D$58)*(Roadmap_Avion!$C$7:$Z$7=D$59),Roadmap_Avion!$C$8:$Z$38,0))</f>
        <v>0</v>
      </c>
      <c r="E129" s="348">
        <f t="array" ref="E129">SUM(IF((Roadmap_Avion!$B$8:$B$38=$B129)*(Roadmap_Avion!$C$4:$Z$4=E$56)*(Roadmap_Avion!$C$6:$Z$6=E$58)*(Roadmap_Avion!$C$7:$Z$7=E$59),Roadmap_Avion!$C$8:$Z$38,0))</f>
        <v>1</v>
      </c>
      <c r="F129" s="346">
        <f t="array" ref="F129">SUM(IF((Roadmap_Avion!$B$8:$B$38=$B129)*(Roadmap_Avion!$C$4:$Z$4=F$56)*(Roadmap_Avion!$C$6:$Z$6=F$58)*(Roadmap_Avion!$C$7:$Z$7=F$59),Roadmap_Avion!$C$8:$Z$38,0))</f>
        <v>0.85</v>
      </c>
      <c r="G129" s="347">
        <f t="array" ref="G129">SUM(IF((Roadmap_Avion!$B$8:$B$38=$B129)*(Roadmap_Avion!$C$4:$Z$4=G$56)*(Roadmap_Avion!$C$6:$Z$6=G$58)*(Roadmap_Avion!$C$7:$Z$7=G$59),Roadmap_Avion!$C$8:$Z$38,0))</f>
        <v>0</v>
      </c>
      <c r="H129" s="348">
        <f t="array" ref="H129">SUM(IF((Roadmap_Avion!$B$8:$B$38=$B129)*(Roadmap_Avion!$C$4:$Z$4=H$56)*(Roadmap_Avion!$C$6:$Z$6=H$58)*(Roadmap_Avion!$C$7:$Z$7=H$59),Roadmap_Avion!$C$8:$Z$38,0))</f>
        <v>1</v>
      </c>
      <c r="I129" s="346">
        <f t="array" ref="I129">SUM(IF((Roadmap_Avion!$B$8:$B$38=$B129)*(Roadmap_Avion!$C$4:$Z$4=I$56)*(Roadmap_Avion!$C$6:$Z$6=I$58)*(Roadmap_Avion!$C$7:$Z$7=I$59),Roadmap_Avion!$C$8:$Z$38,0))</f>
        <v>0.63749999999999996</v>
      </c>
      <c r="J129" s="347">
        <f t="array" ref="J129">SUM(IF((Roadmap_Avion!$B$8:$B$38=$B129)*(Roadmap_Avion!$C$4:$Z$4=J$56)*(Roadmap_Avion!$C$6:$Z$6=J$58)*(Roadmap_Avion!$C$7:$Z$7=J$59),Roadmap_Avion!$C$8:$Z$38,0))</f>
        <v>0</v>
      </c>
      <c r="K129" s="348">
        <f t="array" ref="K129">SUM(IF((Roadmap_Avion!$B$8:$B$38=$B129)*(Roadmap_Avion!$C$4:$Z$4=K$56)*(Roadmap_Avion!$C$6:$Z$6=K$58)*(Roadmap_Avion!$C$7:$Z$7=K$59),Roadmap_Avion!$C$8:$Z$38,0))</f>
        <v>1</v>
      </c>
      <c r="L129" s="346">
        <f t="array" ref="L129">SUM(IF((Roadmap_Avion!$B$8:$B$38=$B129)*(Roadmap_Avion!$C$4:$Z$4=L$56)*(Roadmap_Avion!$C$6:$Z$6=L$58)*(Roadmap_Avion!$C$7:$Z$7=L$59),Roadmap_Avion!$C$8:$Z$38,0))</f>
        <v>0.5625</v>
      </c>
      <c r="M129" s="347">
        <f t="array" ref="M129">SUM(IF((Roadmap_Avion!$B$8:$B$38=$B129)*(Roadmap_Avion!$C$4:$Z$4=M$56)*(Roadmap_Avion!$C$6:$Z$6=M$58)*(Roadmap_Avion!$C$7:$Z$7=M$59),Roadmap_Avion!$C$8:$Z$38,0))</f>
        <v>1</v>
      </c>
      <c r="N129" s="348">
        <f t="array" ref="N129">SUM(IF((Roadmap_Avion!$B$8:$B$38=$B129)*(Roadmap_Avion!$C$4:$Z$4=N$56)*(Roadmap_Avion!$C$6:$Z$6=N$58)*(Roadmap_Avion!$C$7:$Z$7=N$59),Roadmap_Avion!$C$8:$Z$38,0))</f>
        <v>0</v>
      </c>
      <c r="O129" s="781">
        <f t="array" ref="O129">SUM(IF((Prod_Carburant_Alt!$A$7:$A$37=$B129)*(Prod_Carburant_Alt!$B$3:$AI$3=O$56)*(Prod_Carburant_Alt!$B$5:$AI$5='Synthèse scénarios'!O$58)*(Prod_Carburant_Alt!$B$6:$AI$6=O$59),Prod_Carburant_Alt!$B$7:$AI$37,0))</f>
        <v>142.93831139825835</v>
      </c>
      <c r="P129" s="782">
        <f t="array" ref="P129">SUM(IF((Prod_Carburant_Alt!$A$7:$A$37=$B129)*(Prod_Carburant_Alt!$B$3:$AI$3=P$56)*(Prod_Carburant_Alt!$B$5:$AI$5='Synthèse scénarios'!P$58)*(Prod_Carburant_Alt!$B$6:$AI$6=P$59),Prod_Carburant_Alt!$B$7:$AI$37,0))</f>
        <v>0.204382517533922</v>
      </c>
      <c r="Q129" s="784">
        <f t="array" ref="Q129">SUM(IF((Prod_Carburant_Alt!$A$7:$A$37=$B129)*(Prod_Carburant_Alt!$B$3:$AI$3=Q$56)*(Prod_Carburant_Alt!$B$5:$AI$5='Synthèse scénarios'!Q$58)*(Prod_Carburant_Alt!$B$6:$AI$6=Q$59),Prod_Carburant_Alt!$B$7:$AI$37,0))</f>
        <v>65.751623243198807</v>
      </c>
      <c r="R129" s="621">
        <f>'Calculs Scénario CHARLIE'!BF42</f>
        <v>0.31080000000000008</v>
      </c>
      <c r="S129" s="622">
        <f>'Calculs Scénario CHARLIE'!BE42</f>
        <v>1660.4803765360923</v>
      </c>
      <c r="T129" s="623">
        <f>'Calculs Scénario CHARLIE'!CG42</f>
        <v>0.63876023070032506</v>
      </c>
      <c r="U129" s="622">
        <f>'Calculs Scénario CHARLIE'!CF42</f>
        <v>599.8315481465354</v>
      </c>
      <c r="V129" s="624">
        <f>'Calculs Scénario CHARLIE'!CI42</f>
        <v>0</v>
      </c>
      <c r="W129" s="624">
        <f>'Calculs Scénario CHARLIE'!CB42</f>
        <v>5579.9058763827434</v>
      </c>
      <c r="X129" s="625">
        <f>'Calculs Scénario CHARLIE'!CD42</f>
        <v>3.9714632572119171</v>
      </c>
    </row>
    <row r="130" spans="2:24" ht="15">
      <c r="B130" s="620">
        <v>2047</v>
      </c>
      <c r="C130" s="346">
        <f t="array" ref="C130">SUM(IF((Roadmap_Avion!$B$8:$B$38=$B130)*(Roadmap_Avion!$C$4:$Z$4=C$56)*(Roadmap_Avion!$C$6:$Z$6=C$58)*(Roadmap_Avion!$C$7:$Z$7=C$59),Roadmap_Avion!$C$8:$Z$38,0))</f>
        <v>0.85</v>
      </c>
      <c r="D130" s="347">
        <f t="array" ref="D130">SUM(IF((Roadmap_Avion!$B$8:$B$38=$B130)*(Roadmap_Avion!$C$4:$Z$4=D$56)*(Roadmap_Avion!$C$6:$Z$6=D$58)*(Roadmap_Avion!$C$7:$Z$7=D$59),Roadmap_Avion!$C$8:$Z$38,0))</f>
        <v>0</v>
      </c>
      <c r="E130" s="348">
        <f t="array" ref="E130">SUM(IF((Roadmap_Avion!$B$8:$B$38=$B130)*(Roadmap_Avion!$C$4:$Z$4=E$56)*(Roadmap_Avion!$C$6:$Z$6=E$58)*(Roadmap_Avion!$C$7:$Z$7=E$59),Roadmap_Avion!$C$8:$Z$38,0))</f>
        <v>1</v>
      </c>
      <c r="F130" s="346">
        <f t="array" ref="F130">SUM(IF((Roadmap_Avion!$B$8:$B$38=$B130)*(Roadmap_Avion!$C$4:$Z$4=F$56)*(Roadmap_Avion!$C$6:$Z$6=F$58)*(Roadmap_Avion!$C$7:$Z$7=F$59),Roadmap_Avion!$C$8:$Z$38,0))</f>
        <v>0.85</v>
      </c>
      <c r="G130" s="347">
        <f t="array" ref="G130">SUM(IF((Roadmap_Avion!$B$8:$B$38=$B130)*(Roadmap_Avion!$C$4:$Z$4=G$56)*(Roadmap_Avion!$C$6:$Z$6=G$58)*(Roadmap_Avion!$C$7:$Z$7=G$59),Roadmap_Avion!$C$8:$Z$38,0))</f>
        <v>0</v>
      </c>
      <c r="H130" s="348">
        <f t="array" ref="H130">SUM(IF((Roadmap_Avion!$B$8:$B$38=$B130)*(Roadmap_Avion!$C$4:$Z$4=H$56)*(Roadmap_Avion!$C$6:$Z$6=H$58)*(Roadmap_Avion!$C$7:$Z$7=H$59),Roadmap_Avion!$C$8:$Z$38,0))</f>
        <v>1</v>
      </c>
      <c r="I130" s="346">
        <f t="array" ref="I130">SUM(IF((Roadmap_Avion!$B$8:$B$38=$B130)*(Roadmap_Avion!$C$4:$Z$4=I$56)*(Roadmap_Avion!$C$6:$Z$6=I$58)*(Roadmap_Avion!$C$7:$Z$7=I$59),Roadmap_Avion!$C$8:$Z$38,0))</f>
        <v>0.63749999999999996</v>
      </c>
      <c r="J130" s="347">
        <f t="array" ref="J130">SUM(IF((Roadmap_Avion!$B$8:$B$38=$B130)*(Roadmap_Avion!$C$4:$Z$4=J$56)*(Roadmap_Avion!$C$6:$Z$6=J$58)*(Roadmap_Avion!$C$7:$Z$7=J$59),Roadmap_Avion!$C$8:$Z$38,0))</f>
        <v>0</v>
      </c>
      <c r="K130" s="348">
        <f t="array" ref="K130">SUM(IF((Roadmap_Avion!$B$8:$B$38=$B130)*(Roadmap_Avion!$C$4:$Z$4=K$56)*(Roadmap_Avion!$C$6:$Z$6=K$58)*(Roadmap_Avion!$C$7:$Z$7=K$59),Roadmap_Avion!$C$8:$Z$38,0))</f>
        <v>1</v>
      </c>
      <c r="L130" s="346">
        <f t="array" ref="L130">SUM(IF((Roadmap_Avion!$B$8:$B$38=$B130)*(Roadmap_Avion!$C$4:$Z$4=L$56)*(Roadmap_Avion!$C$6:$Z$6=L$58)*(Roadmap_Avion!$C$7:$Z$7=L$59),Roadmap_Avion!$C$8:$Z$38,0))</f>
        <v>0.5625</v>
      </c>
      <c r="M130" s="347">
        <f t="array" ref="M130">SUM(IF((Roadmap_Avion!$B$8:$B$38=$B130)*(Roadmap_Avion!$C$4:$Z$4=M$56)*(Roadmap_Avion!$C$6:$Z$6=M$58)*(Roadmap_Avion!$C$7:$Z$7=M$59),Roadmap_Avion!$C$8:$Z$38,0))</f>
        <v>1</v>
      </c>
      <c r="N130" s="348">
        <f t="array" ref="N130">SUM(IF((Roadmap_Avion!$B$8:$B$38=$B130)*(Roadmap_Avion!$C$4:$Z$4=N$56)*(Roadmap_Avion!$C$6:$Z$6=N$58)*(Roadmap_Avion!$C$7:$Z$7=N$59),Roadmap_Avion!$C$8:$Z$38,0))</f>
        <v>0</v>
      </c>
      <c r="O130" s="781">
        <f t="array" ref="O130">SUM(IF((Prod_Carburant_Alt!$A$7:$A$37=$B130)*(Prod_Carburant_Alt!$B$3:$AI$3=O$56)*(Prod_Carburant_Alt!$B$5:$AI$5='Synthèse scénarios'!O$58)*(Prod_Carburant_Alt!$B$6:$AI$6=O$59),Prod_Carburant_Alt!$B$7:$AI$37,0))</f>
        <v>164.37905810799708</v>
      </c>
      <c r="P130" s="782">
        <f t="array" ref="P130">SUM(IF((Prod_Carburant_Alt!$A$7:$A$37=$B130)*(Prod_Carburant_Alt!$B$3:$AI$3=P$56)*(Prod_Carburant_Alt!$B$5:$AI$5='Synthèse scénarios'!P$58)*(Prod_Carburant_Alt!$B$6:$AI$6=P$59),Prod_Carburant_Alt!$B$7:$AI$37,0))</f>
        <v>0.20438251753392198</v>
      </c>
      <c r="Q130" s="784">
        <f t="array" ref="Q130">SUM(IF((Prod_Carburant_Alt!$A$7:$A$37=$B130)*(Prod_Carburant_Alt!$B$3:$AI$3=Q$56)*(Prod_Carburant_Alt!$B$5:$AI$5='Synthèse scénarios'!Q$58)*(Prod_Carburant_Alt!$B$6:$AI$6=Q$59),Prod_Carburant_Alt!$B$7:$AI$37,0))</f>
        <v>75.614366729678622</v>
      </c>
      <c r="R130" s="621">
        <f>'Calculs Scénario CHARLIE'!BF43</f>
        <v>0.3193666666666668</v>
      </c>
      <c r="S130" s="622">
        <f>'Calculs Scénario CHARLIE'!BE43</f>
        <v>1693.7997693424777</v>
      </c>
      <c r="T130" s="623">
        <f>'Calculs Scénario CHARLIE'!CG43</f>
        <v>0.67180632452435618</v>
      </c>
      <c r="U130" s="622">
        <f>'Calculs Scénario CHARLIE'!CF43</f>
        <v>555.89437182030542</v>
      </c>
      <c r="V130" s="624">
        <f>'Calculs Scénario CHARLIE'!CI43</f>
        <v>0</v>
      </c>
      <c r="W130" s="624">
        <f>'Calculs Scénario CHARLIE'!CB43</f>
        <v>6045.5817094452323</v>
      </c>
      <c r="X130" s="625">
        <f>'Calculs Scénario CHARLIE'!CD43</f>
        <v>4.302905131277746</v>
      </c>
    </row>
    <row r="131" spans="2:24" ht="15">
      <c r="B131" s="620">
        <v>2048</v>
      </c>
      <c r="C131" s="346">
        <f t="array" ref="C131">SUM(IF((Roadmap_Avion!$B$8:$B$38=$B131)*(Roadmap_Avion!$C$4:$Z$4=C$56)*(Roadmap_Avion!$C$6:$Z$6=C$58)*(Roadmap_Avion!$C$7:$Z$7=C$59),Roadmap_Avion!$C$8:$Z$38,0))</f>
        <v>0.85</v>
      </c>
      <c r="D131" s="347">
        <f t="array" ref="D131">SUM(IF((Roadmap_Avion!$B$8:$B$38=$B131)*(Roadmap_Avion!$C$4:$Z$4=D$56)*(Roadmap_Avion!$C$6:$Z$6=D$58)*(Roadmap_Avion!$C$7:$Z$7=D$59),Roadmap_Avion!$C$8:$Z$38,0))</f>
        <v>0</v>
      </c>
      <c r="E131" s="348">
        <f t="array" ref="E131">SUM(IF((Roadmap_Avion!$B$8:$B$38=$B131)*(Roadmap_Avion!$C$4:$Z$4=E$56)*(Roadmap_Avion!$C$6:$Z$6=E$58)*(Roadmap_Avion!$C$7:$Z$7=E$59),Roadmap_Avion!$C$8:$Z$38,0))</f>
        <v>1</v>
      </c>
      <c r="F131" s="346">
        <f t="array" ref="F131">SUM(IF((Roadmap_Avion!$B$8:$B$38=$B131)*(Roadmap_Avion!$C$4:$Z$4=F$56)*(Roadmap_Avion!$C$6:$Z$6=F$58)*(Roadmap_Avion!$C$7:$Z$7=F$59),Roadmap_Avion!$C$8:$Z$38,0))</f>
        <v>0.85</v>
      </c>
      <c r="G131" s="347">
        <f t="array" ref="G131">SUM(IF((Roadmap_Avion!$B$8:$B$38=$B131)*(Roadmap_Avion!$C$4:$Z$4=G$56)*(Roadmap_Avion!$C$6:$Z$6=G$58)*(Roadmap_Avion!$C$7:$Z$7=G$59),Roadmap_Avion!$C$8:$Z$38,0))</f>
        <v>0</v>
      </c>
      <c r="H131" s="348">
        <f t="array" ref="H131">SUM(IF((Roadmap_Avion!$B$8:$B$38=$B131)*(Roadmap_Avion!$C$4:$Z$4=H$56)*(Roadmap_Avion!$C$6:$Z$6=H$58)*(Roadmap_Avion!$C$7:$Z$7=H$59),Roadmap_Avion!$C$8:$Z$38,0))</f>
        <v>1</v>
      </c>
      <c r="I131" s="346">
        <f t="array" ref="I131">SUM(IF((Roadmap_Avion!$B$8:$B$38=$B131)*(Roadmap_Avion!$C$4:$Z$4=I$56)*(Roadmap_Avion!$C$6:$Z$6=I$58)*(Roadmap_Avion!$C$7:$Z$7=I$59),Roadmap_Avion!$C$8:$Z$38,0))</f>
        <v>0.63749999999999996</v>
      </c>
      <c r="J131" s="347">
        <f t="array" ref="J131">SUM(IF((Roadmap_Avion!$B$8:$B$38=$B131)*(Roadmap_Avion!$C$4:$Z$4=J$56)*(Roadmap_Avion!$C$6:$Z$6=J$58)*(Roadmap_Avion!$C$7:$Z$7=J$59),Roadmap_Avion!$C$8:$Z$38,0))</f>
        <v>0</v>
      </c>
      <c r="K131" s="348">
        <f t="array" ref="K131">SUM(IF((Roadmap_Avion!$B$8:$B$38=$B131)*(Roadmap_Avion!$C$4:$Z$4=K$56)*(Roadmap_Avion!$C$6:$Z$6=K$58)*(Roadmap_Avion!$C$7:$Z$7=K$59),Roadmap_Avion!$C$8:$Z$38,0))</f>
        <v>1</v>
      </c>
      <c r="L131" s="346">
        <f t="array" ref="L131">SUM(IF((Roadmap_Avion!$B$8:$B$38=$B131)*(Roadmap_Avion!$C$4:$Z$4=L$56)*(Roadmap_Avion!$C$6:$Z$6=L$58)*(Roadmap_Avion!$C$7:$Z$7=L$59),Roadmap_Avion!$C$8:$Z$38,0))</f>
        <v>0.5625</v>
      </c>
      <c r="M131" s="347">
        <f t="array" ref="M131">SUM(IF((Roadmap_Avion!$B$8:$B$38=$B131)*(Roadmap_Avion!$C$4:$Z$4=M$56)*(Roadmap_Avion!$C$6:$Z$6=M$58)*(Roadmap_Avion!$C$7:$Z$7=M$59),Roadmap_Avion!$C$8:$Z$38,0))</f>
        <v>1</v>
      </c>
      <c r="N131" s="348">
        <f t="array" ref="N131">SUM(IF((Roadmap_Avion!$B$8:$B$38=$B131)*(Roadmap_Avion!$C$4:$Z$4=N$56)*(Roadmap_Avion!$C$6:$Z$6=N$58)*(Roadmap_Avion!$C$7:$Z$7=N$59),Roadmap_Avion!$C$8:$Z$38,0))</f>
        <v>0</v>
      </c>
      <c r="O131" s="781">
        <f t="array" ref="O131">SUM(IF((Prod_Carburant_Alt!$A$7:$A$37=$B131)*(Prod_Carburant_Alt!$B$3:$AI$3=O$56)*(Prod_Carburant_Alt!$B$5:$AI$5='Synthèse scénarios'!O$58)*(Prod_Carburant_Alt!$B$6:$AI$6=O$59),Prod_Carburant_Alt!$B$7:$AI$37,0))</f>
        <v>189.03591682419662</v>
      </c>
      <c r="P131" s="782">
        <f t="array" ref="P131">SUM(IF((Prod_Carburant_Alt!$A$7:$A$37=$B131)*(Prod_Carburant_Alt!$B$3:$AI$3=P$56)*(Prod_Carburant_Alt!$B$5:$AI$5='Synthèse scénarios'!P$58)*(Prod_Carburant_Alt!$B$6:$AI$6=P$59),Prod_Carburant_Alt!$B$7:$AI$37,0))</f>
        <v>0.20438251753392198</v>
      </c>
      <c r="Q131" s="784">
        <f t="array" ref="Q131">SUM(IF((Prod_Carburant_Alt!$A$7:$A$37=$B131)*(Prod_Carburant_Alt!$B$3:$AI$3=Q$56)*(Prod_Carburant_Alt!$B$5:$AI$5='Synthèse scénarios'!Q$58)*(Prod_Carburant_Alt!$B$6:$AI$6=Q$59),Prod_Carburant_Alt!$B$7:$AI$37,0))</f>
        <v>86.956521739130409</v>
      </c>
      <c r="R131" s="621">
        <f>'Calculs Scénario CHARLIE'!BF44</f>
        <v>0.32793333333333341</v>
      </c>
      <c r="S131" s="622">
        <f>'Calculs Scénario CHARLIE'!BE44</f>
        <v>1726.1778553252495</v>
      </c>
      <c r="T131" s="623">
        <f>'Calculs Scénario CHARLIE'!CG44</f>
        <v>0.7048524183483873</v>
      </c>
      <c r="U131" s="622">
        <f>'Calculs Scénario CHARLIE'!CF44</f>
        <v>509.47721949981479</v>
      </c>
      <c r="V131" s="624">
        <f>'Calculs Scénario CHARLIE'!CI44</f>
        <v>0</v>
      </c>
      <c r="W131" s="624">
        <f>'Calculs Scénario CHARLIE'!CB44</f>
        <v>6521.6171073238693</v>
      </c>
      <c r="X131" s="625">
        <f>'Calculs Scénario CHARLIE'!CD44</f>
        <v>4.6417203610846034</v>
      </c>
    </row>
    <row r="132" spans="2:24" ht="15">
      <c r="B132" s="620">
        <v>2049</v>
      </c>
      <c r="C132" s="346">
        <f t="array" ref="C132">SUM(IF((Roadmap_Avion!$B$8:$B$38=$B132)*(Roadmap_Avion!$C$4:$Z$4=C$56)*(Roadmap_Avion!$C$6:$Z$6=C$58)*(Roadmap_Avion!$C$7:$Z$7=C$59),Roadmap_Avion!$C$8:$Z$38,0))</f>
        <v>0.85</v>
      </c>
      <c r="D132" s="347">
        <f t="array" ref="D132">SUM(IF((Roadmap_Avion!$B$8:$B$38=$B132)*(Roadmap_Avion!$C$4:$Z$4=D$56)*(Roadmap_Avion!$C$6:$Z$6=D$58)*(Roadmap_Avion!$C$7:$Z$7=D$59),Roadmap_Avion!$C$8:$Z$38,0))</f>
        <v>0</v>
      </c>
      <c r="E132" s="348">
        <f t="array" ref="E132">SUM(IF((Roadmap_Avion!$B$8:$B$38=$B132)*(Roadmap_Avion!$C$4:$Z$4=E$56)*(Roadmap_Avion!$C$6:$Z$6=E$58)*(Roadmap_Avion!$C$7:$Z$7=E$59),Roadmap_Avion!$C$8:$Z$38,0))</f>
        <v>1</v>
      </c>
      <c r="F132" s="346">
        <f t="array" ref="F132">SUM(IF((Roadmap_Avion!$B$8:$B$38=$B132)*(Roadmap_Avion!$C$4:$Z$4=F$56)*(Roadmap_Avion!$C$6:$Z$6=F$58)*(Roadmap_Avion!$C$7:$Z$7=F$59),Roadmap_Avion!$C$8:$Z$38,0))</f>
        <v>0.85</v>
      </c>
      <c r="G132" s="347">
        <f t="array" ref="G132">SUM(IF((Roadmap_Avion!$B$8:$B$38=$B132)*(Roadmap_Avion!$C$4:$Z$4=G$56)*(Roadmap_Avion!$C$6:$Z$6=G$58)*(Roadmap_Avion!$C$7:$Z$7=G$59),Roadmap_Avion!$C$8:$Z$38,0))</f>
        <v>0</v>
      </c>
      <c r="H132" s="348">
        <f t="array" ref="H132">SUM(IF((Roadmap_Avion!$B$8:$B$38=$B132)*(Roadmap_Avion!$C$4:$Z$4=H$56)*(Roadmap_Avion!$C$6:$Z$6=H$58)*(Roadmap_Avion!$C$7:$Z$7=H$59),Roadmap_Avion!$C$8:$Z$38,0))</f>
        <v>1</v>
      </c>
      <c r="I132" s="346">
        <f t="array" ref="I132">SUM(IF((Roadmap_Avion!$B$8:$B$38=$B132)*(Roadmap_Avion!$C$4:$Z$4=I$56)*(Roadmap_Avion!$C$6:$Z$6=I$58)*(Roadmap_Avion!$C$7:$Z$7=I$59),Roadmap_Avion!$C$8:$Z$38,0))</f>
        <v>0.63749999999999996</v>
      </c>
      <c r="J132" s="347">
        <f t="array" ref="J132">SUM(IF((Roadmap_Avion!$B$8:$B$38=$B132)*(Roadmap_Avion!$C$4:$Z$4=J$56)*(Roadmap_Avion!$C$6:$Z$6=J$58)*(Roadmap_Avion!$C$7:$Z$7=J$59),Roadmap_Avion!$C$8:$Z$38,0))</f>
        <v>0</v>
      </c>
      <c r="K132" s="348">
        <f t="array" ref="K132">SUM(IF((Roadmap_Avion!$B$8:$B$38=$B132)*(Roadmap_Avion!$C$4:$Z$4=K$56)*(Roadmap_Avion!$C$6:$Z$6=K$58)*(Roadmap_Avion!$C$7:$Z$7=K$59),Roadmap_Avion!$C$8:$Z$38,0))</f>
        <v>1</v>
      </c>
      <c r="L132" s="346">
        <f t="array" ref="L132">SUM(IF((Roadmap_Avion!$B$8:$B$38=$B132)*(Roadmap_Avion!$C$4:$Z$4=L$56)*(Roadmap_Avion!$C$6:$Z$6=L$58)*(Roadmap_Avion!$C$7:$Z$7=L$59),Roadmap_Avion!$C$8:$Z$38,0))</f>
        <v>0.5625</v>
      </c>
      <c r="M132" s="347">
        <f t="array" ref="M132">SUM(IF((Roadmap_Avion!$B$8:$B$38=$B132)*(Roadmap_Avion!$C$4:$Z$4=M$56)*(Roadmap_Avion!$C$6:$Z$6=M$58)*(Roadmap_Avion!$C$7:$Z$7=M$59),Roadmap_Avion!$C$8:$Z$38,0))</f>
        <v>1</v>
      </c>
      <c r="N132" s="348">
        <f t="array" ref="N132">SUM(IF((Roadmap_Avion!$B$8:$B$38=$B132)*(Roadmap_Avion!$C$4:$Z$4=N$56)*(Roadmap_Avion!$C$6:$Z$6=N$58)*(Roadmap_Avion!$C$7:$Z$7=N$59),Roadmap_Avion!$C$8:$Z$38,0))</f>
        <v>0</v>
      </c>
      <c r="O132" s="781">
        <f t="array" ref="O132">SUM(IF((Prod_Carburant_Alt!$A$7:$A$37=$B132)*(Prod_Carburant_Alt!$B$3:$AI$3=O$56)*(Prod_Carburant_Alt!$B$5:$AI$5='Synthèse scénarios'!O$58)*(Prod_Carburant_Alt!$B$6:$AI$6=O$59),Prod_Carburant_Alt!$B$7:$AI$37,0))</f>
        <v>217.39130434782609</v>
      </c>
      <c r="P132" s="782">
        <f t="array" ref="P132">SUM(IF((Prod_Carburant_Alt!$A$7:$A$37=$B132)*(Prod_Carburant_Alt!$B$3:$AI$3=P$56)*(Prod_Carburant_Alt!$B$5:$AI$5='Synthèse scénarios'!P$58)*(Prod_Carburant_Alt!$B$6:$AI$6=P$59),Prod_Carburant_Alt!$B$7:$AI$37,0))</f>
        <v>0.204382517533922</v>
      </c>
      <c r="Q132" s="784">
        <f t="array" ref="Q132">SUM(IF((Prod_Carburant_Alt!$A$7:$A$37=$B132)*(Prod_Carburant_Alt!$B$3:$AI$3=Q$56)*(Prod_Carburant_Alt!$B$5:$AI$5='Synthèse scénarios'!Q$58)*(Prod_Carburant_Alt!$B$6:$AI$6=Q$59),Prod_Carburant_Alt!$B$7:$AI$37,0))</f>
        <v>99.999999999999957</v>
      </c>
      <c r="R132" s="621">
        <f>'Calculs Scénario CHARLIE'!BF45</f>
        <v>0.3364999999999998</v>
      </c>
      <c r="S132" s="622">
        <f>'Calculs Scénario CHARLIE'!BE45</f>
        <v>1757.362631483923</v>
      </c>
      <c r="T132" s="623">
        <f>'Calculs Scénario CHARLIE'!CG45</f>
        <v>0.73789851217241853</v>
      </c>
      <c r="U132" s="622">
        <f>'Calculs Scénario CHARLIE'!CF45</f>
        <v>460.60736036452988</v>
      </c>
      <c r="V132" s="624">
        <f>'Calculs Scénario CHARLIE'!CI45</f>
        <v>0</v>
      </c>
      <c r="W132" s="624">
        <f>'Calculs Scénario CHARLIE'!CB45</f>
        <v>7006.4176539435612</v>
      </c>
      <c r="X132" s="625">
        <f>'Calculs Scénario CHARLIE'!CD45</f>
        <v>4.9867741309206837</v>
      </c>
    </row>
    <row r="133" spans="2:24" ht="15.95" thickBot="1">
      <c r="B133" s="627">
        <v>2050</v>
      </c>
      <c r="C133" s="350">
        <f t="array" ref="C133">SUM(IF((Roadmap_Avion!$B$8:$B$38=$B133)*(Roadmap_Avion!$C$4:$Z$4=C$56)*(Roadmap_Avion!$C$6:$Z$6=C$58)*(Roadmap_Avion!$C$7:$Z$7=C$59),Roadmap_Avion!$C$8:$Z$38,0))</f>
        <v>0.85</v>
      </c>
      <c r="D133" s="351">
        <f t="array" ref="D133">SUM(IF((Roadmap_Avion!$B$8:$B$38=$B133)*(Roadmap_Avion!$C$4:$Z$4=D$56)*(Roadmap_Avion!$C$6:$Z$6=D$58)*(Roadmap_Avion!$C$7:$Z$7=D$59),Roadmap_Avion!$C$8:$Z$38,0))</f>
        <v>0</v>
      </c>
      <c r="E133" s="352">
        <f t="array" ref="E133">SUM(IF((Roadmap_Avion!$B$8:$B$38=$B133)*(Roadmap_Avion!$C$4:$Z$4=E$56)*(Roadmap_Avion!$C$6:$Z$6=E$58)*(Roadmap_Avion!$C$7:$Z$7=E$59),Roadmap_Avion!$C$8:$Z$38,0))</f>
        <v>1</v>
      </c>
      <c r="F133" s="350">
        <f t="array" ref="F133">SUM(IF((Roadmap_Avion!$B$8:$B$38=$B133)*(Roadmap_Avion!$C$4:$Z$4=F$56)*(Roadmap_Avion!$C$6:$Z$6=F$58)*(Roadmap_Avion!$C$7:$Z$7=F$59),Roadmap_Avion!$C$8:$Z$38,0))</f>
        <v>0.85</v>
      </c>
      <c r="G133" s="351">
        <f t="array" ref="G133">SUM(IF((Roadmap_Avion!$B$8:$B$38=$B133)*(Roadmap_Avion!$C$4:$Z$4=G$56)*(Roadmap_Avion!$C$6:$Z$6=G$58)*(Roadmap_Avion!$C$7:$Z$7=G$59),Roadmap_Avion!$C$8:$Z$38,0))</f>
        <v>0</v>
      </c>
      <c r="H133" s="352">
        <f t="array" ref="H133">SUM(IF((Roadmap_Avion!$B$8:$B$38=$B133)*(Roadmap_Avion!$C$4:$Z$4=H$56)*(Roadmap_Avion!$C$6:$Z$6=H$58)*(Roadmap_Avion!$C$7:$Z$7=H$59),Roadmap_Avion!$C$8:$Z$38,0))</f>
        <v>1</v>
      </c>
      <c r="I133" s="350">
        <f t="array" ref="I133">SUM(IF((Roadmap_Avion!$B$8:$B$38=$B133)*(Roadmap_Avion!$C$4:$Z$4=I$56)*(Roadmap_Avion!$C$6:$Z$6=I$58)*(Roadmap_Avion!$C$7:$Z$7=I$59),Roadmap_Avion!$C$8:$Z$38,0))</f>
        <v>0.63749999999999996</v>
      </c>
      <c r="J133" s="351">
        <f t="array" ref="J133">SUM(IF((Roadmap_Avion!$B$8:$B$38=$B133)*(Roadmap_Avion!$C$4:$Z$4=J$56)*(Roadmap_Avion!$C$6:$Z$6=J$58)*(Roadmap_Avion!$C$7:$Z$7=J$59),Roadmap_Avion!$C$8:$Z$38,0))</f>
        <v>0</v>
      </c>
      <c r="K133" s="352">
        <f t="array" ref="K133">SUM(IF((Roadmap_Avion!$B$8:$B$38=$B133)*(Roadmap_Avion!$C$4:$Z$4=K$56)*(Roadmap_Avion!$C$6:$Z$6=K$58)*(Roadmap_Avion!$C$7:$Z$7=K$59),Roadmap_Avion!$C$8:$Z$38,0))</f>
        <v>1</v>
      </c>
      <c r="L133" s="350">
        <f t="array" ref="L133">SUM(IF((Roadmap_Avion!$B$8:$B$38=$B133)*(Roadmap_Avion!$C$4:$Z$4=L$56)*(Roadmap_Avion!$C$6:$Z$6=L$58)*(Roadmap_Avion!$C$7:$Z$7=L$59),Roadmap_Avion!$C$8:$Z$38,0))</f>
        <v>0.5625</v>
      </c>
      <c r="M133" s="351">
        <f t="array" ref="M133">SUM(IF((Roadmap_Avion!$B$8:$B$38=$B133)*(Roadmap_Avion!$C$4:$Z$4=M$56)*(Roadmap_Avion!$C$6:$Z$6=M$58)*(Roadmap_Avion!$C$7:$Z$7=M$59),Roadmap_Avion!$C$8:$Z$38,0))</f>
        <v>1</v>
      </c>
      <c r="N133" s="352">
        <f t="array" ref="N133">SUM(IF((Roadmap_Avion!$B$8:$B$38=$B133)*(Roadmap_Avion!$C$4:$Z$4=N$56)*(Roadmap_Avion!$C$6:$Z$6=N$58)*(Roadmap_Avion!$C$7:$Z$7=N$59),Roadmap_Avion!$C$8:$Z$38,0))</f>
        <v>0</v>
      </c>
      <c r="O133" s="373">
        <f t="array" ref="O133">SUM(IF((Prod_Carburant_Alt!$A$7:$A$37=$B133)*(Prod_Carburant_Alt!$B$3:$AI$3=O$56)*(Prod_Carburant_Alt!$B$5:$AI$5='Synthèse scénarios'!O$58)*(Prod_Carburant_Alt!$B$6:$AI$6=O$59),Prod_Carburant_Alt!$B$7:$AI$37,0))</f>
        <v>250</v>
      </c>
      <c r="P133" s="786">
        <f t="array" ref="P133">SUM(IF((Prod_Carburant_Alt!$A$7:$A$37=$B133)*(Prod_Carburant_Alt!$B$3:$AI$3=P$56)*(Prod_Carburant_Alt!$B$5:$AI$5='Synthèse scénarios'!P$58)*(Prod_Carburant_Alt!$B$6:$AI$6=P$59),Prod_Carburant_Alt!$B$7:$AI$37,0))</f>
        <v>0.204382517533922</v>
      </c>
      <c r="Q133" s="788">
        <f t="array" ref="Q133">SUM(IF((Prod_Carburant_Alt!$A$7:$A$37=$B133)*(Prod_Carburant_Alt!$B$3:$AI$3=Q$56)*(Prod_Carburant_Alt!$B$5:$AI$5='Synthèse scénarios'!Q$58)*(Prod_Carburant_Alt!$B$6:$AI$6=Q$59),Prod_Carburant_Alt!$B$7:$AI$37,0))</f>
        <v>125</v>
      </c>
      <c r="R133" s="628">
        <f>'Calculs Scénario CHARLIE'!BF46</f>
        <v>0.34450000000000003</v>
      </c>
      <c r="S133" s="629">
        <f>'Calculs Scénario CHARLIE'!BE46</f>
        <v>1769.8214842021803</v>
      </c>
      <c r="T133" s="630">
        <f>'Calculs Scénario CHARLIE'!CG46</f>
        <v>0.77132146304455407</v>
      </c>
      <c r="U133" s="629">
        <f>'Calculs Scénario CHARLIE'!CF46</f>
        <v>404.72018767967057</v>
      </c>
      <c r="V133" s="631">
        <f>'Calculs Scénario CHARLIE'!CI46</f>
        <v>0</v>
      </c>
      <c r="W133" s="631">
        <f>'Calculs Scénario CHARLIE'!CB46</f>
        <v>7560.2402127554669</v>
      </c>
      <c r="X133" s="632">
        <f>'Calculs Scénario CHARLIE'!CD46</f>
        <v>5.3809538880821819</v>
      </c>
    </row>
  </sheetData>
  <mergeCells count="57">
    <mergeCell ref="V100:V102"/>
    <mergeCell ref="W100:W102"/>
    <mergeCell ref="X100:X102"/>
    <mergeCell ref="O100:P100"/>
    <mergeCell ref="R100:R102"/>
    <mergeCell ref="S100:S102"/>
    <mergeCell ref="T100:T102"/>
    <mergeCell ref="U100:U102"/>
    <mergeCell ref="B100:B102"/>
    <mergeCell ref="C100:E100"/>
    <mergeCell ref="F100:H100"/>
    <mergeCell ref="I100:K100"/>
    <mergeCell ref="L100:N100"/>
    <mergeCell ref="B97:B98"/>
    <mergeCell ref="C97:N97"/>
    <mergeCell ref="O97:Q97"/>
    <mergeCell ref="R97:X98"/>
    <mergeCell ref="C98:N98"/>
    <mergeCell ref="O98:Q98"/>
    <mergeCell ref="R11:X12"/>
    <mergeCell ref="C12:N12"/>
    <mergeCell ref="O12:Q12"/>
    <mergeCell ref="F14:H14"/>
    <mergeCell ref="I14:K14"/>
    <mergeCell ref="L14:N14"/>
    <mergeCell ref="O14:P14"/>
    <mergeCell ref="W14:W16"/>
    <mergeCell ref="B11:B12"/>
    <mergeCell ref="C11:N11"/>
    <mergeCell ref="O11:Q11"/>
    <mergeCell ref="O57:P57"/>
    <mergeCell ref="X14:X16"/>
    <mergeCell ref="B54:B55"/>
    <mergeCell ref="C54:N54"/>
    <mergeCell ref="O54:Q54"/>
    <mergeCell ref="R54:X55"/>
    <mergeCell ref="C55:N55"/>
    <mergeCell ref="O55:Q55"/>
    <mergeCell ref="R14:R16"/>
    <mergeCell ref="S14:S16"/>
    <mergeCell ref="T14:T16"/>
    <mergeCell ref="U14:U16"/>
    <mergeCell ref="V14:V16"/>
    <mergeCell ref="B14:B16"/>
    <mergeCell ref="C14:E14"/>
    <mergeCell ref="B57:B59"/>
    <mergeCell ref="C57:E57"/>
    <mergeCell ref="F57:H57"/>
    <mergeCell ref="I57:K57"/>
    <mergeCell ref="L57:N57"/>
    <mergeCell ref="X57:X59"/>
    <mergeCell ref="R57:R59"/>
    <mergeCell ref="S57:S59"/>
    <mergeCell ref="T57:T59"/>
    <mergeCell ref="U57:U59"/>
    <mergeCell ref="V57:V59"/>
    <mergeCell ref="W57:W59"/>
  </mergeCells>
  <conditionalFormatting sqref="C22:E22">
    <cfRule type="expression" dxfId="37" priority="36">
      <formula>IF(C22&lt;&gt;C21,1,0)</formula>
    </cfRule>
  </conditionalFormatting>
  <conditionalFormatting sqref="C23:C47">
    <cfRule type="expression" dxfId="36" priority="35">
      <formula>IF(C23&lt;&gt;C22,1,0)</formula>
    </cfRule>
  </conditionalFormatting>
  <conditionalFormatting sqref="C18:E47">
    <cfRule type="expression" dxfId="35" priority="34">
      <formula>IF(C18&lt;&gt;C17,1,0)</formula>
    </cfRule>
  </conditionalFormatting>
  <conditionalFormatting sqref="F22:H22">
    <cfRule type="expression" dxfId="34" priority="33">
      <formula>IF(F22&lt;&gt;F21,1,0)</formula>
    </cfRule>
  </conditionalFormatting>
  <conditionalFormatting sqref="F23:F47">
    <cfRule type="expression" dxfId="33" priority="32">
      <formula>IF(F23&lt;&gt;F22,1,0)</formula>
    </cfRule>
  </conditionalFormatting>
  <conditionalFormatting sqref="F18:H47">
    <cfRule type="expression" dxfId="32" priority="31">
      <formula>IF(F18&lt;&gt;F17,1,0)</formula>
    </cfRule>
  </conditionalFormatting>
  <conditionalFormatting sqref="I22:K22">
    <cfRule type="expression" dxfId="31" priority="30">
      <formula>IF(I22&lt;&gt;I21,1,0)</formula>
    </cfRule>
  </conditionalFormatting>
  <conditionalFormatting sqref="I23:I47">
    <cfRule type="expression" dxfId="30" priority="29">
      <formula>IF(I23&lt;&gt;I22,1,0)</formula>
    </cfRule>
  </conditionalFormatting>
  <conditionalFormatting sqref="I18:K47">
    <cfRule type="expression" dxfId="29" priority="28">
      <formula>IF(I18&lt;&gt;I17,1,0)</formula>
    </cfRule>
  </conditionalFormatting>
  <conditionalFormatting sqref="L22:N22">
    <cfRule type="expression" dxfId="28" priority="27">
      <formula>IF(L22&lt;&gt;L21,1,0)</formula>
    </cfRule>
  </conditionalFormatting>
  <conditionalFormatting sqref="L23:L47">
    <cfRule type="expression" dxfId="27" priority="26">
      <formula>IF(L23&lt;&gt;L22,1,0)</formula>
    </cfRule>
  </conditionalFormatting>
  <conditionalFormatting sqref="L18:N47">
    <cfRule type="expression" dxfId="26" priority="25">
      <formula>IF(L18&lt;&gt;L17,1,0)</formula>
    </cfRule>
  </conditionalFormatting>
  <conditionalFormatting sqref="C65:E65">
    <cfRule type="expression" dxfId="25" priority="24">
      <formula>IF(C65&lt;&gt;C64,1,0)</formula>
    </cfRule>
  </conditionalFormatting>
  <conditionalFormatting sqref="C66:C90">
    <cfRule type="expression" dxfId="24" priority="23">
      <formula>IF(C66&lt;&gt;C65,1,0)</formula>
    </cfRule>
  </conditionalFormatting>
  <conditionalFormatting sqref="C61:E90">
    <cfRule type="expression" dxfId="23" priority="22">
      <formula>IF(C61&lt;&gt;C60,1,0)</formula>
    </cfRule>
  </conditionalFormatting>
  <conditionalFormatting sqref="F65:H65">
    <cfRule type="expression" dxfId="22" priority="21">
      <formula>IF(F65&lt;&gt;F64,1,0)</formula>
    </cfRule>
  </conditionalFormatting>
  <conditionalFormatting sqref="F66:F90">
    <cfRule type="expression" dxfId="21" priority="20">
      <formula>IF(F66&lt;&gt;F65,1,0)</formula>
    </cfRule>
  </conditionalFormatting>
  <conditionalFormatting sqref="F61:H90">
    <cfRule type="expression" dxfId="20" priority="19">
      <formula>IF(F61&lt;&gt;F60,1,0)</formula>
    </cfRule>
  </conditionalFormatting>
  <conditionalFormatting sqref="I65:K65">
    <cfRule type="expression" dxfId="19" priority="18">
      <formula>IF(I65&lt;&gt;I64,1,0)</formula>
    </cfRule>
  </conditionalFormatting>
  <conditionalFormatting sqref="I66:I90">
    <cfRule type="expression" dxfId="18" priority="17">
      <formula>IF(I66&lt;&gt;I65,1,0)</formula>
    </cfRule>
  </conditionalFormatting>
  <conditionalFormatting sqref="I61:K90">
    <cfRule type="expression" dxfId="17" priority="16">
      <formula>IF(I61&lt;&gt;I60,1,0)</formula>
    </cfRule>
  </conditionalFormatting>
  <conditionalFormatting sqref="L65:N65">
    <cfRule type="expression" dxfId="16" priority="15">
      <formula>IF(L65&lt;&gt;L64,1,0)</formula>
    </cfRule>
  </conditionalFormatting>
  <conditionalFormatting sqref="L66:L90">
    <cfRule type="expression" dxfId="15" priority="14">
      <formula>IF(L66&lt;&gt;L65,1,0)</formula>
    </cfRule>
  </conditionalFormatting>
  <conditionalFormatting sqref="L61:N90">
    <cfRule type="expression" dxfId="14" priority="13">
      <formula>IF(L61&lt;&gt;L60,1,0)</formula>
    </cfRule>
  </conditionalFormatting>
  <conditionalFormatting sqref="C108:E108">
    <cfRule type="expression" dxfId="13" priority="12">
      <formula>IF(C108&lt;&gt;C107,1,0)</formula>
    </cfRule>
  </conditionalFormatting>
  <conditionalFormatting sqref="C109:C133">
    <cfRule type="expression" dxfId="12" priority="11">
      <formula>IF(C109&lt;&gt;C108,1,0)</formula>
    </cfRule>
  </conditionalFormatting>
  <conditionalFormatting sqref="C104:E133">
    <cfRule type="expression" dxfId="11" priority="10">
      <formula>IF(C104&lt;&gt;C103,1,0)</formula>
    </cfRule>
  </conditionalFormatting>
  <conditionalFormatting sqref="F108:H108">
    <cfRule type="expression" dxfId="10" priority="9">
      <formula>IF(F108&lt;&gt;F107,1,0)</formula>
    </cfRule>
  </conditionalFormatting>
  <conditionalFormatting sqref="F109:F133">
    <cfRule type="expression" dxfId="9" priority="8">
      <formula>IF(F109&lt;&gt;F108,1,0)</formula>
    </cfRule>
  </conditionalFormatting>
  <conditionalFormatting sqref="F104:H133">
    <cfRule type="expression" dxfId="8" priority="7">
      <formula>IF(F104&lt;&gt;F103,1,0)</formula>
    </cfRule>
  </conditionalFormatting>
  <conditionalFormatting sqref="I108:K108">
    <cfRule type="expression" dxfId="7" priority="6">
      <formula>IF(I108&lt;&gt;I107,1,0)</formula>
    </cfRule>
  </conditionalFormatting>
  <conditionalFormatting sqref="I109:I133">
    <cfRule type="expression" dxfId="6" priority="5">
      <formula>IF(I109&lt;&gt;I108,1,0)</formula>
    </cfRule>
  </conditionalFormatting>
  <conditionalFormatting sqref="I104:K133">
    <cfRule type="expression" dxfId="5" priority="4">
      <formula>IF(I104&lt;&gt;I103,1,0)</formula>
    </cfRule>
  </conditionalFormatting>
  <conditionalFormatting sqref="L108:N108">
    <cfRule type="expression" dxfId="4" priority="3">
      <formula>IF(L108&lt;&gt;L107,1,0)</formula>
    </cfRule>
  </conditionalFormatting>
  <conditionalFormatting sqref="L109:L133">
    <cfRule type="expression" dxfId="3" priority="2">
      <formula>IF(L109&lt;&gt;L108,1,0)</formula>
    </cfRule>
  </conditionalFormatting>
  <conditionalFormatting sqref="L104:N133">
    <cfRule type="expression" dxfId="2" priority="1">
      <formula>IF(L104&lt;&gt;L103,1,0)</formula>
    </cfRule>
  </conditionalFormatting>
  <dataValidations count="9">
    <dataValidation type="list" allowBlank="1" showInputMessage="1" showErrorMessage="1" sqref="F3:F5" xr:uid="{00000000-0002-0000-0600-000000000000}">
      <formula1>"2020,2021,2022,2023,2024,2025,2026,2027,2028,2029,2030,2031,2031,2033,2034,2035,2036,2037,2038,2039,2040"</formula1>
    </dataValidation>
    <dataValidation type="list" allowBlank="1" showInputMessage="1" showErrorMessage="1" sqref="J8:M8 J51:M51 J94:M94" xr:uid="{00000000-0002-0000-0600-000001000000}">
      <formula1>MIX_PARAM</formula1>
    </dataValidation>
    <dataValidation type="list" allowBlank="1" showInputMessage="1" showErrorMessage="1" sqref="O16:Q16 O59:Q59 O102:Q102" xr:uid="{00000000-0002-0000-0600-000002000000}">
      <formula1>BIOCARB_PARAM</formula1>
    </dataValidation>
    <dataValidation type="list" allowBlank="1" showInputMessage="1" showErrorMessage="1" sqref="O14:Q14 O15:P15 O57:Q57 O58:P58 O100:Q100 O101:P101" xr:uid="{00000000-0002-0000-0600-000003000000}">
      <formula1>BIOCARB</formula1>
    </dataValidation>
    <dataValidation type="list" allowBlank="1" showInputMessage="1" showErrorMessage="1" sqref="G3:G5" xr:uid="{00000000-0002-0000-0600-000004000000}">
      <formula1>MIX</formula1>
    </dataValidation>
    <dataValidation type="list" allowBlank="1" showInputMessage="1" showErrorMessage="1" sqref="B14 B57 B3:B5 B100" xr:uid="{00000000-0002-0000-0600-000005000000}">
      <formula1>SC_GLOB</formula1>
    </dataValidation>
    <dataValidation type="list" allowBlank="1" showInputMessage="1" showErrorMessage="1" sqref="D3:D5" xr:uid="{00000000-0002-0000-0600-000006000000}">
      <formula1>CA</formula1>
    </dataValidation>
    <dataValidation type="list" allowBlank="1" showInputMessage="1" showErrorMessage="1" sqref="C3:C5" xr:uid="{00000000-0002-0000-0600-000007000000}">
      <formula1>RM_Avion</formula1>
    </dataValidation>
    <dataValidation type="list" allowBlank="1" showInputMessage="1" showErrorMessage="1" sqref="E3:E5" xr:uid="{00000000-0002-0000-0600-000008000000}">
      <formula1>RENOUV</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5E0B3"/>
  </sheetPr>
  <dimension ref="A1:CL1005"/>
  <sheetViews>
    <sheetView tabSelected="1" zoomScale="70" zoomScaleNormal="70" workbookViewId="0">
      <pane xSplit="2" topLeftCell="C1" activePane="topRight" state="frozen"/>
      <selection pane="topRight" activeCell="K20" sqref="K20"/>
    </sheetView>
  </sheetViews>
  <sheetFormatPr defaultColWidth="12.625" defaultRowHeight="15" customHeight="1"/>
  <cols>
    <col min="1" max="1" width="26.375" style="108" customWidth="1"/>
    <col min="2" max="2" width="12.375" style="108" customWidth="1"/>
    <col min="3" max="8" width="10.875" style="357" customWidth="1"/>
    <col min="9" max="9" width="10.875" style="357" hidden="1" customWidth="1"/>
    <col min="10" max="62" width="10.875" style="357" customWidth="1"/>
    <col min="63" max="89" width="10.875" style="108" customWidth="1"/>
    <col min="90" max="90" width="14.625" style="108" customWidth="1"/>
    <col min="91" max="16384" width="12.625" style="108"/>
  </cols>
  <sheetData>
    <row r="1" spans="1:90" ht="45">
      <c r="A1" s="418" t="s">
        <v>494</v>
      </c>
      <c r="B1" s="419" t="s">
        <v>473</v>
      </c>
      <c r="C1" s="420" t="s">
        <v>474</v>
      </c>
      <c r="D1" s="420" t="s">
        <v>495</v>
      </c>
      <c r="E1" s="420" t="s">
        <v>476</v>
      </c>
      <c r="F1" s="420" t="s">
        <v>477</v>
      </c>
      <c r="G1" s="420" t="s">
        <v>207</v>
      </c>
      <c r="H1" s="420" t="s">
        <v>207</v>
      </c>
      <c r="I1" s="420"/>
      <c r="J1" s="420" t="s">
        <v>209</v>
      </c>
      <c r="BK1" s="357"/>
      <c r="BL1" s="357"/>
      <c r="BM1" s="1149"/>
      <c r="BN1" s="1149"/>
      <c r="BO1" s="1149"/>
      <c r="BP1" s="1149"/>
      <c r="BQ1" s="1149"/>
      <c r="BR1" s="1149"/>
      <c r="BS1" s="1149"/>
      <c r="BT1" s="1149"/>
      <c r="BU1" s="1149"/>
      <c r="BV1" s="1149"/>
      <c r="BW1" s="1149"/>
      <c r="BX1" s="1149"/>
      <c r="BY1" s="1149"/>
      <c r="BZ1" s="1149"/>
      <c r="CA1" s="1149"/>
      <c r="CB1" s="1149"/>
      <c r="CC1" s="1149"/>
      <c r="CD1" s="1149"/>
      <c r="CE1" s="1149"/>
      <c r="CF1" s="1149"/>
      <c r="CG1" s="1149"/>
      <c r="CH1" s="1149"/>
      <c r="CI1" s="1149"/>
      <c r="CJ1" s="1149"/>
      <c r="CK1" s="1149"/>
      <c r="CL1" s="1149"/>
    </row>
    <row r="2" spans="1:90" ht="15" customHeight="1" thickBot="1">
      <c r="A2" s="421" t="s">
        <v>284</v>
      </c>
      <c r="B2" s="422" t="str">
        <f>VLOOKUP($A$2,'Synthèse scénarios'!$B$3:$G$5,2,FALSE)</f>
        <v>INDUS</v>
      </c>
      <c r="C2" s="423" t="str">
        <f>VLOOKUP($A$2,'Synthèse scénarios'!$B$3:$G$5,3,FALSE)</f>
        <v>CAPA100</v>
      </c>
      <c r="D2" s="424">
        <f>IF(VLOOKUP($A$2,'Synthèse scénarios'!$B$3:$G$5,4,FALSE)="15 ans",15,25)</f>
        <v>15</v>
      </c>
      <c r="E2" s="424">
        <f>VLOOKUP($A$2,'Synthèse scénarios'!$B$3:$G$5,5,FALSE)</f>
        <v>2025</v>
      </c>
      <c r="F2" s="424" t="str">
        <f>VLOOKUP($A$2,'Synthèse scénarios'!$B$3:$G$5,6,FALSE)</f>
        <v>Eolien</v>
      </c>
      <c r="G2" s="425">
        <f>VLOOKUP($F$2,Hypothèses!$B$120:$F$123,3,FALSE)</f>
        <v>11</v>
      </c>
      <c r="H2" s="425">
        <f>VLOOKUP($F$2,Hypothèses!$B$120:$F$123,4,FALSE)</f>
        <v>651</v>
      </c>
      <c r="I2" s="425"/>
      <c r="J2" s="425">
        <f>VLOOKUP($F$2,Hypothèses!$B$120:$F$123,5,FALSE)</f>
        <v>1405</v>
      </c>
      <c r="BK2" s="357"/>
      <c r="BL2" s="357"/>
      <c r="BM2" s="1149"/>
      <c r="BN2" s="1149"/>
      <c r="BO2" s="1149"/>
      <c r="BP2" s="1149"/>
      <c r="BQ2" s="1149"/>
      <c r="BR2" s="1149"/>
      <c r="BS2" s="1149"/>
      <c r="BT2" s="1149"/>
      <c r="BU2" s="1149"/>
      <c r="BV2" s="1149"/>
      <c r="BW2" s="1149"/>
      <c r="BX2" s="1149"/>
      <c r="BY2" s="1149"/>
      <c r="BZ2" s="1149"/>
      <c r="CA2" s="1149"/>
      <c r="CB2" s="1149"/>
      <c r="CC2" s="1149"/>
      <c r="CD2" s="1149"/>
      <c r="CE2" s="1149"/>
      <c r="CF2" s="1149"/>
      <c r="CG2" s="1149"/>
      <c r="CH2" s="1149"/>
      <c r="CI2" s="1149"/>
      <c r="CJ2" s="1149"/>
      <c r="CK2" s="1149"/>
      <c r="CL2" s="1149"/>
    </row>
    <row r="3" spans="1:90" ht="14.25" customHeight="1">
      <c r="A3" s="426"/>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1149"/>
      <c r="BL3" s="1149"/>
      <c r="BM3" s="1149"/>
      <c r="BN3" s="1149"/>
      <c r="BO3" s="1149"/>
      <c r="BP3" s="1149"/>
      <c r="BQ3" s="1149"/>
      <c r="BR3" s="1149"/>
      <c r="BS3" s="1149"/>
      <c r="BT3" s="1149"/>
      <c r="BU3" s="1149"/>
      <c r="BV3" s="1149"/>
      <c r="BW3" s="1149"/>
      <c r="BX3" s="1149"/>
      <c r="BY3" s="1149"/>
      <c r="BZ3" s="1149"/>
      <c r="CA3" s="1149"/>
      <c r="CB3" s="1149"/>
      <c r="CC3" s="1149"/>
      <c r="CD3" s="1149"/>
      <c r="CE3" s="1149"/>
      <c r="CF3" s="1149"/>
      <c r="CG3" s="1149"/>
      <c r="CH3" s="1149"/>
      <c r="CI3" s="1149"/>
      <c r="CJ3" s="1149"/>
      <c r="CK3" s="1149"/>
      <c r="CL3" s="1149"/>
    </row>
    <row r="4" spans="1:90" ht="14.25" customHeight="1">
      <c r="A4" s="426"/>
      <c r="B4" s="331"/>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1149"/>
      <c r="BL4" s="1149"/>
      <c r="BM4" s="1149"/>
      <c r="BN4" s="1149"/>
      <c r="BO4" s="1149"/>
      <c r="BP4" s="1149"/>
      <c r="BQ4" s="1149"/>
      <c r="BR4" s="1149"/>
      <c r="BS4" s="1149"/>
      <c r="BT4" s="1149"/>
      <c r="BU4" s="1149"/>
      <c r="BV4" s="1149"/>
      <c r="BW4" s="1149"/>
      <c r="BX4" s="1149"/>
      <c r="BY4" s="1149"/>
      <c r="BZ4" s="1149"/>
      <c r="CA4" s="1149"/>
      <c r="CB4" s="1149"/>
      <c r="CC4" s="1149"/>
      <c r="CD4" s="1149"/>
      <c r="CE4" s="1149"/>
      <c r="CF4" s="1149"/>
      <c r="CG4" s="1149"/>
      <c r="CH4" s="1149"/>
      <c r="CI4" s="1149"/>
      <c r="CJ4" s="1149"/>
      <c r="CK4" s="1149"/>
      <c r="CL4" s="1149"/>
    </row>
    <row r="5" spans="1:90" ht="14.25" customHeight="1" thickBot="1">
      <c r="A5" s="426"/>
      <c r="B5" s="331"/>
      <c r="C5" s="332"/>
      <c r="D5" s="332"/>
      <c r="E5" s="332"/>
      <c r="F5" s="332"/>
      <c r="G5" s="332"/>
      <c r="H5" s="332"/>
      <c r="I5" s="332"/>
      <c r="J5" s="332"/>
      <c r="K5" s="332"/>
      <c r="L5" s="332"/>
      <c r="M5" s="332"/>
      <c r="N5" s="332"/>
      <c r="O5" s="332"/>
      <c r="P5" s="332"/>
      <c r="Q5" s="332"/>
      <c r="R5" s="332"/>
      <c r="S5" s="332"/>
      <c r="T5" s="1149"/>
      <c r="U5" s="1149"/>
      <c r="V5" s="1149"/>
      <c r="W5" s="1149"/>
      <c r="X5" s="1149"/>
      <c r="Y5" s="1149"/>
      <c r="Z5" s="1149"/>
      <c r="AA5" s="1149"/>
      <c r="AB5" s="1149"/>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427"/>
      <c r="BL5" s="427"/>
      <c r="BM5" s="428"/>
      <c r="BN5" s="427"/>
      <c r="BO5" s="427"/>
      <c r="BP5" s="429"/>
      <c r="BQ5" s="429"/>
      <c r="BR5" s="429"/>
      <c r="BS5" s="427"/>
      <c r="BT5" s="427"/>
      <c r="BU5" s="429"/>
      <c r="BV5" s="429"/>
      <c r="BW5" s="429"/>
      <c r="BX5" s="429"/>
      <c r="BY5" s="429"/>
      <c r="BZ5" s="429"/>
      <c r="CA5" s="429"/>
      <c r="CB5" s="429"/>
      <c r="CC5" s="429"/>
      <c r="CD5" s="429"/>
      <c r="CE5" s="429"/>
      <c r="CF5" s="429"/>
      <c r="CG5" s="429"/>
      <c r="CH5" s="429"/>
      <c r="CI5" s="429"/>
      <c r="CJ5" s="429"/>
      <c r="CK5" s="429"/>
      <c r="CL5" s="430"/>
    </row>
    <row r="6" spans="1:90" ht="14.25" customHeight="1" thickBot="1">
      <c r="A6" s="426"/>
      <c r="B6" s="1356" t="s">
        <v>496</v>
      </c>
      <c r="C6" s="1359" t="s">
        <v>497</v>
      </c>
      <c r="D6" s="1360"/>
      <c r="E6" s="1360"/>
      <c r="F6" s="1360"/>
      <c r="G6" s="1360"/>
      <c r="H6" s="1360"/>
      <c r="I6" s="1360"/>
      <c r="J6" s="1360"/>
      <c r="K6" s="1303" t="s">
        <v>498</v>
      </c>
      <c r="L6" s="1304"/>
      <c r="M6" s="1304"/>
      <c r="N6" s="1304"/>
      <c r="O6" s="1304"/>
      <c r="P6" s="1304"/>
      <c r="Q6" s="1304"/>
      <c r="R6" s="1304"/>
      <c r="S6" s="1305"/>
      <c r="T6" s="1303" t="s">
        <v>499</v>
      </c>
      <c r="U6" s="1304"/>
      <c r="V6" s="1304"/>
      <c r="W6" s="1304"/>
      <c r="X6" s="1304"/>
      <c r="Y6" s="1304"/>
      <c r="Z6" s="1304"/>
      <c r="AA6" s="1304"/>
      <c r="AB6" s="1305"/>
      <c r="AC6" s="1303" t="s">
        <v>500</v>
      </c>
      <c r="AD6" s="1304"/>
      <c r="AE6" s="1304"/>
      <c r="AF6" s="1304"/>
      <c r="AG6" s="1304"/>
      <c r="AH6" s="1304"/>
      <c r="AI6" s="1304"/>
      <c r="AJ6" s="1304"/>
      <c r="AK6" s="1305"/>
      <c r="AL6" s="1303" t="s">
        <v>501</v>
      </c>
      <c r="AM6" s="1304"/>
      <c r="AN6" s="1304"/>
      <c r="AO6" s="1304"/>
      <c r="AP6" s="1304"/>
      <c r="AQ6" s="1304"/>
      <c r="AR6" s="1304"/>
      <c r="AS6" s="1304"/>
      <c r="AT6" s="1305"/>
      <c r="AU6" s="1303" t="s">
        <v>502</v>
      </c>
      <c r="AV6" s="1304"/>
      <c r="AW6" s="1304"/>
      <c r="AX6" s="1304"/>
      <c r="AY6" s="1304"/>
      <c r="AZ6" s="1304"/>
      <c r="BA6" s="1304"/>
      <c r="BB6" s="1304"/>
      <c r="BC6" s="1305"/>
      <c r="BD6" s="1306" t="s">
        <v>503</v>
      </c>
      <c r="BE6" s="1307"/>
      <c r="BF6" s="1307"/>
      <c r="BG6" s="1307"/>
      <c r="BH6" s="1307"/>
      <c r="BI6" s="1307"/>
      <c r="BJ6" s="1307"/>
      <c r="BK6" s="1312" t="s">
        <v>504</v>
      </c>
      <c r="BL6" s="1313"/>
      <c r="BM6" s="1313"/>
      <c r="BN6" s="1313"/>
      <c r="BO6" s="1313"/>
      <c r="BP6" s="1313"/>
      <c r="BQ6" s="1313"/>
      <c r="BR6" s="1314"/>
      <c r="BS6" s="1315" t="s">
        <v>505</v>
      </c>
      <c r="BT6" s="1315"/>
      <c r="BU6" s="1315"/>
      <c r="BV6" s="1315"/>
      <c r="BW6" s="1315"/>
      <c r="BX6" s="1315"/>
      <c r="BY6" s="1315"/>
      <c r="BZ6" s="1315"/>
      <c r="CA6" s="1315"/>
      <c r="CB6" s="1318" t="s">
        <v>506</v>
      </c>
      <c r="CC6" s="1319"/>
      <c r="CD6" s="1319"/>
      <c r="CE6" s="1320"/>
      <c r="CF6" s="1335" t="s">
        <v>507</v>
      </c>
      <c r="CG6" s="1336"/>
      <c r="CH6" s="1336"/>
      <c r="CI6" s="1336"/>
      <c r="CJ6" s="1336"/>
      <c r="CK6" s="1336"/>
      <c r="CL6" s="1337"/>
    </row>
    <row r="7" spans="1:90" s="435" customFormat="1" ht="14.25" hidden="1" customHeight="1" thickBot="1">
      <c r="A7" s="431"/>
      <c r="B7" s="1357"/>
      <c r="C7" s="1361"/>
      <c r="D7" s="1362"/>
      <c r="E7" s="1362"/>
      <c r="F7" s="1362"/>
      <c r="G7" s="1362"/>
      <c r="H7" s="1362"/>
      <c r="I7" s="1362"/>
      <c r="J7" s="1362"/>
      <c r="K7" s="432"/>
      <c r="L7" s="432"/>
      <c r="M7" s="433" t="s">
        <v>371</v>
      </c>
      <c r="N7" s="433" t="s">
        <v>371</v>
      </c>
      <c r="O7" s="433" t="s">
        <v>371</v>
      </c>
      <c r="P7" s="432"/>
      <c r="Q7" s="432"/>
      <c r="R7" s="432"/>
      <c r="S7" s="432"/>
      <c r="T7" s="433"/>
      <c r="U7" s="432"/>
      <c r="V7" s="433" t="s">
        <v>372</v>
      </c>
      <c r="W7" s="433" t="s">
        <v>372</v>
      </c>
      <c r="X7" s="433" t="s">
        <v>372</v>
      </c>
      <c r="Y7" s="432"/>
      <c r="Z7" s="432"/>
      <c r="AA7" s="432"/>
      <c r="AB7" s="432"/>
      <c r="AC7" s="432"/>
      <c r="AD7" s="432"/>
      <c r="AE7" s="433" t="s">
        <v>373</v>
      </c>
      <c r="AF7" s="433" t="s">
        <v>373</v>
      </c>
      <c r="AG7" s="433" t="s">
        <v>373</v>
      </c>
      <c r="AH7" s="432"/>
      <c r="AI7" s="432"/>
      <c r="AJ7" s="432"/>
      <c r="AK7" s="432"/>
      <c r="AL7" s="432"/>
      <c r="AM7" s="432"/>
      <c r="AN7" s="433" t="s">
        <v>373</v>
      </c>
      <c r="AO7" s="433" t="s">
        <v>373</v>
      </c>
      <c r="AP7" s="433" t="s">
        <v>373</v>
      </c>
      <c r="AQ7" s="432"/>
      <c r="AR7" s="432"/>
      <c r="AS7" s="432"/>
      <c r="AT7" s="432"/>
      <c r="AU7" s="432"/>
      <c r="AV7" s="432"/>
      <c r="AW7" s="433" t="s">
        <v>374</v>
      </c>
      <c r="AX7" s="433" t="s">
        <v>374</v>
      </c>
      <c r="AY7" s="433" t="s">
        <v>374</v>
      </c>
      <c r="AZ7" s="432"/>
      <c r="BA7" s="432"/>
      <c r="BB7" s="432"/>
      <c r="BC7" s="432"/>
      <c r="BD7" s="1308"/>
      <c r="BE7" s="1309"/>
      <c r="BF7" s="1309"/>
      <c r="BG7" s="1309"/>
      <c r="BH7" s="1309"/>
      <c r="BI7" s="1309"/>
      <c r="BJ7" s="1309"/>
      <c r="BK7" s="434"/>
      <c r="BM7" s="431" t="s">
        <v>380</v>
      </c>
      <c r="BN7" s="431" t="s">
        <v>380</v>
      </c>
      <c r="BO7" s="431" t="s">
        <v>380</v>
      </c>
      <c r="BP7" s="431" t="s">
        <v>385</v>
      </c>
      <c r="BR7" s="434"/>
      <c r="BS7" s="1316"/>
      <c r="BT7" s="1316"/>
      <c r="BU7" s="1316"/>
      <c r="BV7" s="1316"/>
      <c r="BW7" s="1316"/>
      <c r="BX7" s="1316"/>
      <c r="BY7" s="1317"/>
      <c r="BZ7" s="1317"/>
      <c r="CA7" s="1316"/>
      <c r="CB7" s="1321"/>
      <c r="CC7" s="1322"/>
      <c r="CD7" s="1322"/>
      <c r="CE7" s="1323"/>
      <c r="CF7" s="1338"/>
      <c r="CG7" s="1339"/>
      <c r="CH7" s="1339"/>
      <c r="CI7" s="1339"/>
      <c r="CJ7" s="1339"/>
      <c r="CK7" s="1339"/>
      <c r="CL7" s="1340"/>
    </row>
    <row r="8" spans="1:90" ht="24" customHeight="1" thickBot="1">
      <c r="A8" s="331"/>
      <c r="B8" s="1357"/>
      <c r="C8" s="1363"/>
      <c r="D8" s="1364"/>
      <c r="E8" s="1364"/>
      <c r="F8" s="1364"/>
      <c r="G8" s="1364"/>
      <c r="H8" s="1364"/>
      <c r="I8" s="1364"/>
      <c r="J8" s="1364"/>
      <c r="K8" s="1366"/>
      <c r="L8" s="1327"/>
      <c r="M8" s="1328" t="s">
        <v>508</v>
      </c>
      <c r="N8" s="1326"/>
      <c r="O8" s="1327"/>
      <c r="P8" s="1329" t="s">
        <v>475</v>
      </c>
      <c r="Q8" s="1329"/>
      <c r="R8" s="1329"/>
      <c r="S8" s="1365"/>
      <c r="T8" s="1366"/>
      <c r="U8" s="1327"/>
      <c r="V8" s="1328" t="s">
        <v>508</v>
      </c>
      <c r="W8" s="1326"/>
      <c r="X8" s="1327"/>
      <c r="Y8" s="1329" t="s">
        <v>475</v>
      </c>
      <c r="Z8" s="1329"/>
      <c r="AA8" s="1329"/>
      <c r="AB8" s="1365"/>
      <c r="AC8" s="1366"/>
      <c r="AD8" s="1327"/>
      <c r="AE8" s="1328" t="s">
        <v>508</v>
      </c>
      <c r="AF8" s="1326"/>
      <c r="AG8" s="1327"/>
      <c r="AH8" s="1329" t="s">
        <v>475</v>
      </c>
      <c r="AI8" s="1329"/>
      <c r="AJ8" s="1329"/>
      <c r="AK8" s="1365"/>
      <c r="AL8" s="1366"/>
      <c r="AM8" s="1327"/>
      <c r="AN8" s="1328" t="s">
        <v>508</v>
      </c>
      <c r="AO8" s="1326"/>
      <c r="AP8" s="1327"/>
      <c r="AQ8" s="1329"/>
      <c r="AR8" s="1329"/>
      <c r="AS8" s="1329"/>
      <c r="AT8" s="1365"/>
      <c r="AU8" s="1326"/>
      <c r="AV8" s="1327"/>
      <c r="AW8" s="1328" t="s">
        <v>508</v>
      </c>
      <c r="AX8" s="1326"/>
      <c r="AY8" s="1327"/>
      <c r="AZ8" s="1329" t="s">
        <v>475</v>
      </c>
      <c r="BA8" s="1329"/>
      <c r="BB8" s="1329"/>
      <c r="BC8" s="1326"/>
      <c r="BD8" s="1310"/>
      <c r="BE8" s="1311"/>
      <c r="BF8" s="1311"/>
      <c r="BG8" s="1311"/>
      <c r="BH8" s="1311"/>
      <c r="BI8" s="1311"/>
      <c r="BJ8" s="1311"/>
      <c r="BK8" s="1324" t="s">
        <v>509</v>
      </c>
      <c r="BL8" s="1325"/>
      <c r="BM8" s="1341" t="s">
        <v>510</v>
      </c>
      <c r="BN8" s="1342"/>
      <c r="BO8" s="1343"/>
      <c r="BP8" s="1344" t="s">
        <v>385</v>
      </c>
      <c r="BQ8" s="1345"/>
      <c r="BR8" s="436" t="s">
        <v>511</v>
      </c>
      <c r="BS8" s="1346" t="s">
        <v>512</v>
      </c>
      <c r="BT8" s="1348" t="s">
        <v>513</v>
      </c>
      <c r="BU8" s="1330" t="s">
        <v>380</v>
      </c>
      <c r="BV8" s="1331"/>
      <c r="BW8" s="1330" t="s">
        <v>385</v>
      </c>
      <c r="BX8" s="1332"/>
      <c r="BY8" s="1333" t="s">
        <v>514</v>
      </c>
      <c r="BZ8" s="1334"/>
      <c r="CA8" s="437" t="s">
        <v>515</v>
      </c>
      <c r="CB8" s="438"/>
      <c r="CC8" s="439"/>
      <c r="CD8" s="439"/>
      <c r="CE8" s="440"/>
      <c r="CF8" s="1354" t="s">
        <v>516</v>
      </c>
      <c r="CG8" s="1350" t="s">
        <v>517</v>
      </c>
      <c r="CH8" s="1350" t="s">
        <v>518</v>
      </c>
      <c r="CI8" s="1350" t="s">
        <v>519</v>
      </c>
      <c r="CJ8" s="1350" t="s">
        <v>520</v>
      </c>
      <c r="CK8" s="1350" t="s">
        <v>521</v>
      </c>
      <c r="CL8" s="1352" t="s">
        <v>522</v>
      </c>
    </row>
    <row r="9" spans="1:90" ht="99" thickBot="1">
      <c r="A9" s="331"/>
      <c r="B9" s="1358"/>
      <c r="C9" s="441" t="s">
        <v>523</v>
      </c>
      <c r="D9" s="442" t="s">
        <v>524</v>
      </c>
      <c r="E9" s="442" t="s">
        <v>525</v>
      </c>
      <c r="F9" s="442" t="s">
        <v>526</v>
      </c>
      <c r="G9" s="442" t="s">
        <v>527</v>
      </c>
      <c r="H9" s="442" t="s">
        <v>528</v>
      </c>
      <c r="I9" s="443" t="s">
        <v>529</v>
      </c>
      <c r="J9" s="442" t="s">
        <v>530</v>
      </c>
      <c r="K9" s="444" t="s">
        <v>531</v>
      </c>
      <c r="L9" s="445" t="s">
        <v>532</v>
      </c>
      <c r="M9" s="446" t="s">
        <v>375</v>
      </c>
      <c r="N9" s="447" t="s">
        <v>376</v>
      </c>
      <c r="O9" s="445" t="s">
        <v>377</v>
      </c>
      <c r="P9" s="447" t="s">
        <v>533</v>
      </c>
      <c r="Q9" s="447" t="s">
        <v>532</v>
      </c>
      <c r="R9" s="448" t="s">
        <v>534</v>
      </c>
      <c r="S9" s="449" t="s">
        <v>535</v>
      </c>
      <c r="T9" s="444" t="s">
        <v>531</v>
      </c>
      <c r="U9" s="445" t="s">
        <v>532</v>
      </c>
      <c r="V9" s="446" t="s">
        <v>375</v>
      </c>
      <c r="W9" s="447" t="s">
        <v>376</v>
      </c>
      <c r="X9" s="445" t="s">
        <v>377</v>
      </c>
      <c r="Y9" s="447" t="s">
        <v>533</v>
      </c>
      <c r="Z9" s="447" t="s">
        <v>532</v>
      </c>
      <c r="AA9" s="448" t="s">
        <v>534</v>
      </c>
      <c r="AB9" s="449" t="s">
        <v>535</v>
      </c>
      <c r="AC9" s="444" t="s">
        <v>531</v>
      </c>
      <c r="AD9" s="445" t="s">
        <v>532</v>
      </c>
      <c r="AE9" s="446" t="s">
        <v>375</v>
      </c>
      <c r="AF9" s="447" t="s">
        <v>376</v>
      </c>
      <c r="AG9" s="445" t="s">
        <v>377</v>
      </c>
      <c r="AH9" s="447" t="s">
        <v>533</v>
      </c>
      <c r="AI9" s="447" t="s">
        <v>532</v>
      </c>
      <c r="AJ9" s="448" t="s">
        <v>534</v>
      </c>
      <c r="AK9" s="449" t="s">
        <v>535</v>
      </c>
      <c r="AL9" s="444" t="s">
        <v>531</v>
      </c>
      <c r="AM9" s="445" t="s">
        <v>532</v>
      </c>
      <c r="AN9" s="446" t="s">
        <v>375</v>
      </c>
      <c r="AO9" s="447" t="s">
        <v>376</v>
      </c>
      <c r="AP9" s="445" t="s">
        <v>377</v>
      </c>
      <c r="AQ9" s="447" t="s">
        <v>533</v>
      </c>
      <c r="AR9" s="447" t="s">
        <v>532</v>
      </c>
      <c r="AS9" s="448" t="s">
        <v>534</v>
      </c>
      <c r="AT9" s="449" t="s">
        <v>535</v>
      </c>
      <c r="AU9" s="447" t="s">
        <v>531</v>
      </c>
      <c r="AV9" s="445" t="s">
        <v>532</v>
      </c>
      <c r="AW9" s="446" t="s">
        <v>375</v>
      </c>
      <c r="AX9" s="447" t="s">
        <v>376</v>
      </c>
      <c r="AY9" s="445" t="s">
        <v>377</v>
      </c>
      <c r="AZ9" s="447" t="s">
        <v>533</v>
      </c>
      <c r="BA9" s="447" t="s">
        <v>532</v>
      </c>
      <c r="BB9" s="450" t="s">
        <v>534</v>
      </c>
      <c r="BC9" s="448" t="s">
        <v>535</v>
      </c>
      <c r="BD9" s="451" t="s">
        <v>536</v>
      </c>
      <c r="BE9" s="452" t="s">
        <v>537</v>
      </c>
      <c r="BF9" s="452" t="s">
        <v>538</v>
      </c>
      <c r="BG9" s="453" t="s">
        <v>539</v>
      </c>
      <c r="BH9" s="454" t="s">
        <v>540</v>
      </c>
      <c r="BI9" s="454" t="s">
        <v>535</v>
      </c>
      <c r="BJ9" s="454" t="s">
        <v>541</v>
      </c>
      <c r="BK9" s="455" t="s">
        <v>542</v>
      </c>
      <c r="BL9" s="456" t="s">
        <v>543</v>
      </c>
      <c r="BM9" s="457" t="s">
        <v>386</v>
      </c>
      <c r="BN9" s="458" t="s">
        <v>544</v>
      </c>
      <c r="BO9" s="458" t="s">
        <v>387</v>
      </c>
      <c r="BP9" s="457" t="s">
        <v>386</v>
      </c>
      <c r="BQ9" s="459" t="s">
        <v>544</v>
      </c>
      <c r="BR9" s="460" t="s">
        <v>545</v>
      </c>
      <c r="BS9" s="1347"/>
      <c r="BT9" s="1349"/>
      <c r="BU9" s="461" t="s">
        <v>546</v>
      </c>
      <c r="BV9" s="462" t="s">
        <v>513</v>
      </c>
      <c r="BW9" s="463" t="s">
        <v>547</v>
      </c>
      <c r="BX9" s="464" t="s">
        <v>513</v>
      </c>
      <c r="BY9" s="465" t="s">
        <v>548</v>
      </c>
      <c r="BZ9" s="466" t="s">
        <v>549</v>
      </c>
      <c r="CA9" s="467" t="s">
        <v>550</v>
      </c>
      <c r="CB9" s="468" t="s">
        <v>551</v>
      </c>
      <c r="CC9" s="469" t="s">
        <v>552</v>
      </c>
      <c r="CD9" s="469" t="s">
        <v>553</v>
      </c>
      <c r="CE9" s="470" t="s">
        <v>554</v>
      </c>
      <c r="CF9" s="1355"/>
      <c r="CG9" s="1351"/>
      <c r="CH9" s="1351"/>
      <c r="CI9" s="1351"/>
      <c r="CJ9" s="1351"/>
      <c r="CK9" s="1351"/>
      <c r="CL9" s="1353"/>
    </row>
    <row r="10" spans="1:90" ht="14.25" customHeight="1">
      <c r="A10" s="331"/>
      <c r="B10" s="471">
        <v>2014</v>
      </c>
      <c r="C10" s="653">
        <f>Trajectoires!AA6</f>
        <v>885.83864771181118</v>
      </c>
      <c r="D10" s="657">
        <f>C10/Hypothèses!$D$23</f>
        <v>236.22363938981633</v>
      </c>
      <c r="E10" s="657">
        <f>D10*Hypothèses!$B$23</f>
        <v>744.10446407792142</v>
      </c>
      <c r="F10" s="657">
        <f>D10*Hypothèses!$B$5</f>
        <v>328.35085875184467</v>
      </c>
      <c r="G10" s="657">
        <f>D10*Hypothèses!$B$6</f>
        <v>7.5591564604741226</v>
      </c>
      <c r="H10" s="472"/>
      <c r="I10" s="472"/>
      <c r="J10" s="472"/>
      <c r="K10" s="473">
        <f>Hypothèses!$G$77</f>
        <v>0.01</v>
      </c>
      <c r="L10" s="474">
        <f t="shared" ref="L10:L46" si="0">K10*$E10</f>
        <v>7.4410446407792143</v>
      </c>
      <c r="M10" s="475">
        <v>0</v>
      </c>
      <c r="N10" s="476">
        <v>0</v>
      </c>
      <c r="O10" s="477">
        <v>0</v>
      </c>
      <c r="P10" s="478">
        <v>0</v>
      </c>
      <c r="Q10" s="479">
        <f t="shared" ref="Q10:Q14" si="1">(1-P10)*L10</f>
        <v>7.4410446407792143</v>
      </c>
      <c r="R10" s="480">
        <f>SUMIFS(N$16:N$46,$B$16:$B$46,"&lt;="&amp;$B10,$B$16:$B$46,"&gt;"&amp;($B10-$D$2))*K10/$D$2</f>
        <v>0</v>
      </c>
      <c r="S10" s="481">
        <f>SUMIFS(O$16:O$46,$B$16:$B$46,"&lt;="&amp;$B10,$B$16:$B$46,"&gt;"&amp;($B10-$D$2))*K10/$D$2</f>
        <v>0</v>
      </c>
      <c r="T10" s="473">
        <f>Hypothèses!$G$78</f>
        <v>0.03</v>
      </c>
      <c r="U10" s="474">
        <f t="shared" ref="U10:U46" si="2">T10*$E10</f>
        <v>22.323133922337643</v>
      </c>
      <c r="V10" s="475">
        <v>0</v>
      </c>
      <c r="W10" s="476">
        <v>0</v>
      </c>
      <c r="X10" s="477">
        <v>0</v>
      </c>
      <c r="Y10" s="478">
        <v>0</v>
      </c>
      <c r="Z10" s="479">
        <f t="shared" ref="Z10:Z14" si="3">(1-Y10)*U10</f>
        <v>22.323133922337643</v>
      </c>
      <c r="AA10" s="480">
        <f>SUMIFS(W$16:W$46,$B$16:$B$46,"&lt;="&amp;$B10,$B$16:$B$46,"&gt;"&amp;($B10-$D$2))*T10/$D$2</f>
        <v>0</v>
      </c>
      <c r="AB10" s="481">
        <f>SUMIFS(X$16:X$46,$B$16:$B$46,"&lt;="&amp;$B10,$B$16:$B$46,"&gt;"&amp;($B10-$D$2))*T10/$D$2</f>
        <v>0</v>
      </c>
      <c r="AC10" s="473">
        <f>Hypothèses!$G$79</f>
        <v>0.24</v>
      </c>
      <c r="AD10" s="474">
        <f t="shared" ref="AD10:AD46" si="4">AC10*$E10</f>
        <v>178.58507137870114</v>
      </c>
      <c r="AE10" s="475">
        <v>0</v>
      </c>
      <c r="AF10" s="476">
        <v>0</v>
      </c>
      <c r="AG10" s="477">
        <v>0</v>
      </c>
      <c r="AH10" s="478">
        <v>0</v>
      </c>
      <c r="AI10" s="479">
        <f t="shared" ref="AI10:AI14" si="5">(1-AH10)*AD10</f>
        <v>178.58507137870114</v>
      </c>
      <c r="AJ10" s="480">
        <f>SUMIFS(AF$16:AF$46,$B$16:$B$46,"&lt;="&amp;$B10,$B$16:$B$46,"&gt;"&amp;($B10-$D$2))*AC10/$D$2</f>
        <v>0</v>
      </c>
      <c r="AK10" s="481">
        <f>SUMIFS(AG$16:AG$46,$B$16:$B$46,"&lt;="&amp;$B10,$B$16:$B$46,"&gt;"&amp;($B10-$D$2))*AC10/$D$2</f>
        <v>0</v>
      </c>
      <c r="AL10" s="473">
        <f>Hypothèses!$G$80</f>
        <v>0.42</v>
      </c>
      <c r="AM10" s="474">
        <f t="shared" ref="AM10:AM46" si="6">AL10*$E10</f>
        <v>312.52387491272697</v>
      </c>
      <c r="AN10" s="475">
        <v>0</v>
      </c>
      <c r="AO10" s="476">
        <v>0</v>
      </c>
      <c r="AP10" s="477">
        <v>0</v>
      </c>
      <c r="AQ10" s="478"/>
      <c r="AR10" s="479">
        <f t="shared" ref="AR10:AR15" si="7">(1-AQ10)*AM10</f>
        <v>312.52387491272697</v>
      </c>
      <c r="AS10" s="480">
        <f t="shared" ref="AS10:AS46" si="8">SUMIFS(AO$16:AO$46,$B$16:$B$46,"&lt;="&amp;$B10,$B$16:$B$46,"&gt;"&amp;($B10-$D$2))*AL10/$D$2</f>
        <v>0</v>
      </c>
      <c r="AT10" s="481">
        <f t="shared" ref="AT10:AT46" si="9">SUMIFS(AP$16:AP$46,$B$16:$B$46,"&lt;="&amp;$B10,$B$16:$B$46,"&gt;"&amp;($B10-$D$2))*AL10/$D$2</f>
        <v>0</v>
      </c>
      <c r="AU10" s="478">
        <f>Hypothèses!$G$81</f>
        <v>0.3</v>
      </c>
      <c r="AV10" s="474">
        <f t="shared" ref="AV10:AV46" si="10">AU10*$E10</f>
        <v>223.23133922337641</v>
      </c>
      <c r="AW10" s="475">
        <v>0</v>
      </c>
      <c r="AX10" s="476">
        <v>0</v>
      </c>
      <c r="AY10" s="477">
        <v>0</v>
      </c>
      <c r="AZ10" s="478">
        <v>0</v>
      </c>
      <c r="BA10" s="479">
        <f t="shared" ref="BA10:BA14" si="11">(1-AZ10)*AV10</f>
        <v>223.23133922337641</v>
      </c>
      <c r="BB10" s="480">
        <f>SUMIFS(AX$16:AX$46,$B$16:$B$46,"&lt;="&amp;$B10,$B$16:$B$46,"&gt;"&amp;($B10-$D$2))*AU10/$D$2</f>
        <v>0</v>
      </c>
      <c r="BC10" s="480">
        <f>SUMIFS(AY$16:AY$46,$B$16:$B$46,"&lt;="&amp;$B10,$B$16:$B$46,"&gt;"&amp;($B10-$D$2))*AU10/$D$2</f>
        <v>0</v>
      </c>
      <c r="BD10" s="482">
        <f t="shared" ref="BD10:BD46" si="12">Q10+Z10+AI10+AR10+BA10</f>
        <v>744.10446407792142</v>
      </c>
      <c r="BE10" s="483">
        <f>BD10*(Hypothèses!$D$23/Hypothèses!$B$23)</f>
        <v>885.83864771181118</v>
      </c>
      <c r="BF10" s="484">
        <f t="shared" ref="BF10:BF46" si="13">1-BE10/C10</f>
        <v>0</v>
      </c>
      <c r="BG10" s="483">
        <f>BD10/Hypothèses!$B$23</f>
        <v>236.22363938981633</v>
      </c>
      <c r="BH10" s="484">
        <f t="shared" ref="BH10:BI46" si="14">R10+AA10+AJ10+AS10+BB10</f>
        <v>0</v>
      </c>
      <c r="BI10" s="484">
        <f t="shared" si="14"/>
        <v>0</v>
      </c>
      <c r="BJ10" s="483">
        <f>BG10*BH10</f>
        <v>0</v>
      </c>
      <c r="BK10" s="485"/>
      <c r="BL10" s="486"/>
      <c r="BM10" s="487"/>
      <c r="BN10" s="488"/>
      <c r="BO10" s="489"/>
      <c r="BP10" s="490"/>
      <c r="BQ10" s="491"/>
      <c r="BR10" s="492"/>
      <c r="BS10" s="493"/>
      <c r="BT10" s="494"/>
      <c r="BU10" s="495"/>
      <c r="BV10" s="494"/>
      <c r="BW10" s="496"/>
      <c r="BX10" s="497"/>
      <c r="BY10" s="498"/>
      <c r="BZ10" s="499"/>
      <c r="CA10" s="500">
        <f t="shared" ref="CA10:CA15" si="15">BG10-BS10-BY10</f>
        <v>236.22363938981633</v>
      </c>
      <c r="CB10" s="501"/>
      <c r="CC10" s="498"/>
      <c r="CD10" s="498"/>
      <c r="CE10" s="502"/>
      <c r="CF10" s="503">
        <f>(CA10+BU10*BO10)*Hypothèses!$D$23+CE10</f>
        <v>885.83864771181118</v>
      </c>
      <c r="CG10" s="504">
        <f t="shared" ref="CG10:CG46" si="16">(BE10-CF10)/BE10</f>
        <v>0</v>
      </c>
      <c r="CH10" s="503">
        <f>(CA10+BU10*BO10)*Hypothèses!$B$23</f>
        <v>744.10446407792142</v>
      </c>
      <c r="CI10" s="503"/>
      <c r="CJ10" s="503"/>
      <c r="CK10" s="503"/>
      <c r="CL10" s="507">
        <f t="shared" ref="CL10:CL46" si="17">(C10-CF10)/C10</f>
        <v>0</v>
      </c>
    </row>
    <row r="11" spans="1:90" ht="14.25" customHeight="1">
      <c r="A11" s="331"/>
      <c r="B11" s="471">
        <v>2015</v>
      </c>
      <c r="C11" s="654">
        <f>Trajectoires!AA7</f>
        <v>930.26844806902204</v>
      </c>
      <c r="D11" s="658">
        <f>C11/Hypothèses!$D$23</f>
        <v>248.07158615173921</v>
      </c>
      <c r="E11" s="658">
        <f>D11*Hypothèses!$B$23</f>
        <v>781.42549637797845</v>
      </c>
      <c r="F11" s="658">
        <f>D11*Hypothèses!$B$5</f>
        <v>344.81950475091747</v>
      </c>
      <c r="G11" s="658">
        <f>D11*Hypothèses!$B$6</f>
        <v>7.9382907568556549</v>
      </c>
      <c r="H11" s="472"/>
      <c r="I11" s="472"/>
      <c r="J11" s="472"/>
      <c r="K11" s="473">
        <f>Hypothèses!$G$77</f>
        <v>0.01</v>
      </c>
      <c r="L11" s="474">
        <f t="shared" si="0"/>
        <v>7.8142549637797849</v>
      </c>
      <c r="M11" s="509">
        <v>0</v>
      </c>
      <c r="N11" s="510">
        <v>0</v>
      </c>
      <c r="O11" s="511">
        <v>0</v>
      </c>
      <c r="P11" s="478">
        <v>0</v>
      </c>
      <c r="Q11" s="479">
        <f t="shared" si="1"/>
        <v>7.8142549637797849</v>
      </c>
      <c r="R11" s="480">
        <f t="shared" ref="R11:R46" si="18">SUMIFS(N$16:N$46,$B$16:$B$46,"&lt;="&amp;$B11,$B$16:$B$46,"&gt;"&amp;($B11-$D$2))*K11/$D$2</f>
        <v>0</v>
      </c>
      <c r="S11" s="481">
        <f t="shared" ref="S11:S46" si="19">SUMIFS(O$16:O$46,$B$16:$B$46,"&lt;="&amp;$B11,$B$16:$B$46,"&gt;"&amp;($B11-$D$2))*K11/$D$2</f>
        <v>0</v>
      </c>
      <c r="T11" s="473">
        <f>Hypothèses!$G$78</f>
        <v>0.03</v>
      </c>
      <c r="U11" s="474">
        <f t="shared" si="2"/>
        <v>23.442764891339351</v>
      </c>
      <c r="V11" s="509">
        <v>0</v>
      </c>
      <c r="W11" s="510">
        <v>0</v>
      </c>
      <c r="X11" s="511">
        <v>0</v>
      </c>
      <c r="Y11" s="478">
        <v>0</v>
      </c>
      <c r="Z11" s="479">
        <f t="shared" si="3"/>
        <v>23.442764891339351</v>
      </c>
      <c r="AA11" s="480">
        <f t="shared" ref="AA11:AA46" si="20">SUMIFS(W$16:W$46,$B$16:$B$46,"&lt;="&amp;$B11,$B$16:$B$46,"&gt;"&amp;($B11-$D$2))*T11/$D$2</f>
        <v>0</v>
      </c>
      <c r="AB11" s="481">
        <f t="shared" ref="AB11:AB46" si="21">SUMIFS(X$16:X$46,$B$16:$B$46,"&lt;="&amp;$B11,$B$16:$B$46,"&gt;"&amp;($B11-$D$2))*T11/$D$2</f>
        <v>0</v>
      </c>
      <c r="AC11" s="473">
        <f>Hypothèses!$G$79</f>
        <v>0.24</v>
      </c>
      <c r="AD11" s="474">
        <f t="shared" si="4"/>
        <v>187.54211913071481</v>
      </c>
      <c r="AE11" s="509">
        <v>0</v>
      </c>
      <c r="AF11" s="510">
        <v>0</v>
      </c>
      <c r="AG11" s="511">
        <v>0</v>
      </c>
      <c r="AH11" s="478">
        <v>0</v>
      </c>
      <c r="AI11" s="479">
        <f t="shared" si="5"/>
        <v>187.54211913071481</v>
      </c>
      <c r="AJ11" s="480">
        <f t="shared" ref="AJ11:AJ46" si="22">SUMIFS(AF$16:AF$46,$B$16:$B$46,"&lt;="&amp;$B11,$B$16:$B$46,"&gt;"&amp;($B11-$D$2))*AC11/$D$2</f>
        <v>0</v>
      </c>
      <c r="AK11" s="481">
        <f t="shared" ref="AK11:AK46" si="23">SUMIFS(AG$16:AG$46,$B$16:$B$46,"&lt;="&amp;$B11,$B$16:$B$46,"&gt;"&amp;($B11-$D$2))*AC11/$D$2</f>
        <v>0</v>
      </c>
      <c r="AL11" s="473">
        <f>Hypothèses!$G$80</f>
        <v>0.42</v>
      </c>
      <c r="AM11" s="474">
        <f t="shared" si="6"/>
        <v>328.19870847875092</v>
      </c>
      <c r="AN11" s="509">
        <v>0</v>
      </c>
      <c r="AO11" s="510">
        <v>0</v>
      </c>
      <c r="AP11" s="511">
        <v>0</v>
      </c>
      <c r="AQ11" s="478"/>
      <c r="AR11" s="479">
        <f t="shared" si="7"/>
        <v>328.19870847875092</v>
      </c>
      <c r="AS11" s="480">
        <f t="shared" si="8"/>
        <v>0</v>
      </c>
      <c r="AT11" s="481">
        <f t="shared" si="9"/>
        <v>0</v>
      </c>
      <c r="AU11" s="478">
        <f>Hypothèses!$G$81</f>
        <v>0.3</v>
      </c>
      <c r="AV11" s="474">
        <f t="shared" si="10"/>
        <v>234.42764891339351</v>
      </c>
      <c r="AW11" s="509">
        <v>0</v>
      </c>
      <c r="AX11" s="510">
        <v>0</v>
      </c>
      <c r="AY11" s="511">
        <v>0</v>
      </c>
      <c r="AZ11" s="478">
        <v>0</v>
      </c>
      <c r="BA11" s="479">
        <f t="shared" si="11"/>
        <v>234.42764891339351</v>
      </c>
      <c r="BB11" s="480">
        <f t="shared" ref="BB11:BB46" si="24">SUMIFS(AX$16:AX$46,$B$16:$B$46,"&lt;="&amp;$B11,$B$16:$B$46,"&gt;"&amp;($B11-$D$2))*AU11/$D$2</f>
        <v>0</v>
      </c>
      <c r="BC11" s="480">
        <f t="shared" ref="BC11:BC46" si="25">SUMIFS(AY$16:AY$46,$B$16:$B$46,"&lt;="&amp;$B11,$B$16:$B$46,"&gt;"&amp;($B11-$D$2))*AU11/$D$2</f>
        <v>0</v>
      </c>
      <c r="BD11" s="508">
        <f t="shared" si="12"/>
        <v>781.42549637797833</v>
      </c>
      <c r="BE11" s="472">
        <f>BD11*(Hypothèses!$D$23/Hypothèses!$B$23)</f>
        <v>930.26844806902182</v>
      </c>
      <c r="BF11" s="512">
        <f t="shared" si="13"/>
        <v>0</v>
      </c>
      <c r="BG11" s="472">
        <f>BD11/Hypothèses!$B$23</f>
        <v>248.07158615173915</v>
      </c>
      <c r="BH11" s="512">
        <f t="shared" si="14"/>
        <v>0</v>
      </c>
      <c r="BI11" s="512">
        <f t="shared" si="14"/>
        <v>0</v>
      </c>
      <c r="BJ11" s="472">
        <f t="shared" ref="BJ11:BJ46" si="26">BG11*BH11</f>
        <v>0</v>
      </c>
      <c r="BK11" s="485"/>
      <c r="BL11" s="486"/>
      <c r="BM11" s="487"/>
      <c r="BN11" s="488"/>
      <c r="BO11" s="489"/>
      <c r="BP11" s="513"/>
      <c r="BQ11" s="499"/>
      <c r="BR11" s="492"/>
      <c r="BS11" s="486"/>
      <c r="BT11" s="514"/>
      <c r="BU11" s="515"/>
      <c r="BV11" s="514"/>
      <c r="BW11" s="496"/>
      <c r="BX11" s="497"/>
      <c r="BY11" s="498"/>
      <c r="BZ11" s="499"/>
      <c r="CA11" s="500">
        <f t="shared" si="15"/>
        <v>248.07158615173915</v>
      </c>
      <c r="CB11" s="501"/>
      <c r="CC11" s="498"/>
      <c r="CD11" s="498"/>
      <c r="CE11" s="502"/>
      <c r="CF11" s="503">
        <f>(CA11+BU11*BO11)*Hypothèses!$D$23+CE11</f>
        <v>930.26844806902182</v>
      </c>
      <c r="CG11" s="504">
        <f t="shared" si="16"/>
        <v>0</v>
      </c>
      <c r="CH11" s="503">
        <f>(CA11+BU11*BO11)*Hypothèses!$B$23</f>
        <v>781.42549637797833</v>
      </c>
      <c r="CI11" s="503"/>
      <c r="CJ11" s="503"/>
      <c r="CK11" s="503"/>
      <c r="CL11" s="507">
        <f t="shared" si="17"/>
        <v>2.4441727107395335E-16</v>
      </c>
    </row>
    <row r="12" spans="1:90" ht="14.25" customHeight="1">
      <c r="A12" s="331"/>
      <c r="B12" s="471">
        <v>2016</v>
      </c>
      <c r="C12" s="654">
        <f>Trajectoires!AA8</f>
        <v>976.92665329983004</v>
      </c>
      <c r="D12" s="658">
        <f>C12/Hypothèses!$D$23</f>
        <v>260.513774213288</v>
      </c>
      <c r="E12" s="658">
        <f>D12*Hypothèses!$B$23</f>
        <v>820.61838877185721</v>
      </c>
      <c r="F12" s="658">
        <f>D12*Hypothèses!$B$5</f>
        <v>362.11414615647027</v>
      </c>
      <c r="G12" s="658">
        <f>D12*Hypothèses!$B$6</f>
        <v>8.3364407748252169</v>
      </c>
      <c r="H12" s="472"/>
      <c r="I12" s="472"/>
      <c r="J12" s="472"/>
      <c r="K12" s="473">
        <f>Hypothèses!$G$77</f>
        <v>0.01</v>
      </c>
      <c r="L12" s="474">
        <f t="shared" si="0"/>
        <v>8.2061838877185718</v>
      </c>
      <c r="M12" s="509">
        <v>0</v>
      </c>
      <c r="N12" s="510">
        <v>0</v>
      </c>
      <c r="O12" s="511">
        <v>0</v>
      </c>
      <c r="P12" s="478">
        <v>0</v>
      </c>
      <c r="Q12" s="479">
        <f t="shared" si="1"/>
        <v>8.2061838877185718</v>
      </c>
      <c r="R12" s="480">
        <f t="shared" si="18"/>
        <v>0</v>
      </c>
      <c r="S12" s="481">
        <f t="shared" si="19"/>
        <v>0</v>
      </c>
      <c r="T12" s="473">
        <f>Hypothèses!$G$78</f>
        <v>0.03</v>
      </c>
      <c r="U12" s="474">
        <f t="shared" si="2"/>
        <v>24.618551663155717</v>
      </c>
      <c r="V12" s="509">
        <v>0</v>
      </c>
      <c r="W12" s="510">
        <v>0</v>
      </c>
      <c r="X12" s="511">
        <v>0</v>
      </c>
      <c r="Y12" s="478">
        <v>0</v>
      </c>
      <c r="Z12" s="479">
        <f t="shared" si="3"/>
        <v>24.618551663155717</v>
      </c>
      <c r="AA12" s="480">
        <f t="shared" si="20"/>
        <v>0</v>
      </c>
      <c r="AB12" s="481">
        <f t="shared" si="21"/>
        <v>0</v>
      </c>
      <c r="AC12" s="473">
        <f>Hypothèses!$G$79</f>
        <v>0.24</v>
      </c>
      <c r="AD12" s="474">
        <f t="shared" si="4"/>
        <v>196.94841330524574</v>
      </c>
      <c r="AE12" s="509">
        <v>0</v>
      </c>
      <c r="AF12" s="510">
        <v>0</v>
      </c>
      <c r="AG12" s="511">
        <v>0</v>
      </c>
      <c r="AH12" s="478">
        <v>0</v>
      </c>
      <c r="AI12" s="479">
        <f t="shared" si="5"/>
        <v>196.94841330524574</v>
      </c>
      <c r="AJ12" s="480">
        <f t="shared" si="22"/>
        <v>0</v>
      </c>
      <c r="AK12" s="481">
        <f t="shared" si="23"/>
        <v>0</v>
      </c>
      <c r="AL12" s="473">
        <f>Hypothèses!$G$80</f>
        <v>0.42</v>
      </c>
      <c r="AM12" s="474">
        <f t="shared" si="6"/>
        <v>344.65972328418002</v>
      </c>
      <c r="AN12" s="509">
        <v>0</v>
      </c>
      <c r="AO12" s="510">
        <v>0</v>
      </c>
      <c r="AP12" s="511">
        <v>0</v>
      </c>
      <c r="AQ12" s="478"/>
      <c r="AR12" s="479">
        <f t="shared" si="7"/>
        <v>344.65972328418002</v>
      </c>
      <c r="AS12" s="480">
        <f t="shared" si="8"/>
        <v>0</v>
      </c>
      <c r="AT12" s="481">
        <f t="shared" si="9"/>
        <v>0</v>
      </c>
      <c r="AU12" s="478">
        <f>Hypothèses!$G$81</f>
        <v>0.3</v>
      </c>
      <c r="AV12" s="474">
        <f t="shared" si="10"/>
        <v>246.18551663155716</v>
      </c>
      <c r="AW12" s="509">
        <v>0</v>
      </c>
      <c r="AX12" s="510">
        <v>0</v>
      </c>
      <c r="AY12" s="511">
        <v>0</v>
      </c>
      <c r="AZ12" s="478">
        <v>0</v>
      </c>
      <c r="BA12" s="479">
        <f t="shared" si="11"/>
        <v>246.18551663155716</v>
      </c>
      <c r="BB12" s="480">
        <f t="shared" si="24"/>
        <v>0</v>
      </c>
      <c r="BC12" s="480">
        <f t="shared" si="25"/>
        <v>0</v>
      </c>
      <c r="BD12" s="508">
        <f t="shared" si="12"/>
        <v>820.61838877185733</v>
      </c>
      <c r="BE12" s="472">
        <f>BD12*(Hypothèses!$D$23/Hypothèses!$B$23)</f>
        <v>976.92665329983015</v>
      </c>
      <c r="BF12" s="512">
        <f t="shared" si="13"/>
        <v>0</v>
      </c>
      <c r="BG12" s="472">
        <f>BD12/Hypothèses!$B$23</f>
        <v>260.51377421328806</v>
      </c>
      <c r="BH12" s="512">
        <f t="shared" si="14"/>
        <v>0</v>
      </c>
      <c r="BI12" s="512">
        <f t="shared" si="14"/>
        <v>0</v>
      </c>
      <c r="BJ12" s="472">
        <f t="shared" si="26"/>
        <v>0</v>
      </c>
      <c r="BK12" s="485"/>
      <c r="BL12" s="486"/>
      <c r="BM12" s="487"/>
      <c r="BN12" s="488"/>
      <c r="BO12" s="489"/>
      <c r="BP12" s="513"/>
      <c r="BQ12" s="499"/>
      <c r="BR12" s="492"/>
      <c r="BS12" s="486"/>
      <c r="BT12" s="514"/>
      <c r="BU12" s="515"/>
      <c r="BV12" s="514"/>
      <c r="BW12" s="496"/>
      <c r="BX12" s="497"/>
      <c r="BY12" s="498"/>
      <c r="BZ12" s="499"/>
      <c r="CA12" s="500">
        <f t="shared" si="15"/>
        <v>260.51377421328806</v>
      </c>
      <c r="CB12" s="501"/>
      <c r="CC12" s="498"/>
      <c r="CD12" s="498"/>
      <c r="CE12" s="502"/>
      <c r="CF12" s="503">
        <f>(CA12+BU12*BO12)*Hypothèses!$D$23+CE12</f>
        <v>976.92665329983026</v>
      </c>
      <c r="CG12" s="504">
        <f t="shared" si="16"/>
        <v>-1.1637192755219486E-16</v>
      </c>
      <c r="CH12" s="503">
        <f>(CA12+BU12*BO12)*Hypothèses!$B$23</f>
        <v>820.61838877185733</v>
      </c>
      <c r="CI12" s="503"/>
      <c r="CJ12" s="503"/>
      <c r="CK12" s="503"/>
      <c r="CL12" s="507">
        <f t="shared" si="17"/>
        <v>-2.3274385510438977E-16</v>
      </c>
    </row>
    <row r="13" spans="1:90" ht="14.25" customHeight="1">
      <c r="A13" s="331"/>
      <c r="B13" s="471">
        <v>2017</v>
      </c>
      <c r="C13" s="654">
        <f>Trajectoires!AA9</f>
        <v>1025.9250304668988</v>
      </c>
      <c r="D13" s="658">
        <f>C13/Hypothèses!$D$23</f>
        <v>273.58000812450632</v>
      </c>
      <c r="E13" s="658">
        <f>D13*Hypothèses!$B$23</f>
        <v>861.77702559219483</v>
      </c>
      <c r="F13" s="658">
        <f>D13*Hypothèses!$B$5</f>
        <v>380.27621129306374</v>
      </c>
      <c r="G13" s="658">
        <f>D13*Hypothèses!$B$6</f>
        <v>8.7545602599842027</v>
      </c>
      <c r="H13" s="472"/>
      <c r="I13" s="472"/>
      <c r="J13" s="472"/>
      <c r="K13" s="473">
        <f>Hypothèses!$G$77</f>
        <v>0.01</v>
      </c>
      <c r="L13" s="474">
        <f t="shared" si="0"/>
        <v>8.6177702559219487</v>
      </c>
      <c r="M13" s="509">
        <v>0</v>
      </c>
      <c r="N13" s="510">
        <v>0</v>
      </c>
      <c r="O13" s="511">
        <v>0</v>
      </c>
      <c r="P13" s="478">
        <v>0</v>
      </c>
      <c r="Q13" s="479">
        <f t="shared" si="1"/>
        <v>8.6177702559219487</v>
      </c>
      <c r="R13" s="480">
        <f t="shared" si="18"/>
        <v>0</v>
      </c>
      <c r="S13" s="481">
        <f t="shared" si="19"/>
        <v>0</v>
      </c>
      <c r="T13" s="473">
        <f>Hypothèses!$G$78</f>
        <v>0.03</v>
      </c>
      <c r="U13" s="474">
        <f t="shared" si="2"/>
        <v>25.853310767765844</v>
      </c>
      <c r="V13" s="509">
        <v>0</v>
      </c>
      <c r="W13" s="510">
        <v>0</v>
      </c>
      <c r="X13" s="511">
        <v>0</v>
      </c>
      <c r="Y13" s="478">
        <v>0</v>
      </c>
      <c r="Z13" s="479">
        <f t="shared" si="3"/>
        <v>25.853310767765844</v>
      </c>
      <c r="AA13" s="480">
        <f t="shared" si="20"/>
        <v>0</v>
      </c>
      <c r="AB13" s="481">
        <f t="shared" si="21"/>
        <v>0</v>
      </c>
      <c r="AC13" s="473">
        <f>Hypothèses!$G$79</f>
        <v>0.24</v>
      </c>
      <c r="AD13" s="474">
        <f t="shared" si="4"/>
        <v>206.82648614212675</v>
      </c>
      <c r="AE13" s="509">
        <v>0</v>
      </c>
      <c r="AF13" s="510">
        <v>0</v>
      </c>
      <c r="AG13" s="511">
        <v>0</v>
      </c>
      <c r="AH13" s="478">
        <v>0</v>
      </c>
      <c r="AI13" s="479">
        <f t="shared" si="5"/>
        <v>206.82648614212675</v>
      </c>
      <c r="AJ13" s="480">
        <f t="shared" si="22"/>
        <v>0</v>
      </c>
      <c r="AK13" s="481">
        <f t="shared" si="23"/>
        <v>0</v>
      </c>
      <c r="AL13" s="473">
        <f>Hypothèses!$G$80</f>
        <v>0.42</v>
      </c>
      <c r="AM13" s="474">
        <f t="shared" si="6"/>
        <v>361.94635074872184</v>
      </c>
      <c r="AN13" s="509">
        <v>0</v>
      </c>
      <c r="AO13" s="510">
        <v>0</v>
      </c>
      <c r="AP13" s="511">
        <v>0</v>
      </c>
      <c r="AQ13" s="478"/>
      <c r="AR13" s="479">
        <f t="shared" si="7"/>
        <v>361.94635074872184</v>
      </c>
      <c r="AS13" s="480">
        <f t="shared" si="8"/>
        <v>0</v>
      </c>
      <c r="AT13" s="481">
        <f t="shared" si="9"/>
        <v>0</v>
      </c>
      <c r="AU13" s="478">
        <f>Hypothèses!$G$81</f>
        <v>0.3</v>
      </c>
      <c r="AV13" s="474">
        <f t="shared" si="10"/>
        <v>258.53310767765845</v>
      </c>
      <c r="AW13" s="509">
        <v>0</v>
      </c>
      <c r="AX13" s="510">
        <v>0</v>
      </c>
      <c r="AY13" s="511">
        <v>0</v>
      </c>
      <c r="AZ13" s="478">
        <v>0</v>
      </c>
      <c r="BA13" s="479">
        <f t="shared" si="11"/>
        <v>258.53310767765845</v>
      </c>
      <c r="BB13" s="480">
        <f t="shared" si="24"/>
        <v>0</v>
      </c>
      <c r="BC13" s="480">
        <f t="shared" si="25"/>
        <v>0</v>
      </c>
      <c r="BD13" s="508">
        <f t="shared" si="12"/>
        <v>861.77702559219483</v>
      </c>
      <c r="BE13" s="472">
        <f>BD13*(Hypothèses!$D$23/Hypothèses!$B$23)</f>
        <v>1025.9250304668985</v>
      </c>
      <c r="BF13" s="512">
        <f t="shared" si="13"/>
        <v>0</v>
      </c>
      <c r="BG13" s="472">
        <f>BD13/Hypothèses!$B$23</f>
        <v>273.58000812450632</v>
      </c>
      <c r="BH13" s="512">
        <f t="shared" si="14"/>
        <v>0</v>
      </c>
      <c r="BI13" s="512">
        <f t="shared" si="14"/>
        <v>0</v>
      </c>
      <c r="BJ13" s="472">
        <f t="shared" si="26"/>
        <v>0</v>
      </c>
      <c r="BK13" s="485"/>
      <c r="BL13" s="486"/>
      <c r="BM13" s="487"/>
      <c r="BN13" s="488"/>
      <c r="BO13" s="489"/>
      <c r="BP13" s="513"/>
      <c r="BQ13" s="499"/>
      <c r="BR13" s="492"/>
      <c r="BS13" s="486"/>
      <c r="BT13" s="514"/>
      <c r="BU13" s="515"/>
      <c r="BV13" s="514"/>
      <c r="BW13" s="496"/>
      <c r="BX13" s="497"/>
      <c r="BY13" s="498"/>
      <c r="BZ13" s="499"/>
      <c r="CA13" s="500">
        <f t="shared" si="15"/>
        <v>273.58000812450632</v>
      </c>
      <c r="CB13" s="501"/>
      <c r="CC13" s="498"/>
      <c r="CD13" s="498"/>
      <c r="CE13" s="502"/>
      <c r="CF13" s="503">
        <f>(CA13+BU13*BO13)*Hypothèses!$D$23+CE13</f>
        <v>1025.9250304668988</v>
      </c>
      <c r="CG13" s="504">
        <f t="shared" si="16"/>
        <v>-2.2162796373118442E-16</v>
      </c>
      <c r="CH13" s="503">
        <f>(CA13+BU13*BO13)*Hypothèses!$B$23</f>
        <v>861.77702559219483</v>
      </c>
      <c r="CI13" s="503"/>
      <c r="CJ13" s="503"/>
      <c r="CK13" s="503"/>
      <c r="CL13" s="507">
        <f t="shared" si="17"/>
        <v>0</v>
      </c>
    </row>
    <row r="14" spans="1:90" ht="14.25" customHeight="1">
      <c r="A14" s="331"/>
      <c r="B14" s="471">
        <v>2018</v>
      </c>
      <c r="C14" s="654">
        <f>Trajectoires!AA10</f>
        <v>1077.3809523809523</v>
      </c>
      <c r="D14" s="658">
        <f>C14/Hypothèses!$D$23</f>
        <v>287.30158730158729</v>
      </c>
      <c r="E14" s="658">
        <f>D14*Hypothèses!$B$23</f>
        <v>904.99999999999989</v>
      </c>
      <c r="F14" s="658">
        <f>D14*Hypothèses!$B$5</f>
        <v>399.34920634920633</v>
      </c>
      <c r="G14" s="658">
        <f>D14*Hypothèses!$B$6</f>
        <v>9.193650793650793</v>
      </c>
      <c r="H14" s="472"/>
      <c r="I14" s="472"/>
      <c r="J14" s="472"/>
      <c r="K14" s="473">
        <f>Hypothèses!$G$77</f>
        <v>0.01</v>
      </c>
      <c r="L14" s="474">
        <f t="shared" si="0"/>
        <v>9.0499999999999989</v>
      </c>
      <c r="M14" s="509">
        <v>0</v>
      </c>
      <c r="N14" s="510">
        <v>0</v>
      </c>
      <c r="O14" s="511">
        <v>0</v>
      </c>
      <c r="P14" s="478">
        <v>0</v>
      </c>
      <c r="Q14" s="479">
        <f t="shared" si="1"/>
        <v>9.0499999999999989</v>
      </c>
      <c r="R14" s="480">
        <f t="shared" si="18"/>
        <v>0</v>
      </c>
      <c r="S14" s="481">
        <f t="shared" si="19"/>
        <v>0</v>
      </c>
      <c r="T14" s="473">
        <f>Hypothèses!$G$78</f>
        <v>0.03</v>
      </c>
      <c r="U14" s="474">
        <f t="shared" si="2"/>
        <v>27.149999999999995</v>
      </c>
      <c r="V14" s="509">
        <v>0</v>
      </c>
      <c r="W14" s="510">
        <v>0</v>
      </c>
      <c r="X14" s="511">
        <v>0</v>
      </c>
      <c r="Y14" s="478">
        <v>0</v>
      </c>
      <c r="Z14" s="479">
        <f t="shared" si="3"/>
        <v>27.149999999999995</v>
      </c>
      <c r="AA14" s="480">
        <f t="shared" si="20"/>
        <v>0</v>
      </c>
      <c r="AB14" s="481">
        <f t="shared" si="21"/>
        <v>0</v>
      </c>
      <c r="AC14" s="473">
        <f>Hypothèses!$G$79</f>
        <v>0.24</v>
      </c>
      <c r="AD14" s="474">
        <f t="shared" si="4"/>
        <v>217.19999999999996</v>
      </c>
      <c r="AE14" s="509">
        <v>0</v>
      </c>
      <c r="AF14" s="510">
        <v>0</v>
      </c>
      <c r="AG14" s="511">
        <v>0</v>
      </c>
      <c r="AH14" s="478">
        <v>0</v>
      </c>
      <c r="AI14" s="479">
        <f t="shared" si="5"/>
        <v>217.19999999999996</v>
      </c>
      <c r="AJ14" s="480">
        <f t="shared" si="22"/>
        <v>0</v>
      </c>
      <c r="AK14" s="481">
        <f t="shared" si="23"/>
        <v>0</v>
      </c>
      <c r="AL14" s="473">
        <f>Hypothèses!$G$80</f>
        <v>0.42</v>
      </c>
      <c r="AM14" s="474">
        <f t="shared" si="6"/>
        <v>380.09999999999997</v>
      </c>
      <c r="AN14" s="509">
        <v>0</v>
      </c>
      <c r="AO14" s="510">
        <v>0</v>
      </c>
      <c r="AP14" s="511">
        <v>0</v>
      </c>
      <c r="AQ14" s="478"/>
      <c r="AR14" s="479">
        <f t="shared" si="7"/>
        <v>380.09999999999997</v>
      </c>
      <c r="AS14" s="480">
        <f t="shared" si="8"/>
        <v>0</v>
      </c>
      <c r="AT14" s="481">
        <f t="shared" si="9"/>
        <v>0</v>
      </c>
      <c r="AU14" s="478">
        <f>Hypothèses!$G$81</f>
        <v>0.3</v>
      </c>
      <c r="AV14" s="474">
        <f t="shared" si="10"/>
        <v>271.49999999999994</v>
      </c>
      <c r="AW14" s="509">
        <v>0</v>
      </c>
      <c r="AX14" s="510">
        <v>0</v>
      </c>
      <c r="AY14" s="511">
        <v>0</v>
      </c>
      <c r="AZ14" s="478">
        <v>0</v>
      </c>
      <c r="BA14" s="479">
        <f t="shared" si="11"/>
        <v>271.49999999999994</v>
      </c>
      <c r="BB14" s="480">
        <f t="shared" si="24"/>
        <v>0</v>
      </c>
      <c r="BC14" s="480">
        <f t="shared" si="25"/>
        <v>0</v>
      </c>
      <c r="BD14" s="508">
        <f t="shared" si="12"/>
        <v>904.99999999999977</v>
      </c>
      <c r="BE14" s="472">
        <f>BD14*(Hypothèses!$D$23/Hypothèses!$B$23)</f>
        <v>1077.3809523809521</v>
      </c>
      <c r="BF14" s="512">
        <f t="shared" si="13"/>
        <v>0</v>
      </c>
      <c r="BG14" s="472">
        <f>BD14/Hypothèses!$B$23</f>
        <v>287.30158730158723</v>
      </c>
      <c r="BH14" s="512">
        <f t="shared" si="14"/>
        <v>0</v>
      </c>
      <c r="BI14" s="512">
        <f t="shared" si="14"/>
        <v>0</v>
      </c>
      <c r="BJ14" s="472">
        <f t="shared" si="26"/>
        <v>0</v>
      </c>
      <c r="BK14" s="485"/>
      <c r="BL14" s="486"/>
      <c r="BM14" s="487"/>
      <c r="BN14" s="488"/>
      <c r="BO14" s="489"/>
      <c r="BP14" s="513"/>
      <c r="BQ14" s="499"/>
      <c r="BR14" s="492"/>
      <c r="BS14" s="486"/>
      <c r="BT14" s="514"/>
      <c r="BU14" s="515"/>
      <c r="BV14" s="514"/>
      <c r="BW14" s="496"/>
      <c r="BX14" s="497"/>
      <c r="BY14" s="498"/>
      <c r="BZ14" s="499"/>
      <c r="CA14" s="500">
        <f t="shared" si="15"/>
        <v>287.30158730158723</v>
      </c>
      <c r="CB14" s="501"/>
      <c r="CC14" s="498"/>
      <c r="CD14" s="498"/>
      <c r="CE14" s="502"/>
      <c r="CF14" s="503">
        <f>(CA14+BU14*BO14)*Hypothèses!$D$23+CE14</f>
        <v>1077.3809523809521</v>
      </c>
      <c r="CG14" s="504">
        <f t="shared" si="16"/>
        <v>0</v>
      </c>
      <c r="CH14" s="503">
        <f>(CA14+BU14*BO14)*Hypothèses!$B$23</f>
        <v>904.99999999999977</v>
      </c>
      <c r="CI14" s="503"/>
      <c r="CJ14" s="503"/>
      <c r="CK14" s="503"/>
      <c r="CL14" s="507">
        <f t="shared" si="17"/>
        <v>2.110429694721712E-16</v>
      </c>
    </row>
    <row r="15" spans="1:90" ht="14.25" customHeight="1">
      <c r="A15" s="331"/>
      <c r="B15" s="471">
        <v>2019</v>
      </c>
      <c r="C15" s="654">
        <f>Trajectoires!AA11</f>
        <v>1088.0952380952381</v>
      </c>
      <c r="D15" s="658">
        <f>C15/Hypothèses!$D$23</f>
        <v>290.15873015873018</v>
      </c>
      <c r="E15" s="658">
        <f>D15*Hypothèses!$B$23</f>
        <v>914</v>
      </c>
      <c r="F15" s="658">
        <f>D15*Hypothèses!$B$5</f>
        <v>403.32063492063492</v>
      </c>
      <c r="G15" s="658">
        <f>D15*Hypothèses!$B$6</f>
        <v>9.2850793650793655</v>
      </c>
      <c r="H15" s="472"/>
      <c r="I15" s="472"/>
      <c r="J15" s="472"/>
      <c r="K15" s="473">
        <f>Hypothèses!$G$77</f>
        <v>0.01</v>
      </c>
      <c r="L15" s="474">
        <f t="shared" si="0"/>
        <v>9.14</v>
      </c>
      <c r="M15" s="509">
        <v>0</v>
      </c>
      <c r="N15" s="510">
        <v>0</v>
      </c>
      <c r="O15" s="511">
        <v>0</v>
      </c>
      <c r="P15" s="478">
        <v>0</v>
      </c>
      <c r="Q15" s="479">
        <f>(1-P15)*L15</f>
        <v>9.14</v>
      </c>
      <c r="R15" s="480">
        <f t="shared" si="18"/>
        <v>0</v>
      </c>
      <c r="S15" s="481">
        <f t="shared" si="19"/>
        <v>0</v>
      </c>
      <c r="T15" s="473">
        <f>Hypothèses!$G$78</f>
        <v>0.03</v>
      </c>
      <c r="U15" s="474">
        <f t="shared" si="2"/>
        <v>27.419999999999998</v>
      </c>
      <c r="V15" s="509">
        <v>0</v>
      </c>
      <c r="W15" s="510">
        <v>0</v>
      </c>
      <c r="X15" s="511">
        <v>0</v>
      </c>
      <c r="Y15" s="478">
        <v>0</v>
      </c>
      <c r="Z15" s="479">
        <f>(1-Y15)*U15</f>
        <v>27.419999999999998</v>
      </c>
      <c r="AA15" s="480">
        <f t="shared" si="20"/>
        <v>0</v>
      </c>
      <c r="AB15" s="481">
        <f t="shared" si="21"/>
        <v>0</v>
      </c>
      <c r="AC15" s="473">
        <f>Hypothèses!$G$79</f>
        <v>0.24</v>
      </c>
      <c r="AD15" s="474">
        <f t="shared" si="4"/>
        <v>219.35999999999999</v>
      </c>
      <c r="AE15" s="509">
        <v>0</v>
      </c>
      <c r="AF15" s="510">
        <v>0</v>
      </c>
      <c r="AG15" s="511">
        <v>0</v>
      </c>
      <c r="AH15" s="478">
        <v>0</v>
      </c>
      <c r="AI15" s="479">
        <f>(1-AH15)*AD15</f>
        <v>219.35999999999999</v>
      </c>
      <c r="AJ15" s="480">
        <f t="shared" si="22"/>
        <v>0</v>
      </c>
      <c r="AK15" s="481">
        <f t="shared" si="23"/>
        <v>0</v>
      </c>
      <c r="AL15" s="473">
        <f>Hypothèses!$G$80</f>
        <v>0.42</v>
      </c>
      <c r="AM15" s="474">
        <f t="shared" si="6"/>
        <v>383.88</v>
      </c>
      <c r="AN15" s="509">
        <v>0</v>
      </c>
      <c r="AO15" s="510">
        <v>0</v>
      </c>
      <c r="AP15" s="511">
        <v>0</v>
      </c>
      <c r="AQ15" s="478"/>
      <c r="AR15" s="479">
        <f t="shared" si="7"/>
        <v>383.88</v>
      </c>
      <c r="AS15" s="480">
        <f t="shared" si="8"/>
        <v>0</v>
      </c>
      <c r="AT15" s="481">
        <f t="shared" si="9"/>
        <v>0</v>
      </c>
      <c r="AU15" s="478">
        <f>Hypothèses!$G$81</f>
        <v>0.3</v>
      </c>
      <c r="AV15" s="474">
        <f t="shared" si="10"/>
        <v>274.2</v>
      </c>
      <c r="AW15" s="509">
        <v>0</v>
      </c>
      <c r="AX15" s="510">
        <v>0</v>
      </c>
      <c r="AY15" s="511">
        <v>0</v>
      </c>
      <c r="AZ15" s="478">
        <v>0</v>
      </c>
      <c r="BA15" s="479">
        <f>(1-AZ15)*AV15</f>
        <v>274.2</v>
      </c>
      <c r="BB15" s="480">
        <f t="shared" si="24"/>
        <v>0</v>
      </c>
      <c r="BC15" s="480">
        <f t="shared" si="25"/>
        <v>0</v>
      </c>
      <c r="BD15" s="508">
        <f t="shared" si="12"/>
        <v>914</v>
      </c>
      <c r="BE15" s="472">
        <f>BD15*(Hypothèses!$D$23/Hypothèses!$B$23)</f>
        <v>1088.0952380952381</v>
      </c>
      <c r="BF15" s="512">
        <f t="shared" si="13"/>
        <v>0</v>
      </c>
      <c r="BG15" s="472">
        <f>BD15/Hypothèses!$B$23</f>
        <v>290.15873015873018</v>
      </c>
      <c r="BH15" s="512">
        <f t="shared" si="14"/>
        <v>0</v>
      </c>
      <c r="BI15" s="512">
        <f t="shared" si="14"/>
        <v>0</v>
      </c>
      <c r="BJ15" s="472">
        <f t="shared" si="26"/>
        <v>0</v>
      </c>
      <c r="BK15" s="485"/>
      <c r="BL15" s="486"/>
      <c r="BM15" s="487"/>
      <c r="BN15" s="488"/>
      <c r="BO15" s="489"/>
      <c r="BP15" s="513"/>
      <c r="BQ15" s="499"/>
      <c r="BR15" s="492"/>
      <c r="BS15" s="486"/>
      <c r="BT15" s="514"/>
      <c r="BU15" s="515"/>
      <c r="BV15" s="514"/>
      <c r="BW15" s="496"/>
      <c r="BX15" s="497"/>
      <c r="BY15" s="498"/>
      <c r="BZ15" s="499"/>
      <c r="CA15" s="500">
        <f t="shared" si="15"/>
        <v>290.15873015873018</v>
      </c>
      <c r="CB15" s="501"/>
      <c r="CC15" s="498"/>
      <c r="CD15" s="498"/>
      <c r="CE15" s="502"/>
      <c r="CF15" s="503">
        <f>(CA15+BU15*BO15)*Hypothèses!$D$23+CE15</f>
        <v>1088.0952380952381</v>
      </c>
      <c r="CG15" s="504">
        <f t="shared" si="16"/>
        <v>0</v>
      </c>
      <c r="CH15" s="503">
        <f>(CA15+BU15*BO15)*Hypothèses!$B$23</f>
        <v>914</v>
      </c>
      <c r="CI15" s="503"/>
      <c r="CJ15" s="503"/>
      <c r="CK15" s="503"/>
      <c r="CL15" s="507">
        <f t="shared" si="17"/>
        <v>0</v>
      </c>
    </row>
    <row r="16" spans="1:90" ht="14.25" customHeight="1">
      <c r="A16" s="331"/>
      <c r="B16" s="516">
        <v>2020</v>
      </c>
      <c r="C16" s="655">
        <f>Trajectoires!AA12</f>
        <v>368.10261904761899</v>
      </c>
      <c r="D16" s="659">
        <f>C16/Hypothèses!$D$23</f>
        <v>98.160698412698395</v>
      </c>
      <c r="E16" s="659">
        <f>D16*Hypothèses!$B$23</f>
        <v>309.20619999999991</v>
      </c>
      <c r="F16" s="659">
        <f>D16*Hypothèses!$B$5</f>
        <v>136.44337079365076</v>
      </c>
      <c r="G16" s="659">
        <f>D16*Hypothèses!$B$6</f>
        <v>3.1411423492063486</v>
      </c>
      <c r="H16" s="519">
        <f>IF($B16&gt;=$E$2,1/$D$2,1/25)</f>
        <v>0.04</v>
      </c>
      <c r="I16" s="520">
        <f>IF(J16&gt;=1,ROUND(COUNTIFS($B$16:$B16,"&gt;"&amp;MAX($B16-$D$2,2019),H$16:H16,1/25)*(1/$D$2-1/25)*25,0),0)</f>
        <v>0</v>
      </c>
      <c r="J16" s="521">
        <f>H16</f>
        <v>0.04</v>
      </c>
      <c r="K16" s="522">
        <f>Hypothèses!$G$77</f>
        <v>0.01</v>
      </c>
      <c r="L16" s="523">
        <f t="shared" si="0"/>
        <v>3.092061999999999</v>
      </c>
      <c r="M16" s="524">
        <f t="array" ref="M16">1-SUM(IF((Roadmap_Avion!$B$8:$B$38=$B16)*(Roadmap_Avion!$C$4:$Z$4=$B$2)*(Roadmap_Avion!$C$6:$Z$6=M$7)*(Roadmap_Avion!$C$7:$Z$7=M$9),Roadmap_Avion!$C$8:$Z$38,0))</f>
        <v>0</v>
      </c>
      <c r="N16" s="525">
        <f t="array" ref="N16">SUM(IF((Roadmap_Avion!$B$8:$B$38=$B16)*(Roadmap_Avion!$C$4:$Z$4=$B$2)*(Roadmap_Avion!$C$6:$Z$6=N$7)*(Roadmap_Avion!$C$7:$Z$7=N$9),Roadmap_Avion!$C$8:$Z$38,0))</f>
        <v>0.5</v>
      </c>
      <c r="O16" s="526">
        <f t="array" ref="O16">SUM(IF((Roadmap_Avion!$B$8:$B$38=$B16)*(Roadmap_Avion!$C$4:$Z$4=$B$2)*(Roadmap_Avion!$C$6:$Z$6=O$7)*(Roadmap_Avion!$C$7:$Z$7=O$9),Roadmap_Avion!$C$8:$Z$38,0))</f>
        <v>0</v>
      </c>
      <c r="P16" s="527">
        <f t="array" ref="P16">IF($J16&lt;1,P15+$H16*M16,SUMPRODUCT(($B$16:$B$46&lt;=$B16)*($B$16:$B$46&gt;MAX($B16-$D$2-$I16,2019))*$H$16:$H$46*M$16:M$46))</f>
        <v>0</v>
      </c>
      <c r="Q16" s="528">
        <f>(1-P16)*L16</f>
        <v>3.092061999999999</v>
      </c>
      <c r="R16" s="529">
        <f t="shared" si="18"/>
        <v>3.3333333333333332E-4</v>
      </c>
      <c r="S16" s="530">
        <f t="shared" si="19"/>
        <v>0</v>
      </c>
      <c r="T16" s="522">
        <f>Hypothèses!$G$78</f>
        <v>0.03</v>
      </c>
      <c r="U16" s="523">
        <f t="shared" si="2"/>
        <v>9.2761859999999974</v>
      </c>
      <c r="V16" s="524">
        <f t="array" ref="V16">1-SUM(IF((Roadmap_Avion!$B$8:$B$38=$B16)*(Roadmap_Avion!$C$4:$Z$4=$B$2)*(Roadmap_Avion!$C$6:$Z$6=V$7)*(Roadmap_Avion!$C$7:$Z$7=V$9),Roadmap_Avion!$C$8:$Z$38,0))</f>
        <v>0</v>
      </c>
      <c r="W16" s="525">
        <f t="array" ref="W16">SUM(IF((Roadmap_Avion!$B$8:$B$38=$B16)*(Roadmap_Avion!$C$4:$Z$4=$B$2)*(Roadmap_Avion!$C$6:$Z$6=W$7)*(Roadmap_Avion!$C$7:$Z$7=W$9),Roadmap_Avion!$C$8:$Z$38,0))</f>
        <v>0.5</v>
      </c>
      <c r="X16" s="526">
        <f t="array" ref="X16">SUM(IF((Roadmap_Avion!$B$8:$B$38=$B16)*(Roadmap_Avion!$C$4:$Z$4=$B$2)*(Roadmap_Avion!$C$6:$Z$6=X$7)*(Roadmap_Avion!$C$7:$Z$7=X$9),Roadmap_Avion!$C$8:$Z$38,0))</f>
        <v>0</v>
      </c>
      <c r="Y16" s="527">
        <f t="array" ref="Y16">IF($J16&lt;1,Y15+$H16*V16,SUMPRODUCT(($B$16:$B$46&lt;=$B16)*($B$16:$B$46&gt;MAX($B16-$D$2-$I16,2019))*$H$16:$H$46*V$16:V$46))</f>
        <v>0</v>
      </c>
      <c r="Z16" s="528">
        <f>(1-Y16)*U16</f>
        <v>9.2761859999999974</v>
      </c>
      <c r="AA16" s="529">
        <f t="shared" si="20"/>
        <v>1E-3</v>
      </c>
      <c r="AB16" s="530">
        <f t="shared" si="21"/>
        <v>0</v>
      </c>
      <c r="AC16" s="522">
        <f>Hypothèses!$G$79</f>
        <v>0.24</v>
      </c>
      <c r="AD16" s="523">
        <f t="shared" si="4"/>
        <v>74.209487999999979</v>
      </c>
      <c r="AE16" s="524">
        <f t="array" ref="AE16">1-SUM(IF((Roadmap_Avion!$B$8:$B$38=$B16)*(Roadmap_Avion!$C$4:$Z$4=$B$2)*(Roadmap_Avion!$C$6:$Z$6=AE$7)*(Roadmap_Avion!$C$7:$Z$7=AE$9),Roadmap_Avion!$C$8:$Z$38,0))</f>
        <v>0.19999999999999996</v>
      </c>
      <c r="AF16" s="525">
        <f t="array" ref="AF16">SUM(IF((Roadmap_Avion!$B$8:$B$38=$B16)*(Roadmap_Avion!$C$4:$Z$4=$B$2)*(Roadmap_Avion!$C$6:$Z$6=AF$7)*(Roadmap_Avion!$C$7:$Z$7=AF$9),Roadmap_Avion!$C$8:$Z$38,0))</f>
        <v>0.5</v>
      </c>
      <c r="AG16" s="526">
        <f t="array" ref="AG16">SUM(IF((Roadmap_Avion!$B$8:$B$38=$B16)*(Roadmap_Avion!$C$4:$Z$4=$B$2)*(Roadmap_Avion!$C$6:$Z$6=AG$7)*(Roadmap_Avion!$C$7:$Z$7=AG$9),Roadmap_Avion!$C$8:$Z$38,0))</f>
        <v>0</v>
      </c>
      <c r="AH16" s="527">
        <f t="array" ref="AH16">IF($J16&lt;1,AH15+$H16*AE16,SUMPRODUCT(($B$16:$B$46&lt;=$B16)*($B$16:$B$46&gt;MAX($B16-$D$2-$I16,2019))*$H$16:$H$46*AE$16:AE$46))</f>
        <v>7.9999999999999984E-3</v>
      </c>
      <c r="AI16" s="528">
        <f>(1-AH16)*AD16</f>
        <v>73.615812095999985</v>
      </c>
      <c r="AJ16" s="529">
        <f t="shared" si="22"/>
        <v>8.0000000000000002E-3</v>
      </c>
      <c r="AK16" s="530">
        <f t="shared" si="23"/>
        <v>0</v>
      </c>
      <c r="AL16" s="522">
        <f>Hypothèses!$G$80</f>
        <v>0.42</v>
      </c>
      <c r="AM16" s="523">
        <f t="shared" si="6"/>
        <v>129.86660399999997</v>
      </c>
      <c r="AN16" s="524">
        <f t="array" ref="AN16">1-SUM(IF((Roadmap_Avion!$B$8:$B$38=$B16)*(Roadmap_Avion!$C$4:$Z$4=$B$2)*(Roadmap_Avion!$C$6:$Z$6=AN$7)*(Roadmap_Avion!$C$7:$Z$7=AN$9),Roadmap_Avion!$C$8:$Z$38,0))</f>
        <v>0.19999999999999996</v>
      </c>
      <c r="AO16" s="525">
        <f t="array" ref="AO16">SUM(IF((Roadmap_Avion!$B$8:$B$38=$B16)*(Roadmap_Avion!$C$4:$Z$4=$B$2)*(Roadmap_Avion!$C$6:$Z$6=AO$7)*(Roadmap_Avion!$C$7:$Z$7=AO$9),Roadmap_Avion!$C$8:$Z$38,0))</f>
        <v>0.5</v>
      </c>
      <c r="AP16" s="526">
        <f t="array" ref="AP16">SUM(IF((Roadmap_Avion!$B$8:$B$38=$B16)*(Roadmap_Avion!$C$4:$Z$4=$B$2)*(Roadmap_Avion!$C$6:$Z$6=AP$7)*(Roadmap_Avion!$C$7:$Z$7=AP$9),Roadmap_Avion!$C$8:$Z$38,0))</f>
        <v>0</v>
      </c>
      <c r="AQ16" s="527">
        <f t="array" ref="AQ16">IF($J16&lt;1,AQ15+$H16*AN16,SUMPRODUCT(($B$16:$B$46&lt;=$B16)*($B$16:$B$46&gt;MAX($B16-$D$2-$I16,2019))*$H$16:$H$46*AN$16:AN$46))</f>
        <v>7.9999999999999984E-3</v>
      </c>
      <c r="AR16" s="528">
        <f>(1-AQ16)*AM16</f>
        <v>128.82767116799997</v>
      </c>
      <c r="AS16" s="529">
        <f t="shared" si="8"/>
        <v>1.4E-2</v>
      </c>
      <c r="AT16" s="530">
        <f t="shared" si="9"/>
        <v>0</v>
      </c>
      <c r="AU16" s="531">
        <f>Hypothèses!$G$81</f>
        <v>0.3</v>
      </c>
      <c r="AV16" s="523">
        <f t="shared" si="10"/>
        <v>92.76185999999997</v>
      </c>
      <c r="AW16" s="524">
        <f t="array" ref="AW16">1-SUM(IF((Roadmap_Avion!$B$8:$B$38=$B16)*(Roadmap_Avion!$C$4:$Z$4=$B$2)*(Roadmap_Avion!$C$6:$Z$6=AW$7)*(Roadmap_Avion!$C$7:$Z$7=AW$9),Roadmap_Avion!$C$8:$Z$38,0))</f>
        <v>0.25</v>
      </c>
      <c r="AX16" s="525">
        <f t="array" ref="AX16">SUM(IF((Roadmap_Avion!$B$8:$B$38=$B16)*(Roadmap_Avion!$C$4:$Z$4=$B$2)*(Roadmap_Avion!$C$6:$Z$6=AX$7)*(Roadmap_Avion!$C$7:$Z$7=AX$9),Roadmap_Avion!$C$8:$Z$38,0))</f>
        <v>0.5</v>
      </c>
      <c r="AY16" s="526">
        <f t="array" ref="AY16">SUM(IF((Roadmap_Avion!$B$8:$B$38=$B16)*(Roadmap_Avion!$C$4:$Z$4=$B$2)*(Roadmap_Avion!$C$6:$Z$6=AY$7)*(Roadmap_Avion!$C$7:$Z$7=AY$9),Roadmap_Avion!$C$8:$Z$38,0))</f>
        <v>0</v>
      </c>
      <c r="AZ16" s="527">
        <f t="array" ref="AZ16">IF($J16&lt;1,AZ15+$H16*AW16,SUMPRODUCT(($B$16:$B$46&lt;=$B16)*($B$16:$B$46&gt;MAX($B16-$D$2-$I16,2019))*$H$16:$H$46*AW$16:AW$46))</f>
        <v>0.01</v>
      </c>
      <c r="BA16" s="528">
        <f>(1-AZ16)*AV16</f>
        <v>91.834241399999968</v>
      </c>
      <c r="BB16" s="529">
        <f t="shared" si="24"/>
        <v>0.01</v>
      </c>
      <c r="BC16" s="529">
        <f t="shared" si="25"/>
        <v>0</v>
      </c>
      <c r="BD16" s="517">
        <f t="shared" si="12"/>
        <v>306.64597266399994</v>
      </c>
      <c r="BE16" s="518">
        <f>BD16*(Hypothèses!$D$23/Hypothèses!$B$23)</f>
        <v>365.05472936190466</v>
      </c>
      <c r="BF16" s="532">
        <f t="shared" si="13"/>
        <v>8.2800000000000651E-3</v>
      </c>
      <c r="BG16" s="518">
        <f>BD16/Hypothèses!$B$23</f>
        <v>97.347927829841254</v>
      </c>
      <c r="BH16" s="532">
        <f t="shared" si="14"/>
        <v>3.3333333333333333E-2</v>
      </c>
      <c r="BI16" s="532">
        <f t="shared" si="14"/>
        <v>0</v>
      </c>
      <c r="BJ16" s="518">
        <f t="shared" si="26"/>
        <v>3.2449309276613749</v>
      </c>
      <c r="BK16" s="533">
        <f>BM16+BP16</f>
        <v>2.0501851548918237</v>
      </c>
      <c r="BL16" s="534">
        <f>BK16/BJ16</f>
        <v>0.63181164733432227</v>
      </c>
      <c r="BM16" s="535">
        <f t="array" ref="BM16">SUM(IF((Prod_Carburant_Alt!$A$7:$A$37=$B16)*(Prod_Carburant_Alt!$B$3:$AI$3=$C$2)*(Prod_Carburant_Alt!$B$5:$AI$5=BM$7)*(Prod_Carburant_Alt!$B$6:$AI$6=BM$9),Prod_Carburant_Alt!$B$7:$AI$37,0))</f>
        <v>2.0501851548918237</v>
      </c>
      <c r="BN16" s="534">
        <f t="shared" ref="BN16:BN46" si="27">BL16/BF16</f>
        <v>76.305754508975525</v>
      </c>
      <c r="BO16" s="536">
        <f t="array" ref="BO16">SUM(IF((Prod_Carburant_Alt!$A$7:$A$37=$B16)*(Prod_Carburant_Alt!$B$3:$AI$3=$C$2)*(Prod_Carburant_Alt!$B$5:$AI$5=BO$7)*(Prod_Carburant_Alt!$B$6:$AI$6=BO$9),Prod_Carburant_Alt!$B$7:$AI$37,0))</f>
        <v>0</v>
      </c>
      <c r="BP16" s="535">
        <f t="array" ref="BP16">SUM(IF((Prod_Carburant_Alt!$A$7:$A$37=$B16)*(Prod_Carburant_Alt!$B$3:$AI$3=$C$2)*(Prod_Carburant_Alt!$B$5:$AI$5=BP$7)*(Prod_Carburant_Alt!$B$6:$AI$6=BP$9),Prod_Carburant_Alt!$B$7:$AI$37,0))</f>
        <v>0</v>
      </c>
      <c r="BQ16" s="536">
        <f>BP16/BJ16</f>
        <v>0</v>
      </c>
      <c r="BR16" s="537">
        <f>BG16-BK16</f>
        <v>95.297742674949433</v>
      </c>
      <c r="BS16" s="538">
        <f>MIN(BJ16,BK16)</f>
        <v>2.0501851548918237</v>
      </c>
      <c r="BT16" s="539">
        <f>IF(BK16&gt;0,BS16/BK16,0)</f>
        <v>1</v>
      </c>
      <c r="BU16" s="535">
        <f t="shared" ref="BU16:BU46" si="28">IF(BM16&gt;0,(BM16/BK16)*BS16,0)</f>
        <v>2.0501851548918237</v>
      </c>
      <c r="BV16" s="539">
        <f>IF(BM16&gt;0,BU16/BM16,0)</f>
        <v>1</v>
      </c>
      <c r="BW16" s="535">
        <f t="shared" ref="BW16:BW46" si="29">IF(BP16&gt;0,(BP16/BK16)*BS16,0)</f>
        <v>0</v>
      </c>
      <c r="BX16" s="539">
        <f>IF(BP16&gt;0,BW16/BP16,0)</f>
        <v>0</v>
      </c>
      <c r="BY16" s="538">
        <f>BI16*BG16</f>
        <v>0</v>
      </c>
      <c r="BZ16" s="540">
        <f>BY16*Hypothèses!$B$3/Hypothèses!$B$9</f>
        <v>0</v>
      </c>
      <c r="CA16" s="538">
        <f>BG16-BS16-BY16</f>
        <v>95.297742674949433</v>
      </c>
      <c r="CB16" s="533">
        <f>BW16*Prod_Carburant_Alt!$R$61+BZ16*Hypothèses!$B$13</f>
        <v>0</v>
      </c>
      <c r="CC16" s="538">
        <f>CB16*$H$2/$J$2</f>
        <v>0</v>
      </c>
      <c r="CD16" s="541">
        <f>CC16/$H$2</f>
        <v>0</v>
      </c>
      <c r="CE16" s="537">
        <f>$G$2*CB16/1000</f>
        <v>0</v>
      </c>
      <c r="CF16" s="503">
        <f>(CA16+BU16*BO16)*Hypothèses!$D$23+CE16</f>
        <v>357.36653503106038</v>
      </c>
      <c r="CG16" s="504">
        <f t="shared" si="16"/>
        <v>2.1060388244477254E-2</v>
      </c>
      <c r="CH16" s="503">
        <f>(CA16+BU16*BO16)*Hypothèses!$B$23</f>
        <v>300.18788942609069</v>
      </c>
      <c r="CI16" s="503">
        <f>MAX(0,CH16-CH$15)</f>
        <v>0</v>
      </c>
      <c r="CJ16" s="503">
        <f>(BU16+BW16+CA16)*Hypothèses!$B$6+BZ16*Hypothèses!$B$11</f>
        <v>3.1151336905549201</v>
      </c>
      <c r="CK16" s="503">
        <f>(BU16+BW16+CA16)*Hypothèses!$B$5+BZ16*Hypothèses!$B$10</f>
        <v>135.31361968347935</v>
      </c>
      <c r="CL16" s="542">
        <f t="shared" si="17"/>
        <v>2.9166008229813085E-2</v>
      </c>
    </row>
    <row r="17" spans="1:90" ht="14.25" customHeight="1">
      <c r="A17" s="331"/>
      <c r="B17" s="516">
        <v>2021</v>
      </c>
      <c r="C17" s="655">
        <f>Trajectoires!AA13</f>
        <v>818.68285714285707</v>
      </c>
      <c r="D17" s="659">
        <f>C17/Hypothèses!$D$23</f>
        <v>218.31542857142855</v>
      </c>
      <c r="E17" s="659">
        <f>D17*Hypothèses!$B$23</f>
        <v>687.69359999999995</v>
      </c>
      <c r="F17" s="659">
        <f>D17*Hypothèses!$B$5</f>
        <v>303.45844571428569</v>
      </c>
      <c r="G17" s="659">
        <f>D17*Hypothèses!$B$6</f>
        <v>6.9860937142857136</v>
      </c>
      <c r="H17" s="519">
        <f t="shared" ref="H17:H46" si="30">IF($B17&gt;=$E$2,1/$D$2,1/25)</f>
        <v>0.04</v>
      </c>
      <c r="I17" s="520">
        <f>IF(J17&gt;=1,ROUND(COUNTIFS($B$16:$B17,"&gt;"&amp;MAX($B17-$D$2,2019),H$16:H17,1/25)*(1/$D$2-1/25)*25,0),0)</f>
        <v>0</v>
      </c>
      <c r="J17" s="521">
        <f>J16+H17</f>
        <v>0.08</v>
      </c>
      <c r="K17" s="522">
        <f>Hypothèses!$G$77</f>
        <v>0.01</v>
      </c>
      <c r="L17" s="523">
        <f t="shared" si="0"/>
        <v>6.8769359999999997</v>
      </c>
      <c r="M17" s="524">
        <f t="array" ref="M17">1-SUM(IF((Roadmap_Avion!$B$8:$B$38=$B17)*(Roadmap_Avion!$C$4:$Z$4=$B$2)*(Roadmap_Avion!$C$6:$Z$6=M$7)*(Roadmap_Avion!$C$7:$Z$7=M$9),Roadmap_Avion!$C$8:$Z$38,0))</f>
        <v>0</v>
      </c>
      <c r="N17" s="525">
        <f t="array" ref="N17">SUM(IF((Roadmap_Avion!$B$8:$B$38=$B17)*(Roadmap_Avion!$C$4:$Z$4=$B$2)*(Roadmap_Avion!$C$6:$Z$6=N$7)*(Roadmap_Avion!$C$7:$Z$7=N$9),Roadmap_Avion!$C$8:$Z$38,0))</f>
        <v>0.5</v>
      </c>
      <c r="O17" s="526">
        <f t="array" ref="O17">SUM(IF((Roadmap_Avion!$B$8:$B$38=$B17)*(Roadmap_Avion!$C$4:$Z$4=$B$2)*(Roadmap_Avion!$C$6:$Z$6=O$7)*(Roadmap_Avion!$C$7:$Z$7=O$9),Roadmap_Avion!$C$8:$Z$38,0))</f>
        <v>0</v>
      </c>
      <c r="P17" s="527">
        <f t="array" ref="P17">IF($J17&lt;1,P16+$H17*M17,SUMPRODUCT(($B$16:$B$46&lt;=$B17)*($B$16:$B$46&gt;MAX($B17-$D$2-$I17,2019))*$H$16:$H$46*M$16:M$46))</f>
        <v>0</v>
      </c>
      <c r="Q17" s="528">
        <f t="shared" ref="Q17:Q46" si="31">(1-P17)*L17</f>
        <v>6.8769359999999997</v>
      </c>
      <c r="R17" s="529">
        <f t="shared" si="18"/>
        <v>6.6666666666666664E-4</v>
      </c>
      <c r="S17" s="530">
        <f t="shared" si="19"/>
        <v>0</v>
      </c>
      <c r="T17" s="522">
        <f>Hypothèses!$G$78</f>
        <v>0.03</v>
      </c>
      <c r="U17" s="523">
        <f t="shared" si="2"/>
        <v>20.630807999999998</v>
      </c>
      <c r="V17" s="524">
        <f t="array" ref="V17">1-SUM(IF((Roadmap_Avion!$B$8:$B$38=$B17)*(Roadmap_Avion!$C$4:$Z$4=$B$2)*(Roadmap_Avion!$C$6:$Z$6=V$7)*(Roadmap_Avion!$C$7:$Z$7=V$9),Roadmap_Avion!$C$8:$Z$38,0))</f>
        <v>0</v>
      </c>
      <c r="W17" s="525">
        <f t="array" ref="W17">SUM(IF((Roadmap_Avion!$B$8:$B$38=$B17)*(Roadmap_Avion!$C$4:$Z$4=$B$2)*(Roadmap_Avion!$C$6:$Z$6=W$7)*(Roadmap_Avion!$C$7:$Z$7=W$9),Roadmap_Avion!$C$8:$Z$38,0))</f>
        <v>0.5</v>
      </c>
      <c r="X17" s="526">
        <f t="array" ref="X17">SUM(IF((Roadmap_Avion!$B$8:$B$38=$B17)*(Roadmap_Avion!$C$4:$Z$4=$B$2)*(Roadmap_Avion!$C$6:$Z$6=X$7)*(Roadmap_Avion!$C$7:$Z$7=X$9),Roadmap_Avion!$C$8:$Z$38,0))</f>
        <v>0</v>
      </c>
      <c r="Y17" s="527">
        <f t="array" ref="Y17">IF($J17&lt;1,Y16+$H17*V17,SUMPRODUCT(($B$16:$B$46&lt;=$B17)*($B$16:$B$46&gt;MAX($B17-$D$2-$I17,2019))*$H$16:$H$46*V$16:V$46))</f>
        <v>0</v>
      </c>
      <c r="Z17" s="528">
        <f t="shared" ref="Z17:Z46" si="32">(1-Y17)*U17</f>
        <v>20.630807999999998</v>
      </c>
      <c r="AA17" s="529">
        <f t="shared" si="20"/>
        <v>2E-3</v>
      </c>
      <c r="AB17" s="530">
        <f t="shared" si="21"/>
        <v>0</v>
      </c>
      <c r="AC17" s="522">
        <f>Hypothèses!$G$79</f>
        <v>0.24</v>
      </c>
      <c r="AD17" s="523">
        <f t="shared" si="4"/>
        <v>165.04646399999999</v>
      </c>
      <c r="AE17" s="524">
        <f t="array" ref="AE17">1-SUM(IF((Roadmap_Avion!$B$8:$B$38=$B17)*(Roadmap_Avion!$C$4:$Z$4=$B$2)*(Roadmap_Avion!$C$6:$Z$6=AE$7)*(Roadmap_Avion!$C$7:$Z$7=AE$9),Roadmap_Avion!$C$8:$Z$38,0))</f>
        <v>0.19999999999999996</v>
      </c>
      <c r="AF17" s="525">
        <f t="array" ref="AF17">SUM(IF((Roadmap_Avion!$B$8:$B$38=$B17)*(Roadmap_Avion!$C$4:$Z$4=$B$2)*(Roadmap_Avion!$C$6:$Z$6=AF$7)*(Roadmap_Avion!$C$7:$Z$7=AF$9),Roadmap_Avion!$C$8:$Z$38,0))</f>
        <v>0.5</v>
      </c>
      <c r="AG17" s="526">
        <f t="array" ref="AG17">SUM(IF((Roadmap_Avion!$B$8:$B$38=$B17)*(Roadmap_Avion!$C$4:$Z$4=$B$2)*(Roadmap_Avion!$C$6:$Z$6=AG$7)*(Roadmap_Avion!$C$7:$Z$7=AG$9),Roadmap_Avion!$C$8:$Z$38,0))</f>
        <v>0</v>
      </c>
      <c r="AH17" s="527">
        <f t="array" ref="AH17">IF($J17&lt;1,AH16+$H17*AE17,SUMPRODUCT(($B$16:$B$46&lt;=$B17)*($B$16:$B$46&gt;MAX($B17-$D$2-$I17,2019))*$H$16:$H$46*AE$16:AE$46))</f>
        <v>1.5999999999999997E-2</v>
      </c>
      <c r="AI17" s="528">
        <f t="shared" ref="AI17:AI46" si="33">(1-AH17)*AD17</f>
        <v>162.40572057599999</v>
      </c>
      <c r="AJ17" s="529">
        <f t="shared" si="22"/>
        <v>1.6E-2</v>
      </c>
      <c r="AK17" s="530">
        <f t="shared" si="23"/>
        <v>0</v>
      </c>
      <c r="AL17" s="522">
        <f>Hypothèses!$G$80</f>
        <v>0.42</v>
      </c>
      <c r="AM17" s="523">
        <f t="shared" si="6"/>
        <v>288.83131199999997</v>
      </c>
      <c r="AN17" s="524">
        <f t="array" ref="AN17">1-SUM(IF((Roadmap_Avion!$B$8:$B$38=$B17)*(Roadmap_Avion!$C$4:$Z$4=$B$2)*(Roadmap_Avion!$C$6:$Z$6=AN$7)*(Roadmap_Avion!$C$7:$Z$7=AN$9),Roadmap_Avion!$C$8:$Z$38,0))</f>
        <v>0.19999999999999996</v>
      </c>
      <c r="AO17" s="525">
        <f t="array" ref="AO17">SUM(IF((Roadmap_Avion!$B$8:$B$38=$B17)*(Roadmap_Avion!$C$4:$Z$4=$B$2)*(Roadmap_Avion!$C$6:$Z$6=AO$7)*(Roadmap_Avion!$C$7:$Z$7=AO$9),Roadmap_Avion!$C$8:$Z$38,0))</f>
        <v>0.5</v>
      </c>
      <c r="AP17" s="526">
        <f t="array" ref="AP17">SUM(IF((Roadmap_Avion!$B$8:$B$38=$B17)*(Roadmap_Avion!$C$4:$Z$4=$B$2)*(Roadmap_Avion!$C$6:$Z$6=AP$7)*(Roadmap_Avion!$C$7:$Z$7=AP$9),Roadmap_Avion!$C$8:$Z$38,0))</f>
        <v>0</v>
      </c>
      <c r="AQ17" s="527">
        <f t="array" ref="AQ17">IF($J17&lt;1,AQ16+$H17*AN17,SUMPRODUCT(($B$16:$B$46&lt;=$B17)*($B$16:$B$46&gt;MAX($B17-$D$2-$I17,2019))*$H$16:$H$46*AN$16:AN$46))</f>
        <v>1.5999999999999997E-2</v>
      </c>
      <c r="AR17" s="528">
        <f t="shared" ref="AR17:AR46" si="34">(1-AQ17)*AM17</f>
        <v>284.21001100799998</v>
      </c>
      <c r="AS17" s="529">
        <f t="shared" si="8"/>
        <v>2.8000000000000001E-2</v>
      </c>
      <c r="AT17" s="530">
        <f t="shared" si="9"/>
        <v>0</v>
      </c>
      <c r="AU17" s="531">
        <f>Hypothèses!$G$81</f>
        <v>0.3</v>
      </c>
      <c r="AV17" s="523">
        <f t="shared" si="10"/>
        <v>206.30807999999999</v>
      </c>
      <c r="AW17" s="524">
        <f t="array" ref="AW17">1-SUM(IF((Roadmap_Avion!$B$8:$B$38=$B17)*(Roadmap_Avion!$C$4:$Z$4=$B$2)*(Roadmap_Avion!$C$6:$Z$6=AW$7)*(Roadmap_Avion!$C$7:$Z$7=AW$9),Roadmap_Avion!$C$8:$Z$38,0))</f>
        <v>0.25</v>
      </c>
      <c r="AX17" s="525">
        <f t="array" ref="AX17">SUM(IF((Roadmap_Avion!$B$8:$B$38=$B17)*(Roadmap_Avion!$C$4:$Z$4=$B$2)*(Roadmap_Avion!$C$6:$Z$6=AX$7)*(Roadmap_Avion!$C$7:$Z$7=AX$9),Roadmap_Avion!$C$8:$Z$38,0))</f>
        <v>0.5</v>
      </c>
      <c r="AY17" s="526">
        <f t="array" ref="AY17">SUM(IF((Roadmap_Avion!$B$8:$B$38=$B17)*(Roadmap_Avion!$C$4:$Z$4=$B$2)*(Roadmap_Avion!$C$6:$Z$6=AY$7)*(Roadmap_Avion!$C$7:$Z$7=AY$9),Roadmap_Avion!$C$8:$Z$38,0))</f>
        <v>0</v>
      </c>
      <c r="AZ17" s="527">
        <f t="array" ref="AZ17">IF($J17&lt;1,AZ16+$H17*AW17,SUMPRODUCT(($B$16:$B$46&lt;=$B17)*($B$16:$B$46&gt;MAX($B17-$D$2-$I17,2019))*$H$16:$H$46*AW$16:AW$46))</f>
        <v>0.02</v>
      </c>
      <c r="BA17" s="528">
        <f t="shared" ref="BA17:BA46" si="35">(1-AZ17)*AV17</f>
        <v>202.18191839999997</v>
      </c>
      <c r="BB17" s="529">
        <f t="shared" si="24"/>
        <v>0.02</v>
      </c>
      <c r="BC17" s="529">
        <f t="shared" si="25"/>
        <v>0</v>
      </c>
      <c r="BD17" s="517">
        <f t="shared" si="12"/>
        <v>676.30539398399992</v>
      </c>
      <c r="BE17" s="518">
        <f>BD17*(Hypothèses!$D$23/Hypothèses!$B$23)</f>
        <v>805.12546902857127</v>
      </c>
      <c r="BF17" s="532">
        <f t="shared" si="13"/>
        <v>1.656000000000013E-2</v>
      </c>
      <c r="BG17" s="518">
        <f>BD17/Hypothèses!$B$23</f>
        <v>214.70012507428569</v>
      </c>
      <c r="BH17" s="532">
        <f t="shared" si="14"/>
        <v>6.6666666666666666E-2</v>
      </c>
      <c r="BI17" s="532">
        <f t="shared" si="14"/>
        <v>0</v>
      </c>
      <c r="BJ17" s="518">
        <f t="shared" si="26"/>
        <v>14.313341671619046</v>
      </c>
      <c r="BK17" s="533">
        <f t="shared" ref="BK17:BK46" si="36">BM17+BP17</f>
        <v>4.1003703097836475</v>
      </c>
      <c r="BL17" s="534">
        <f t="shared" ref="BL17:BL46" si="37">BK17/BJ17</f>
        <v>0.28647190878661083</v>
      </c>
      <c r="BM17" s="535">
        <f t="array" ref="BM17">SUM(IF((Prod_Carburant_Alt!$A$7:$A$37=$B17)*(Prod_Carburant_Alt!$B$3:$AI$3=$C$2)*(Prod_Carburant_Alt!$B$5:$AI$5=BM$7)*(Prod_Carburant_Alt!$B$6:$AI$6=BM$9),Prod_Carburant_Alt!$B$7:$AI$37,0))</f>
        <v>4.1003703097836475</v>
      </c>
      <c r="BN17" s="534">
        <f t="shared" si="27"/>
        <v>17.299028308370083</v>
      </c>
      <c r="BO17" s="536">
        <f t="array" ref="BO17">SUM(IF((Prod_Carburant_Alt!$A$7:$A$37=$B17)*(Prod_Carburant_Alt!$B$3:$AI$3=$C$2)*(Prod_Carburant_Alt!$B$5:$AI$5=BO$7)*(Prod_Carburant_Alt!$B$6:$AI$6=BO$9),Prod_Carburant_Alt!$B$7:$AI$37,0))</f>
        <v>0.20438251753392206</v>
      </c>
      <c r="BP17" s="543">
        <f t="array" ref="BP17">SUM(IF((Prod_Carburant_Alt!$A$7:$A$37=$B17)*(Prod_Carburant_Alt!$B$3:$AI$3=$C$2)*(Prod_Carburant_Alt!$B$5:$AI$5=BP$7)*(Prod_Carburant_Alt!$B$6:$AI$6=BP$9),Prod_Carburant_Alt!$B$7:$AI$37,0))</f>
        <v>0</v>
      </c>
      <c r="BQ17" s="536">
        <f t="shared" ref="BQ17:BQ46" si="38">BP17/BJ17</f>
        <v>0</v>
      </c>
      <c r="BR17" s="537">
        <f t="shared" ref="BR17:BR46" si="39">BG17-BK17</f>
        <v>210.59975476450205</v>
      </c>
      <c r="BS17" s="538">
        <f t="shared" ref="BS17:BS46" si="40">MIN(BJ17,BK17)</f>
        <v>4.1003703097836475</v>
      </c>
      <c r="BT17" s="539">
        <f t="shared" ref="BT17:BT46" si="41">IF(BK17&gt;0,BS17/BK17,0)</f>
        <v>1</v>
      </c>
      <c r="BU17" s="535">
        <f t="shared" si="28"/>
        <v>4.1003703097836475</v>
      </c>
      <c r="BV17" s="539">
        <f t="shared" ref="BV17:BV46" si="42">IF(BM17&gt;0,BU17/BM17,0)</f>
        <v>1</v>
      </c>
      <c r="BW17" s="535">
        <f t="shared" si="29"/>
        <v>0</v>
      </c>
      <c r="BX17" s="539">
        <f t="shared" ref="BX17:BX46" si="43">IF(BP17&gt;0,BW17/BP17,0)</f>
        <v>0</v>
      </c>
      <c r="BY17" s="538">
        <f t="shared" ref="BY17:BY46" si="44">BI17*BG17</f>
        <v>0</v>
      </c>
      <c r="BZ17" s="540">
        <f>BY17*Hypothèses!$B$3/Hypothèses!$B$9</f>
        <v>0</v>
      </c>
      <c r="CA17" s="538">
        <f t="shared" ref="CA17:CA46" si="45">BG17-BS17-BY17</f>
        <v>210.59975476450205</v>
      </c>
      <c r="CB17" s="533">
        <f>BW17*Prod_Carburant_Alt!$R$61+BZ17*Hypothèses!$B$13</f>
        <v>0</v>
      </c>
      <c r="CC17" s="538">
        <f t="shared" ref="CC17:CC46" si="46">CB17*$H$2/$J$2</f>
        <v>0</v>
      </c>
      <c r="CD17" s="541">
        <f t="shared" ref="CD17:CD46" si="47">CC17/$H$2</f>
        <v>0</v>
      </c>
      <c r="CE17" s="537">
        <f t="shared" ref="CE17:CE46" si="48">$G$2*CB17/1000</f>
        <v>0</v>
      </c>
      <c r="CF17" s="503">
        <f>(CA17+BU17*BO17)*Hypothèses!$D$23+CE17</f>
        <v>792.89174539213866</v>
      </c>
      <c r="CG17" s="504">
        <f t="shared" si="16"/>
        <v>1.5194803924403588E-2</v>
      </c>
      <c r="CH17" s="503">
        <f>(CA17+BU17*BO17)*Hypothèses!$B$23</f>
        <v>666.02906612939648</v>
      </c>
      <c r="CI17" s="503">
        <f t="shared" ref="CI17:CI46" si="49">MAX(0,CH17-CH$15)</f>
        <v>0</v>
      </c>
      <c r="CJ17" s="503">
        <f>(BU17+BW17+CA17)*Hypothèses!$B$6+BZ17*Hypothèses!$B$11</f>
        <v>6.8704040023771427</v>
      </c>
      <c r="CK17" s="503">
        <f>(BU17+BW17+CA17)*Hypothèses!$B$5+BZ17*Hypothèses!$B$10</f>
        <v>298.43317385325707</v>
      </c>
      <c r="CL17" s="542">
        <f t="shared" si="17"/>
        <v>3.1503177971415566E-2</v>
      </c>
    </row>
    <row r="18" spans="1:90" ht="14.25" customHeight="1">
      <c r="A18" s="331"/>
      <c r="B18" s="516">
        <v>2022</v>
      </c>
      <c r="C18" s="655">
        <f>Trajectoires!AA14</f>
        <v>896.63172309222375</v>
      </c>
      <c r="D18" s="659">
        <f>C18/Hypothèses!$D$23</f>
        <v>239.10179282459299</v>
      </c>
      <c r="E18" s="659">
        <f>D18*Hypothèses!$B$23</f>
        <v>753.17064739746786</v>
      </c>
      <c r="F18" s="659">
        <f>D18*Hypothèses!$B$5</f>
        <v>332.35149202618425</v>
      </c>
      <c r="G18" s="659">
        <f>D18*Hypothèses!$B$6</f>
        <v>7.6512573703869755</v>
      </c>
      <c r="H18" s="519">
        <f t="shared" si="30"/>
        <v>0.04</v>
      </c>
      <c r="I18" s="520">
        <f>IF(J18&gt;=1,ROUND(COUNTIFS($B$16:$B18,"&gt;"&amp;MAX($B18-$D$2,2019),H$16:H18,1/25)*(1/$D$2-1/25)*25,0),0)</f>
        <v>0</v>
      </c>
      <c r="J18" s="521">
        <f t="shared" ref="J18:J46" si="50">J17+H18</f>
        <v>0.12</v>
      </c>
      <c r="K18" s="522">
        <f>Hypothèses!$G$77</f>
        <v>0.01</v>
      </c>
      <c r="L18" s="523">
        <f t="shared" si="0"/>
        <v>7.5317064739746789</v>
      </c>
      <c r="M18" s="524">
        <f t="array" ref="M18">1-SUM(IF((Roadmap_Avion!$B$8:$B$38=$B18)*(Roadmap_Avion!$C$4:$Z$4=$B$2)*(Roadmap_Avion!$C$6:$Z$6=M$7)*(Roadmap_Avion!$C$7:$Z$7=M$9),Roadmap_Avion!$C$8:$Z$38,0))</f>
        <v>0</v>
      </c>
      <c r="N18" s="525">
        <f t="array" ref="N18">SUM(IF((Roadmap_Avion!$B$8:$B$38=$B18)*(Roadmap_Avion!$C$4:$Z$4=$B$2)*(Roadmap_Avion!$C$6:$Z$6=N$7)*(Roadmap_Avion!$C$7:$Z$7=N$9),Roadmap_Avion!$C$8:$Z$38,0))</f>
        <v>0.5</v>
      </c>
      <c r="O18" s="526">
        <f t="array" ref="O18">SUM(IF((Roadmap_Avion!$B$8:$B$38=$B18)*(Roadmap_Avion!$C$4:$Z$4=$B$2)*(Roadmap_Avion!$C$6:$Z$6=O$7)*(Roadmap_Avion!$C$7:$Z$7=O$9),Roadmap_Avion!$C$8:$Z$38,0))</f>
        <v>0</v>
      </c>
      <c r="P18" s="527">
        <f t="array" ref="P18">IF($J18&lt;1,P17+$H18*M18,SUMPRODUCT(($B$16:$B$46&lt;=$B18)*($B$16:$B$46&gt;MAX($B18-$D$2-$I18,2019))*$H$16:$H$46*M$16:M$46))</f>
        <v>0</v>
      </c>
      <c r="Q18" s="528">
        <f t="shared" si="31"/>
        <v>7.5317064739746789</v>
      </c>
      <c r="R18" s="529">
        <f t="shared" si="18"/>
        <v>1E-3</v>
      </c>
      <c r="S18" s="530">
        <f t="shared" si="19"/>
        <v>0</v>
      </c>
      <c r="T18" s="522">
        <f>Hypothèses!$G$78</f>
        <v>0.03</v>
      </c>
      <c r="U18" s="523">
        <f t="shared" si="2"/>
        <v>22.595119421924036</v>
      </c>
      <c r="V18" s="524">
        <f t="array" ref="V18">1-SUM(IF((Roadmap_Avion!$B$8:$B$38=$B18)*(Roadmap_Avion!$C$4:$Z$4=$B$2)*(Roadmap_Avion!$C$6:$Z$6=V$7)*(Roadmap_Avion!$C$7:$Z$7=V$9),Roadmap_Avion!$C$8:$Z$38,0))</f>
        <v>0</v>
      </c>
      <c r="W18" s="525">
        <f t="array" ref="W18">SUM(IF((Roadmap_Avion!$B$8:$B$38=$B18)*(Roadmap_Avion!$C$4:$Z$4=$B$2)*(Roadmap_Avion!$C$6:$Z$6=W$7)*(Roadmap_Avion!$C$7:$Z$7=W$9),Roadmap_Avion!$C$8:$Z$38,0))</f>
        <v>0.5</v>
      </c>
      <c r="X18" s="526">
        <f t="array" ref="X18">SUM(IF((Roadmap_Avion!$B$8:$B$38=$B18)*(Roadmap_Avion!$C$4:$Z$4=$B$2)*(Roadmap_Avion!$C$6:$Z$6=X$7)*(Roadmap_Avion!$C$7:$Z$7=X$9),Roadmap_Avion!$C$8:$Z$38,0))</f>
        <v>0</v>
      </c>
      <c r="Y18" s="527">
        <f t="array" ref="Y18">IF($J18&lt;1,Y17+$H18*V18,SUMPRODUCT(($B$16:$B$46&lt;=$B18)*($B$16:$B$46&gt;MAX($B18-$D$2-$I18,2019))*$H$16:$H$46*V$16:V$46))</f>
        <v>0</v>
      </c>
      <c r="Z18" s="528">
        <f t="shared" si="32"/>
        <v>22.595119421924036</v>
      </c>
      <c r="AA18" s="529">
        <f t="shared" si="20"/>
        <v>3.0000000000000001E-3</v>
      </c>
      <c r="AB18" s="530">
        <f t="shared" si="21"/>
        <v>0</v>
      </c>
      <c r="AC18" s="522">
        <f>Hypothèses!$G$79</f>
        <v>0.24</v>
      </c>
      <c r="AD18" s="523">
        <f t="shared" si="4"/>
        <v>180.76095537539229</v>
      </c>
      <c r="AE18" s="524">
        <f t="array" ref="AE18">1-SUM(IF((Roadmap_Avion!$B$8:$B$38=$B18)*(Roadmap_Avion!$C$4:$Z$4=$B$2)*(Roadmap_Avion!$C$6:$Z$6=AE$7)*(Roadmap_Avion!$C$7:$Z$7=AE$9),Roadmap_Avion!$C$8:$Z$38,0))</f>
        <v>0.19999999999999996</v>
      </c>
      <c r="AF18" s="525">
        <f t="array" ref="AF18">SUM(IF((Roadmap_Avion!$B$8:$B$38=$B18)*(Roadmap_Avion!$C$4:$Z$4=$B$2)*(Roadmap_Avion!$C$6:$Z$6=AF$7)*(Roadmap_Avion!$C$7:$Z$7=AF$9),Roadmap_Avion!$C$8:$Z$38,0))</f>
        <v>0.5</v>
      </c>
      <c r="AG18" s="526">
        <f t="array" ref="AG18">SUM(IF((Roadmap_Avion!$B$8:$B$38=$B18)*(Roadmap_Avion!$C$4:$Z$4=$B$2)*(Roadmap_Avion!$C$6:$Z$6=AG$7)*(Roadmap_Avion!$C$7:$Z$7=AG$9),Roadmap_Avion!$C$8:$Z$38,0))</f>
        <v>0</v>
      </c>
      <c r="AH18" s="527">
        <f t="array" ref="AH18">IF($J18&lt;1,AH17+$H18*AE18,SUMPRODUCT(($B$16:$B$46&lt;=$B18)*($B$16:$B$46&gt;MAX($B18-$D$2-$I18,2019))*$H$16:$H$46*AE$16:AE$46))</f>
        <v>2.3999999999999994E-2</v>
      </c>
      <c r="AI18" s="528">
        <f t="shared" si="33"/>
        <v>176.42269244638285</v>
      </c>
      <c r="AJ18" s="529">
        <f t="shared" si="22"/>
        <v>2.4E-2</v>
      </c>
      <c r="AK18" s="530">
        <f t="shared" si="23"/>
        <v>0</v>
      </c>
      <c r="AL18" s="522">
        <f>Hypothèses!$G$80</f>
        <v>0.42</v>
      </c>
      <c r="AM18" s="523">
        <f t="shared" si="6"/>
        <v>316.33167190693649</v>
      </c>
      <c r="AN18" s="524">
        <f t="array" ref="AN18">1-SUM(IF((Roadmap_Avion!$B$8:$B$38=$B18)*(Roadmap_Avion!$C$4:$Z$4=$B$2)*(Roadmap_Avion!$C$6:$Z$6=AN$7)*(Roadmap_Avion!$C$7:$Z$7=AN$9),Roadmap_Avion!$C$8:$Z$38,0))</f>
        <v>0.19999999999999996</v>
      </c>
      <c r="AO18" s="525">
        <f t="array" ref="AO18">SUM(IF((Roadmap_Avion!$B$8:$B$38=$B18)*(Roadmap_Avion!$C$4:$Z$4=$B$2)*(Roadmap_Avion!$C$6:$Z$6=AO$7)*(Roadmap_Avion!$C$7:$Z$7=AO$9),Roadmap_Avion!$C$8:$Z$38,0))</f>
        <v>0.5</v>
      </c>
      <c r="AP18" s="526">
        <f t="array" ref="AP18">SUM(IF((Roadmap_Avion!$B$8:$B$38=$B18)*(Roadmap_Avion!$C$4:$Z$4=$B$2)*(Roadmap_Avion!$C$6:$Z$6=AP$7)*(Roadmap_Avion!$C$7:$Z$7=AP$9),Roadmap_Avion!$C$8:$Z$38,0))</f>
        <v>0</v>
      </c>
      <c r="AQ18" s="527">
        <f t="array" ref="AQ18">IF($J18&lt;1,AQ17+$H18*AN18,SUMPRODUCT(($B$16:$B$46&lt;=$B18)*($B$16:$B$46&gt;MAX($B18-$D$2-$I18,2019))*$H$16:$H$46*AN$16:AN$46))</f>
        <v>2.3999999999999994E-2</v>
      </c>
      <c r="AR18" s="528">
        <f t="shared" si="34"/>
        <v>308.73971178117</v>
      </c>
      <c r="AS18" s="529">
        <f t="shared" si="8"/>
        <v>4.2000000000000003E-2</v>
      </c>
      <c r="AT18" s="530">
        <f t="shared" si="9"/>
        <v>0</v>
      </c>
      <c r="AU18" s="531">
        <f>Hypothèses!$G$81</f>
        <v>0.3</v>
      </c>
      <c r="AV18" s="523">
        <f t="shared" si="10"/>
        <v>225.95119421924036</v>
      </c>
      <c r="AW18" s="524">
        <f t="array" ref="AW18">1-SUM(IF((Roadmap_Avion!$B$8:$B$38=$B18)*(Roadmap_Avion!$C$4:$Z$4=$B$2)*(Roadmap_Avion!$C$6:$Z$6=AW$7)*(Roadmap_Avion!$C$7:$Z$7=AW$9),Roadmap_Avion!$C$8:$Z$38,0))</f>
        <v>0.25</v>
      </c>
      <c r="AX18" s="525">
        <f t="array" ref="AX18">SUM(IF((Roadmap_Avion!$B$8:$B$38=$B18)*(Roadmap_Avion!$C$4:$Z$4=$B$2)*(Roadmap_Avion!$C$6:$Z$6=AX$7)*(Roadmap_Avion!$C$7:$Z$7=AX$9),Roadmap_Avion!$C$8:$Z$38,0))</f>
        <v>0.5</v>
      </c>
      <c r="AY18" s="526">
        <f t="array" ref="AY18">SUM(IF((Roadmap_Avion!$B$8:$B$38=$B18)*(Roadmap_Avion!$C$4:$Z$4=$B$2)*(Roadmap_Avion!$C$6:$Z$6=AY$7)*(Roadmap_Avion!$C$7:$Z$7=AY$9),Roadmap_Avion!$C$8:$Z$38,0))</f>
        <v>0</v>
      </c>
      <c r="AZ18" s="527">
        <f t="array" ref="AZ18">IF($J18&lt;1,AZ17+$H18*AW18,SUMPRODUCT(($B$16:$B$46&lt;=$B18)*($B$16:$B$46&gt;MAX($B18-$D$2-$I18,2019))*$H$16:$H$46*AW$16:AW$46))</f>
        <v>0.03</v>
      </c>
      <c r="BA18" s="528">
        <f t="shared" si="35"/>
        <v>219.17265839266315</v>
      </c>
      <c r="BB18" s="529">
        <f t="shared" si="24"/>
        <v>2.9999999999999995E-2</v>
      </c>
      <c r="BC18" s="529">
        <f t="shared" si="25"/>
        <v>0</v>
      </c>
      <c r="BD18" s="517">
        <f t="shared" si="12"/>
        <v>734.46188851611475</v>
      </c>
      <c r="BE18" s="518">
        <f>BD18*(Hypothèses!$D$23/Hypothèses!$B$23)</f>
        <v>874.3593910906128</v>
      </c>
      <c r="BF18" s="532">
        <f t="shared" si="13"/>
        <v>2.4840000000000084E-2</v>
      </c>
      <c r="BG18" s="518">
        <f>BD18/Hypothèses!$B$23</f>
        <v>233.1625042908301</v>
      </c>
      <c r="BH18" s="532">
        <f t="shared" si="14"/>
        <v>0.1</v>
      </c>
      <c r="BI18" s="532">
        <f t="shared" si="14"/>
        <v>0</v>
      </c>
      <c r="BJ18" s="518">
        <f t="shared" si="26"/>
        <v>23.316250429083013</v>
      </c>
      <c r="BK18" s="533">
        <f t="shared" si="36"/>
        <v>5.1254628872295598</v>
      </c>
      <c r="BL18" s="534">
        <f t="shared" si="37"/>
        <v>0.21982363342762978</v>
      </c>
      <c r="BM18" s="535">
        <f t="array" ref="BM18">SUM(IF((Prod_Carburant_Alt!$A$7:$A$37=$B18)*(Prod_Carburant_Alt!$B$3:$AI$3=$C$2)*(Prod_Carburant_Alt!$B$5:$AI$5=BM$7)*(Prod_Carburant_Alt!$B$6:$AI$6=BM$9),Prod_Carburant_Alt!$B$7:$AI$37,0))</f>
        <v>5.1254628872295598</v>
      </c>
      <c r="BN18" s="534">
        <f t="shared" si="27"/>
        <v>8.8495826661686401</v>
      </c>
      <c r="BO18" s="536">
        <f t="array" ref="BO18">SUM(IF((Prod_Carburant_Alt!$A$7:$A$37=$B18)*(Prod_Carburant_Alt!$B$3:$AI$3=$C$2)*(Prod_Carburant_Alt!$B$5:$AI$5=BO$7)*(Prod_Carburant_Alt!$B$6:$AI$6=BO$9),Prod_Carburant_Alt!$B$7:$AI$37,0))</f>
        <v>0.204382517533922</v>
      </c>
      <c r="BP18" s="543">
        <f t="array" ref="BP18">SUM(IF((Prod_Carburant_Alt!$A$7:$A$37=$B18)*(Prod_Carburant_Alt!$B$3:$AI$3=$C$2)*(Prod_Carburant_Alt!$B$5:$AI$5=BP$7)*(Prod_Carburant_Alt!$B$6:$AI$6=BP$9),Prod_Carburant_Alt!$B$7:$AI$37,0))</f>
        <v>0</v>
      </c>
      <c r="BQ18" s="536">
        <f t="shared" si="38"/>
        <v>0</v>
      </c>
      <c r="BR18" s="537">
        <f t="shared" si="39"/>
        <v>228.03704140360054</v>
      </c>
      <c r="BS18" s="538">
        <f t="shared" si="40"/>
        <v>5.1254628872295598</v>
      </c>
      <c r="BT18" s="539">
        <f t="shared" si="41"/>
        <v>1</v>
      </c>
      <c r="BU18" s="535">
        <f t="shared" si="28"/>
        <v>5.1254628872295598</v>
      </c>
      <c r="BV18" s="539">
        <f t="shared" si="42"/>
        <v>1</v>
      </c>
      <c r="BW18" s="535">
        <f t="shared" si="29"/>
        <v>0</v>
      </c>
      <c r="BX18" s="539">
        <f t="shared" si="43"/>
        <v>0</v>
      </c>
      <c r="BY18" s="538">
        <f t="shared" si="44"/>
        <v>0</v>
      </c>
      <c r="BZ18" s="540">
        <f>BY18*Hypothèses!$B$3/Hypothèses!$B$9</f>
        <v>0</v>
      </c>
      <c r="CA18" s="538">
        <f t="shared" si="45"/>
        <v>228.03704140360054</v>
      </c>
      <c r="CB18" s="533">
        <f>BW18*Prod_Carburant_Alt!$R$61+BZ18*Hypothèses!$B$13</f>
        <v>0</v>
      </c>
      <c r="CC18" s="538">
        <f t="shared" si="46"/>
        <v>0</v>
      </c>
      <c r="CD18" s="541">
        <f t="shared" si="47"/>
        <v>0</v>
      </c>
      <c r="CE18" s="537">
        <f t="shared" si="48"/>
        <v>0</v>
      </c>
      <c r="CF18" s="503">
        <f>(CA18+BU18*BO18)*Hypothèses!$D$23+CE18</f>
        <v>859.06723654507209</v>
      </c>
      <c r="CG18" s="504">
        <f t="shared" si="16"/>
        <v>1.7489552581423505E-2</v>
      </c>
      <c r="CH18" s="503">
        <f>(CA18+BU18*BO18)*Hypothèses!$B$23</f>
        <v>721.61647869786054</v>
      </c>
      <c r="CI18" s="503">
        <f t="shared" si="49"/>
        <v>0</v>
      </c>
      <c r="CJ18" s="503">
        <f>(BU18+BW18+CA18)*Hypothèses!$B$6+BZ18*Hypothèses!$B$11</f>
        <v>7.4612001373065633</v>
      </c>
      <c r="CK18" s="503">
        <f>(BU18+BW18+CA18)*Hypothèses!$B$5+BZ18*Hypothèses!$B$10</f>
        <v>324.09588096425381</v>
      </c>
      <c r="CL18" s="542">
        <f t="shared" si="17"/>
        <v>4.1895112095301064E-2</v>
      </c>
    </row>
    <row r="19" spans="1:90" ht="14.25" customHeight="1">
      <c r="A19" s="331"/>
      <c r="B19" s="516">
        <v>2023</v>
      </c>
      <c r="C19" s="655">
        <f>Trajectoires!AA15</f>
        <v>981.94726922353914</v>
      </c>
      <c r="D19" s="659">
        <f>C19/Hypothèses!$D$23</f>
        <v>261.85260512627713</v>
      </c>
      <c r="E19" s="659">
        <f>D19*Hypothèses!$B$23</f>
        <v>824.83570614777295</v>
      </c>
      <c r="F19" s="659">
        <f>D19*Hypothèses!$B$5</f>
        <v>363.97512112552516</v>
      </c>
      <c r="G19" s="659">
        <f>D19*Hypothèses!$B$6</f>
        <v>8.3792833640408677</v>
      </c>
      <c r="H19" s="519">
        <f t="shared" si="30"/>
        <v>0.04</v>
      </c>
      <c r="I19" s="520">
        <f>IF(J19&gt;=1,ROUND(COUNTIFS($B$16:$B19,"&gt;"&amp;MAX($B19-$D$2,2019),H$16:H19,1/25)*(1/$D$2-1/25)*25,0),0)</f>
        <v>0</v>
      </c>
      <c r="J19" s="521">
        <f t="shared" si="50"/>
        <v>0.16</v>
      </c>
      <c r="K19" s="522">
        <f>Hypothèses!$G$77</f>
        <v>0.01</v>
      </c>
      <c r="L19" s="523">
        <f t="shared" si="0"/>
        <v>8.24835706147773</v>
      </c>
      <c r="M19" s="524">
        <f t="array" ref="M19">1-SUM(IF((Roadmap_Avion!$B$8:$B$38=$B19)*(Roadmap_Avion!$C$4:$Z$4=$B$2)*(Roadmap_Avion!$C$6:$Z$6=M$7)*(Roadmap_Avion!$C$7:$Z$7=M$9),Roadmap_Avion!$C$8:$Z$38,0))</f>
        <v>0</v>
      </c>
      <c r="N19" s="525">
        <f t="array" ref="N19">SUM(IF((Roadmap_Avion!$B$8:$B$38=$B19)*(Roadmap_Avion!$C$4:$Z$4=$B$2)*(Roadmap_Avion!$C$6:$Z$6=N$7)*(Roadmap_Avion!$C$7:$Z$7=N$9),Roadmap_Avion!$C$8:$Z$38,0))</f>
        <v>0.5</v>
      </c>
      <c r="O19" s="526">
        <f t="array" ref="O19">SUM(IF((Roadmap_Avion!$B$8:$B$38=$B19)*(Roadmap_Avion!$C$4:$Z$4=$B$2)*(Roadmap_Avion!$C$6:$Z$6=O$7)*(Roadmap_Avion!$C$7:$Z$7=O$9),Roadmap_Avion!$C$8:$Z$38,0))</f>
        <v>0</v>
      </c>
      <c r="P19" s="527">
        <f t="array" ref="P19">IF($J19&lt;1,P18+$H19*M19,SUMPRODUCT(($B$16:$B$46&lt;=$B19)*($B$16:$B$46&gt;MAX($B19-$D$2-$I19,2019))*$H$16:$H$46*M$16:M$46))</f>
        <v>0</v>
      </c>
      <c r="Q19" s="528">
        <f t="shared" si="31"/>
        <v>8.24835706147773</v>
      </c>
      <c r="R19" s="529">
        <f t="shared" si="18"/>
        <v>1.3333333333333333E-3</v>
      </c>
      <c r="S19" s="530">
        <f t="shared" si="19"/>
        <v>0</v>
      </c>
      <c r="T19" s="522">
        <f>Hypothèses!$G$78</f>
        <v>0.03</v>
      </c>
      <c r="U19" s="523">
        <f t="shared" si="2"/>
        <v>24.745071184433186</v>
      </c>
      <c r="V19" s="524">
        <f t="array" ref="V19">1-SUM(IF((Roadmap_Avion!$B$8:$B$38=$B19)*(Roadmap_Avion!$C$4:$Z$4=$B$2)*(Roadmap_Avion!$C$6:$Z$6=V$7)*(Roadmap_Avion!$C$7:$Z$7=V$9),Roadmap_Avion!$C$8:$Z$38,0))</f>
        <v>0</v>
      </c>
      <c r="W19" s="525">
        <f t="array" ref="W19">SUM(IF((Roadmap_Avion!$B$8:$B$38=$B19)*(Roadmap_Avion!$C$4:$Z$4=$B$2)*(Roadmap_Avion!$C$6:$Z$6=W$7)*(Roadmap_Avion!$C$7:$Z$7=W$9),Roadmap_Avion!$C$8:$Z$38,0))</f>
        <v>0.5</v>
      </c>
      <c r="X19" s="526">
        <f t="array" ref="X19">SUM(IF((Roadmap_Avion!$B$8:$B$38=$B19)*(Roadmap_Avion!$C$4:$Z$4=$B$2)*(Roadmap_Avion!$C$6:$Z$6=X$7)*(Roadmap_Avion!$C$7:$Z$7=X$9),Roadmap_Avion!$C$8:$Z$38,0))</f>
        <v>0</v>
      </c>
      <c r="Y19" s="527">
        <f t="array" ref="Y19">IF($J19&lt;1,Y18+$H19*V19,SUMPRODUCT(($B$16:$B$46&lt;=$B19)*($B$16:$B$46&gt;MAX($B19-$D$2-$I19,2019))*$H$16:$H$46*V$16:V$46))</f>
        <v>0</v>
      </c>
      <c r="Z19" s="528">
        <f t="shared" si="32"/>
        <v>24.745071184433186</v>
      </c>
      <c r="AA19" s="529">
        <f t="shared" si="20"/>
        <v>4.0000000000000001E-3</v>
      </c>
      <c r="AB19" s="530">
        <f t="shared" si="21"/>
        <v>0</v>
      </c>
      <c r="AC19" s="522">
        <f>Hypothèses!$G$79</f>
        <v>0.24</v>
      </c>
      <c r="AD19" s="523">
        <f t="shared" si="4"/>
        <v>197.96056947546549</v>
      </c>
      <c r="AE19" s="524">
        <f t="array" ref="AE19">1-SUM(IF((Roadmap_Avion!$B$8:$B$38=$B19)*(Roadmap_Avion!$C$4:$Z$4=$B$2)*(Roadmap_Avion!$C$6:$Z$6=AE$7)*(Roadmap_Avion!$C$7:$Z$7=AE$9),Roadmap_Avion!$C$8:$Z$38,0))</f>
        <v>0.19999999999999996</v>
      </c>
      <c r="AF19" s="525">
        <f t="array" ref="AF19">SUM(IF((Roadmap_Avion!$B$8:$B$38=$B19)*(Roadmap_Avion!$C$4:$Z$4=$B$2)*(Roadmap_Avion!$C$6:$Z$6=AF$7)*(Roadmap_Avion!$C$7:$Z$7=AF$9),Roadmap_Avion!$C$8:$Z$38,0))</f>
        <v>0.5</v>
      </c>
      <c r="AG19" s="526">
        <f t="array" ref="AG19">SUM(IF((Roadmap_Avion!$B$8:$B$38=$B19)*(Roadmap_Avion!$C$4:$Z$4=$B$2)*(Roadmap_Avion!$C$6:$Z$6=AG$7)*(Roadmap_Avion!$C$7:$Z$7=AG$9),Roadmap_Avion!$C$8:$Z$38,0))</f>
        <v>0</v>
      </c>
      <c r="AH19" s="527">
        <f t="array" ref="AH19">IF($J19&lt;1,AH18+$H19*AE19,SUMPRODUCT(($B$16:$B$46&lt;=$B19)*($B$16:$B$46&gt;MAX($B19-$D$2-$I19,2019))*$H$16:$H$46*AE$16:AE$46))</f>
        <v>3.1999999999999994E-2</v>
      </c>
      <c r="AI19" s="528">
        <f t="shared" si="33"/>
        <v>191.62583125225058</v>
      </c>
      <c r="AJ19" s="529">
        <f t="shared" si="22"/>
        <v>3.2000000000000001E-2</v>
      </c>
      <c r="AK19" s="530">
        <f t="shared" si="23"/>
        <v>0</v>
      </c>
      <c r="AL19" s="522">
        <f>Hypothèses!$G$80</f>
        <v>0.42</v>
      </c>
      <c r="AM19" s="523">
        <f t="shared" si="6"/>
        <v>346.43099658206461</v>
      </c>
      <c r="AN19" s="524">
        <f t="array" ref="AN19">1-SUM(IF((Roadmap_Avion!$B$8:$B$38=$B19)*(Roadmap_Avion!$C$4:$Z$4=$B$2)*(Roadmap_Avion!$C$6:$Z$6=AN$7)*(Roadmap_Avion!$C$7:$Z$7=AN$9),Roadmap_Avion!$C$8:$Z$38,0))</f>
        <v>0.19999999999999996</v>
      </c>
      <c r="AO19" s="525">
        <f t="array" ref="AO19">SUM(IF((Roadmap_Avion!$B$8:$B$38=$B19)*(Roadmap_Avion!$C$4:$Z$4=$B$2)*(Roadmap_Avion!$C$6:$Z$6=AO$7)*(Roadmap_Avion!$C$7:$Z$7=AO$9),Roadmap_Avion!$C$8:$Z$38,0))</f>
        <v>0.5</v>
      </c>
      <c r="AP19" s="526">
        <f t="array" ref="AP19">SUM(IF((Roadmap_Avion!$B$8:$B$38=$B19)*(Roadmap_Avion!$C$4:$Z$4=$B$2)*(Roadmap_Avion!$C$6:$Z$6=AP$7)*(Roadmap_Avion!$C$7:$Z$7=AP$9),Roadmap_Avion!$C$8:$Z$38,0))</f>
        <v>0</v>
      </c>
      <c r="AQ19" s="527">
        <f t="array" ref="AQ19">IF($J19&lt;1,AQ18+$H19*AN19,SUMPRODUCT(($B$16:$B$46&lt;=$B19)*($B$16:$B$46&gt;MAX($B19-$D$2-$I19,2019))*$H$16:$H$46*AN$16:AN$46))</f>
        <v>3.1999999999999994E-2</v>
      </c>
      <c r="AR19" s="528">
        <f t="shared" si="34"/>
        <v>335.34520469143854</v>
      </c>
      <c r="AS19" s="529">
        <f t="shared" si="8"/>
        <v>5.6000000000000001E-2</v>
      </c>
      <c r="AT19" s="530">
        <f t="shared" si="9"/>
        <v>0</v>
      </c>
      <c r="AU19" s="531">
        <f>Hypothèses!$G$81</f>
        <v>0.3</v>
      </c>
      <c r="AV19" s="523">
        <f t="shared" si="10"/>
        <v>247.45071184433186</v>
      </c>
      <c r="AW19" s="524">
        <f t="array" ref="AW19">1-SUM(IF((Roadmap_Avion!$B$8:$B$38=$B19)*(Roadmap_Avion!$C$4:$Z$4=$B$2)*(Roadmap_Avion!$C$6:$Z$6=AW$7)*(Roadmap_Avion!$C$7:$Z$7=AW$9),Roadmap_Avion!$C$8:$Z$38,0))</f>
        <v>0.25</v>
      </c>
      <c r="AX19" s="525">
        <f t="array" ref="AX19">SUM(IF((Roadmap_Avion!$B$8:$B$38=$B19)*(Roadmap_Avion!$C$4:$Z$4=$B$2)*(Roadmap_Avion!$C$6:$Z$6=AX$7)*(Roadmap_Avion!$C$7:$Z$7=AX$9),Roadmap_Avion!$C$8:$Z$38,0))</f>
        <v>0.5</v>
      </c>
      <c r="AY19" s="526">
        <f t="array" ref="AY19">SUM(IF((Roadmap_Avion!$B$8:$B$38=$B19)*(Roadmap_Avion!$C$4:$Z$4=$B$2)*(Roadmap_Avion!$C$6:$Z$6=AY$7)*(Roadmap_Avion!$C$7:$Z$7=AY$9),Roadmap_Avion!$C$8:$Z$38,0))</f>
        <v>0</v>
      </c>
      <c r="AZ19" s="527">
        <f t="array" ref="AZ19">IF($J19&lt;1,AZ18+$H19*AW19,SUMPRODUCT(($B$16:$B$46&lt;=$B19)*($B$16:$B$46&gt;MAX($B19-$D$2-$I19,2019))*$H$16:$H$46*AW$16:AW$46))</f>
        <v>0.04</v>
      </c>
      <c r="BA19" s="528">
        <f t="shared" si="35"/>
        <v>237.55268337055858</v>
      </c>
      <c r="BB19" s="529">
        <f t="shared" si="24"/>
        <v>0.04</v>
      </c>
      <c r="BC19" s="529">
        <f t="shared" si="25"/>
        <v>0</v>
      </c>
      <c r="BD19" s="517">
        <f t="shared" si="12"/>
        <v>797.51714756015861</v>
      </c>
      <c r="BE19" s="518">
        <f>BD19*(Hypothèses!$D$23/Hypothèses!$B$23)</f>
        <v>949.42517566685547</v>
      </c>
      <c r="BF19" s="532">
        <f t="shared" si="13"/>
        <v>3.3120000000000038E-2</v>
      </c>
      <c r="BG19" s="518">
        <f>BD19/Hypothèses!$B$23</f>
        <v>253.1800468444948</v>
      </c>
      <c r="BH19" s="532">
        <f t="shared" si="14"/>
        <v>0.13333333333333333</v>
      </c>
      <c r="BI19" s="532">
        <f t="shared" si="14"/>
        <v>0</v>
      </c>
      <c r="BJ19" s="518">
        <f t="shared" si="26"/>
        <v>33.757339579265974</v>
      </c>
      <c r="BK19" s="533">
        <f t="shared" si="36"/>
        <v>6.4068286090369497</v>
      </c>
      <c r="BL19" s="534">
        <f t="shared" si="37"/>
        <v>0.18979068519286024</v>
      </c>
      <c r="BM19" s="535">
        <f t="array" ref="BM19">SUM(IF((Prod_Carburant_Alt!$A$7:$A$37=$B19)*(Prod_Carburant_Alt!$B$3:$AI$3=$C$2)*(Prod_Carburant_Alt!$B$5:$AI$5=BM$7)*(Prod_Carburant_Alt!$B$6:$AI$6=BM$9),Prod_Carburant_Alt!$B$7:$AI$37,0))</f>
        <v>6.4068286090369497</v>
      </c>
      <c r="BN19" s="534">
        <f t="shared" si="27"/>
        <v>5.7303950843254841</v>
      </c>
      <c r="BO19" s="536">
        <f t="array" ref="BO19">SUM(IF((Prod_Carburant_Alt!$A$7:$A$37=$B19)*(Prod_Carburant_Alt!$B$3:$AI$3=$C$2)*(Prod_Carburant_Alt!$B$5:$AI$5=BO$7)*(Prod_Carburant_Alt!$B$6:$AI$6=BO$9),Prod_Carburant_Alt!$B$7:$AI$37,0))</f>
        <v>0.204382517533922</v>
      </c>
      <c r="BP19" s="543">
        <f t="array" ref="BP19">SUM(IF((Prod_Carburant_Alt!$A$7:$A$37=$B19)*(Prod_Carburant_Alt!$B$3:$AI$3=$C$2)*(Prod_Carburant_Alt!$B$5:$AI$5=BP$7)*(Prod_Carburant_Alt!$B$6:$AI$6=BP$9),Prod_Carburant_Alt!$B$7:$AI$37,0))</f>
        <v>0</v>
      </c>
      <c r="BQ19" s="536">
        <f t="shared" si="38"/>
        <v>0</v>
      </c>
      <c r="BR19" s="537">
        <f t="shared" si="39"/>
        <v>246.77321823545785</v>
      </c>
      <c r="BS19" s="538">
        <f t="shared" si="40"/>
        <v>6.4068286090369497</v>
      </c>
      <c r="BT19" s="539">
        <f t="shared" si="41"/>
        <v>1</v>
      </c>
      <c r="BU19" s="535">
        <f t="shared" si="28"/>
        <v>6.4068286090369497</v>
      </c>
      <c r="BV19" s="539">
        <f t="shared" si="42"/>
        <v>1</v>
      </c>
      <c r="BW19" s="535">
        <f t="shared" si="29"/>
        <v>0</v>
      </c>
      <c r="BX19" s="539">
        <f t="shared" si="43"/>
        <v>0</v>
      </c>
      <c r="BY19" s="538">
        <f t="shared" si="44"/>
        <v>0</v>
      </c>
      <c r="BZ19" s="540">
        <f>BY19*Hypothèses!$B$3/Hypothèses!$B$9</f>
        <v>0</v>
      </c>
      <c r="CA19" s="538">
        <f t="shared" si="45"/>
        <v>246.77321823545785</v>
      </c>
      <c r="CB19" s="533">
        <f>BW19*Prod_Carburant_Alt!$R$61+BZ19*Hypothèses!$B$13</f>
        <v>0</v>
      </c>
      <c r="CC19" s="538">
        <f t="shared" si="46"/>
        <v>0</v>
      </c>
      <c r="CD19" s="541">
        <f t="shared" si="47"/>
        <v>0</v>
      </c>
      <c r="CE19" s="537">
        <f t="shared" si="48"/>
        <v>0</v>
      </c>
      <c r="CF19" s="503">
        <f>(CA19+BU19*BO19)*Hypothèses!$D$23+CE19</f>
        <v>930.30998248492938</v>
      </c>
      <c r="CG19" s="504">
        <f t="shared" si="16"/>
        <v>2.0133438286487393E-2</v>
      </c>
      <c r="CH19" s="503">
        <f>(CA19+BU19*BO19)*Hypothèses!$B$23</f>
        <v>781.46038528734061</v>
      </c>
      <c r="CI19" s="503">
        <f t="shared" si="49"/>
        <v>0</v>
      </c>
      <c r="CJ19" s="503">
        <f>(BU19+BW19+CA19)*Hypothèses!$B$6+BZ19*Hypothèses!$B$11</f>
        <v>8.1017614990238336</v>
      </c>
      <c r="CK19" s="503">
        <f>(BU19+BW19+CA19)*Hypothèses!$B$5+BZ19*Hypothèses!$B$10</f>
        <v>351.92026511384773</v>
      </c>
      <c r="CL19" s="542">
        <f t="shared" si="17"/>
        <v>5.2586618810438988E-2</v>
      </c>
    </row>
    <row r="20" spans="1:90" ht="14.25" customHeight="1">
      <c r="A20" s="331"/>
      <c r="B20" s="516">
        <v>2024</v>
      </c>
      <c r="C20" s="655">
        <f>Trajectoires!AA16</f>
        <v>1075.3140206977764</v>
      </c>
      <c r="D20" s="659">
        <f>C20/Hypothèses!$D$23</f>
        <v>286.75040551940702</v>
      </c>
      <c r="E20" s="659">
        <f>D20*Hypothèses!$B$23</f>
        <v>903.26377738613212</v>
      </c>
      <c r="F20" s="659">
        <f>D20*Hypothèses!$B$5</f>
        <v>398.58306367197571</v>
      </c>
      <c r="G20" s="659">
        <f>D20*Hypothèses!$B$6</f>
        <v>9.1760129766210241</v>
      </c>
      <c r="H20" s="519">
        <f t="shared" si="30"/>
        <v>0.04</v>
      </c>
      <c r="I20" s="520">
        <f>IF(J20&gt;=1,ROUND(COUNTIFS($B$16:$B20,"&gt;"&amp;MAX($B20-$D$2,2019),H$16:H20,1/25)*(1/$D$2-1/25)*25,0),0)</f>
        <v>0</v>
      </c>
      <c r="J20" s="521">
        <f t="shared" si="50"/>
        <v>0.2</v>
      </c>
      <c r="K20" s="522">
        <f>Hypothèses!$G$77</f>
        <v>0.01</v>
      </c>
      <c r="L20" s="523">
        <f t="shared" si="0"/>
        <v>9.0326377738613211</v>
      </c>
      <c r="M20" s="524">
        <f t="array" ref="M20">1-SUM(IF((Roadmap_Avion!$B$8:$B$38=$B20)*(Roadmap_Avion!$C$4:$Z$4=$B$2)*(Roadmap_Avion!$C$6:$Z$6=M$7)*(Roadmap_Avion!$C$7:$Z$7=M$9),Roadmap_Avion!$C$8:$Z$38,0))</f>
        <v>0</v>
      </c>
      <c r="N20" s="525">
        <f t="array" ref="N20">SUM(IF((Roadmap_Avion!$B$8:$B$38=$B20)*(Roadmap_Avion!$C$4:$Z$4=$B$2)*(Roadmap_Avion!$C$6:$Z$6=N$7)*(Roadmap_Avion!$C$7:$Z$7=N$9),Roadmap_Avion!$C$8:$Z$38,0))</f>
        <v>0.5</v>
      </c>
      <c r="O20" s="526">
        <f t="array" ref="O20">SUM(IF((Roadmap_Avion!$B$8:$B$38=$B20)*(Roadmap_Avion!$C$4:$Z$4=$B$2)*(Roadmap_Avion!$C$6:$Z$6=O$7)*(Roadmap_Avion!$C$7:$Z$7=O$9),Roadmap_Avion!$C$8:$Z$38,0))</f>
        <v>0</v>
      </c>
      <c r="P20" s="527">
        <f t="array" ref="P20">IF($J20&lt;1,P19+$H20*M20,SUMPRODUCT(($B$16:$B$46&lt;=$B20)*($B$16:$B$46&gt;MAX($B20-$D$2-$I20,2019))*$H$16:$H$46*M$16:M$46))</f>
        <v>0</v>
      </c>
      <c r="Q20" s="528">
        <f t="shared" si="31"/>
        <v>9.0326377738613211</v>
      </c>
      <c r="R20" s="529">
        <f t="shared" si="18"/>
        <v>1.6666666666666668E-3</v>
      </c>
      <c r="S20" s="530">
        <f t="shared" si="19"/>
        <v>0</v>
      </c>
      <c r="T20" s="522">
        <f>Hypothèses!$G$78</f>
        <v>0.03</v>
      </c>
      <c r="U20" s="523">
        <f t="shared" si="2"/>
        <v>27.097913321583963</v>
      </c>
      <c r="V20" s="524">
        <f t="array" ref="V20">1-SUM(IF((Roadmap_Avion!$B$8:$B$38=$B20)*(Roadmap_Avion!$C$4:$Z$4=$B$2)*(Roadmap_Avion!$C$6:$Z$6=V$7)*(Roadmap_Avion!$C$7:$Z$7=V$9),Roadmap_Avion!$C$8:$Z$38,0))</f>
        <v>0</v>
      </c>
      <c r="W20" s="525">
        <f t="array" ref="W20">SUM(IF((Roadmap_Avion!$B$8:$B$38=$B20)*(Roadmap_Avion!$C$4:$Z$4=$B$2)*(Roadmap_Avion!$C$6:$Z$6=W$7)*(Roadmap_Avion!$C$7:$Z$7=W$9),Roadmap_Avion!$C$8:$Z$38,0))</f>
        <v>0.5</v>
      </c>
      <c r="X20" s="526">
        <f t="array" ref="X20">SUM(IF((Roadmap_Avion!$B$8:$B$38=$B20)*(Roadmap_Avion!$C$4:$Z$4=$B$2)*(Roadmap_Avion!$C$6:$Z$6=X$7)*(Roadmap_Avion!$C$7:$Z$7=X$9),Roadmap_Avion!$C$8:$Z$38,0))</f>
        <v>0</v>
      </c>
      <c r="Y20" s="527">
        <f t="array" ref="Y20">IF($J20&lt;1,Y19+$H20*V20,SUMPRODUCT(($B$16:$B$46&lt;=$B20)*($B$16:$B$46&gt;MAX($B20-$D$2-$I20,2019))*$H$16:$H$46*V$16:V$46))</f>
        <v>0</v>
      </c>
      <c r="Z20" s="528">
        <f t="shared" si="32"/>
        <v>27.097913321583963</v>
      </c>
      <c r="AA20" s="529">
        <f t="shared" si="20"/>
        <v>5.0000000000000001E-3</v>
      </c>
      <c r="AB20" s="530">
        <f t="shared" si="21"/>
        <v>0</v>
      </c>
      <c r="AC20" s="522">
        <f>Hypothèses!$G$79</f>
        <v>0.24</v>
      </c>
      <c r="AD20" s="523">
        <f t="shared" si="4"/>
        <v>216.78330657267171</v>
      </c>
      <c r="AE20" s="524">
        <f t="array" ref="AE20">1-SUM(IF((Roadmap_Avion!$B$8:$B$38=$B20)*(Roadmap_Avion!$C$4:$Z$4=$B$2)*(Roadmap_Avion!$C$6:$Z$6=AE$7)*(Roadmap_Avion!$C$7:$Z$7=AE$9),Roadmap_Avion!$C$8:$Z$38,0))</f>
        <v>0.19999999999999996</v>
      </c>
      <c r="AF20" s="525">
        <f t="array" ref="AF20">SUM(IF((Roadmap_Avion!$B$8:$B$38=$B20)*(Roadmap_Avion!$C$4:$Z$4=$B$2)*(Roadmap_Avion!$C$6:$Z$6=AF$7)*(Roadmap_Avion!$C$7:$Z$7=AF$9),Roadmap_Avion!$C$8:$Z$38,0))</f>
        <v>0.5</v>
      </c>
      <c r="AG20" s="526">
        <f t="array" ref="AG20">SUM(IF((Roadmap_Avion!$B$8:$B$38=$B20)*(Roadmap_Avion!$C$4:$Z$4=$B$2)*(Roadmap_Avion!$C$6:$Z$6=AG$7)*(Roadmap_Avion!$C$7:$Z$7=AG$9),Roadmap_Avion!$C$8:$Z$38,0))</f>
        <v>0</v>
      </c>
      <c r="AH20" s="527">
        <f t="array" ref="AH20">IF($J20&lt;1,AH19+$H20*AE20,SUMPRODUCT(($B$16:$B$46&lt;=$B20)*($B$16:$B$46&gt;MAX($B20-$D$2-$I20,2019))*$H$16:$H$46*AE$16:AE$46))</f>
        <v>3.9999999999999994E-2</v>
      </c>
      <c r="AI20" s="528">
        <f t="shared" si="33"/>
        <v>208.11197430976483</v>
      </c>
      <c r="AJ20" s="529">
        <f t="shared" si="22"/>
        <v>0.04</v>
      </c>
      <c r="AK20" s="530">
        <f t="shared" si="23"/>
        <v>0</v>
      </c>
      <c r="AL20" s="522">
        <f>Hypothèses!$G$80</f>
        <v>0.42</v>
      </c>
      <c r="AM20" s="523">
        <f t="shared" si="6"/>
        <v>379.37078650217546</v>
      </c>
      <c r="AN20" s="524">
        <f t="array" ref="AN20">1-SUM(IF((Roadmap_Avion!$B$8:$B$38=$B20)*(Roadmap_Avion!$C$4:$Z$4=$B$2)*(Roadmap_Avion!$C$6:$Z$6=AN$7)*(Roadmap_Avion!$C$7:$Z$7=AN$9),Roadmap_Avion!$C$8:$Z$38,0))</f>
        <v>0.19999999999999996</v>
      </c>
      <c r="AO20" s="525">
        <f t="array" ref="AO20">SUM(IF((Roadmap_Avion!$B$8:$B$38=$B20)*(Roadmap_Avion!$C$4:$Z$4=$B$2)*(Roadmap_Avion!$C$6:$Z$6=AO$7)*(Roadmap_Avion!$C$7:$Z$7=AO$9),Roadmap_Avion!$C$8:$Z$38,0))</f>
        <v>0.5</v>
      </c>
      <c r="AP20" s="526">
        <f t="array" ref="AP20">SUM(IF((Roadmap_Avion!$B$8:$B$38=$B20)*(Roadmap_Avion!$C$4:$Z$4=$B$2)*(Roadmap_Avion!$C$6:$Z$6=AP$7)*(Roadmap_Avion!$C$7:$Z$7=AP$9),Roadmap_Avion!$C$8:$Z$38,0))</f>
        <v>0</v>
      </c>
      <c r="AQ20" s="527">
        <f t="array" ref="AQ20">IF($J20&lt;1,AQ19+$H20*AN20,SUMPRODUCT(($B$16:$B$46&lt;=$B20)*($B$16:$B$46&gt;MAX($B20-$D$2-$I20,2019))*$H$16:$H$46*AN$16:AN$46))</f>
        <v>3.9999999999999994E-2</v>
      </c>
      <c r="AR20" s="528">
        <f t="shared" si="34"/>
        <v>364.19595504208843</v>
      </c>
      <c r="AS20" s="529">
        <f t="shared" si="8"/>
        <v>7.0000000000000007E-2</v>
      </c>
      <c r="AT20" s="530">
        <f t="shared" si="9"/>
        <v>0</v>
      </c>
      <c r="AU20" s="531">
        <f>Hypothèses!$G$81</f>
        <v>0.3</v>
      </c>
      <c r="AV20" s="523">
        <f t="shared" si="10"/>
        <v>270.97913321583962</v>
      </c>
      <c r="AW20" s="524">
        <f t="array" ref="AW20">1-SUM(IF((Roadmap_Avion!$B$8:$B$38=$B20)*(Roadmap_Avion!$C$4:$Z$4=$B$2)*(Roadmap_Avion!$C$6:$Z$6=AW$7)*(Roadmap_Avion!$C$7:$Z$7=AW$9),Roadmap_Avion!$C$8:$Z$38,0))</f>
        <v>0.25</v>
      </c>
      <c r="AX20" s="525">
        <f t="array" ref="AX20">SUM(IF((Roadmap_Avion!$B$8:$B$38=$B20)*(Roadmap_Avion!$C$4:$Z$4=$B$2)*(Roadmap_Avion!$C$6:$Z$6=AX$7)*(Roadmap_Avion!$C$7:$Z$7=AX$9),Roadmap_Avion!$C$8:$Z$38,0))</f>
        <v>0.5</v>
      </c>
      <c r="AY20" s="526">
        <f t="array" ref="AY20">SUM(IF((Roadmap_Avion!$B$8:$B$38=$B20)*(Roadmap_Avion!$C$4:$Z$4=$B$2)*(Roadmap_Avion!$C$6:$Z$6=AY$7)*(Roadmap_Avion!$C$7:$Z$7=AY$9),Roadmap_Avion!$C$8:$Z$38,0))</f>
        <v>0</v>
      </c>
      <c r="AZ20" s="527">
        <f t="array" ref="AZ20">IF($J20&lt;1,AZ19+$H20*AW20,SUMPRODUCT(($B$16:$B$46&lt;=$B20)*($B$16:$B$46&gt;MAX($B20-$D$2-$I20,2019))*$H$16:$H$46*AW$16:AW$46))</f>
        <v>0.05</v>
      </c>
      <c r="BA20" s="528">
        <f t="shared" si="35"/>
        <v>257.43017655504764</v>
      </c>
      <c r="BB20" s="529">
        <f t="shared" si="24"/>
        <v>0.05</v>
      </c>
      <c r="BC20" s="529">
        <f t="shared" si="25"/>
        <v>0</v>
      </c>
      <c r="BD20" s="517">
        <f t="shared" si="12"/>
        <v>865.86865700234625</v>
      </c>
      <c r="BE20" s="518">
        <f>BD20*(Hypothèses!$D$23/Hypothèses!$B$23)</f>
        <v>1030.7960202408883</v>
      </c>
      <c r="BF20" s="532">
        <f t="shared" si="13"/>
        <v>4.1400000000000103E-2</v>
      </c>
      <c r="BG20" s="518">
        <f>BD20/Hypothèses!$B$23</f>
        <v>274.8789387309036</v>
      </c>
      <c r="BH20" s="532">
        <f t="shared" si="14"/>
        <v>0.16666666666666669</v>
      </c>
      <c r="BI20" s="532">
        <f t="shared" si="14"/>
        <v>0</v>
      </c>
      <c r="BJ20" s="518">
        <f t="shared" si="26"/>
        <v>45.813156455150605</v>
      </c>
      <c r="BK20" s="533">
        <f t="shared" si="36"/>
        <v>8.0085357612961872</v>
      </c>
      <c r="BL20" s="534">
        <f t="shared" si="37"/>
        <v>0.17480864408756139</v>
      </c>
      <c r="BM20" s="535">
        <f t="array" ref="BM20">SUM(IF((Prod_Carburant_Alt!$A$7:$A$37=$B20)*(Prod_Carburant_Alt!$B$3:$AI$3=$C$2)*(Prod_Carburant_Alt!$B$5:$AI$5=BM$7)*(Prod_Carburant_Alt!$B$6:$AI$6=BM$9),Prod_Carburant_Alt!$B$7:$AI$37,0))</f>
        <v>8.0085357612961872</v>
      </c>
      <c r="BN20" s="534">
        <f t="shared" si="27"/>
        <v>4.2224310166077528</v>
      </c>
      <c r="BO20" s="536">
        <f t="array" ref="BO20">SUM(IF((Prod_Carburant_Alt!$A$7:$A$37=$B20)*(Prod_Carburant_Alt!$B$3:$AI$3=$C$2)*(Prod_Carburant_Alt!$B$5:$AI$5=BO$7)*(Prod_Carburant_Alt!$B$6:$AI$6=BO$9),Prod_Carburant_Alt!$B$7:$AI$37,0))</f>
        <v>0.204382517533922</v>
      </c>
      <c r="BP20" s="543">
        <f t="array" ref="BP20">SUM(IF((Prod_Carburant_Alt!$A$7:$A$37=$B20)*(Prod_Carburant_Alt!$B$3:$AI$3=$C$2)*(Prod_Carburant_Alt!$B$5:$AI$5=BP$7)*(Prod_Carburant_Alt!$B$6:$AI$6=BP$9),Prod_Carburant_Alt!$B$7:$AI$37,0))</f>
        <v>0</v>
      </c>
      <c r="BQ20" s="536">
        <f t="shared" si="38"/>
        <v>0</v>
      </c>
      <c r="BR20" s="537">
        <f t="shared" si="39"/>
        <v>266.87040296960743</v>
      </c>
      <c r="BS20" s="538">
        <f t="shared" si="40"/>
        <v>8.0085357612961872</v>
      </c>
      <c r="BT20" s="539">
        <f t="shared" si="41"/>
        <v>1</v>
      </c>
      <c r="BU20" s="535">
        <f t="shared" si="28"/>
        <v>8.0085357612961872</v>
      </c>
      <c r="BV20" s="539">
        <f t="shared" si="42"/>
        <v>1</v>
      </c>
      <c r="BW20" s="535">
        <f t="shared" si="29"/>
        <v>0</v>
      </c>
      <c r="BX20" s="539">
        <f t="shared" si="43"/>
        <v>0</v>
      </c>
      <c r="BY20" s="538">
        <f t="shared" si="44"/>
        <v>0</v>
      </c>
      <c r="BZ20" s="540">
        <f>BY20*Hypothèses!$B$3/Hypothèses!$B$9</f>
        <v>0</v>
      </c>
      <c r="CA20" s="538">
        <f t="shared" si="45"/>
        <v>266.87040296960743</v>
      </c>
      <c r="CB20" s="533">
        <f>BW20*Prod_Carburant_Alt!$R$61+BZ20*Hypothèses!$B$13</f>
        <v>0</v>
      </c>
      <c r="CC20" s="538">
        <f t="shared" si="46"/>
        <v>0</v>
      </c>
      <c r="CD20" s="541">
        <f t="shared" si="47"/>
        <v>0</v>
      </c>
      <c r="CE20" s="537">
        <f t="shared" si="48"/>
        <v>0</v>
      </c>
      <c r="CF20" s="503">
        <f>(CA20+BU20*BO20)*Hypothèses!$D$23+CE20</f>
        <v>1006.902028763481</v>
      </c>
      <c r="CG20" s="504">
        <f t="shared" si="16"/>
        <v>2.3180135553708774E-2</v>
      </c>
      <c r="CH20" s="503">
        <f>(CA20+BU20*BO20)*Hypothèses!$B$23</f>
        <v>845.79770416132408</v>
      </c>
      <c r="CI20" s="503">
        <f t="shared" si="49"/>
        <v>0</v>
      </c>
      <c r="CJ20" s="503">
        <f>(BU20+BW20+CA20)*Hypothèses!$B$6+BZ20*Hypothèses!$B$11</f>
        <v>8.7961260393889145</v>
      </c>
      <c r="CK20" s="503">
        <f>(BU20+BW20+CA20)*Hypothèses!$B$5+BZ20*Hypothèses!$B$10</f>
        <v>382.08172483595598</v>
      </c>
      <c r="CL20" s="542">
        <f t="shared" si="17"/>
        <v>6.3620477941785381E-2</v>
      </c>
    </row>
    <row r="21" spans="1:90" ht="14.25" customHeight="1">
      <c r="A21" s="331"/>
      <c r="B21" s="516">
        <v>2025</v>
      </c>
      <c r="C21" s="655">
        <f>Trajectoires!AA17</f>
        <v>1117.5248679159672</v>
      </c>
      <c r="D21" s="659">
        <f>C21/Hypothèses!$D$23</f>
        <v>298.00663144425795</v>
      </c>
      <c r="E21" s="659">
        <f>D21*Hypothèses!$B$23</f>
        <v>938.72088904941256</v>
      </c>
      <c r="F21" s="659">
        <f>D21*Hypothèses!$B$5</f>
        <v>414.2292177075185</v>
      </c>
      <c r="G21" s="659">
        <f>D21*Hypothèses!$B$6</f>
        <v>9.5362122062162538</v>
      </c>
      <c r="H21" s="519">
        <f t="shared" si="30"/>
        <v>6.6666666666666666E-2</v>
      </c>
      <c r="I21" s="520">
        <f>IF(J21&gt;=1,ROUND(COUNTIFS($B$16:$B21,"&gt;"&amp;MAX($B21-$D$2,2019),H$16:H21,1/25)*(1/$D$2-1/25)*25,0),0)</f>
        <v>0</v>
      </c>
      <c r="J21" s="521">
        <f t="shared" si="50"/>
        <v>0.26666666666666666</v>
      </c>
      <c r="K21" s="522">
        <f>Hypothèses!$G$77</f>
        <v>0.01</v>
      </c>
      <c r="L21" s="523">
        <f t="shared" si="0"/>
        <v>9.3872088904941258</v>
      </c>
      <c r="M21" s="524">
        <f t="array" ref="M21">1-SUM(IF((Roadmap_Avion!$B$8:$B$38=$B21)*(Roadmap_Avion!$C$4:$Z$4=$B$2)*(Roadmap_Avion!$C$6:$Z$6=M$7)*(Roadmap_Avion!$C$7:$Z$7=M$9),Roadmap_Avion!$C$8:$Z$38,0))</f>
        <v>0.5</v>
      </c>
      <c r="N21" s="525">
        <f t="array" ref="N21">SUM(IF((Roadmap_Avion!$B$8:$B$38=$B21)*(Roadmap_Avion!$C$4:$Z$4=$B$2)*(Roadmap_Avion!$C$6:$Z$6=N$7)*(Roadmap_Avion!$C$7:$Z$7=N$9),Roadmap_Avion!$C$8:$Z$38,0))</f>
        <v>0.25</v>
      </c>
      <c r="O21" s="526">
        <f t="array" ref="O21">SUM(IF((Roadmap_Avion!$B$8:$B$38=$B21)*(Roadmap_Avion!$C$4:$Z$4=$B$2)*(Roadmap_Avion!$C$6:$Z$6=O$7)*(Roadmap_Avion!$C$7:$Z$7=O$9),Roadmap_Avion!$C$8:$Z$38,0))</f>
        <v>0</v>
      </c>
      <c r="P21" s="527">
        <f t="array" ref="P21">IF($J21&lt;1,P20+$H21*M21,SUMPRODUCT(($B$16:$B$46&lt;=$B21)*($B$16:$B$46&gt;MAX($B21-$D$2-$I21,2019))*$H$16:$H$46*M$16:M$46))</f>
        <v>3.3333333333333333E-2</v>
      </c>
      <c r="Q21" s="528">
        <f t="shared" si="31"/>
        <v>9.0743019274776557</v>
      </c>
      <c r="R21" s="529">
        <f t="shared" si="18"/>
        <v>1.8333333333333333E-3</v>
      </c>
      <c r="S21" s="530">
        <f t="shared" si="19"/>
        <v>0</v>
      </c>
      <c r="T21" s="522">
        <f>Hypothèses!$G$78</f>
        <v>0.03</v>
      </c>
      <c r="U21" s="523">
        <f t="shared" si="2"/>
        <v>28.161626671482377</v>
      </c>
      <c r="V21" s="524">
        <f t="array" ref="V21">1-SUM(IF((Roadmap_Avion!$B$8:$B$38=$B21)*(Roadmap_Avion!$C$4:$Z$4=$B$2)*(Roadmap_Avion!$C$6:$Z$6=V$7)*(Roadmap_Avion!$C$7:$Z$7=V$9),Roadmap_Avion!$C$8:$Z$38,0))</f>
        <v>9.9999999999999978E-2</v>
      </c>
      <c r="W21" s="525">
        <f t="array" ref="W21">SUM(IF((Roadmap_Avion!$B$8:$B$38=$B21)*(Roadmap_Avion!$C$4:$Z$4=$B$2)*(Roadmap_Avion!$C$6:$Z$6=W$7)*(Roadmap_Avion!$C$7:$Z$7=W$9),Roadmap_Avion!$C$8:$Z$38,0))</f>
        <v>0.5</v>
      </c>
      <c r="X21" s="526">
        <f t="array" ref="X21">SUM(IF((Roadmap_Avion!$B$8:$B$38=$B21)*(Roadmap_Avion!$C$4:$Z$4=$B$2)*(Roadmap_Avion!$C$6:$Z$6=X$7)*(Roadmap_Avion!$C$7:$Z$7=X$9),Roadmap_Avion!$C$8:$Z$38,0))</f>
        <v>0</v>
      </c>
      <c r="Y21" s="527">
        <f t="array" ref="Y21">IF($J21&lt;1,Y20+$H21*V21,SUMPRODUCT(($B$16:$B$46&lt;=$B21)*($B$16:$B$46&gt;MAX($B21-$D$2-$I21,2019))*$H$16:$H$46*V$16:V$46))</f>
        <v>6.6666666666666654E-3</v>
      </c>
      <c r="Z21" s="528">
        <f t="shared" si="32"/>
        <v>27.973882493672495</v>
      </c>
      <c r="AA21" s="529">
        <f t="shared" si="20"/>
        <v>6.0000000000000001E-3</v>
      </c>
      <c r="AB21" s="530">
        <f t="shared" si="21"/>
        <v>0</v>
      </c>
      <c r="AC21" s="522">
        <f>Hypothèses!$G$79</f>
        <v>0.24</v>
      </c>
      <c r="AD21" s="523">
        <f t="shared" si="4"/>
        <v>225.29301337185902</v>
      </c>
      <c r="AE21" s="524">
        <f t="array" ref="AE21">1-SUM(IF((Roadmap_Avion!$B$8:$B$38=$B21)*(Roadmap_Avion!$C$4:$Z$4=$B$2)*(Roadmap_Avion!$C$6:$Z$6=AE$7)*(Roadmap_Avion!$C$7:$Z$7=AE$9),Roadmap_Avion!$C$8:$Z$38,0))</f>
        <v>0.19999999999999996</v>
      </c>
      <c r="AF21" s="525">
        <f t="array" ref="AF21">SUM(IF((Roadmap_Avion!$B$8:$B$38=$B21)*(Roadmap_Avion!$C$4:$Z$4=$B$2)*(Roadmap_Avion!$C$6:$Z$6=AF$7)*(Roadmap_Avion!$C$7:$Z$7=AF$9),Roadmap_Avion!$C$8:$Z$38,0))</f>
        <v>0.5</v>
      </c>
      <c r="AG21" s="526">
        <f t="array" ref="AG21">SUM(IF((Roadmap_Avion!$B$8:$B$38=$B21)*(Roadmap_Avion!$C$4:$Z$4=$B$2)*(Roadmap_Avion!$C$6:$Z$6=AG$7)*(Roadmap_Avion!$C$7:$Z$7=AG$9),Roadmap_Avion!$C$8:$Z$38,0))</f>
        <v>0</v>
      </c>
      <c r="AH21" s="527">
        <f t="array" ref="AH21">IF($J21&lt;1,AH20+$H21*AE21,SUMPRODUCT(($B$16:$B$46&lt;=$B21)*($B$16:$B$46&gt;MAX($B21-$D$2-$I21,2019))*$H$16:$H$46*AE$16:AE$46))</f>
        <v>5.3333333333333323E-2</v>
      </c>
      <c r="AI21" s="528">
        <f t="shared" si="33"/>
        <v>213.27738599202652</v>
      </c>
      <c r="AJ21" s="529">
        <f t="shared" si="22"/>
        <v>4.8000000000000001E-2</v>
      </c>
      <c r="AK21" s="530">
        <f t="shared" si="23"/>
        <v>0</v>
      </c>
      <c r="AL21" s="522">
        <f>Hypothèses!$G$80</f>
        <v>0.42</v>
      </c>
      <c r="AM21" s="523">
        <f t="shared" si="6"/>
        <v>394.26277340075325</v>
      </c>
      <c r="AN21" s="524">
        <f t="array" ref="AN21">1-SUM(IF((Roadmap_Avion!$B$8:$B$38=$B21)*(Roadmap_Avion!$C$4:$Z$4=$B$2)*(Roadmap_Avion!$C$6:$Z$6=AN$7)*(Roadmap_Avion!$C$7:$Z$7=AN$9),Roadmap_Avion!$C$8:$Z$38,0))</f>
        <v>0.19999999999999996</v>
      </c>
      <c r="AO21" s="525">
        <f t="array" ref="AO21">SUM(IF((Roadmap_Avion!$B$8:$B$38=$B21)*(Roadmap_Avion!$C$4:$Z$4=$B$2)*(Roadmap_Avion!$C$6:$Z$6=AO$7)*(Roadmap_Avion!$C$7:$Z$7=AO$9),Roadmap_Avion!$C$8:$Z$38,0))</f>
        <v>0.5</v>
      </c>
      <c r="AP21" s="526">
        <f t="array" ref="AP21">SUM(IF((Roadmap_Avion!$B$8:$B$38=$B21)*(Roadmap_Avion!$C$4:$Z$4=$B$2)*(Roadmap_Avion!$C$6:$Z$6=AP$7)*(Roadmap_Avion!$C$7:$Z$7=AP$9),Roadmap_Avion!$C$8:$Z$38,0))</f>
        <v>0</v>
      </c>
      <c r="AQ21" s="527">
        <f t="array" ref="AQ21">IF($J21&lt;1,AQ20+$H21*AN21,SUMPRODUCT(($B$16:$B$46&lt;=$B21)*($B$16:$B$46&gt;MAX($B21-$D$2-$I21,2019))*$H$16:$H$46*AN$16:AN$46))</f>
        <v>5.3333333333333323E-2</v>
      </c>
      <c r="AR21" s="528">
        <f t="shared" si="34"/>
        <v>373.23542548604638</v>
      </c>
      <c r="AS21" s="529">
        <f t="shared" si="8"/>
        <v>8.4000000000000005E-2</v>
      </c>
      <c r="AT21" s="530">
        <f t="shared" si="9"/>
        <v>0</v>
      </c>
      <c r="AU21" s="531">
        <f>Hypothèses!$G$81</f>
        <v>0.3</v>
      </c>
      <c r="AV21" s="523">
        <f t="shared" si="10"/>
        <v>281.61626671482378</v>
      </c>
      <c r="AW21" s="524">
        <f t="array" ref="AW21">1-SUM(IF((Roadmap_Avion!$B$8:$B$38=$B21)*(Roadmap_Avion!$C$4:$Z$4=$B$2)*(Roadmap_Avion!$C$6:$Z$6=AW$7)*(Roadmap_Avion!$C$7:$Z$7=AW$9),Roadmap_Avion!$C$8:$Z$38,0))</f>
        <v>0.25</v>
      </c>
      <c r="AX21" s="525">
        <f t="array" ref="AX21">SUM(IF((Roadmap_Avion!$B$8:$B$38=$B21)*(Roadmap_Avion!$C$4:$Z$4=$B$2)*(Roadmap_Avion!$C$6:$Z$6=AX$7)*(Roadmap_Avion!$C$7:$Z$7=AX$9),Roadmap_Avion!$C$8:$Z$38,0))</f>
        <v>0.5</v>
      </c>
      <c r="AY21" s="526">
        <f t="array" ref="AY21">SUM(IF((Roadmap_Avion!$B$8:$B$38=$B21)*(Roadmap_Avion!$C$4:$Z$4=$B$2)*(Roadmap_Avion!$C$6:$Z$6=AY$7)*(Roadmap_Avion!$C$7:$Z$7=AY$9),Roadmap_Avion!$C$8:$Z$38,0))</f>
        <v>0</v>
      </c>
      <c r="AZ21" s="527">
        <f t="array" ref="AZ21">IF($J21&lt;1,AZ20+$H21*AW21,SUMPRODUCT(($B$16:$B$46&lt;=$B21)*($B$16:$B$46&gt;MAX($B21-$D$2-$I21,2019))*$H$16:$H$46*AW$16:AW$46))</f>
        <v>6.6666666666666666E-2</v>
      </c>
      <c r="BA21" s="528">
        <f t="shared" si="35"/>
        <v>262.84184893383554</v>
      </c>
      <c r="BB21" s="529">
        <f t="shared" si="24"/>
        <v>5.9999999999999991E-2</v>
      </c>
      <c r="BC21" s="529">
        <f t="shared" si="25"/>
        <v>0</v>
      </c>
      <c r="BD21" s="517">
        <f t="shared" si="12"/>
        <v>886.40284483305857</v>
      </c>
      <c r="BE21" s="518">
        <f>BD21*(Hypothèses!$D$23/Hypothèses!$B$23)</f>
        <v>1055.2414819441174</v>
      </c>
      <c r="BF21" s="532">
        <f t="shared" si="13"/>
        <v>5.5733333333333301E-2</v>
      </c>
      <c r="BG21" s="518">
        <f>BD21/Hypothèses!$B$23</f>
        <v>281.39772851843128</v>
      </c>
      <c r="BH21" s="532">
        <f t="shared" si="14"/>
        <v>0.19983333333333334</v>
      </c>
      <c r="BI21" s="532">
        <f t="shared" si="14"/>
        <v>0</v>
      </c>
      <c r="BJ21" s="518">
        <f t="shared" si="26"/>
        <v>56.23264608226652</v>
      </c>
      <c r="BK21" s="533">
        <f t="shared" si="36"/>
        <v>10.010669701620234</v>
      </c>
      <c r="BL21" s="534">
        <f t="shared" si="37"/>
        <v>0.17802238377640903</v>
      </c>
      <c r="BM21" s="535">
        <f t="array" ref="BM21">SUM(IF((Prod_Carburant_Alt!$A$7:$A$37=$B21)*(Prod_Carburant_Alt!$B$3:$AI$3=$C$2)*(Prod_Carburant_Alt!$B$5:$AI$5=BM$7)*(Prod_Carburant_Alt!$B$6:$AI$6=BM$9),Prod_Carburant_Alt!$B$7:$AI$37,0))</f>
        <v>10.010669701620234</v>
      </c>
      <c r="BN21" s="534">
        <f t="shared" si="27"/>
        <v>3.1941815270886806</v>
      </c>
      <c r="BO21" s="536">
        <f t="array" ref="BO21">SUM(IF((Prod_Carburant_Alt!$A$7:$A$37=$B21)*(Prod_Carburant_Alt!$B$3:$AI$3=$C$2)*(Prod_Carburant_Alt!$B$5:$AI$5=BO$7)*(Prod_Carburant_Alt!$B$6:$AI$6=BO$9),Prod_Carburant_Alt!$B$7:$AI$37,0))</f>
        <v>0.204382517533922</v>
      </c>
      <c r="BP21" s="543">
        <f t="array" ref="BP21">SUM(IF((Prod_Carburant_Alt!$A$7:$A$37=$B21)*(Prod_Carburant_Alt!$B$3:$AI$3=$C$2)*(Prod_Carburant_Alt!$B$5:$AI$5=BP$7)*(Prod_Carburant_Alt!$B$6:$AI$6=BP$9),Prod_Carburant_Alt!$B$7:$AI$37,0))</f>
        <v>0</v>
      </c>
      <c r="BQ21" s="536">
        <f t="shared" si="38"/>
        <v>0</v>
      </c>
      <c r="BR21" s="537">
        <f t="shared" si="39"/>
        <v>271.38705881681102</v>
      </c>
      <c r="BS21" s="538">
        <f t="shared" si="40"/>
        <v>10.010669701620234</v>
      </c>
      <c r="BT21" s="539">
        <f t="shared" si="41"/>
        <v>1</v>
      </c>
      <c r="BU21" s="535">
        <f t="shared" si="28"/>
        <v>10.010669701620234</v>
      </c>
      <c r="BV21" s="539">
        <f t="shared" si="42"/>
        <v>1</v>
      </c>
      <c r="BW21" s="535">
        <f t="shared" si="29"/>
        <v>0</v>
      </c>
      <c r="BX21" s="539">
        <f t="shared" si="43"/>
        <v>0</v>
      </c>
      <c r="BY21" s="538">
        <f t="shared" si="44"/>
        <v>0</v>
      </c>
      <c r="BZ21" s="540">
        <f>BY21*Hypothèses!$B$3/Hypothèses!$B$9</f>
        <v>0</v>
      </c>
      <c r="CA21" s="538">
        <f t="shared" si="45"/>
        <v>271.38705881681102</v>
      </c>
      <c r="CB21" s="533">
        <f>BW21*Prod_Carburant_Alt!$R$61+BZ21*Hypothèses!$B$13</f>
        <v>0</v>
      </c>
      <c r="CC21" s="538">
        <f t="shared" si="46"/>
        <v>0</v>
      </c>
      <c r="CD21" s="541">
        <f t="shared" si="47"/>
        <v>0</v>
      </c>
      <c r="CE21" s="537">
        <f t="shared" si="48"/>
        <v>0</v>
      </c>
      <c r="CF21" s="503">
        <f>(CA21+BU21*BO21)*Hypothèses!$D$23+CE21</f>
        <v>1025.3739925973578</v>
      </c>
      <c r="CG21" s="504">
        <f t="shared" si="16"/>
        <v>2.8303937873758938E-2</v>
      </c>
      <c r="CH21" s="503">
        <f>(CA21+BU21*BO21)*Hypothèses!$B$23</f>
        <v>861.31415378178042</v>
      </c>
      <c r="CI21" s="503">
        <f t="shared" si="49"/>
        <v>0</v>
      </c>
      <c r="CJ21" s="503">
        <f>(BU21+BW21+CA21)*Hypothèses!$B$6+BZ21*Hypothèses!$B$11</f>
        <v>9.004727312589802</v>
      </c>
      <c r="CK21" s="503">
        <f>(BU21+BW21+CA21)*Hypothèses!$B$5+BZ21*Hypothèses!$B$10</f>
        <v>391.14284264061945</v>
      </c>
      <c r="CL21" s="542">
        <f t="shared" si="17"/>
        <v>8.2459798402928053E-2</v>
      </c>
    </row>
    <row r="22" spans="1:90" ht="14.25" customHeight="1">
      <c r="A22" s="331"/>
      <c r="B22" s="516">
        <v>2026</v>
      </c>
      <c r="C22" s="655">
        <f>Trajectoires!AA18</f>
        <v>1161.304521920868</v>
      </c>
      <c r="D22" s="659">
        <f>C22/Hypothèses!$D$23</f>
        <v>309.68120584556476</v>
      </c>
      <c r="E22" s="659">
        <f>D22*Hypothèses!$B$23</f>
        <v>975.49579841352897</v>
      </c>
      <c r="F22" s="659">
        <f>D22*Hypothèses!$B$5</f>
        <v>430.45687612533499</v>
      </c>
      <c r="G22" s="659">
        <f>D22*Hypothèses!$B$6</f>
        <v>9.9097985870580718</v>
      </c>
      <c r="H22" s="519">
        <f t="shared" si="30"/>
        <v>6.6666666666666666E-2</v>
      </c>
      <c r="I22" s="520">
        <f>IF(J22&gt;=1,ROUND(COUNTIFS($B$16:$B22,"&gt;"&amp;MAX($B22-$D$2,2019),H$16:H22,1/25)*(1/$D$2-1/25)*25,0),0)</f>
        <v>0</v>
      </c>
      <c r="J22" s="521">
        <f t="shared" si="50"/>
        <v>0.33333333333333331</v>
      </c>
      <c r="K22" s="522">
        <f>Hypothèses!$G$77</f>
        <v>0.01</v>
      </c>
      <c r="L22" s="523">
        <f t="shared" si="0"/>
        <v>9.7549579841352898</v>
      </c>
      <c r="M22" s="524">
        <f t="array" ref="M22">1-SUM(IF((Roadmap_Avion!$B$8:$B$38=$B22)*(Roadmap_Avion!$C$4:$Z$4=$B$2)*(Roadmap_Avion!$C$6:$Z$6=M$7)*(Roadmap_Avion!$C$7:$Z$7=M$9),Roadmap_Avion!$C$8:$Z$38,0))</f>
        <v>0.5</v>
      </c>
      <c r="N22" s="525">
        <f t="array" ref="N22">SUM(IF((Roadmap_Avion!$B$8:$B$38=$B22)*(Roadmap_Avion!$C$4:$Z$4=$B$2)*(Roadmap_Avion!$C$6:$Z$6=N$7)*(Roadmap_Avion!$C$7:$Z$7=N$9),Roadmap_Avion!$C$8:$Z$38,0))</f>
        <v>0.25</v>
      </c>
      <c r="O22" s="526">
        <f t="array" ref="O22">SUM(IF((Roadmap_Avion!$B$8:$B$38=$B22)*(Roadmap_Avion!$C$4:$Z$4=$B$2)*(Roadmap_Avion!$C$6:$Z$6=O$7)*(Roadmap_Avion!$C$7:$Z$7=O$9),Roadmap_Avion!$C$8:$Z$38,0))</f>
        <v>0</v>
      </c>
      <c r="P22" s="527">
        <f t="array" ref="P22">IF($J22&lt;1,P21+$H22*M22,SUMPRODUCT(($B$16:$B$46&lt;=$B22)*($B$16:$B$46&gt;MAX($B22-$D$2-$I22,2019))*$H$16:$H$46*M$16:M$46))</f>
        <v>6.6666666666666666E-2</v>
      </c>
      <c r="Q22" s="528">
        <f t="shared" si="31"/>
        <v>9.1046274518596046</v>
      </c>
      <c r="R22" s="529">
        <f t="shared" si="18"/>
        <v>2E-3</v>
      </c>
      <c r="S22" s="530">
        <f t="shared" si="19"/>
        <v>0</v>
      </c>
      <c r="T22" s="522">
        <f>Hypothèses!$G$78</f>
        <v>0.03</v>
      </c>
      <c r="U22" s="523">
        <f t="shared" si="2"/>
        <v>29.264873952405868</v>
      </c>
      <c r="V22" s="524">
        <f t="array" ref="V22">1-SUM(IF((Roadmap_Avion!$B$8:$B$38=$B22)*(Roadmap_Avion!$C$4:$Z$4=$B$2)*(Roadmap_Avion!$C$6:$Z$6=V$7)*(Roadmap_Avion!$C$7:$Z$7=V$9),Roadmap_Avion!$C$8:$Z$38,0))</f>
        <v>9.9999999999999978E-2</v>
      </c>
      <c r="W22" s="525">
        <f t="array" ref="W22">SUM(IF((Roadmap_Avion!$B$8:$B$38=$B22)*(Roadmap_Avion!$C$4:$Z$4=$B$2)*(Roadmap_Avion!$C$6:$Z$6=W$7)*(Roadmap_Avion!$C$7:$Z$7=W$9),Roadmap_Avion!$C$8:$Z$38,0))</f>
        <v>0.5</v>
      </c>
      <c r="X22" s="526">
        <f t="array" ref="X22">SUM(IF((Roadmap_Avion!$B$8:$B$38=$B22)*(Roadmap_Avion!$C$4:$Z$4=$B$2)*(Roadmap_Avion!$C$6:$Z$6=X$7)*(Roadmap_Avion!$C$7:$Z$7=X$9),Roadmap_Avion!$C$8:$Z$38,0))</f>
        <v>0</v>
      </c>
      <c r="Y22" s="527">
        <f t="array" ref="Y22">IF($J22&lt;1,Y21+$H22*V22,SUMPRODUCT(($B$16:$B$46&lt;=$B22)*($B$16:$B$46&gt;MAX($B22-$D$2-$I22,2019))*$H$16:$H$46*V$16:V$46))</f>
        <v>1.3333333333333331E-2</v>
      </c>
      <c r="Z22" s="528">
        <f t="shared" si="32"/>
        <v>28.874675633040457</v>
      </c>
      <c r="AA22" s="529">
        <f t="shared" si="20"/>
        <v>7.0000000000000001E-3</v>
      </c>
      <c r="AB22" s="530">
        <f t="shared" si="21"/>
        <v>0</v>
      </c>
      <c r="AC22" s="522">
        <f>Hypothèses!$G$79</f>
        <v>0.24</v>
      </c>
      <c r="AD22" s="523">
        <f t="shared" si="4"/>
        <v>234.11899161924694</v>
      </c>
      <c r="AE22" s="524">
        <f t="array" ref="AE22">1-SUM(IF((Roadmap_Avion!$B$8:$B$38=$B22)*(Roadmap_Avion!$C$4:$Z$4=$B$2)*(Roadmap_Avion!$C$6:$Z$6=AE$7)*(Roadmap_Avion!$C$7:$Z$7=AE$9),Roadmap_Avion!$C$8:$Z$38,0))</f>
        <v>0.19999999999999996</v>
      </c>
      <c r="AF22" s="525">
        <f t="array" ref="AF22">SUM(IF((Roadmap_Avion!$B$8:$B$38=$B22)*(Roadmap_Avion!$C$4:$Z$4=$B$2)*(Roadmap_Avion!$C$6:$Z$6=AF$7)*(Roadmap_Avion!$C$7:$Z$7=AF$9),Roadmap_Avion!$C$8:$Z$38,0))</f>
        <v>0.5</v>
      </c>
      <c r="AG22" s="526">
        <f t="array" ref="AG22">SUM(IF((Roadmap_Avion!$B$8:$B$38=$B22)*(Roadmap_Avion!$C$4:$Z$4=$B$2)*(Roadmap_Avion!$C$6:$Z$6=AG$7)*(Roadmap_Avion!$C$7:$Z$7=AG$9),Roadmap_Avion!$C$8:$Z$38,0))</f>
        <v>0</v>
      </c>
      <c r="AH22" s="527">
        <f t="array" ref="AH22">IF($J22&lt;1,AH21+$H22*AE22,SUMPRODUCT(($B$16:$B$46&lt;=$B22)*($B$16:$B$46&gt;MAX($B22-$D$2-$I22,2019))*$H$16:$H$46*AE$16:AE$46))</f>
        <v>6.6666666666666652E-2</v>
      </c>
      <c r="AI22" s="528">
        <f t="shared" si="33"/>
        <v>218.51105884463047</v>
      </c>
      <c r="AJ22" s="529">
        <f t="shared" si="22"/>
        <v>5.6000000000000001E-2</v>
      </c>
      <c r="AK22" s="530">
        <f t="shared" si="23"/>
        <v>0</v>
      </c>
      <c r="AL22" s="522">
        <f>Hypothèses!$G$80</f>
        <v>0.42</v>
      </c>
      <c r="AM22" s="523">
        <f t="shared" si="6"/>
        <v>409.70823533368213</v>
      </c>
      <c r="AN22" s="524">
        <f t="array" ref="AN22">1-SUM(IF((Roadmap_Avion!$B$8:$B$38=$B22)*(Roadmap_Avion!$C$4:$Z$4=$B$2)*(Roadmap_Avion!$C$6:$Z$6=AN$7)*(Roadmap_Avion!$C$7:$Z$7=AN$9),Roadmap_Avion!$C$8:$Z$38,0))</f>
        <v>0.19999999999999996</v>
      </c>
      <c r="AO22" s="525">
        <f t="array" ref="AO22">SUM(IF((Roadmap_Avion!$B$8:$B$38=$B22)*(Roadmap_Avion!$C$4:$Z$4=$B$2)*(Roadmap_Avion!$C$6:$Z$6=AO$7)*(Roadmap_Avion!$C$7:$Z$7=AO$9),Roadmap_Avion!$C$8:$Z$38,0))</f>
        <v>0.5</v>
      </c>
      <c r="AP22" s="526">
        <f t="array" ref="AP22">SUM(IF((Roadmap_Avion!$B$8:$B$38=$B22)*(Roadmap_Avion!$C$4:$Z$4=$B$2)*(Roadmap_Avion!$C$6:$Z$6=AP$7)*(Roadmap_Avion!$C$7:$Z$7=AP$9),Roadmap_Avion!$C$8:$Z$38,0))</f>
        <v>0</v>
      </c>
      <c r="AQ22" s="527">
        <f t="array" ref="AQ22">IF($J22&lt;1,AQ21+$H22*AN22,SUMPRODUCT(($B$16:$B$46&lt;=$B22)*($B$16:$B$46&gt;MAX($B22-$D$2-$I22,2019))*$H$16:$H$46*AN$16:AN$46))</f>
        <v>6.6666666666666652E-2</v>
      </c>
      <c r="AR22" s="528">
        <f t="shared" si="34"/>
        <v>382.39435297810331</v>
      </c>
      <c r="AS22" s="529">
        <f t="shared" si="8"/>
        <v>9.8000000000000004E-2</v>
      </c>
      <c r="AT22" s="530">
        <f t="shared" si="9"/>
        <v>0</v>
      </c>
      <c r="AU22" s="531">
        <f>Hypothèses!$G$81</f>
        <v>0.3</v>
      </c>
      <c r="AV22" s="523">
        <f t="shared" si="10"/>
        <v>292.64873952405867</v>
      </c>
      <c r="AW22" s="524">
        <f t="array" ref="AW22">1-SUM(IF((Roadmap_Avion!$B$8:$B$38=$B22)*(Roadmap_Avion!$C$4:$Z$4=$B$2)*(Roadmap_Avion!$C$6:$Z$6=AW$7)*(Roadmap_Avion!$C$7:$Z$7=AW$9),Roadmap_Avion!$C$8:$Z$38,0))</f>
        <v>0.25</v>
      </c>
      <c r="AX22" s="525">
        <f t="array" ref="AX22">SUM(IF((Roadmap_Avion!$B$8:$B$38=$B22)*(Roadmap_Avion!$C$4:$Z$4=$B$2)*(Roadmap_Avion!$C$6:$Z$6=AX$7)*(Roadmap_Avion!$C$7:$Z$7=AX$9),Roadmap_Avion!$C$8:$Z$38,0))</f>
        <v>0.5</v>
      </c>
      <c r="AY22" s="526">
        <f t="array" ref="AY22">SUM(IF((Roadmap_Avion!$B$8:$B$38=$B22)*(Roadmap_Avion!$C$4:$Z$4=$B$2)*(Roadmap_Avion!$C$6:$Z$6=AY$7)*(Roadmap_Avion!$C$7:$Z$7=AY$9),Roadmap_Avion!$C$8:$Z$38,0))</f>
        <v>0</v>
      </c>
      <c r="AZ22" s="527">
        <f t="array" ref="AZ22">IF($J22&lt;1,AZ21+$H22*AW22,SUMPRODUCT(($B$16:$B$46&lt;=$B22)*($B$16:$B$46&gt;MAX($B22-$D$2-$I22,2019))*$H$16:$H$46*AW$16:AW$46))</f>
        <v>8.3333333333333329E-2</v>
      </c>
      <c r="BA22" s="528">
        <f t="shared" si="35"/>
        <v>268.26134456372046</v>
      </c>
      <c r="BB22" s="529">
        <f t="shared" si="24"/>
        <v>7.0000000000000007E-2</v>
      </c>
      <c r="BC22" s="529">
        <f t="shared" si="25"/>
        <v>0</v>
      </c>
      <c r="BD22" s="517">
        <f t="shared" si="12"/>
        <v>907.14605947135442</v>
      </c>
      <c r="BE22" s="518">
        <f>BD22*(Hypothèses!$D$23/Hypothèses!$B$23)</f>
        <v>1079.9357850849458</v>
      </c>
      <c r="BF22" s="532">
        <f t="shared" si="13"/>
        <v>7.0066666666666721E-2</v>
      </c>
      <c r="BG22" s="518">
        <f>BD22/Hypothèses!$B$23</f>
        <v>287.98287602265219</v>
      </c>
      <c r="BH22" s="532">
        <f t="shared" si="14"/>
        <v>0.23300000000000001</v>
      </c>
      <c r="BI22" s="532">
        <f t="shared" si="14"/>
        <v>0</v>
      </c>
      <c r="BJ22" s="518">
        <f t="shared" si="26"/>
        <v>67.10001011327796</v>
      </c>
      <c r="BK22" s="533">
        <f t="shared" si="36"/>
        <v>12.513337127025292</v>
      </c>
      <c r="BL22" s="534">
        <f t="shared" si="37"/>
        <v>0.18648785754130778</v>
      </c>
      <c r="BM22" s="535">
        <f t="array" ref="BM22">SUM(IF((Prod_Carburant_Alt!$A$7:$A$37=$B22)*(Prod_Carburant_Alt!$B$3:$AI$3=$C$2)*(Prod_Carburant_Alt!$B$5:$AI$5=BM$7)*(Prod_Carburant_Alt!$B$6:$AI$6=BM$9),Prod_Carburant_Alt!$B$7:$AI$37,0))</f>
        <v>12.513337127025292</v>
      </c>
      <c r="BN22" s="534">
        <f t="shared" si="27"/>
        <v>2.6615774149568168</v>
      </c>
      <c r="BO22" s="536">
        <f t="array" ref="BO22">SUM(IF((Prod_Carburant_Alt!$A$7:$A$37=$B22)*(Prod_Carburant_Alt!$B$3:$AI$3=$C$2)*(Prod_Carburant_Alt!$B$5:$AI$5=BO$7)*(Prod_Carburant_Alt!$B$6:$AI$6=BO$9),Prod_Carburant_Alt!$B$7:$AI$37,0))</f>
        <v>0.204382517533922</v>
      </c>
      <c r="BP22" s="543">
        <f t="array" ref="BP22">SUM(IF((Prod_Carburant_Alt!$A$7:$A$37=$B22)*(Prod_Carburant_Alt!$B$3:$AI$3=$C$2)*(Prod_Carburant_Alt!$B$5:$AI$5=BP$7)*(Prod_Carburant_Alt!$B$6:$AI$6=BP$9),Prod_Carburant_Alt!$B$7:$AI$37,0))</f>
        <v>0</v>
      </c>
      <c r="BQ22" s="536">
        <f t="shared" si="38"/>
        <v>0</v>
      </c>
      <c r="BR22" s="537">
        <f t="shared" si="39"/>
        <v>275.4695388956269</v>
      </c>
      <c r="BS22" s="538">
        <f t="shared" si="40"/>
        <v>12.513337127025292</v>
      </c>
      <c r="BT22" s="539">
        <f t="shared" si="41"/>
        <v>1</v>
      </c>
      <c r="BU22" s="535">
        <f t="shared" si="28"/>
        <v>12.513337127025292</v>
      </c>
      <c r="BV22" s="539">
        <f t="shared" si="42"/>
        <v>1</v>
      </c>
      <c r="BW22" s="535">
        <f t="shared" si="29"/>
        <v>0</v>
      </c>
      <c r="BX22" s="539">
        <f t="shared" si="43"/>
        <v>0</v>
      </c>
      <c r="BY22" s="538">
        <f t="shared" si="44"/>
        <v>0</v>
      </c>
      <c r="BZ22" s="540">
        <f>BY22*Hypothèses!$B$3/Hypothèses!$B$9</f>
        <v>0</v>
      </c>
      <c r="CA22" s="538">
        <f t="shared" si="45"/>
        <v>275.4695388956269</v>
      </c>
      <c r="CB22" s="533">
        <f>BW22*Prod_Carburant_Alt!$R$61+BZ22*Hypothèses!$B$13</f>
        <v>0</v>
      </c>
      <c r="CC22" s="538">
        <f t="shared" si="46"/>
        <v>0</v>
      </c>
      <c r="CD22" s="541">
        <f t="shared" si="47"/>
        <v>0</v>
      </c>
      <c r="CE22" s="537">
        <f t="shared" si="48"/>
        <v>0</v>
      </c>
      <c r="CF22" s="503">
        <f>(CA22+BU22*BO22)*Hypothèses!$D$23+CE22</f>
        <v>1042.6014234014965</v>
      </c>
      <c r="CG22" s="504">
        <f t="shared" si="16"/>
        <v>3.457090893650925E-2</v>
      </c>
      <c r="CH22" s="503">
        <f>(CA22+BU22*BO22)*Hypothèses!$B$23</f>
        <v>875.78519565725696</v>
      </c>
      <c r="CI22" s="503">
        <f t="shared" si="49"/>
        <v>0</v>
      </c>
      <c r="CJ22" s="503">
        <f>(BU22+BW22+CA22)*Hypothèses!$B$6+BZ22*Hypothèses!$B$11</f>
        <v>9.2154520327248708</v>
      </c>
      <c r="CK22" s="503">
        <f>(BU22+BW22+CA22)*Hypothèses!$B$5+BZ22*Hypothèses!$B$10</f>
        <v>400.29619767148654</v>
      </c>
      <c r="CL22" s="542">
        <f t="shared" si="17"/>
        <v>0.10221530725035785</v>
      </c>
    </row>
    <row r="23" spans="1:90" ht="14.25" customHeight="1">
      <c r="A23" s="331"/>
      <c r="B23" s="516">
        <v>2027</v>
      </c>
      <c r="C23" s="655">
        <f>Trajectoires!AA19</f>
        <v>1206.6978849145908</v>
      </c>
      <c r="D23" s="659">
        <f>C23/Hypothèses!$D$23</f>
        <v>321.78610264389084</v>
      </c>
      <c r="E23" s="659">
        <f>D23*Hypothèses!$B$23</f>
        <v>1013.6262233282562</v>
      </c>
      <c r="F23" s="659">
        <f>D23*Hypothèses!$B$5</f>
        <v>447.28268267500823</v>
      </c>
      <c r="G23" s="659">
        <f>D23*Hypothèses!$B$6</f>
        <v>10.297155284604507</v>
      </c>
      <c r="H23" s="519">
        <f t="shared" si="30"/>
        <v>6.6666666666666666E-2</v>
      </c>
      <c r="I23" s="520">
        <f>IF(J23&gt;=1,ROUND(COUNTIFS($B$16:$B23,"&gt;"&amp;MAX($B23-$D$2,2019),H$16:H23,1/25)*(1/$D$2-1/25)*25,0),0)</f>
        <v>0</v>
      </c>
      <c r="J23" s="521">
        <f t="shared" si="50"/>
        <v>0.39999999999999997</v>
      </c>
      <c r="K23" s="522">
        <f>Hypothèses!$G$77</f>
        <v>0.01</v>
      </c>
      <c r="L23" s="523">
        <f t="shared" si="0"/>
        <v>10.136262233282562</v>
      </c>
      <c r="M23" s="524">
        <f t="array" ref="M23">1-SUM(IF((Roadmap_Avion!$B$8:$B$38=$B23)*(Roadmap_Avion!$C$4:$Z$4=$B$2)*(Roadmap_Avion!$C$6:$Z$6=M$7)*(Roadmap_Avion!$C$7:$Z$7=M$9),Roadmap_Avion!$C$8:$Z$38,0))</f>
        <v>0.5</v>
      </c>
      <c r="N23" s="525">
        <f t="array" ref="N23">SUM(IF((Roadmap_Avion!$B$8:$B$38=$B23)*(Roadmap_Avion!$C$4:$Z$4=$B$2)*(Roadmap_Avion!$C$6:$Z$6=N$7)*(Roadmap_Avion!$C$7:$Z$7=N$9),Roadmap_Avion!$C$8:$Z$38,0))</f>
        <v>0.25</v>
      </c>
      <c r="O23" s="526">
        <f t="array" ref="O23">SUM(IF((Roadmap_Avion!$B$8:$B$38=$B23)*(Roadmap_Avion!$C$4:$Z$4=$B$2)*(Roadmap_Avion!$C$6:$Z$6=O$7)*(Roadmap_Avion!$C$7:$Z$7=O$9),Roadmap_Avion!$C$8:$Z$38,0))</f>
        <v>0</v>
      </c>
      <c r="P23" s="527">
        <f t="array" ref="P23">IF($J23&lt;1,P22+$H23*M23,SUMPRODUCT(($B$16:$B$46&lt;=$B23)*($B$16:$B$46&gt;MAX($B23-$D$2-$I23,2019))*$H$16:$H$46*M$16:M$46))</f>
        <v>0.1</v>
      </c>
      <c r="Q23" s="528">
        <f t="shared" si="31"/>
        <v>9.1226360099543058</v>
      </c>
      <c r="R23" s="529">
        <f t="shared" si="18"/>
        <v>2.1666666666666666E-3</v>
      </c>
      <c r="S23" s="530">
        <f t="shared" si="19"/>
        <v>0</v>
      </c>
      <c r="T23" s="522">
        <f>Hypothèses!$G$78</f>
        <v>0.03</v>
      </c>
      <c r="U23" s="523">
        <f t="shared" si="2"/>
        <v>30.408786699847685</v>
      </c>
      <c r="V23" s="524">
        <f t="array" ref="V23">1-SUM(IF((Roadmap_Avion!$B$8:$B$38=$B23)*(Roadmap_Avion!$C$4:$Z$4=$B$2)*(Roadmap_Avion!$C$6:$Z$6=V$7)*(Roadmap_Avion!$C$7:$Z$7=V$9),Roadmap_Avion!$C$8:$Z$38,0))</f>
        <v>9.9999999999999978E-2</v>
      </c>
      <c r="W23" s="525">
        <f t="array" ref="W23">SUM(IF((Roadmap_Avion!$B$8:$B$38=$B23)*(Roadmap_Avion!$C$4:$Z$4=$B$2)*(Roadmap_Avion!$C$6:$Z$6=W$7)*(Roadmap_Avion!$C$7:$Z$7=W$9),Roadmap_Avion!$C$8:$Z$38,0))</f>
        <v>0.5</v>
      </c>
      <c r="X23" s="526">
        <f t="array" ref="X23">SUM(IF((Roadmap_Avion!$B$8:$B$38=$B23)*(Roadmap_Avion!$C$4:$Z$4=$B$2)*(Roadmap_Avion!$C$6:$Z$6=X$7)*(Roadmap_Avion!$C$7:$Z$7=X$9),Roadmap_Avion!$C$8:$Z$38,0))</f>
        <v>0</v>
      </c>
      <c r="Y23" s="527">
        <f t="array" ref="Y23">IF($J23&lt;1,Y22+$H23*V23,SUMPRODUCT(($B$16:$B$46&lt;=$B23)*($B$16:$B$46&gt;MAX($B23-$D$2-$I23,2019))*$H$16:$H$46*V$16:V$46))</f>
        <v>1.9999999999999997E-2</v>
      </c>
      <c r="Z23" s="528">
        <f t="shared" si="32"/>
        <v>29.80061096585073</v>
      </c>
      <c r="AA23" s="529">
        <f t="shared" si="20"/>
        <v>8.0000000000000002E-3</v>
      </c>
      <c r="AB23" s="530">
        <f t="shared" si="21"/>
        <v>0</v>
      </c>
      <c r="AC23" s="522">
        <f>Hypothèses!$G$79</f>
        <v>0.24</v>
      </c>
      <c r="AD23" s="523">
        <f t="shared" si="4"/>
        <v>243.27029359878148</v>
      </c>
      <c r="AE23" s="524">
        <f t="array" ref="AE23">1-SUM(IF((Roadmap_Avion!$B$8:$B$38=$B23)*(Roadmap_Avion!$C$4:$Z$4=$B$2)*(Roadmap_Avion!$C$6:$Z$6=AE$7)*(Roadmap_Avion!$C$7:$Z$7=AE$9),Roadmap_Avion!$C$8:$Z$38,0))</f>
        <v>0.25</v>
      </c>
      <c r="AF23" s="525">
        <f t="array" ref="AF23">SUM(IF((Roadmap_Avion!$B$8:$B$38=$B23)*(Roadmap_Avion!$C$4:$Z$4=$B$2)*(Roadmap_Avion!$C$6:$Z$6=AF$7)*(Roadmap_Avion!$C$7:$Z$7=AF$9),Roadmap_Avion!$C$8:$Z$38,0))</f>
        <v>0.5</v>
      </c>
      <c r="AG23" s="526">
        <f t="array" ref="AG23">SUM(IF((Roadmap_Avion!$B$8:$B$38=$B23)*(Roadmap_Avion!$C$4:$Z$4=$B$2)*(Roadmap_Avion!$C$6:$Z$6=AG$7)*(Roadmap_Avion!$C$7:$Z$7=AG$9),Roadmap_Avion!$C$8:$Z$38,0))</f>
        <v>0</v>
      </c>
      <c r="AH23" s="527">
        <f t="array" ref="AH23">IF($J23&lt;1,AH22+$H23*AE23,SUMPRODUCT(($B$16:$B$46&lt;=$B23)*($B$16:$B$46&gt;MAX($B23-$D$2-$I23,2019))*$H$16:$H$46*AE$16:AE$46))</f>
        <v>8.3333333333333315E-2</v>
      </c>
      <c r="AI23" s="528">
        <f t="shared" si="33"/>
        <v>222.99776913221638</v>
      </c>
      <c r="AJ23" s="529">
        <f t="shared" si="22"/>
        <v>6.4000000000000001E-2</v>
      </c>
      <c r="AK23" s="530">
        <f t="shared" si="23"/>
        <v>0</v>
      </c>
      <c r="AL23" s="522">
        <f>Hypothèses!$G$80</f>
        <v>0.42</v>
      </c>
      <c r="AM23" s="523">
        <f t="shared" si="6"/>
        <v>425.72301379786757</v>
      </c>
      <c r="AN23" s="524">
        <f t="array" ref="AN23">1-SUM(IF((Roadmap_Avion!$B$8:$B$38=$B23)*(Roadmap_Avion!$C$4:$Z$4=$B$2)*(Roadmap_Avion!$C$6:$Z$6=AN$7)*(Roadmap_Avion!$C$7:$Z$7=AN$9),Roadmap_Avion!$C$8:$Z$38,0))</f>
        <v>0.25</v>
      </c>
      <c r="AO23" s="525">
        <f t="array" ref="AO23">SUM(IF((Roadmap_Avion!$B$8:$B$38=$B23)*(Roadmap_Avion!$C$4:$Z$4=$B$2)*(Roadmap_Avion!$C$6:$Z$6=AO$7)*(Roadmap_Avion!$C$7:$Z$7=AO$9),Roadmap_Avion!$C$8:$Z$38,0))</f>
        <v>0.5</v>
      </c>
      <c r="AP23" s="526">
        <f t="array" ref="AP23">SUM(IF((Roadmap_Avion!$B$8:$B$38=$B23)*(Roadmap_Avion!$C$4:$Z$4=$B$2)*(Roadmap_Avion!$C$6:$Z$6=AP$7)*(Roadmap_Avion!$C$7:$Z$7=AP$9),Roadmap_Avion!$C$8:$Z$38,0))</f>
        <v>0</v>
      </c>
      <c r="AQ23" s="527">
        <f t="array" ref="AQ23">IF($J23&lt;1,AQ22+$H23*AN23,SUMPRODUCT(($B$16:$B$46&lt;=$B23)*($B$16:$B$46&gt;MAX($B23-$D$2-$I23,2019))*$H$16:$H$46*AN$16:AN$46))</f>
        <v>8.3333333333333315E-2</v>
      </c>
      <c r="AR23" s="528">
        <f t="shared" si="34"/>
        <v>390.24609598137863</v>
      </c>
      <c r="AS23" s="529">
        <f t="shared" si="8"/>
        <v>0.112</v>
      </c>
      <c r="AT23" s="530">
        <f t="shared" si="9"/>
        <v>0</v>
      </c>
      <c r="AU23" s="531">
        <f>Hypothèses!$G$81</f>
        <v>0.3</v>
      </c>
      <c r="AV23" s="523">
        <f t="shared" si="10"/>
        <v>304.08786699847684</v>
      </c>
      <c r="AW23" s="524">
        <f t="array" ref="AW23">1-SUM(IF((Roadmap_Avion!$B$8:$B$38=$B23)*(Roadmap_Avion!$C$4:$Z$4=$B$2)*(Roadmap_Avion!$C$6:$Z$6=AW$7)*(Roadmap_Avion!$C$7:$Z$7=AW$9),Roadmap_Avion!$C$8:$Z$38,0))</f>
        <v>0.25</v>
      </c>
      <c r="AX23" s="525">
        <f t="array" ref="AX23">SUM(IF((Roadmap_Avion!$B$8:$B$38=$B23)*(Roadmap_Avion!$C$4:$Z$4=$B$2)*(Roadmap_Avion!$C$6:$Z$6=AX$7)*(Roadmap_Avion!$C$7:$Z$7=AX$9),Roadmap_Avion!$C$8:$Z$38,0))</f>
        <v>0.5</v>
      </c>
      <c r="AY23" s="526">
        <f t="array" ref="AY23">SUM(IF((Roadmap_Avion!$B$8:$B$38=$B23)*(Roadmap_Avion!$C$4:$Z$4=$B$2)*(Roadmap_Avion!$C$6:$Z$6=AY$7)*(Roadmap_Avion!$C$7:$Z$7=AY$9),Roadmap_Avion!$C$8:$Z$38,0))</f>
        <v>0</v>
      </c>
      <c r="AZ23" s="527">
        <f t="array" ref="AZ23">IF($J23&lt;1,AZ22+$H23*AW23,SUMPRODUCT(($B$16:$B$46&lt;=$B23)*($B$16:$B$46&gt;MAX($B23-$D$2-$I23,2019))*$H$16:$H$46*AW$16:AW$46))</f>
        <v>9.9999999999999992E-2</v>
      </c>
      <c r="BA23" s="528">
        <f t="shared" si="35"/>
        <v>273.67908029862917</v>
      </c>
      <c r="BB23" s="529">
        <f t="shared" si="24"/>
        <v>0.08</v>
      </c>
      <c r="BC23" s="529">
        <f t="shared" si="25"/>
        <v>0</v>
      </c>
      <c r="BD23" s="517">
        <f t="shared" si="12"/>
        <v>925.84619238802918</v>
      </c>
      <c r="BE23" s="518">
        <f>BD23*(Hypothèses!$D$23/Hypothèses!$B$23)</f>
        <v>1102.1978480809871</v>
      </c>
      <c r="BF23" s="532">
        <f t="shared" si="13"/>
        <v>8.6600000000000121E-2</v>
      </c>
      <c r="BG23" s="518">
        <f>BD23/Hypothèses!$B$23</f>
        <v>293.91942615492991</v>
      </c>
      <c r="BH23" s="532">
        <f t="shared" si="14"/>
        <v>0.26616666666666666</v>
      </c>
      <c r="BI23" s="532">
        <f t="shared" si="14"/>
        <v>0</v>
      </c>
      <c r="BJ23" s="518">
        <f t="shared" si="26"/>
        <v>78.231553928237176</v>
      </c>
      <c r="BK23" s="533">
        <f t="shared" si="36"/>
        <v>15.641671408781615</v>
      </c>
      <c r="BL23" s="534">
        <f t="shared" si="37"/>
        <v>0.19994069685909505</v>
      </c>
      <c r="BM23" s="535">
        <f t="array" ref="BM23">SUM(IF((Prod_Carburant_Alt!$A$7:$A$37=$B23)*(Prod_Carburant_Alt!$B$3:$AI$3=$C$2)*(Prod_Carburant_Alt!$B$5:$AI$5=BM$7)*(Prod_Carburant_Alt!$B$6:$AI$6=BM$9),Prod_Carburant_Alt!$B$7:$AI$37,0))</f>
        <v>15.641671408781615</v>
      </c>
      <c r="BN23" s="534">
        <f t="shared" si="27"/>
        <v>2.3087840283960133</v>
      </c>
      <c r="BO23" s="536">
        <f t="array" ref="BO23">SUM(IF((Prod_Carburant_Alt!$A$7:$A$37=$B23)*(Prod_Carburant_Alt!$B$3:$AI$3=$C$2)*(Prod_Carburant_Alt!$B$5:$AI$5=BO$7)*(Prod_Carburant_Alt!$B$6:$AI$6=BO$9),Prod_Carburant_Alt!$B$7:$AI$37,0))</f>
        <v>0.20438251753392203</v>
      </c>
      <c r="BP23" s="543">
        <f t="array" ref="BP23">SUM(IF((Prod_Carburant_Alt!$A$7:$A$37=$B23)*(Prod_Carburant_Alt!$B$3:$AI$3=$C$2)*(Prod_Carburant_Alt!$B$5:$AI$5=BP$7)*(Prod_Carburant_Alt!$B$6:$AI$6=BP$9),Prod_Carburant_Alt!$B$7:$AI$37,0))</f>
        <v>0</v>
      </c>
      <c r="BQ23" s="536">
        <f t="shared" si="38"/>
        <v>0</v>
      </c>
      <c r="BR23" s="537">
        <f t="shared" si="39"/>
        <v>278.27775474614828</v>
      </c>
      <c r="BS23" s="538">
        <f t="shared" si="40"/>
        <v>15.641671408781615</v>
      </c>
      <c r="BT23" s="539">
        <f t="shared" si="41"/>
        <v>1</v>
      </c>
      <c r="BU23" s="535">
        <f t="shared" si="28"/>
        <v>15.641671408781615</v>
      </c>
      <c r="BV23" s="539">
        <f t="shared" si="42"/>
        <v>1</v>
      </c>
      <c r="BW23" s="535">
        <f t="shared" si="29"/>
        <v>0</v>
      </c>
      <c r="BX23" s="539">
        <f t="shared" si="43"/>
        <v>0</v>
      </c>
      <c r="BY23" s="538">
        <f t="shared" si="44"/>
        <v>0</v>
      </c>
      <c r="BZ23" s="540">
        <f>BY23*Hypothèses!$B$3/Hypothèses!$B$9</f>
        <v>0</v>
      </c>
      <c r="CA23" s="538">
        <f t="shared" si="45"/>
        <v>278.27775474614828</v>
      </c>
      <c r="CB23" s="533">
        <f>BW23*Prod_Carburant_Alt!$R$61+BZ23*Hypothèses!$B$13</f>
        <v>0</v>
      </c>
      <c r="CC23" s="538">
        <f t="shared" si="46"/>
        <v>0</v>
      </c>
      <c r="CD23" s="541">
        <f t="shared" si="47"/>
        <v>0</v>
      </c>
      <c r="CE23" s="537">
        <f t="shared" si="48"/>
        <v>0</v>
      </c>
      <c r="CF23" s="503">
        <f>(CA23+BU23*BO23)*Hypothèses!$D$23+CE23</f>
        <v>1055.5298959766753</v>
      </c>
      <c r="CG23" s="504">
        <f t="shared" si="16"/>
        <v>4.2340812210407003E-2</v>
      </c>
      <c r="CH23" s="503">
        <f>(CA23+BU23*BO23)*Hypothèses!$B$23</f>
        <v>886.64511262040719</v>
      </c>
      <c r="CI23" s="503">
        <f t="shared" si="49"/>
        <v>0</v>
      </c>
      <c r="CJ23" s="503">
        <f>(BU23+BW23+CA23)*Hypothèses!$B$6+BZ23*Hypothèses!$B$11</f>
        <v>9.4054216369577581</v>
      </c>
      <c r="CK23" s="503">
        <f>(BU23+BW23+CA23)*Hypothèses!$B$5+BZ23*Hypothèses!$B$10</f>
        <v>408.54800235535254</v>
      </c>
      <c r="CL23" s="542">
        <f t="shared" si="17"/>
        <v>0.12527409787298582</v>
      </c>
    </row>
    <row r="24" spans="1:90" ht="14.25" customHeight="1">
      <c r="A24" s="331"/>
      <c r="B24" s="516">
        <v>2028</v>
      </c>
      <c r="C24" s="655">
        <f>Trajectoires!AA20</f>
        <v>1253.748991702465</v>
      </c>
      <c r="D24" s="659">
        <f>C24/Hypothèses!$D$23</f>
        <v>334.33306445399069</v>
      </c>
      <c r="E24" s="659">
        <f>D24*Hypothèses!$B$23</f>
        <v>1053.1491530300707</v>
      </c>
      <c r="F24" s="659">
        <f>D24*Hypothèses!$B$5</f>
        <v>464.72295959104702</v>
      </c>
      <c r="G24" s="659">
        <f>D24*Hypothèses!$B$6</f>
        <v>10.698658062527702</v>
      </c>
      <c r="H24" s="519">
        <f t="shared" si="30"/>
        <v>6.6666666666666666E-2</v>
      </c>
      <c r="I24" s="520">
        <f>IF(J24&gt;=1,ROUND(COUNTIFS($B$16:$B24,"&gt;"&amp;MAX($B24-$D$2,2019),H$16:H24,1/25)*(1/$D$2-1/25)*25,0),0)</f>
        <v>0</v>
      </c>
      <c r="J24" s="521">
        <f t="shared" si="50"/>
        <v>0.46666666666666662</v>
      </c>
      <c r="K24" s="522">
        <f>Hypothèses!$G$77</f>
        <v>0.01</v>
      </c>
      <c r="L24" s="523">
        <f t="shared" si="0"/>
        <v>10.531491530300707</v>
      </c>
      <c r="M24" s="524">
        <f t="array" ref="M24">1-SUM(IF((Roadmap_Avion!$B$8:$B$38=$B24)*(Roadmap_Avion!$C$4:$Z$4=$B$2)*(Roadmap_Avion!$C$6:$Z$6=M$7)*(Roadmap_Avion!$C$7:$Z$7=M$9),Roadmap_Avion!$C$8:$Z$38,0))</f>
        <v>0.5</v>
      </c>
      <c r="N24" s="525">
        <f t="array" ref="N24">SUM(IF((Roadmap_Avion!$B$8:$B$38=$B24)*(Roadmap_Avion!$C$4:$Z$4=$B$2)*(Roadmap_Avion!$C$6:$Z$6=N$7)*(Roadmap_Avion!$C$7:$Z$7=N$9),Roadmap_Avion!$C$8:$Z$38,0))</f>
        <v>0.25</v>
      </c>
      <c r="O24" s="526">
        <f t="array" ref="O24">SUM(IF((Roadmap_Avion!$B$8:$B$38=$B24)*(Roadmap_Avion!$C$4:$Z$4=$B$2)*(Roadmap_Avion!$C$6:$Z$6=O$7)*(Roadmap_Avion!$C$7:$Z$7=O$9),Roadmap_Avion!$C$8:$Z$38,0))</f>
        <v>0</v>
      </c>
      <c r="P24" s="527">
        <f t="array" ref="P24">IF($J24&lt;1,P23+$H24*M24,SUMPRODUCT(($B$16:$B$46&lt;=$B24)*($B$16:$B$46&gt;MAX($B24-$D$2-$I24,2019))*$H$16:$H$46*M$16:M$46))</f>
        <v>0.13333333333333333</v>
      </c>
      <c r="Q24" s="528">
        <f t="shared" si="31"/>
        <v>9.1272926595939463</v>
      </c>
      <c r="R24" s="529">
        <f t="shared" si="18"/>
        <v>2.3333333333333335E-3</v>
      </c>
      <c r="S24" s="530">
        <f t="shared" si="19"/>
        <v>0</v>
      </c>
      <c r="T24" s="522">
        <f>Hypothèses!$G$78</f>
        <v>0.03</v>
      </c>
      <c r="U24" s="523">
        <f t="shared" si="2"/>
        <v>31.59447459090212</v>
      </c>
      <c r="V24" s="524">
        <f t="array" ref="V24">1-SUM(IF((Roadmap_Avion!$B$8:$B$38=$B24)*(Roadmap_Avion!$C$4:$Z$4=$B$2)*(Roadmap_Avion!$C$6:$Z$6=V$7)*(Roadmap_Avion!$C$7:$Z$7=V$9),Roadmap_Avion!$C$8:$Z$38,0))</f>
        <v>9.9999999999999978E-2</v>
      </c>
      <c r="W24" s="525">
        <f t="array" ref="W24">SUM(IF((Roadmap_Avion!$B$8:$B$38=$B24)*(Roadmap_Avion!$C$4:$Z$4=$B$2)*(Roadmap_Avion!$C$6:$Z$6=W$7)*(Roadmap_Avion!$C$7:$Z$7=W$9),Roadmap_Avion!$C$8:$Z$38,0))</f>
        <v>0.5</v>
      </c>
      <c r="X24" s="526">
        <f t="array" ref="X24">SUM(IF((Roadmap_Avion!$B$8:$B$38=$B24)*(Roadmap_Avion!$C$4:$Z$4=$B$2)*(Roadmap_Avion!$C$6:$Z$6=X$7)*(Roadmap_Avion!$C$7:$Z$7=X$9),Roadmap_Avion!$C$8:$Z$38,0))</f>
        <v>0</v>
      </c>
      <c r="Y24" s="527">
        <f t="array" ref="Y24">IF($J24&lt;1,Y23+$H24*V24,SUMPRODUCT(($B$16:$B$46&lt;=$B24)*($B$16:$B$46&gt;MAX($B24-$D$2-$I24,2019))*$H$16:$H$46*V$16:V$46))</f>
        <v>2.6666666666666661E-2</v>
      </c>
      <c r="Z24" s="528">
        <f t="shared" si="32"/>
        <v>30.751955268478063</v>
      </c>
      <c r="AA24" s="529">
        <f t="shared" si="20"/>
        <v>9.0000000000000011E-3</v>
      </c>
      <c r="AB24" s="530">
        <f t="shared" si="21"/>
        <v>0</v>
      </c>
      <c r="AC24" s="522">
        <f>Hypothèses!$G$79</f>
        <v>0.24</v>
      </c>
      <c r="AD24" s="523">
        <f t="shared" si="4"/>
        <v>252.75579672721696</v>
      </c>
      <c r="AE24" s="524">
        <f t="array" ref="AE24">1-SUM(IF((Roadmap_Avion!$B$8:$B$38=$B24)*(Roadmap_Avion!$C$4:$Z$4=$B$2)*(Roadmap_Avion!$C$6:$Z$6=AE$7)*(Roadmap_Avion!$C$7:$Z$7=AE$9),Roadmap_Avion!$C$8:$Z$38,0))</f>
        <v>0.25</v>
      </c>
      <c r="AF24" s="525">
        <f t="array" ref="AF24">SUM(IF((Roadmap_Avion!$B$8:$B$38=$B24)*(Roadmap_Avion!$C$4:$Z$4=$B$2)*(Roadmap_Avion!$C$6:$Z$6=AF$7)*(Roadmap_Avion!$C$7:$Z$7=AF$9),Roadmap_Avion!$C$8:$Z$38,0))</f>
        <v>0.5</v>
      </c>
      <c r="AG24" s="526">
        <f t="array" ref="AG24">SUM(IF((Roadmap_Avion!$B$8:$B$38=$B24)*(Roadmap_Avion!$C$4:$Z$4=$B$2)*(Roadmap_Avion!$C$6:$Z$6=AG$7)*(Roadmap_Avion!$C$7:$Z$7=AG$9),Roadmap_Avion!$C$8:$Z$38,0))</f>
        <v>0</v>
      </c>
      <c r="AH24" s="527">
        <f t="array" ref="AH24">IF($J24&lt;1,AH23+$H24*AE24,SUMPRODUCT(($B$16:$B$46&lt;=$B24)*($B$16:$B$46&gt;MAX($B24-$D$2-$I24,2019))*$H$16:$H$46*AE$16:AE$46))</f>
        <v>9.9999999999999978E-2</v>
      </c>
      <c r="AI24" s="528">
        <f t="shared" si="33"/>
        <v>227.48021705449526</v>
      </c>
      <c r="AJ24" s="529">
        <f t="shared" si="22"/>
        <v>7.2000000000000008E-2</v>
      </c>
      <c r="AK24" s="530">
        <f t="shared" si="23"/>
        <v>0</v>
      </c>
      <c r="AL24" s="522">
        <f>Hypothèses!$G$80</f>
        <v>0.42</v>
      </c>
      <c r="AM24" s="523">
        <f t="shared" si="6"/>
        <v>442.3226442726297</v>
      </c>
      <c r="AN24" s="524">
        <f t="array" ref="AN24">1-SUM(IF((Roadmap_Avion!$B$8:$B$38=$B24)*(Roadmap_Avion!$C$4:$Z$4=$B$2)*(Roadmap_Avion!$C$6:$Z$6=AN$7)*(Roadmap_Avion!$C$7:$Z$7=AN$9),Roadmap_Avion!$C$8:$Z$38,0))</f>
        <v>0.25</v>
      </c>
      <c r="AO24" s="525">
        <f t="array" ref="AO24">SUM(IF((Roadmap_Avion!$B$8:$B$38=$B24)*(Roadmap_Avion!$C$4:$Z$4=$B$2)*(Roadmap_Avion!$C$6:$Z$6=AO$7)*(Roadmap_Avion!$C$7:$Z$7=AO$9),Roadmap_Avion!$C$8:$Z$38,0))</f>
        <v>0.5</v>
      </c>
      <c r="AP24" s="526">
        <f t="array" ref="AP24">SUM(IF((Roadmap_Avion!$B$8:$B$38=$B24)*(Roadmap_Avion!$C$4:$Z$4=$B$2)*(Roadmap_Avion!$C$6:$Z$6=AP$7)*(Roadmap_Avion!$C$7:$Z$7=AP$9),Roadmap_Avion!$C$8:$Z$38,0))</f>
        <v>0</v>
      </c>
      <c r="AQ24" s="527">
        <f t="array" ref="AQ24">IF($J24&lt;1,AQ23+$H24*AN24,SUMPRODUCT(($B$16:$B$46&lt;=$B24)*($B$16:$B$46&gt;MAX($B24-$D$2-$I24,2019))*$H$16:$H$46*AN$16:AN$46))</f>
        <v>9.9999999999999978E-2</v>
      </c>
      <c r="AR24" s="528">
        <f t="shared" si="34"/>
        <v>398.09037984536673</v>
      </c>
      <c r="AS24" s="529">
        <f t="shared" si="8"/>
        <v>0.126</v>
      </c>
      <c r="AT24" s="530">
        <f t="shared" si="9"/>
        <v>0</v>
      </c>
      <c r="AU24" s="531">
        <f>Hypothèses!$G$81</f>
        <v>0.3</v>
      </c>
      <c r="AV24" s="523">
        <f t="shared" si="10"/>
        <v>315.94474590902121</v>
      </c>
      <c r="AW24" s="524">
        <f t="array" ref="AW24">1-SUM(IF((Roadmap_Avion!$B$8:$B$38=$B24)*(Roadmap_Avion!$C$4:$Z$4=$B$2)*(Roadmap_Avion!$C$6:$Z$6=AW$7)*(Roadmap_Avion!$C$7:$Z$7=AW$9),Roadmap_Avion!$C$8:$Z$38,0))</f>
        <v>0.25</v>
      </c>
      <c r="AX24" s="525">
        <f t="array" ref="AX24">SUM(IF((Roadmap_Avion!$B$8:$B$38=$B24)*(Roadmap_Avion!$C$4:$Z$4=$B$2)*(Roadmap_Avion!$C$6:$Z$6=AX$7)*(Roadmap_Avion!$C$7:$Z$7=AX$9),Roadmap_Avion!$C$8:$Z$38,0))</f>
        <v>0.5</v>
      </c>
      <c r="AY24" s="526">
        <f t="array" ref="AY24">SUM(IF((Roadmap_Avion!$B$8:$B$38=$B24)*(Roadmap_Avion!$C$4:$Z$4=$B$2)*(Roadmap_Avion!$C$6:$Z$6=AY$7)*(Roadmap_Avion!$C$7:$Z$7=AY$9),Roadmap_Avion!$C$8:$Z$38,0))</f>
        <v>0</v>
      </c>
      <c r="AZ24" s="527">
        <f t="array" ref="AZ24">IF($J24&lt;1,AZ23+$H24*AW24,SUMPRODUCT(($B$16:$B$46&lt;=$B24)*($B$16:$B$46&gt;MAX($B24-$D$2-$I24,2019))*$H$16:$H$46*AW$16:AW$46))</f>
        <v>0.11666666666666665</v>
      </c>
      <c r="BA24" s="528">
        <f t="shared" si="35"/>
        <v>279.08452555296873</v>
      </c>
      <c r="BB24" s="529">
        <f t="shared" si="24"/>
        <v>0.09</v>
      </c>
      <c r="BC24" s="529">
        <f t="shared" si="25"/>
        <v>0</v>
      </c>
      <c r="BD24" s="517">
        <f t="shared" si="12"/>
        <v>944.5343703809026</v>
      </c>
      <c r="BE24" s="518">
        <f>BD24*(Hypothèses!$D$23/Hypothèses!$B$23)</f>
        <v>1124.4456790248839</v>
      </c>
      <c r="BF24" s="532">
        <f t="shared" si="13"/>
        <v>0.10313333333333352</v>
      </c>
      <c r="BG24" s="518">
        <f>BD24/Hypothèses!$B$23</f>
        <v>299.8521810733024</v>
      </c>
      <c r="BH24" s="532">
        <f t="shared" si="14"/>
        <v>0.29933333333333334</v>
      </c>
      <c r="BI24" s="532">
        <f t="shared" si="14"/>
        <v>0</v>
      </c>
      <c r="BJ24" s="518">
        <f t="shared" si="26"/>
        <v>89.755752867941851</v>
      </c>
      <c r="BK24" s="533">
        <f t="shared" si="36"/>
        <v>19.55208926097702</v>
      </c>
      <c r="BL24" s="534">
        <f t="shared" si="37"/>
        <v>0.21783661365688861</v>
      </c>
      <c r="BM24" s="535">
        <f t="array" ref="BM24">SUM(IF((Prod_Carburant_Alt!$A$7:$A$37=$B24)*(Prod_Carburant_Alt!$B$3:$AI$3=$C$2)*(Prod_Carburant_Alt!$B$5:$AI$5=BM$7)*(Prod_Carburant_Alt!$B$6:$AI$6=BM$9),Prod_Carburant_Alt!$B$7:$AI$37,0))</f>
        <v>19.55208926097702</v>
      </c>
      <c r="BN24" s="534">
        <f t="shared" si="27"/>
        <v>2.1121843599568995</v>
      </c>
      <c r="BO24" s="536">
        <f t="array" ref="BO24">SUM(IF((Prod_Carburant_Alt!$A$7:$A$37=$B24)*(Prod_Carburant_Alt!$B$3:$AI$3=$C$2)*(Prod_Carburant_Alt!$B$5:$AI$5=BO$7)*(Prod_Carburant_Alt!$B$6:$AI$6=BO$9),Prod_Carburant_Alt!$B$7:$AI$37,0))</f>
        <v>0.20438251753392203</v>
      </c>
      <c r="BP24" s="543">
        <f t="array" ref="BP24">SUM(IF((Prod_Carburant_Alt!$A$7:$A$37=$B24)*(Prod_Carburant_Alt!$B$3:$AI$3=$C$2)*(Prod_Carburant_Alt!$B$5:$AI$5=BP$7)*(Prod_Carburant_Alt!$B$6:$AI$6=BP$9),Prod_Carburant_Alt!$B$7:$AI$37,0))</f>
        <v>0</v>
      </c>
      <c r="BQ24" s="536">
        <f t="shared" si="38"/>
        <v>0</v>
      </c>
      <c r="BR24" s="537">
        <f t="shared" si="39"/>
        <v>280.30009181232538</v>
      </c>
      <c r="BS24" s="538">
        <f t="shared" si="40"/>
        <v>19.55208926097702</v>
      </c>
      <c r="BT24" s="539">
        <f t="shared" si="41"/>
        <v>1</v>
      </c>
      <c r="BU24" s="535">
        <f t="shared" si="28"/>
        <v>19.55208926097702</v>
      </c>
      <c r="BV24" s="539">
        <f t="shared" si="42"/>
        <v>1</v>
      </c>
      <c r="BW24" s="535">
        <f t="shared" si="29"/>
        <v>0</v>
      </c>
      <c r="BX24" s="539">
        <f t="shared" si="43"/>
        <v>0</v>
      </c>
      <c r="BY24" s="538">
        <f t="shared" si="44"/>
        <v>0</v>
      </c>
      <c r="BZ24" s="540">
        <f>BY24*Hypothèses!$B$3/Hypothèses!$B$9</f>
        <v>0</v>
      </c>
      <c r="CA24" s="538">
        <f t="shared" si="45"/>
        <v>280.30009181232538</v>
      </c>
      <c r="CB24" s="533">
        <f>BW24*Prod_Carburant_Alt!$R$61+BZ24*Hypothèses!$B$13</f>
        <v>0</v>
      </c>
      <c r="CC24" s="538">
        <f t="shared" si="46"/>
        <v>0</v>
      </c>
      <c r="CD24" s="541">
        <f t="shared" si="47"/>
        <v>0</v>
      </c>
      <c r="CE24" s="537">
        <f t="shared" si="48"/>
        <v>0</v>
      </c>
      <c r="CF24" s="503">
        <f>(CA24+BU24*BO24)*Hypothèses!$D$23+CE24</f>
        <v>1066.1107388944943</v>
      </c>
      <c r="CG24" s="504">
        <f t="shared" si="16"/>
        <v>5.1878842365224401E-2</v>
      </c>
      <c r="CH24" s="503">
        <f>(CA24+BU24*BO24)*Hypothèses!$B$23</f>
        <v>895.5330206713752</v>
      </c>
      <c r="CI24" s="503">
        <f t="shared" si="49"/>
        <v>0</v>
      </c>
      <c r="CJ24" s="503">
        <f>(BU24+BW24+CA24)*Hypothèses!$B$6+BZ24*Hypothèses!$B$11</f>
        <v>9.5952697943456773</v>
      </c>
      <c r="CK24" s="503">
        <f>(BU24+BW24+CA24)*Hypothèses!$B$5+BZ24*Hypothèses!$B$10</f>
        <v>416.79453169189031</v>
      </c>
      <c r="CL24" s="542">
        <f t="shared" si="17"/>
        <v>0.14966173775595773</v>
      </c>
    </row>
    <row r="25" spans="1:90" ht="14.25" customHeight="1">
      <c r="A25" s="331"/>
      <c r="B25" s="516">
        <v>2029</v>
      </c>
      <c r="C25" s="655">
        <f>Trajectoires!AA21</f>
        <v>1302.5005775672441</v>
      </c>
      <c r="D25" s="659">
        <f>C25/Hypothèses!$D$23</f>
        <v>347.33348735126509</v>
      </c>
      <c r="E25" s="659">
        <f>D25*Hypothèses!$B$23</f>
        <v>1094.1004851564851</v>
      </c>
      <c r="F25" s="659">
        <f>D25*Hypothèses!$B$5</f>
        <v>482.79354741825847</v>
      </c>
      <c r="G25" s="659">
        <f>D25*Hypothèses!$B$6</f>
        <v>11.114671595240484</v>
      </c>
      <c r="H25" s="519">
        <f t="shared" si="30"/>
        <v>6.6666666666666666E-2</v>
      </c>
      <c r="I25" s="520">
        <f>IF(J25&gt;=1,ROUND(COUNTIFS($B$16:$B25,"&gt;"&amp;MAX($B25-$D$2,2019),H$16:H25,1/25)*(1/$D$2-1/25)*25,0),0)</f>
        <v>0</v>
      </c>
      <c r="J25" s="521">
        <f t="shared" si="50"/>
        <v>0.53333333333333333</v>
      </c>
      <c r="K25" s="522">
        <f>Hypothèses!$G$77</f>
        <v>0.01</v>
      </c>
      <c r="L25" s="523">
        <f t="shared" si="0"/>
        <v>10.941004851564852</v>
      </c>
      <c r="M25" s="524">
        <f t="array" ref="M25">1-SUM(IF((Roadmap_Avion!$B$8:$B$38=$B25)*(Roadmap_Avion!$C$4:$Z$4=$B$2)*(Roadmap_Avion!$C$6:$Z$6=M$7)*(Roadmap_Avion!$C$7:$Z$7=M$9),Roadmap_Avion!$C$8:$Z$38,0))</f>
        <v>0.5</v>
      </c>
      <c r="N25" s="525">
        <f t="array" ref="N25">SUM(IF((Roadmap_Avion!$B$8:$B$38=$B25)*(Roadmap_Avion!$C$4:$Z$4=$B$2)*(Roadmap_Avion!$C$6:$Z$6=N$7)*(Roadmap_Avion!$C$7:$Z$7=N$9),Roadmap_Avion!$C$8:$Z$38,0))</f>
        <v>0.25</v>
      </c>
      <c r="O25" s="526">
        <f t="array" ref="O25">SUM(IF((Roadmap_Avion!$B$8:$B$38=$B25)*(Roadmap_Avion!$C$4:$Z$4=$B$2)*(Roadmap_Avion!$C$6:$Z$6=O$7)*(Roadmap_Avion!$C$7:$Z$7=O$9),Roadmap_Avion!$C$8:$Z$38,0))</f>
        <v>0</v>
      </c>
      <c r="P25" s="527">
        <f t="array" ref="P25">IF($J25&lt;1,P24+$H25*M25,SUMPRODUCT(($B$16:$B$46&lt;=$B25)*($B$16:$B$46&gt;MAX($B25-$D$2-$I25,2019))*$H$16:$H$46*M$16:M$46))</f>
        <v>0.16666666666666666</v>
      </c>
      <c r="Q25" s="528">
        <f t="shared" si="31"/>
        <v>9.1175040429707099</v>
      </c>
      <c r="R25" s="529">
        <f t="shared" si="18"/>
        <v>2.5000000000000001E-3</v>
      </c>
      <c r="S25" s="530">
        <f t="shared" si="19"/>
        <v>0</v>
      </c>
      <c r="T25" s="522">
        <f>Hypothèses!$G$78</f>
        <v>0.03</v>
      </c>
      <c r="U25" s="523">
        <f t="shared" si="2"/>
        <v>32.823014554694552</v>
      </c>
      <c r="V25" s="524">
        <f t="array" ref="V25">1-SUM(IF((Roadmap_Avion!$B$8:$B$38=$B25)*(Roadmap_Avion!$C$4:$Z$4=$B$2)*(Roadmap_Avion!$C$6:$Z$6=V$7)*(Roadmap_Avion!$C$7:$Z$7=V$9),Roadmap_Avion!$C$8:$Z$38,0))</f>
        <v>9.9999999999999978E-2</v>
      </c>
      <c r="W25" s="525">
        <f t="array" ref="W25">SUM(IF((Roadmap_Avion!$B$8:$B$38=$B25)*(Roadmap_Avion!$C$4:$Z$4=$B$2)*(Roadmap_Avion!$C$6:$Z$6=W$7)*(Roadmap_Avion!$C$7:$Z$7=W$9),Roadmap_Avion!$C$8:$Z$38,0))</f>
        <v>0.5</v>
      </c>
      <c r="X25" s="526">
        <f t="array" ref="X25">SUM(IF((Roadmap_Avion!$B$8:$B$38=$B25)*(Roadmap_Avion!$C$4:$Z$4=$B$2)*(Roadmap_Avion!$C$6:$Z$6=X$7)*(Roadmap_Avion!$C$7:$Z$7=X$9),Roadmap_Avion!$C$8:$Z$38,0))</f>
        <v>0</v>
      </c>
      <c r="Y25" s="527">
        <f t="array" ref="Y25">IF($J25&lt;1,Y24+$H25*V25,SUMPRODUCT(($B$16:$B$46&lt;=$B25)*($B$16:$B$46&gt;MAX($B25-$D$2-$I25,2019))*$H$16:$H$46*V$16:V$46))</f>
        <v>3.3333333333333326E-2</v>
      </c>
      <c r="Z25" s="528">
        <f t="shared" si="32"/>
        <v>31.728914069538067</v>
      </c>
      <c r="AA25" s="529">
        <f t="shared" si="20"/>
        <v>0.01</v>
      </c>
      <c r="AB25" s="530">
        <f t="shared" si="21"/>
        <v>0</v>
      </c>
      <c r="AC25" s="522">
        <f>Hypothèses!$G$79</f>
        <v>0.24</v>
      </c>
      <c r="AD25" s="523">
        <f t="shared" si="4"/>
        <v>262.58411643755642</v>
      </c>
      <c r="AE25" s="524">
        <f t="array" ref="AE25">1-SUM(IF((Roadmap_Avion!$B$8:$B$38=$B25)*(Roadmap_Avion!$C$4:$Z$4=$B$2)*(Roadmap_Avion!$C$6:$Z$6=AE$7)*(Roadmap_Avion!$C$7:$Z$7=AE$9),Roadmap_Avion!$C$8:$Z$38,0))</f>
        <v>0.25</v>
      </c>
      <c r="AF25" s="525">
        <f t="array" ref="AF25">SUM(IF((Roadmap_Avion!$B$8:$B$38=$B25)*(Roadmap_Avion!$C$4:$Z$4=$B$2)*(Roadmap_Avion!$C$6:$Z$6=AF$7)*(Roadmap_Avion!$C$7:$Z$7=AF$9),Roadmap_Avion!$C$8:$Z$38,0))</f>
        <v>0.5</v>
      </c>
      <c r="AG25" s="526">
        <f t="array" ref="AG25">SUM(IF((Roadmap_Avion!$B$8:$B$38=$B25)*(Roadmap_Avion!$C$4:$Z$4=$B$2)*(Roadmap_Avion!$C$6:$Z$6=AG$7)*(Roadmap_Avion!$C$7:$Z$7=AG$9),Roadmap_Avion!$C$8:$Z$38,0))</f>
        <v>0</v>
      </c>
      <c r="AH25" s="527">
        <f t="array" ref="AH25">IF($J25&lt;1,AH24+$H25*AE25,SUMPRODUCT(($B$16:$B$46&lt;=$B25)*($B$16:$B$46&gt;MAX($B25-$D$2-$I25,2019))*$H$16:$H$46*AE$16:AE$46))</f>
        <v>0.11666666666666664</v>
      </c>
      <c r="AI25" s="528">
        <f t="shared" si="33"/>
        <v>231.94930285317483</v>
      </c>
      <c r="AJ25" s="529">
        <f t="shared" si="22"/>
        <v>0.08</v>
      </c>
      <c r="AK25" s="530">
        <f t="shared" si="23"/>
        <v>0</v>
      </c>
      <c r="AL25" s="522">
        <f>Hypothèses!$G$80</f>
        <v>0.42</v>
      </c>
      <c r="AM25" s="523">
        <f t="shared" si="6"/>
        <v>459.5222037657237</v>
      </c>
      <c r="AN25" s="524">
        <f t="array" ref="AN25">1-SUM(IF((Roadmap_Avion!$B$8:$B$38=$B25)*(Roadmap_Avion!$C$4:$Z$4=$B$2)*(Roadmap_Avion!$C$6:$Z$6=AN$7)*(Roadmap_Avion!$C$7:$Z$7=AN$9),Roadmap_Avion!$C$8:$Z$38,0))</f>
        <v>0.25</v>
      </c>
      <c r="AO25" s="525">
        <f t="array" ref="AO25">SUM(IF((Roadmap_Avion!$B$8:$B$38=$B25)*(Roadmap_Avion!$C$4:$Z$4=$B$2)*(Roadmap_Avion!$C$6:$Z$6=AO$7)*(Roadmap_Avion!$C$7:$Z$7=AO$9),Roadmap_Avion!$C$8:$Z$38,0))</f>
        <v>0.5</v>
      </c>
      <c r="AP25" s="526">
        <f t="array" ref="AP25">SUM(IF((Roadmap_Avion!$B$8:$B$38=$B25)*(Roadmap_Avion!$C$4:$Z$4=$B$2)*(Roadmap_Avion!$C$6:$Z$6=AP$7)*(Roadmap_Avion!$C$7:$Z$7=AP$9),Roadmap_Avion!$C$8:$Z$38,0))</f>
        <v>0</v>
      </c>
      <c r="AQ25" s="527">
        <f t="array" ref="AQ25">IF($J25&lt;1,AQ24+$H25*AN25,SUMPRODUCT(($B$16:$B$46&lt;=$B25)*($B$16:$B$46&gt;MAX($B25-$D$2-$I25,2019))*$H$16:$H$46*AN$16:AN$46))</f>
        <v>0.11666666666666664</v>
      </c>
      <c r="AR25" s="528">
        <f t="shared" si="34"/>
        <v>405.91127999305593</v>
      </c>
      <c r="AS25" s="529">
        <f t="shared" si="8"/>
        <v>0.14000000000000001</v>
      </c>
      <c r="AT25" s="530">
        <f t="shared" si="9"/>
        <v>0</v>
      </c>
      <c r="AU25" s="531">
        <f>Hypothèses!$G$81</f>
        <v>0.3</v>
      </c>
      <c r="AV25" s="523">
        <f t="shared" si="10"/>
        <v>328.23014554694549</v>
      </c>
      <c r="AW25" s="524">
        <f t="array" ref="AW25">1-SUM(IF((Roadmap_Avion!$B$8:$B$38=$B25)*(Roadmap_Avion!$C$4:$Z$4=$B$2)*(Roadmap_Avion!$C$6:$Z$6=AW$7)*(Roadmap_Avion!$C$7:$Z$7=AW$9),Roadmap_Avion!$C$8:$Z$38,0))</f>
        <v>0.25</v>
      </c>
      <c r="AX25" s="525">
        <f t="array" ref="AX25">SUM(IF((Roadmap_Avion!$B$8:$B$38=$B25)*(Roadmap_Avion!$C$4:$Z$4=$B$2)*(Roadmap_Avion!$C$6:$Z$6=AX$7)*(Roadmap_Avion!$C$7:$Z$7=AX$9),Roadmap_Avion!$C$8:$Z$38,0))</f>
        <v>0.5</v>
      </c>
      <c r="AY25" s="526">
        <f t="array" ref="AY25">SUM(IF((Roadmap_Avion!$B$8:$B$38=$B25)*(Roadmap_Avion!$C$4:$Z$4=$B$2)*(Roadmap_Avion!$C$6:$Z$6=AY$7)*(Roadmap_Avion!$C$7:$Z$7=AY$9),Roadmap_Avion!$C$8:$Z$38,0))</f>
        <v>0</v>
      </c>
      <c r="AZ25" s="527">
        <f t="array" ref="AZ25">IF($J25&lt;1,AZ24+$H25*AW25,SUMPRODUCT(($B$16:$B$46&lt;=$B25)*($B$16:$B$46&gt;MAX($B25-$D$2-$I25,2019))*$H$16:$H$46*AW$16:AW$46))</f>
        <v>0.13333333333333333</v>
      </c>
      <c r="BA25" s="528">
        <f t="shared" si="35"/>
        <v>284.46612614068613</v>
      </c>
      <c r="BB25" s="529">
        <f t="shared" si="24"/>
        <v>0.1</v>
      </c>
      <c r="BC25" s="529">
        <f t="shared" si="25"/>
        <v>0</v>
      </c>
      <c r="BD25" s="517">
        <f t="shared" si="12"/>
        <v>963.17312709942564</v>
      </c>
      <c r="BE25" s="518">
        <f>BD25*(Hypothèses!$D$23/Hypothèses!$B$23)</f>
        <v>1146.6346751183639</v>
      </c>
      <c r="BF25" s="532">
        <f t="shared" si="13"/>
        <v>0.1196666666666667</v>
      </c>
      <c r="BG25" s="518">
        <f>BD25/Hypothèses!$B$23</f>
        <v>305.76924669823035</v>
      </c>
      <c r="BH25" s="532">
        <f t="shared" si="14"/>
        <v>0.33250000000000002</v>
      </c>
      <c r="BI25" s="532">
        <f t="shared" si="14"/>
        <v>0</v>
      </c>
      <c r="BJ25" s="518">
        <f t="shared" si="26"/>
        <v>101.6682745271616</v>
      </c>
      <c r="BK25" s="533">
        <f t="shared" si="36"/>
        <v>24.440111576221273</v>
      </c>
      <c r="BL25" s="534">
        <f t="shared" si="37"/>
        <v>0.24039073830934227</v>
      </c>
      <c r="BM25" s="535">
        <f t="array" ref="BM25">SUM(IF((Prod_Carburant_Alt!$A$7:$A$37=$B25)*(Prod_Carburant_Alt!$B$3:$AI$3=$C$2)*(Prod_Carburant_Alt!$B$5:$AI$5=BM$7)*(Prod_Carburant_Alt!$B$6:$AI$6=BM$9),Prod_Carburant_Alt!$B$7:$AI$37,0))</f>
        <v>24.440111576221273</v>
      </c>
      <c r="BN25" s="534">
        <f t="shared" si="27"/>
        <v>2.008836253281411</v>
      </c>
      <c r="BO25" s="536">
        <f t="array" ref="BO25">SUM(IF((Prod_Carburant_Alt!$A$7:$A$37=$B25)*(Prod_Carburant_Alt!$B$3:$AI$3=$C$2)*(Prod_Carburant_Alt!$B$5:$AI$5=BO$7)*(Prod_Carburant_Alt!$B$6:$AI$6=BO$9),Prod_Carburant_Alt!$B$7:$AI$37,0))</f>
        <v>0.20438251753392203</v>
      </c>
      <c r="BP25" s="543">
        <f t="array" ref="BP25">SUM(IF((Prod_Carburant_Alt!$A$7:$A$37=$B25)*(Prod_Carburant_Alt!$B$3:$AI$3=$C$2)*(Prod_Carburant_Alt!$B$5:$AI$5=BP$7)*(Prod_Carburant_Alt!$B$6:$AI$6=BP$9),Prod_Carburant_Alt!$B$7:$AI$37,0))</f>
        <v>0</v>
      </c>
      <c r="BQ25" s="536">
        <f t="shared" si="38"/>
        <v>0</v>
      </c>
      <c r="BR25" s="537">
        <f t="shared" si="39"/>
        <v>281.32913512200906</v>
      </c>
      <c r="BS25" s="538">
        <f t="shared" si="40"/>
        <v>24.440111576221273</v>
      </c>
      <c r="BT25" s="539">
        <f t="shared" si="41"/>
        <v>1</v>
      </c>
      <c r="BU25" s="535">
        <f t="shared" si="28"/>
        <v>24.440111576221273</v>
      </c>
      <c r="BV25" s="539">
        <f t="shared" si="42"/>
        <v>1</v>
      </c>
      <c r="BW25" s="535">
        <f t="shared" si="29"/>
        <v>0</v>
      </c>
      <c r="BX25" s="539">
        <f t="shared" si="43"/>
        <v>0</v>
      </c>
      <c r="BY25" s="538">
        <f t="shared" si="44"/>
        <v>0</v>
      </c>
      <c r="BZ25" s="540">
        <f>BY25*Hypothèses!$B$3/Hypothèses!$B$9</f>
        <v>0</v>
      </c>
      <c r="CA25" s="538">
        <f t="shared" si="45"/>
        <v>281.32913512200906</v>
      </c>
      <c r="CB25" s="533">
        <f>BW25*Prod_Carburant_Alt!$R$61+BZ25*Hypothèses!$B$13</f>
        <v>0</v>
      </c>
      <c r="CC25" s="538">
        <f t="shared" si="46"/>
        <v>0</v>
      </c>
      <c r="CD25" s="541">
        <f t="shared" si="47"/>
        <v>0</v>
      </c>
      <c r="CE25" s="537">
        <f t="shared" si="48"/>
        <v>0</v>
      </c>
      <c r="CF25" s="503">
        <f>(CA25+BU25*BO25)*Hypothèses!$D$23+CE25</f>
        <v>1073.7159999553769</v>
      </c>
      <c r="CG25" s="504">
        <f t="shared" si="16"/>
        <v>6.3593642112261983E-2</v>
      </c>
      <c r="CH25" s="503">
        <f>(CA25+BU25*BO25)*Hypothèses!$B$23</f>
        <v>901.9214399625165</v>
      </c>
      <c r="CI25" s="503">
        <f t="shared" si="49"/>
        <v>0</v>
      </c>
      <c r="CJ25" s="503">
        <f>(BU25+BW25+CA25)*Hypothèses!$B$6+BZ25*Hypothèses!$B$11</f>
        <v>9.7846158943433714</v>
      </c>
      <c r="CK25" s="503">
        <f>(BU25+BW25+CA25)*Hypothèses!$B$5+BZ25*Hypothèses!$B$10</f>
        <v>425.01925291054016</v>
      </c>
      <c r="CL25" s="542">
        <f t="shared" si="17"/>
        <v>0.17565026960616129</v>
      </c>
    </row>
    <row r="26" spans="1:90" ht="14.25" customHeight="1">
      <c r="A26" s="331"/>
      <c r="B26" s="516">
        <v>2030</v>
      </c>
      <c r="C26" s="655">
        <f>Trajectoires!AA22</f>
        <v>1352.9935695560737</v>
      </c>
      <c r="D26" s="659">
        <f>C26/Hypothèses!$D$23</f>
        <v>360.79828521495295</v>
      </c>
      <c r="E26" s="659">
        <f>D26*Hypothèses!$B$23</f>
        <v>1136.5145984271019</v>
      </c>
      <c r="F26" s="659">
        <f>D26*Hypothèses!$B$5</f>
        <v>501.50961644878458</v>
      </c>
      <c r="G26" s="659">
        <f>D26*Hypothèses!$B$6</f>
        <v>11.545545126878494</v>
      </c>
      <c r="H26" s="519">
        <f t="shared" si="30"/>
        <v>6.6666666666666666E-2</v>
      </c>
      <c r="I26" s="520">
        <f>IF(J26&gt;=1,ROUND(COUNTIFS($B$16:$B26,"&gt;"&amp;MAX($B26-$D$2,2019),H$16:H26,1/25)*(1/$D$2-1/25)*25,0),0)</f>
        <v>0</v>
      </c>
      <c r="J26" s="521">
        <f t="shared" si="50"/>
        <v>0.6</v>
      </c>
      <c r="K26" s="522">
        <f>Hypothèses!$G$77</f>
        <v>0.01</v>
      </c>
      <c r="L26" s="523">
        <f t="shared" si="0"/>
        <v>11.365145984271019</v>
      </c>
      <c r="M26" s="524">
        <f t="array" ref="M26">1-SUM(IF((Roadmap_Avion!$B$8:$B$38=$B26)*(Roadmap_Avion!$C$4:$Z$4=$B$2)*(Roadmap_Avion!$C$6:$Z$6=M$7)*(Roadmap_Avion!$C$7:$Z$7=M$9),Roadmap_Avion!$C$8:$Z$38,0))</f>
        <v>0.15000000000000002</v>
      </c>
      <c r="N26" s="525">
        <f t="array" ref="N26">SUM(IF((Roadmap_Avion!$B$8:$B$38=$B26)*(Roadmap_Avion!$C$4:$Z$4=$B$2)*(Roadmap_Avion!$C$6:$Z$6=N$7)*(Roadmap_Avion!$C$7:$Z$7=N$9),Roadmap_Avion!$C$8:$Z$38,0))</f>
        <v>0</v>
      </c>
      <c r="O26" s="526">
        <f t="array" ref="O26">SUM(IF((Roadmap_Avion!$B$8:$B$38=$B26)*(Roadmap_Avion!$C$4:$Z$4=$B$2)*(Roadmap_Avion!$C$6:$Z$6=O$7)*(Roadmap_Avion!$C$7:$Z$7=O$9),Roadmap_Avion!$C$8:$Z$38,0))</f>
        <v>1</v>
      </c>
      <c r="P26" s="527">
        <f t="array" ref="P26">IF($J26&lt;1,P25+$H26*M26,SUMPRODUCT(($B$16:$B$46&lt;=$B26)*($B$16:$B$46&gt;MAX($B26-$D$2-$I26,2019))*$H$16:$H$46*M$16:M$46))</f>
        <v>0.17666666666666667</v>
      </c>
      <c r="Q26" s="528">
        <f t="shared" si="31"/>
        <v>9.3573035270498064</v>
      </c>
      <c r="R26" s="529">
        <f t="shared" si="18"/>
        <v>2.5000000000000001E-3</v>
      </c>
      <c r="S26" s="530">
        <f t="shared" si="19"/>
        <v>6.6666666666666664E-4</v>
      </c>
      <c r="T26" s="522">
        <f>Hypothèses!$G$78</f>
        <v>0.03</v>
      </c>
      <c r="U26" s="523">
        <f t="shared" si="2"/>
        <v>34.095437952813057</v>
      </c>
      <c r="V26" s="524">
        <f t="array" ref="V26">1-SUM(IF((Roadmap_Avion!$B$8:$B$38=$B26)*(Roadmap_Avion!$C$4:$Z$4=$B$2)*(Roadmap_Avion!$C$6:$Z$6=V$7)*(Roadmap_Avion!$C$7:$Z$7=V$9),Roadmap_Avion!$C$8:$Z$38,0))</f>
        <v>0.5</v>
      </c>
      <c r="W26" s="525">
        <f t="array" ref="W26">SUM(IF((Roadmap_Avion!$B$8:$B$38=$B26)*(Roadmap_Avion!$C$4:$Z$4=$B$2)*(Roadmap_Avion!$C$6:$Z$6=W$7)*(Roadmap_Avion!$C$7:$Z$7=W$9),Roadmap_Avion!$C$8:$Z$38,0))</f>
        <v>0.25</v>
      </c>
      <c r="X26" s="526">
        <f t="array" ref="X26">SUM(IF((Roadmap_Avion!$B$8:$B$38=$B26)*(Roadmap_Avion!$C$4:$Z$4=$B$2)*(Roadmap_Avion!$C$6:$Z$6=X$7)*(Roadmap_Avion!$C$7:$Z$7=X$9),Roadmap_Avion!$C$8:$Z$38,0))</f>
        <v>0</v>
      </c>
      <c r="Y26" s="527">
        <f t="array" ref="Y26">IF($J26&lt;1,Y25+$H26*V26,SUMPRODUCT(($B$16:$B$46&lt;=$B26)*($B$16:$B$46&gt;MAX($B26-$D$2-$I26,2019))*$H$16:$H$46*V$16:V$46))</f>
        <v>6.6666666666666652E-2</v>
      </c>
      <c r="Z26" s="528">
        <f t="shared" si="32"/>
        <v>31.822408755958854</v>
      </c>
      <c r="AA26" s="529">
        <f t="shared" si="20"/>
        <v>1.0500000000000001E-2</v>
      </c>
      <c r="AB26" s="530">
        <f t="shared" si="21"/>
        <v>0</v>
      </c>
      <c r="AC26" s="522">
        <f>Hypothèses!$G$79</f>
        <v>0.24</v>
      </c>
      <c r="AD26" s="523">
        <f t="shared" si="4"/>
        <v>272.76350362250446</v>
      </c>
      <c r="AE26" s="524">
        <f t="array" ref="AE26">1-SUM(IF((Roadmap_Avion!$B$8:$B$38=$B26)*(Roadmap_Avion!$C$4:$Z$4=$B$2)*(Roadmap_Avion!$C$6:$Z$6=AE$7)*(Roadmap_Avion!$C$7:$Z$7=AE$9),Roadmap_Avion!$C$8:$Z$38,0))</f>
        <v>0.25</v>
      </c>
      <c r="AF26" s="525">
        <f t="array" ref="AF26">SUM(IF((Roadmap_Avion!$B$8:$B$38=$B26)*(Roadmap_Avion!$C$4:$Z$4=$B$2)*(Roadmap_Avion!$C$6:$Z$6=AF$7)*(Roadmap_Avion!$C$7:$Z$7=AF$9),Roadmap_Avion!$C$8:$Z$38,0))</f>
        <v>0.5</v>
      </c>
      <c r="AG26" s="526">
        <f t="array" ref="AG26">SUM(IF((Roadmap_Avion!$B$8:$B$38=$B26)*(Roadmap_Avion!$C$4:$Z$4=$B$2)*(Roadmap_Avion!$C$6:$Z$6=AG$7)*(Roadmap_Avion!$C$7:$Z$7=AG$9),Roadmap_Avion!$C$8:$Z$38,0))</f>
        <v>0</v>
      </c>
      <c r="AH26" s="527">
        <f t="array" ref="AH26">IF($J26&lt;1,AH25+$H26*AE26,SUMPRODUCT(($B$16:$B$46&lt;=$B26)*($B$16:$B$46&gt;MAX($B26-$D$2-$I26,2019))*$H$16:$H$46*AE$16:AE$46))</f>
        <v>0.1333333333333333</v>
      </c>
      <c r="AI26" s="528">
        <f t="shared" si="33"/>
        <v>236.39503647283721</v>
      </c>
      <c r="AJ26" s="529">
        <f t="shared" si="22"/>
        <v>8.7999999999999995E-2</v>
      </c>
      <c r="AK26" s="530">
        <f t="shared" si="23"/>
        <v>0</v>
      </c>
      <c r="AL26" s="522">
        <f>Hypothèses!$G$80</f>
        <v>0.42</v>
      </c>
      <c r="AM26" s="523">
        <f t="shared" si="6"/>
        <v>477.33613133938275</v>
      </c>
      <c r="AN26" s="524">
        <f t="array" ref="AN26">1-SUM(IF((Roadmap_Avion!$B$8:$B$38=$B26)*(Roadmap_Avion!$C$4:$Z$4=$B$2)*(Roadmap_Avion!$C$6:$Z$6=AN$7)*(Roadmap_Avion!$C$7:$Z$7=AN$9),Roadmap_Avion!$C$8:$Z$38,0))</f>
        <v>0.25</v>
      </c>
      <c r="AO26" s="525">
        <f t="array" ref="AO26">SUM(IF((Roadmap_Avion!$B$8:$B$38=$B26)*(Roadmap_Avion!$C$4:$Z$4=$B$2)*(Roadmap_Avion!$C$6:$Z$6=AO$7)*(Roadmap_Avion!$C$7:$Z$7=AO$9),Roadmap_Avion!$C$8:$Z$38,0))</f>
        <v>0.5</v>
      </c>
      <c r="AP26" s="526">
        <f t="array" ref="AP26">SUM(IF((Roadmap_Avion!$B$8:$B$38=$B26)*(Roadmap_Avion!$C$4:$Z$4=$B$2)*(Roadmap_Avion!$C$6:$Z$6=AP$7)*(Roadmap_Avion!$C$7:$Z$7=AP$9),Roadmap_Avion!$C$8:$Z$38,0))</f>
        <v>0</v>
      </c>
      <c r="AQ26" s="527">
        <f t="array" ref="AQ26">IF($J26&lt;1,AQ25+$H26*AN26,SUMPRODUCT(($B$16:$B$46&lt;=$B26)*($B$16:$B$46&gt;MAX($B26-$D$2-$I26,2019))*$H$16:$H$46*AN$16:AN$46))</f>
        <v>0.1333333333333333</v>
      </c>
      <c r="AR26" s="528">
        <f t="shared" si="34"/>
        <v>413.69131382746508</v>
      </c>
      <c r="AS26" s="529">
        <f t="shared" si="8"/>
        <v>0.154</v>
      </c>
      <c r="AT26" s="530">
        <f t="shared" si="9"/>
        <v>0</v>
      </c>
      <c r="AU26" s="531">
        <f>Hypothèses!$G$81</f>
        <v>0.3</v>
      </c>
      <c r="AV26" s="523">
        <f t="shared" si="10"/>
        <v>340.95437952813057</v>
      </c>
      <c r="AW26" s="524">
        <f t="array" ref="AW26">1-SUM(IF((Roadmap_Avion!$B$8:$B$38=$B26)*(Roadmap_Avion!$C$4:$Z$4=$B$2)*(Roadmap_Avion!$C$6:$Z$6=AW$7)*(Roadmap_Avion!$C$7:$Z$7=AW$9),Roadmap_Avion!$C$8:$Z$38,0))</f>
        <v>0.25</v>
      </c>
      <c r="AX26" s="525">
        <f t="array" ref="AX26">SUM(IF((Roadmap_Avion!$B$8:$B$38=$B26)*(Roadmap_Avion!$C$4:$Z$4=$B$2)*(Roadmap_Avion!$C$6:$Z$6=AX$7)*(Roadmap_Avion!$C$7:$Z$7=AX$9),Roadmap_Avion!$C$8:$Z$38,0))</f>
        <v>0.5</v>
      </c>
      <c r="AY26" s="526">
        <f t="array" ref="AY26">SUM(IF((Roadmap_Avion!$B$8:$B$38=$B26)*(Roadmap_Avion!$C$4:$Z$4=$B$2)*(Roadmap_Avion!$C$6:$Z$6=AY$7)*(Roadmap_Avion!$C$7:$Z$7=AY$9),Roadmap_Avion!$C$8:$Z$38,0))</f>
        <v>0</v>
      </c>
      <c r="AZ26" s="527">
        <f t="array" ref="AZ26">IF($J26&lt;1,AZ25+$H26*AW26,SUMPRODUCT(($B$16:$B$46&lt;=$B26)*($B$16:$B$46&gt;MAX($B26-$D$2-$I26,2019))*$H$16:$H$46*AW$16:AW$46))</f>
        <v>0.15</v>
      </c>
      <c r="BA26" s="528">
        <f t="shared" si="35"/>
        <v>289.811222598911</v>
      </c>
      <c r="BB26" s="529">
        <f t="shared" si="24"/>
        <v>0.11</v>
      </c>
      <c r="BC26" s="529">
        <f t="shared" si="25"/>
        <v>0</v>
      </c>
      <c r="BD26" s="517">
        <f t="shared" si="12"/>
        <v>981.07728518222189</v>
      </c>
      <c r="BE26" s="518">
        <f>BD26*(Hypothèses!$D$23/Hypothèses!$B$23)</f>
        <v>1167.9491490264545</v>
      </c>
      <c r="BF26" s="532">
        <f t="shared" si="13"/>
        <v>0.13676666666666681</v>
      </c>
      <c r="BG26" s="518">
        <f>BD26/Hypothèses!$B$23</f>
        <v>311.45310640705458</v>
      </c>
      <c r="BH26" s="532">
        <f t="shared" si="14"/>
        <v>0.36499999999999999</v>
      </c>
      <c r="BI26" s="532">
        <f t="shared" si="14"/>
        <v>6.6666666666666664E-4</v>
      </c>
      <c r="BJ26" s="518">
        <f t="shared" si="26"/>
        <v>113.68038383857491</v>
      </c>
      <c r="BK26" s="533">
        <f t="shared" si="36"/>
        <v>36.6546282862491</v>
      </c>
      <c r="BL26" s="534">
        <f t="shared" si="37"/>
        <v>0.32243582444530033</v>
      </c>
      <c r="BM26" s="535">
        <f t="array" ref="BM26">SUM(IF((Prod_Carburant_Alt!$A$7:$A$37=$B26)*(Prod_Carburant_Alt!$B$3:$AI$3=$C$2)*(Prod_Carburant_Alt!$B$5:$AI$5=BM$7)*(Prod_Carburant_Alt!$B$6:$AI$6=BM$9),Prod_Carburant_Alt!$B$7:$AI$37,0))</f>
        <v>30.550139470276591</v>
      </c>
      <c r="BN26" s="534">
        <f t="shared" si="27"/>
        <v>2.3575614753495002</v>
      </c>
      <c r="BO26" s="536">
        <f t="array" ref="BO26">SUM(IF((Prod_Carburant_Alt!$A$7:$A$37=$B26)*(Prod_Carburant_Alt!$B$3:$AI$3=$C$2)*(Prod_Carburant_Alt!$B$5:$AI$5=BO$7)*(Prod_Carburant_Alt!$B$6:$AI$6=BO$9),Prod_Carburant_Alt!$B$7:$AI$37,0))</f>
        <v>0.204382517533922</v>
      </c>
      <c r="BP26" s="543">
        <f t="array" ref="BP26">SUM(IF((Prod_Carburant_Alt!$A$7:$A$37=$B26)*(Prod_Carburant_Alt!$B$3:$AI$3=$C$2)*(Prod_Carburant_Alt!$B$5:$AI$5=BP$7)*(Prod_Carburant_Alt!$B$6:$AI$6=BP$9),Prod_Carburant_Alt!$B$7:$AI$37,0))</f>
        <v>6.1044888159725108</v>
      </c>
      <c r="BQ26" s="536">
        <f t="shared" si="38"/>
        <v>5.3698699897431978E-2</v>
      </c>
      <c r="BR26" s="537">
        <f t="shared" si="39"/>
        <v>274.7984781208055</v>
      </c>
      <c r="BS26" s="538">
        <f t="shared" si="40"/>
        <v>36.6546282862491</v>
      </c>
      <c r="BT26" s="539">
        <f t="shared" si="41"/>
        <v>1</v>
      </c>
      <c r="BU26" s="535">
        <f t="shared" si="28"/>
        <v>30.550139470276591</v>
      </c>
      <c r="BV26" s="539">
        <f t="shared" si="42"/>
        <v>1</v>
      </c>
      <c r="BW26" s="535">
        <f t="shared" si="29"/>
        <v>6.1044888159725108</v>
      </c>
      <c r="BX26" s="539">
        <f t="shared" si="43"/>
        <v>1</v>
      </c>
      <c r="BY26" s="538">
        <f t="shared" si="44"/>
        <v>0.2076354042713697</v>
      </c>
      <c r="BZ26" s="540">
        <f>BY26*Hypothèses!$B$3/Hypothèses!$B$9</f>
        <v>7.6281296691374539E-2</v>
      </c>
      <c r="CA26" s="538">
        <f t="shared" si="45"/>
        <v>274.59084271653415</v>
      </c>
      <c r="CB26" s="533">
        <f>BW26*Prod_Carburant_Alt!$R$61+BZ26*Hypothèses!$B$13</f>
        <v>280.75507855783462</v>
      </c>
      <c r="CC26" s="538">
        <f t="shared" si="46"/>
        <v>130.08651682644151</v>
      </c>
      <c r="CD26" s="541">
        <f t="shared" si="47"/>
        <v>0.19982567868885023</v>
      </c>
      <c r="CE26" s="537">
        <f t="shared" si="48"/>
        <v>3.0883058641361809</v>
      </c>
      <c r="CF26" s="503">
        <f>(CA26+BU26*BO26)*Hypothèses!$D$23+CE26</f>
        <v>1056.2186451109426</v>
      </c>
      <c r="CG26" s="504">
        <f t="shared" si="16"/>
        <v>9.5663842906726734E-2</v>
      </c>
      <c r="CH26" s="503">
        <f>(CA26+BU26*BO26)*Hypothèses!$B$23</f>
        <v>884.62948496731747</v>
      </c>
      <c r="CI26" s="503">
        <f t="shared" si="49"/>
        <v>0</v>
      </c>
      <c r="CJ26" s="503">
        <f>(BU26+BW26+CA26)*Hypothèses!$B$6+BZ26*Hypothèses!$B$11</f>
        <v>9.9618383858030377</v>
      </c>
      <c r="CK26" s="503">
        <f>(BU26+BW26+CA26)*Hypothèses!$B$5+BZ26*Hypothèses!$B$10</f>
        <v>433.31773636409105</v>
      </c>
      <c r="CL26" s="542">
        <f t="shared" si="17"/>
        <v>0.21934688465851684</v>
      </c>
    </row>
    <row r="27" spans="1:90" ht="14.25" customHeight="1">
      <c r="A27" s="331"/>
      <c r="B27" s="516">
        <v>2031</v>
      </c>
      <c r="C27" s="655">
        <f>Trajectoires!AA23</f>
        <v>1405.2664892679863</v>
      </c>
      <c r="D27" s="659">
        <f>C27/Hypothèses!$D$23</f>
        <v>374.73773047146301</v>
      </c>
      <c r="E27" s="659">
        <f>D27*Hypothèses!$B$23</f>
        <v>1180.4238509851084</v>
      </c>
      <c r="F27" s="659">
        <f>D27*Hypothèses!$B$5</f>
        <v>520.88544535533356</v>
      </c>
      <c r="G27" s="659">
        <f>D27*Hypothèses!$B$6</f>
        <v>11.991607375086817</v>
      </c>
      <c r="H27" s="519">
        <f t="shared" si="30"/>
        <v>6.6666666666666666E-2</v>
      </c>
      <c r="I27" s="544">
        <f>IF(J27&gt;=1,ROUND(COUNTIFS($B$16:$B27,"&gt;"&amp;MAX($B27-$D$2,2019),H$16:H27,1/25)*(1/$D$2-1/25)*25,0),0)</f>
        <v>0</v>
      </c>
      <c r="J27" s="521">
        <f t="shared" si="50"/>
        <v>0.66666666666666663</v>
      </c>
      <c r="K27" s="522">
        <f>Hypothèses!$G$77</f>
        <v>0.01</v>
      </c>
      <c r="L27" s="523">
        <f t="shared" si="0"/>
        <v>11.804238509851084</v>
      </c>
      <c r="M27" s="524">
        <f t="array" ref="M27">1-SUM(IF((Roadmap_Avion!$B$8:$B$38=$B27)*(Roadmap_Avion!$C$4:$Z$4=$B$2)*(Roadmap_Avion!$C$6:$Z$6=M$7)*(Roadmap_Avion!$C$7:$Z$7=M$9),Roadmap_Avion!$C$8:$Z$38,0))</f>
        <v>0.15000000000000002</v>
      </c>
      <c r="N27" s="525">
        <f t="array" ref="N27">SUM(IF((Roadmap_Avion!$B$8:$B$38=$B27)*(Roadmap_Avion!$C$4:$Z$4=$B$2)*(Roadmap_Avion!$C$6:$Z$6=N$7)*(Roadmap_Avion!$C$7:$Z$7=N$9),Roadmap_Avion!$C$8:$Z$38,0))</f>
        <v>0</v>
      </c>
      <c r="O27" s="526">
        <f t="array" ref="O27">SUM(IF((Roadmap_Avion!$B$8:$B$38=$B27)*(Roadmap_Avion!$C$4:$Z$4=$B$2)*(Roadmap_Avion!$C$6:$Z$6=O$7)*(Roadmap_Avion!$C$7:$Z$7=O$9),Roadmap_Avion!$C$8:$Z$38,0))</f>
        <v>1</v>
      </c>
      <c r="P27" s="527">
        <f t="array" ref="P27">IF($J27&lt;1,P26+$H27*M27,SUMPRODUCT(($B$16:$B$46&lt;=$B27)*($B$16:$B$46&gt;MAX($B27-$D$2-$I27,2019))*$H$16:$H$46*M$16:M$46))</f>
        <v>0.18666666666666668</v>
      </c>
      <c r="Q27" s="528">
        <f t="shared" si="31"/>
        <v>9.6007806546788821</v>
      </c>
      <c r="R27" s="529">
        <f t="shared" si="18"/>
        <v>2.5000000000000001E-3</v>
      </c>
      <c r="S27" s="530">
        <f t="shared" si="19"/>
        <v>1.3333333333333333E-3</v>
      </c>
      <c r="T27" s="522">
        <f>Hypothèses!$G$78</f>
        <v>0.03</v>
      </c>
      <c r="U27" s="523">
        <f t="shared" si="2"/>
        <v>35.412715529553253</v>
      </c>
      <c r="V27" s="524">
        <f t="array" ref="V27">1-SUM(IF((Roadmap_Avion!$B$8:$B$38=$B27)*(Roadmap_Avion!$C$4:$Z$4=$B$2)*(Roadmap_Avion!$C$6:$Z$6=V$7)*(Roadmap_Avion!$C$7:$Z$7=V$9),Roadmap_Avion!$C$8:$Z$38,0))</f>
        <v>0.5</v>
      </c>
      <c r="W27" s="525">
        <f t="array" ref="W27">SUM(IF((Roadmap_Avion!$B$8:$B$38=$B27)*(Roadmap_Avion!$C$4:$Z$4=$B$2)*(Roadmap_Avion!$C$6:$Z$6=W$7)*(Roadmap_Avion!$C$7:$Z$7=W$9),Roadmap_Avion!$C$8:$Z$38,0))</f>
        <v>0.25</v>
      </c>
      <c r="X27" s="526">
        <f t="array" ref="X27">SUM(IF((Roadmap_Avion!$B$8:$B$38=$B27)*(Roadmap_Avion!$C$4:$Z$4=$B$2)*(Roadmap_Avion!$C$6:$Z$6=X$7)*(Roadmap_Avion!$C$7:$Z$7=X$9),Roadmap_Avion!$C$8:$Z$38,0))</f>
        <v>0</v>
      </c>
      <c r="Y27" s="527">
        <f t="array" ref="Y27">IF($J27&lt;1,Y26+$H27*V27,SUMPRODUCT(($B$16:$B$46&lt;=$B27)*($B$16:$B$46&gt;MAX($B27-$D$2-$I27,2019))*$H$16:$H$46*V$16:V$46))</f>
        <v>9.9999999999999978E-2</v>
      </c>
      <c r="Z27" s="528">
        <f t="shared" si="32"/>
        <v>31.871443976597927</v>
      </c>
      <c r="AA27" s="529">
        <f t="shared" si="20"/>
        <v>1.0999999999999999E-2</v>
      </c>
      <c r="AB27" s="530">
        <f t="shared" si="21"/>
        <v>0</v>
      </c>
      <c r="AC27" s="522">
        <f>Hypothèses!$G$79</f>
        <v>0.24</v>
      </c>
      <c r="AD27" s="523">
        <f t="shared" si="4"/>
        <v>283.30172423642603</v>
      </c>
      <c r="AE27" s="524">
        <f t="array" ref="AE27">1-SUM(IF((Roadmap_Avion!$B$8:$B$38=$B27)*(Roadmap_Avion!$C$4:$Z$4=$B$2)*(Roadmap_Avion!$C$6:$Z$6=AE$7)*(Roadmap_Avion!$C$7:$Z$7=AE$9),Roadmap_Avion!$C$8:$Z$38,0))</f>
        <v>0.25</v>
      </c>
      <c r="AF27" s="525">
        <f t="array" ref="AF27">SUM(IF((Roadmap_Avion!$B$8:$B$38=$B27)*(Roadmap_Avion!$C$4:$Z$4=$B$2)*(Roadmap_Avion!$C$6:$Z$6=AF$7)*(Roadmap_Avion!$C$7:$Z$7=AF$9),Roadmap_Avion!$C$8:$Z$38,0))</f>
        <v>0.5</v>
      </c>
      <c r="AG27" s="526">
        <f t="array" ref="AG27">SUM(IF((Roadmap_Avion!$B$8:$B$38=$B27)*(Roadmap_Avion!$C$4:$Z$4=$B$2)*(Roadmap_Avion!$C$6:$Z$6=AG$7)*(Roadmap_Avion!$C$7:$Z$7=AG$9),Roadmap_Avion!$C$8:$Z$38,0))</f>
        <v>0</v>
      </c>
      <c r="AH27" s="527">
        <f t="array" ref="AH27">IF($J27&lt;1,AH26+$H27*AE27,SUMPRODUCT(($B$16:$B$46&lt;=$B27)*($B$16:$B$46&gt;MAX($B27-$D$2-$I27,2019))*$H$16:$H$46*AE$16:AE$46))</f>
        <v>0.14999999999999997</v>
      </c>
      <c r="AI27" s="528">
        <f t="shared" si="33"/>
        <v>240.80646560096216</v>
      </c>
      <c r="AJ27" s="529">
        <f t="shared" si="22"/>
        <v>9.6000000000000002E-2</v>
      </c>
      <c r="AK27" s="530">
        <f t="shared" si="23"/>
        <v>0</v>
      </c>
      <c r="AL27" s="522">
        <f>Hypothèses!$G$80</f>
        <v>0.42</v>
      </c>
      <c r="AM27" s="523">
        <f t="shared" si="6"/>
        <v>495.77801741374549</v>
      </c>
      <c r="AN27" s="524">
        <f t="array" ref="AN27">1-SUM(IF((Roadmap_Avion!$B$8:$B$38=$B27)*(Roadmap_Avion!$C$4:$Z$4=$B$2)*(Roadmap_Avion!$C$6:$Z$6=AN$7)*(Roadmap_Avion!$C$7:$Z$7=AN$9),Roadmap_Avion!$C$8:$Z$38,0))</f>
        <v>0.25</v>
      </c>
      <c r="AO27" s="525">
        <f t="array" ref="AO27">SUM(IF((Roadmap_Avion!$B$8:$B$38=$B27)*(Roadmap_Avion!$C$4:$Z$4=$B$2)*(Roadmap_Avion!$C$6:$Z$6=AO$7)*(Roadmap_Avion!$C$7:$Z$7=AO$9),Roadmap_Avion!$C$8:$Z$38,0))</f>
        <v>0.5</v>
      </c>
      <c r="AP27" s="526">
        <f t="array" ref="AP27">SUM(IF((Roadmap_Avion!$B$8:$B$38=$B27)*(Roadmap_Avion!$C$4:$Z$4=$B$2)*(Roadmap_Avion!$C$6:$Z$6=AP$7)*(Roadmap_Avion!$C$7:$Z$7=AP$9),Roadmap_Avion!$C$8:$Z$38,0))</f>
        <v>0</v>
      </c>
      <c r="AQ27" s="527">
        <f t="array" ref="AQ27">IF($J27&lt;1,AQ26+$H27*AN27,SUMPRODUCT(($B$16:$B$46&lt;=$B27)*($B$16:$B$46&gt;MAX($B27-$D$2-$I27,2019))*$H$16:$H$46*AN$16:AN$46))</f>
        <v>0.14999999999999997</v>
      </c>
      <c r="AR27" s="528">
        <f t="shared" si="34"/>
        <v>421.41131480168372</v>
      </c>
      <c r="AS27" s="529">
        <f t="shared" si="8"/>
        <v>0.16800000000000001</v>
      </c>
      <c r="AT27" s="530">
        <f t="shared" si="9"/>
        <v>0</v>
      </c>
      <c r="AU27" s="531">
        <f>Hypothèses!$G$81</f>
        <v>0.3</v>
      </c>
      <c r="AV27" s="523">
        <f t="shared" si="10"/>
        <v>354.12715529553253</v>
      </c>
      <c r="AW27" s="524">
        <f t="array" ref="AW27">1-SUM(IF((Roadmap_Avion!$B$8:$B$38=$B27)*(Roadmap_Avion!$C$4:$Z$4=$B$2)*(Roadmap_Avion!$C$6:$Z$6=AW$7)*(Roadmap_Avion!$C$7:$Z$7=AW$9),Roadmap_Avion!$C$8:$Z$38,0))</f>
        <v>0.25</v>
      </c>
      <c r="AX27" s="525">
        <f t="array" ref="AX27">SUM(IF((Roadmap_Avion!$B$8:$B$38=$B27)*(Roadmap_Avion!$C$4:$Z$4=$B$2)*(Roadmap_Avion!$C$6:$Z$6=AX$7)*(Roadmap_Avion!$C$7:$Z$7=AX$9),Roadmap_Avion!$C$8:$Z$38,0))</f>
        <v>0.5</v>
      </c>
      <c r="AY27" s="526">
        <f t="array" ref="AY27">SUM(IF((Roadmap_Avion!$B$8:$B$38=$B27)*(Roadmap_Avion!$C$4:$Z$4=$B$2)*(Roadmap_Avion!$C$6:$Z$6=AY$7)*(Roadmap_Avion!$C$7:$Z$7=AY$9),Roadmap_Avion!$C$8:$Z$38,0))</f>
        <v>0</v>
      </c>
      <c r="AZ27" s="527">
        <f t="array" ref="AZ27">IF($J27&lt;1,AZ26+$H27*AW27,SUMPRODUCT(($B$16:$B$46&lt;=$B27)*($B$16:$B$46&gt;MAX($B27-$D$2-$I27,2019))*$H$16:$H$46*AW$16:AW$46))</f>
        <v>0.16666666666666666</v>
      </c>
      <c r="BA27" s="528">
        <f t="shared" si="35"/>
        <v>295.1059627462771</v>
      </c>
      <c r="BB27" s="529">
        <f t="shared" si="24"/>
        <v>0.11999999999999998</v>
      </c>
      <c r="BC27" s="529">
        <f t="shared" si="25"/>
        <v>0</v>
      </c>
      <c r="BD27" s="517">
        <f t="shared" si="12"/>
        <v>998.79596778019982</v>
      </c>
      <c r="BE27" s="518">
        <f>BD27*(Hypothèses!$D$23/Hypothèses!$B$23)</f>
        <v>1189.0428187859522</v>
      </c>
      <c r="BF27" s="532">
        <f t="shared" si="13"/>
        <v>0.1538666666666666</v>
      </c>
      <c r="BG27" s="518">
        <f>BD27/Hypothèses!$B$23</f>
        <v>317.07808500958726</v>
      </c>
      <c r="BH27" s="532">
        <f t="shared" si="14"/>
        <v>0.39750000000000002</v>
      </c>
      <c r="BI27" s="532">
        <f t="shared" si="14"/>
        <v>1.3333333333333333E-3</v>
      </c>
      <c r="BJ27" s="518">
        <f t="shared" si="26"/>
        <v>126.03853879131094</v>
      </c>
      <c r="BK27" s="533">
        <f t="shared" si="36"/>
        <v>42.763271410783716</v>
      </c>
      <c r="BL27" s="534">
        <f t="shared" si="37"/>
        <v>0.33928726737771259</v>
      </c>
      <c r="BM27" s="535">
        <f t="array" ref="BM27">SUM(IF((Prod_Carburant_Alt!$A$7:$A$37=$B27)*(Prod_Carburant_Alt!$B$3:$AI$3=$C$2)*(Prod_Carburant_Alt!$B$5:$AI$5=BM$7)*(Prod_Carburant_Alt!$B$6:$AI$6=BM$9),Prod_Carburant_Alt!$B$7:$AI$37,0))</f>
        <v>35.132660390818074</v>
      </c>
      <c r="BN27" s="534">
        <f t="shared" si="27"/>
        <v>2.2050732281913739</v>
      </c>
      <c r="BO27" s="536">
        <f t="array" ref="BO27">SUM(IF((Prod_Carburant_Alt!$A$7:$A$37=$B27)*(Prod_Carburant_Alt!$B$3:$AI$3=$C$2)*(Prod_Carburant_Alt!$B$5:$AI$5=BO$7)*(Prod_Carburant_Alt!$B$6:$AI$6=BO$9),Prod_Carburant_Alt!$B$7:$AI$37,0))</f>
        <v>0.20438251753392203</v>
      </c>
      <c r="BP27" s="543">
        <f t="array" ref="BP27">SUM(IF((Prod_Carburant_Alt!$A$7:$A$37=$B27)*(Prod_Carburant_Alt!$B$3:$AI$3=$C$2)*(Prod_Carburant_Alt!$B$5:$AI$5=BP$7)*(Prod_Carburant_Alt!$B$6:$AI$6=BP$9),Prod_Carburant_Alt!$B$7:$AI$37,0))</f>
        <v>7.630611019965639</v>
      </c>
      <c r="BQ27" s="536">
        <f t="shared" si="38"/>
        <v>6.0541887371449686E-2</v>
      </c>
      <c r="BR27" s="537">
        <f t="shared" si="39"/>
        <v>274.31481359880354</v>
      </c>
      <c r="BS27" s="538">
        <f t="shared" si="40"/>
        <v>42.763271410783716</v>
      </c>
      <c r="BT27" s="539">
        <f t="shared" si="41"/>
        <v>1</v>
      </c>
      <c r="BU27" s="535">
        <f t="shared" si="28"/>
        <v>35.132660390818074</v>
      </c>
      <c r="BV27" s="539">
        <f t="shared" si="42"/>
        <v>1</v>
      </c>
      <c r="BW27" s="535">
        <f t="shared" si="29"/>
        <v>7.630611019965639</v>
      </c>
      <c r="BX27" s="539">
        <f t="shared" si="43"/>
        <v>1</v>
      </c>
      <c r="BY27" s="538">
        <f t="shared" si="44"/>
        <v>0.42277078001278301</v>
      </c>
      <c r="BZ27" s="540">
        <f>BY27*Hypothèses!$B$3/Hypothèses!$B$9</f>
        <v>0.15531794019313952</v>
      </c>
      <c r="CA27" s="538">
        <f t="shared" si="45"/>
        <v>273.89204281879074</v>
      </c>
      <c r="CB27" s="533">
        <f>BW27*Prod_Carburant_Alt!$R$61+BZ27*Hypothèses!$B$13</f>
        <v>354.33995740593213</v>
      </c>
      <c r="CC27" s="538">
        <f t="shared" si="46"/>
        <v>164.18171691904755</v>
      </c>
      <c r="CD27" s="541">
        <f t="shared" si="47"/>
        <v>0.25219925794016518</v>
      </c>
      <c r="CE27" s="537">
        <f t="shared" si="48"/>
        <v>3.8977395314652536</v>
      </c>
      <c r="CF27" s="503">
        <f>(CA27+BU27*BO27)*Hypothèses!$D$23+CE27</f>
        <v>1057.9197810207045</v>
      </c>
      <c r="CG27" s="504">
        <f t="shared" si="16"/>
        <v>0.11027612773367426</v>
      </c>
      <c r="CH27" s="503">
        <f>(CA27+BU27*BO27)*Hypothèses!$B$23</f>
        <v>885.37851485096087</v>
      </c>
      <c r="CI27" s="503">
        <f t="shared" si="49"/>
        <v>0</v>
      </c>
      <c r="CJ27" s="503">
        <f>(BU27+BW27+CA27)*Hypothèses!$B$6+BZ27*Hypothèses!$B$11</f>
        <v>10.137008321791406</v>
      </c>
      <c r="CK27" s="503">
        <f>(BU27+BW27+CA27)*Hypothèses!$B$5+BZ27*Hypothèses!$B$10</f>
        <v>441.54874824084675</v>
      </c>
      <c r="CL27" s="542">
        <f t="shared" si="17"/>
        <v>0.24717497421305287</v>
      </c>
    </row>
    <row r="28" spans="1:90" ht="14.25" customHeight="1">
      <c r="A28" s="331"/>
      <c r="B28" s="516">
        <v>2032</v>
      </c>
      <c r="C28" s="655">
        <f>Trajectoires!AA24</f>
        <v>1459.3547534328625</v>
      </c>
      <c r="D28" s="659">
        <f>C28/Hypothèses!$D$23</f>
        <v>389.16126758209668</v>
      </c>
      <c r="E28" s="659">
        <f>D28*Hypothèses!$B$23</f>
        <v>1225.8579928836045</v>
      </c>
      <c r="F28" s="659">
        <f>D28*Hypothèses!$B$5</f>
        <v>540.93416193911435</v>
      </c>
      <c r="G28" s="659">
        <f>D28*Hypothèses!$B$6</f>
        <v>12.453160562627094</v>
      </c>
      <c r="H28" s="519">
        <f t="shared" si="30"/>
        <v>6.6666666666666666E-2</v>
      </c>
      <c r="I28" s="520">
        <f>IF(J28&gt;=1,ROUND(COUNTIFS($B$16:$B28,"&gt;"&amp;MAX($B28-$D$2,2019),H$16:H28,1/25)*(1/$D$2-1/25)*25,0),0)</f>
        <v>0</v>
      </c>
      <c r="J28" s="521">
        <f t="shared" si="50"/>
        <v>0.73333333333333328</v>
      </c>
      <c r="K28" s="522">
        <f>Hypothèses!$G$77</f>
        <v>0.01</v>
      </c>
      <c r="L28" s="523">
        <f t="shared" si="0"/>
        <v>12.258579928836046</v>
      </c>
      <c r="M28" s="524">
        <f t="array" ref="M28">1-SUM(IF((Roadmap_Avion!$B$8:$B$38=$B28)*(Roadmap_Avion!$C$4:$Z$4=$B$2)*(Roadmap_Avion!$C$6:$Z$6=M$7)*(Roadmap_Avion!$C$7:$Z$7=M$9),Roadmap_Avion!$C$8:$Z$38,0))</f>
        <v>0.15000000000000002</v>
      </c>
      <c r="N28" s="525">
        <f t="array" ref="N28">SUM(IF((Roadmap_Avion!$B$8:$B$38=$B28)*(Roadmap_Avion!$C$4:$Z$4=$B$2)*(Roadmap_Avion!$C$6:$Z$6=N$7)*(Roadmap_Avion!$C$7:$Z$7=N$9),Roadmap_Avion!$C$8:$Z$38,0))</f>
        <v>0</v>
      </c>
      <c r="O28" s="526">
        <f t="array" ref="O28">SUM(IF((Roadmap_Avion!$B$8:$B$38=$B28)*(Roadmap_Avion!$C$4:$Z$4=$B$2)*(Roadmap_Avion!$C$6:$Z$6=O$7)*(Roadmap_Avion!$C$7:$Z$7=O$9),Roadmap_Avion!$C$8:$Z$38,0))</f>
        <v>1</v>
      </c>
      <c r="P28" s="527">
        <f t="array" ref="P28">IF($J28&lt;1,P27+$H28*M28,SUMPRODUCT(($B$16:$B$46&lt;=$B28)*($B$16:$B$46&gt;MAX($B28-$D$2-$I28,2019))*$H$16:$H$46*M$16:M$46))</f>
        <v>0.19666666666666668</v>
      </c>
      <c r="Q28" s="528">
        <f t="shared" si="31"/>
        <v>9.8477258761649562</v>
      </c>
      <c r="R28" s="529">
        <f t="shared" si="18"/>
        <v>2.5000000000000001E-3</v>
      </c>
      <c r="S28" s="530">
        <f t="shared" si="19"/>
        <v>2E-3</v>
      </c>
      <c r="T28" s="522">
        <f>Hypothèses!$G$78</f>
        <v>0.03</v>
      </c>
      <c r="U28" s="523">
        <f t="shared" si="2"/>
        <v>36.775739786508133</v>
      </c>
      <c r="V28" s="524">
        <f t="array" ref="V28">1-SUM(IF((Roadmap_Avion!$B$8:$B$38=$B28)*(Roadmap_Avion!$C$4:$Z$4=$B$2)*(Roadmap_Avion!$C$6:$Z$6=V$7)*(Roadmap_Avion!$C$7:$Z$7=V$9),Roadmap_Avion!$C$8:$Z$38,0))</f>
        <v>0.5</v>
      </c>
      <c r="W28" s="525">
        <f t="array" ref="W28">SUM(IF((Roadmap_Avion!$B$8:$B$38=$B28)*(Roadmap_Avion!$C$4:$Z$4=$B$2)*(Roadmap_Avion!$C$6:$Z$6=W$7)*(Roadmap_Avion!$C$7:$Z$7=W$9),Roadmap_Avion!$C$8:$Z$38,0))</f>
        <v>0.25</v>
      </c>
      <c r="X28" s="526">
        <f t="array" ref="X28">SUM(IF((Roadmap_Avion!$B$8:$B$38=$B28)*(Roadmap_Avion!$C$4:$Z$4=$B$2)*(Roadmap_Avion!$C$6:$Z$6=X$7)*(Roadmap_Avion!$C$7:$Z$7=X$9),Roadmap_Avion!$C$8:$Z$38,0))</f>
        <v>0</v>
      </c>
      <c r="Y28" s="527">
        <f t="array" ref="Y28">IF($J28&lt;1,Y27+$H28*V28,SUMPRODUCT(($B$16:$B$46&lt;=$B28)*($B$16:$B$46&gt;MAX($B28-$D$2-$I28,2019))*$H$16:$H$46*V$16:V$46))</f>
        <v>0.1333333333333333</v>
      </c>
      <c r="Z28" s="528">
        <f t="shared" si="32"/>
        <v>31.872307814973716</v>
      </c>
      <c r="AA28" s="529">
        <f t="shared" si="20"/>
        <v>1.15E-2</v>
      </c>
      <c r="AB28" s="530">
        <f t="shared" si="21"/>
        <v>0</v>
      </c>
      <c r="AC28" s="522">
        <f>Hypothèses!$G$79</f>
        <v>0.24</v>
      </c>
      <c r="AD28" s="523">
        <f t="shared" si="4"/>
        <v>294.20591829206506</v>
      </c>
      <c r="AE28" s="524">
        <f t="array" ref="AE28">1-SUM(IF((Roadmap_Avion!$B$8:$B$38=$B28)*(Roadmap_Avion!$C$4:$Z$4=$B$2)*(Roadmap_Avion!$C$6:$Z$6=AE$7)*(Roadmap_Avion!$C$7:$Z$7=AE$9),Roadmap_Avion!$C$8:$Z$38,0))</f>
        <v>0.25</v>
      </c>
      <c r="AF28" s="525">
        <f t="array" ref="AF28">SUM(IF((Roadmap_Avion!$B$8:$B$38=$B28)*(Roadmap_Avion!$C$4:$Z$4=$B$2)*(Roadmap_Avion!$C$6:$Z$6=AF$7)*(Roadmap_Avion!$C$7:$Z$7=AF$9),Roadmap_Avion!$C$8:$Z$38,0))</f>
        <v>0.5</v>
      </c>
      <c r="AG28" s="526">
        <f t="array" ref="AG28">SUM(IF((Roadmap_Avion!$B$8:$B$38=$B28)*(Roadmap_Avion!$C$4:$Z$4=$B$2)*(Roadmap_Avion!$C$6:$Z$6=AG$7)*(Roadmap_Avion!$C$7:$Z$7=AG$9),Roadmap_Avion!$C$8:$Z$38,0))</f>
        <v>0</v>
      </c>
      <c r="AH28" s="527">
        <f t="array" ref="AH28">IF($J28&lt;1,AH27+$H28*AE28,SUMPRODUCT(($B$16:$B$46&lt;=$B28)*($B$16:$B$46&gt;MAX($B28-$D$2-$I28,2019))*$H$16:$H$46*AE$16:AE$46))</f>
        <v>0.16666666666666663</v>
      </c>
      <c r="AI28" s="528">
        <f t="shared" si="33"/>
        <v>245.1715985767209</v>
      </c>
      <c r="AJ28" s="529">
        <f t="shared" si="22"/>
        <v>0.10400000000000001</v>
      </c>
      <c r="AK28" s="530">
        <f t="shared" si="23"/>
        <v>0</v>
      </c>
      <c r="AL28" s="522">
        <f>Hypothèses!$G$80</f>
        <v>0.42</v>
      </c>
      <c r="AM28" s="523">
        <f t="shared" si="6"/>
        <v>514.86035701111393</v>
      </c>
      <c r="AN28" s="524">
        <f t="array" ref="AN28">1-SUM(IF((Roadmap_Avion!$B$8:$B$38=$B28)*(Roadmap_Avion!$C$4:$Z$4=$B$2)*(Roadmap_Avion!$C$6:$Z$6=AN$7)*(Roadmap_Avion!$C$7:$Z$7=AN$9),Roadmap_Avion!$C$8:$Z$38,0))</f>
        <v>0.25</v>
      </c>
      <c r="AO28" s="525">
        <f t="array" ref="AO28">SUM(IF((Roadmap_Avion!$B$8:$B$38=$B28)*(Roadmap_Avion!$C$4:$Z$4=$B$2)*(Roadmap_Avion!$C$6:$Z$6=AO$7)*(Roadmap_Avion!$C$7:$Z$7=AO$9),Roadmap_Avion!$C$8:$Z$38,0))</f>
        <v>0.5</v>
      </c>
      <c r="AP28" s="526">
        <f t="array" ref="AP28">SUM(IF((Roadmap_Avion!$B$8:$B$38=$B28)*(Roadmap_Avion!$C$4:$Z$4=$B$2)*(Roadmap_Avion!$C$6:$Z$6=AP$7)*(Roadmap_Avion!$C$7:$Z$7=AP$9),Roadmap_Avion!$C$8:$Z$38,0))</f>
        <v>0</v>
      </c>
      <c r="AQ28" s="527">
        <f t="array" ref="AQ28">IF($J28&lt;1,AQ27+$H28*AN28,SUMPRODUCT(($B$16:$B$46&lt;=$B28)*($B$16:$B$46&gt;MAX($B28-$D$2-$I28,2019))*$H$16:$H$46*AN$16:AN$46))</f>
        <v>0.16666666666666663</v>
      </c>
      <c r="AR28" s="528">
        <f t="shared" si="34"/>
        <v>429.05029750926161</v>
      </c>
      <c r="AS28" s="529">
        <f t="shared" si="8"/>
        <v>0.182</v>
      </c>
      <c r="AT28" s="530">
        <f t="shared" si="9"/>
        <v>0</v>
      </c>
      <c r="AU28" s="531">
        <f>Hypothèses!$G$81</f>
        <v>0.3</v>
      </c>
      <c r="AV28" s="523">
        <f t="shared" si="10"/>
        <v>367.75739786508137</v>
      </c>
      <c r="AW28" s="524">
        <f t="array" ref="AW28">1-SUM(IF((Roadmap_Avion!$B$8:$B$38=$B28)*(Roadmap_Avion!$C$4:$Z$4=$B$2)*(Roadmap_Avion!$C$6:$Z$6=AW$7)*(Roadmap_Avion!$C$7:$Z$7=AW$9),Roadmap_Avion!$C$8:$Z$38,0))</f>
        <v>0.25</v>
      </c>
      <c r="AX28" s="525">
        <f t="array" ref="AX28">SUM(IF((Roadmap_Avion!$B$8:$B$38=$B28)*(Roadmap_Avion!$C$4:$Z$4=$B$2)*(Roadmap_Avion!$C$6:$Z$6=AX$7)*(Roadmap_Avion!$C$7:$Z$7=AX$9),Roadmap_Avion!$C$8:$Z$38,0))</f>
        <v>0.5</v>
      </c>
      <c r="AY28" s="526">
        <f t="array" ref="AY28">SUM(IF((Roadmap_Avion!$B$8:$B$38=$B28)*(Roadmap_Avion!$C$4:$Z$4=$B$2)*(Roadmap_Avion!$C$6:$Z$6=AY$7)*(Roadmap_Avion!$C$7:$Z$7=AY$9),Roadmap_Avion!$C$8:$Z$38,0))</f>
        <v>0</v>
      </c>
      <c r="AZ28" s="527">
        <f t="array" ref="AZ28">IF($J28&lt;1,AZ27+$H28*AW28,SUMPRODUCT(($B$16:$B$46&lt;=$B28)*($B$16:$B$46&gt;MAX($B28-$D$2-$I28,2019))*$H$16:$H$46*AW$16:AW$46))</f>
        <v>0.18333333333333332</v>
      </c>
      <c r="BA28" s="528">
        <f t="shared" si="35"/>
        <v>300.3352082564831</v>
      </c>
      <c r="BB28" s="529">
        <f t="shared" si="24"/>
        <v>0.13</v>
      </c>
      <c r="BC28" s="529">
        <f t="shared" si="25"/>
        <v>0</v>
      </c>
      <c r="BD28" s="517">
        <f t="shared" si="12"/>
        <v>1016.2771380336044</v>
      </c>
      <c r="BE28" s="518">
        <f>BD28*(Hypothèses!$D$23/Hypothèses!$B$23)</f>
        <v>1209.8537357542909</v>
      </c>
      <c r="BF28" s="532">
        <f t="shared" si="13"/>
        <v>0.17096666666666649</v>
      </c>
      <c r="BG28" s="518">
        <f>BD28/Hypothèses!$B$23</f>
        <v>322.6276628678109</v>
      </c>
      <c r="BH28" s="532">
        <f t="shared" si="14"/>
        <v>0.43</v>
      </c>
      <c r="BI28" s="532">
        <f t="shared" si="14"/>
        <v>2E-3</v>
      </c>
      <c r="BJ28" s="518">
        <f t="shared" si="26"/>
        <v>138.7298950331587</v>
      </c>
      <c r="BK28" s="533">
        <f t="shared" si="36"/>
        <v>49.940823224397832</v>
      </c>
      <c r="BL28" s="534">
        <f t="shared" si="37"/>
        <v>0.35998602328979751</v>
      </c>
      <c r="BM28" s="535">
        <f t="array" ref="BM28">SUM(IF((Prod_Carburant_Alt!$A$7:$A$37=$B28)*(Prod_Carburant_Alt!$B$3:$AI$3=$C$2)*(Prod_Carburant_Alt!$B$5:$AI$5=BM$7)*(Prod_Carburant_Alt!$B$6:$AI$6=BM$9),Prod_Carburant_Alt!$B$7:$AI$37,0))</f>
        <v>40.402559449440787</v>
      </c>
      <c r="BN28" s="534">
        <f t="shared" si="27"/>
        <v>2.1055918695055444</v>
      </c>
      <c r="BO28" s="536">
        <f t="array" ref="BO28">SUM(IF((Prod_Carburant_Alt!$A$7:$A$37=$B28)*(Prod_Carburant_Alt!$B$3:$AI$3=$C$2)*(Prod_Carburant_Alt!$B$5:$AI$5=BO$7)*(Prod_Carburant_Alt!$B$6:$AI$6=BO$9),Prod_Carburant_Alt!$B$7:$AI$37,0))</f>
        <v>0.20438251753392198</v>
      </c>
      <c r="BP28" s="543">
        <f t="array" ref="BP28">SUM(IF((Prod_Carburant_Alt!$A$7:$A$37=$B28)*(Prod_Carburant_Alt!$B$3:$AI$3=$C$2)*(Prod_Carburant_Alt!$B$5:$AI$5=BP$7)*(Prod_Carburant_Alt!$B$6:$AI$6=BP$9),Prod_Carburant_Alt!$B$7:$AI$37,0))</f>
        <v>9.5382637749570485</v>
      </c>
      <c r="BQ28" s="536">
        <f t="shared" si="38"/>
        <v>6.8754205953066194E-2</v>
      </c>
      <c r="BR28" s="537">
        <f t="shared" si="39"/>
        <v>272.68683964341307</v>
      </c>
      <c r="BS28" s="538">
        <f t="shared" si="40"/>
        <v>49.940823224397832</v>
      </c>
      <c r="BT28" s="539">
        <f t="shared" si="41"/>
        <v>1</v>
      </c>
      <c r="BU28" s="535">
        <f t="shared" si="28"/>
        <v>40.402559449440787</v>
      </c>
      <c r="BV28" s="539">
        <f t="shared" si="42"/>
        <v>1</v>
      </c>
      <c r="BW28" s="535">
        <f t="shared" si="29"/>
        <v>9.5382637749570485</v>
      </c>
      <c r="BX28" s="539">
        <f t="shared" si="43"/>
        <v>1</v>
      </c>
      <c r="BY28" s="538">
        <f t="shared" si="44"/>
        <v>0.64525532573562183</v>
      </c>
      <c r="BZ28" s="540">
        <f>BY28*Hypothèses!$B$3/Hypothèses!$B$9</f>
        <v>0.23705452890779202</v>
      </c>
      <c r="CA28" s="538">
        <f t="shared" si="45"/>
        <v>272.04158431767746</v>
      </c>
      <c r="CB28" s="533">
        <f>BW28*Prod_Carburant_Alt!$R$61+BZ28*Hypothèses!$B$13</f>
        <v>445.35493098036034</v>
      </c>
      <c r="CC28" s="538">
        <f t="shared" si="46"/>
        <v>206.35306766420968</v>
      </c>
      <c r="CD28" s="541">
        <f t="shared" si="47"/>
        <v>0.31697859856253408</v>
      </c>
      <c r="CE28" s="537">
        <f t="shared" si="48"/>
        <v>4.8989042407839634</v>
      </c>
      <c r="CF28" s="503">
        <f>(CA28+BU28*BO28)*Hypothèses!$D$23+CE28</f>
        <v>1056.0207584886643</v>
      </c>
      <c r="CG28" s="504">
        <f t="shared" si="16"/>
        <v>0.12715006179628685</v>
      </c>
      <c r="CH28" s="503">
        <f>(CA28+BU28*BO28)*Hypothèses!$B$23</f>
        <v>882.94235756821956</v>
      </c>
      <c r="CI28" s="503">
        <f t="shared" si="49"/>
        <v>0</v>
      </c>
      <c r="CJ28" s="503">
        <f>(BU28+BW28+CA28)*Hypothèses!$B$6+BZ28*Hypothèses!$B$11</f>
        <v>10.309600459098013</v>
      </c>
      <c r="CK28" s="503">
        <f>(BU28+BW28+CA28)*Hypothèses!$B$5+BZ28*Hypothèses!$B$10</f>
        <v>449.68903724365475</v>
      </c>
      <c r="CL28" s="542">
        <f t="shared" si="17"/>
        <v>0.27637830623118159</v>
      </c>
    </row>
    <row r="29" spans="1:90" ht="14.25" customHeight="1">
      <c r="A29" s="331"/>
      <c r="B29" s="516">
        <v>2033</v>
      </c>
      <c r="C29" s="655">
        <f>Trajectoires!AA25</f>
        <v>1515.2898565070404</v>
      </c>
      <c r="D29" s="659">
        <f>C29/Hypothèses!$D$23</f>
        <v>404.07729506854412</v>
      </c>
      <c r="E29" s="659">
        <f>D29*Hypothèses!$B$23</f>
        <v>1272.843479465914</v>
      </c>
      <c r="F29" s="659">
        <f>D29*Hypothèses!$B$5</f>
        <v>561.66744014527626</v>
      </c>
      <c r="G29" s="659">
        <f>D29*Hypothèses!$B$6</f>
        <v>12.930473442193412</v>
      </c>
      <c r="H29" s="519">
        <f t="shared" si="30"/>
        <v>6.6666666666666666E-2</v>
      </c>
      <c r="I29" s="520">
        <f>IF(J29&gt;=1,ROUND(COUNTIFS($B$16:$B29,"&gt;"&amp;MAX($B29-$D$2,2019),H$16:H29,1/25)*(1/$D$2-1/25)*25,0),0)</f>
        <v>0</v>
      </c>
      <c r="J29" s="521">
        <f t="shared" si="50"/>
        <v>0.79999999999999993</v>
      </c>
      <c r="K29" s="522">
        <f>Hypothèses!$G$77</f>
        <v>0.01</v>
      </c>
      <c r="L29" s="523">
        <f t="shared" si="0"/>
        <v>12.72843479465914</v>
      </c>
      <c r="M29" s="524">
        <f t="array" ref="M29">1-SUM(IF((Roadmap_Avion!$B$8:$B$38=$B29)*(Roadmap_Avion!$C$4:$Z$4=$B$2)*(Roadmap_Avion!$C$6:$Z$6=M$7)*(Roadmap_Avion!$C$7:$Z$7=M$9),Roadmap_Avion!$C$8:$Z$38,0))</f>
        <v>0.15000000000000002</v>
      </c>
      <c r="N29" s="525">
        <f t="array" ref="N29">SUM(IF((Roadmap_Avion!$B$8:$B$38=$B29)*(Roadmap_Avion!$C$4:$Z$4=$B$2)*(Roadmap_Avion!$C$6:$Z$6=N$7)*(Roadmap_Avion!$C$7:$Z$7=N$9),Roadmap_Avion!$C$8:$Z$38,0))</f>
        <v>0</v>
      </c>
      <c r="O29" s="526">
        <f t="array" ref="O29">SUM(IF((Roadmap_Avion!$B$8:$B$38=$B29)*(Roadmap_Avion!$C$4:$Z$4=$B$2)*(Roadmap_Avion!$C$6:$Z$6=O$7)*(Roadmap_Avion!$C$7:$Z$7=O$9),Roadmap_Avion!$C$8:$Z$38,0))</f>
        <v>1</v>
      </c>
      <c r="P29" s="527">
        <f t="array" ref="P29">IF($J29&lt;1,P28+$H29*M29,SUMPRODUCT(($B$16:$B$46&lt;=$B29)*($B$16:$B$46&gt;MAX($B29-$D$2-$I29,2019))*$H$16:$H$46*M$16:M$46))</f>
        <v>0.20666666666666669</v>
      </c>
      <c r="Q29" s="528">
        <f t="shared" si="31"/>
        <v>10.097891603762918</v>
      </c>
      <c r="R29" s="529">
        <f t="shared" si="18"/>
        <v>2.5000000000000001E-3</v>
      </c>
      <c r="S29" s="530">
        <f t="shared" si="19"/>
        <v>2.6666666666666666E-3</v>
      </c>
      <c r="T29" s="522">
        <f>Hypothèses!$G$78</f>
        <v>0.03</v>
      </c>
      <c r="U29" s="523">
        <f t="shared" si="2"/>
        <v>38.185304383977417</v>
      </c>
      <c r="V29" s="524">
        <f t="array" ref="V29">1-SUM(IF((Roadmap_Avion!$B$8:$B$38=$B29)*(Roadmap_Avion!$C$4:$Z$4=$B$2)*(Roadmap_Avion!$C$6:$Z$6=V$7)*(Roadmap_Avion!$C$7:$Z$7=V$9),Roadmap_Avion!$C$8:$Z$38,0))</f>
        <v>0.5</v>
      </c>
      <c r="W29" s="525">
        <f t="array" ref="W29">SUM(IF((Roadmap_Avion!$B$8:$B$38=$B29)*(Roadmap_Avion!$C$4:$Z$4=$B$2)*(Roadmap_Avion!$C$6:$Z$6=W$7)*(Roadmap_Avion!$C$7:$Z$7=W$9),Roadmap_Avion!$C$8:$Z$38,0))</f>
        <v>0.25</v>
      </c>
      <c r="X29" s="526">
        <f t="array" ref="X29">SUM(IF((Roadmap_Avion!$B$8:$B$38=$B29)*(Roadmap_Avion!$C$4:$Z$4=$B$2)*(Roadmap_Avion!$C$6:$Z$6=X$7)*(Roadmap_Avion!$C$7:$Z$7=X$9),Roadmap_Avion!$C$8:$Z$38,0))</f>
        <v>0</v>
      </c>
      <c r="Y29" s="527">
        <f t="array" ref="Y29">IF($J29&lt;1,Y28+$H29*V29,SUMPRODUCT(($B$16:$B$46&lt;=$B29)*($B$16:$B$46&gt;MAX($B29-$D$2-$I29,2019))*$H$16:$H$46*V$16:V$46))</f>
        <v>0.16666666666666663</v>
      </c>
      <c r="Z29" s="528">
        <f t="shared" si="32"/>
        <v>31.821086986647849</v>
      </c>
      <c r="AA29" s="529">
        <f t="shared" si="20"/>
        <v>1.2E-2</v>
      </c>
      <c r="AB29" s="530">
        <f t="shared" si="21"/>
        <v>0</v>
      </c>
      <c r="AC29" s="522">
        <f>Hypothèses!$G$79</f>
        <v>0.24</v>
      </c>
      <c r="AD29" s="523">
        <f t="shared" si="4"/>
        <v>305.48243507181934</v>
      </c>
      <c r="AE29" s="524">
        <f t="array" ref="AE29">1-SUM(IF((Roadmap_Avion!$B$8:$B$38=$B29)*(Roadmap_Avion!$C$4:$Z$4=$B$2)*(Roadmap_Avion!$C$6:$Z$6=AE$7)*(Roadmap_Avion!$C$7:$Z$7=AE$9),Roadmap_Avion!$C$8:$Z$38,0))</f>
        <v>0.25</v>
      </c>
      <c r="AF29" s="525">
        <f t="array" ref="AF29">SUM(IF((Roadmap_Avion!$B$8:$B$38=$B29)*(Roadmap_Avion!$C$4:$Z$4=$B$2)*(Roadmap_Avion!$C$6:$Z$6=AF$7)*(Roadmap_Avion!$C$7:$Z$7=AF$9),Roadmap_Avion!$C$8:$Z$38,0))</f>
        <v>0.5</v>
      </c>
      <c r="AG29" s="526">
        <f t="array" ref="AG29">SUM(IF((Roadmap_Avion!$B$8:$B$38=$B29)*(Roadmap_Avion!$C$4:$Z$4=$B$2)*(Roadmap_Avion!$C$6:$Z$6=AG$7)*(Roadmap_Avion!$C$7:$Z$7=AG$9),Roadmap_Avion!$C$8:$Z$38,0))</f>
        <v>0</v>
      </c>
      <c r="AH29" s="527">
        <f t="array" ref="AH29">IF($J29&lt;1,AH28+$H29*AE29,SUMPRODUCT(($B$16:$B$46&lt;=$B29)*($B$16:$B$46&gt;MAX($B29-$D$2-$I29,2019))*$H$16:$H$46*AE$16:AE$46))</f>
        <v>0.18333333333333329</v>
      </c>
      <c r="AI29" s="528">
        <f t="shared" si="33"/>
        <v>249.47732197531911</v>
      </c>
      <c r="AJ29" s="529">
        <f t="shared" si="22"/>
        <v>0.112</v>
      </c>
      <c r="AK29" s="530">
        <f t="shared" si="23"/>
        <v>0</v>
      </c>
      <c r="AL29" s="522">
        <f>Hypothèses!$G$80</f>
        <v>0.42</v>
      </c>
      <c r="AM29" s="523">
        <f t="shared" si="6"/>
        <v>534.59426137568391</v>
      </c>
      <c r="AN29" s="524">
        <f t="array" ref="AN29">1-SUM(IF((Roadmap_Avion!$B$8:$B$38=$B29)*(Roadmap_Avion!$C$4:$Z$4=$B$2)*(Roadmap_Avion!$C$6:$Z$6=AN$7)*(Roadmap_Avion!$C$7:$Z$7=AN$9),Roadmap_Avion!$C$8:$Z$38,0))</f>
        <v>0.25</v>
      </c>
      <c r="AO29" s="525">
        <f t="array" ref="AO29">SUM(IF((Roadmap_Avion!$B$8:$B$38=$B29)*(Roadmap_Avion!$C$4:$Z$4=$B$2)*(Roadmap_Avion!$C$6:$Z$6=AO$7)*(Roadmap_Avion!$C$7:$Z$7=AO$9),Roadmap_Avion!$C$8:$Z$38,0))</f>
        <v>0.5</v>
      </c>
      <c r="AP29" s="526">
        <f t="array" ref="AP29">SUM(IF((Roadmap_Avion!$B$8:$B$38=$B29)*(Roadmap_Avion!$C$4:$Z$4=$B$2)*(Roadmap_Avion!$C$6:$Z$6=AP$7)*(Roadmap_Avion!$C$7:$Z$7=AP$9),Roadmap_Avion!$C$8:$Z$38,0))</f>
        <v>0</v>
      </c>
      <c r="AQ29" s="527">
        <f t="array" ref="AQ29">IF($J29&lt;1,AQ28+$H29*AN29,SUMPRODUCT(($B$16:$B$46&lt;=$B29)*($B$16:$B$46&gt;MAX($B29-$D$2-$I29,2019))*$H$16:$H$46*AN$16:AN$46))</f>
        <v>0.18333333333333329</v>
      </c>
      <c r="AR29" s="528">
        <f t="shared" si="34"/>
        <v>436.58531345680854</v>
      </c>
      <c r="AS29" s="529">
        <f t="shared" si="8"/>
        <v>0.19600000000000001</v>
      </c>
      <c r="AT29" s="530">
        <f t="shared" si="9"/>
        <v>0</v>
      </c>
      <c r="AU29" s="531">
        <f>Hypothèses!$G$81</f>
        <v>0.3</v>
      </c>
      <c r="AV29" s="523">
        <f t="shared" si="10"/>
        <v>381.85304383977422</v>
      </c>
      <c r="AW29" s="524">
        <f t="array" ref="AW29">1-SUM(IF((Roadmap_Avion!$B$8:$B$38=$B29)*(Roadmap_Avion!$C$4:$Z$4=$B$2)*(Roadmap_Avion!$C$6:$Z$6=AW$7)*(Roadmap_Avion!$C$7:$Z$7=AW$9),Roadmap_Avion!$C$8:$Z$38,0))</f>
        <v>0.25</v>
      </c>
      <c r="AX29" s="525">
        <f t="array" ref="AX29">SUM(IF((Roadmap_Avion!$B$8:$B$38=$B29)*(Roadmap_Avion!$C$4:$Z$4=$B$2)*(Roadmap_Avion!$C$6:$Z$6=AX$7)*(Roadmap_Avion!$C$7:$Z$7=AX$9),Roadmap_Avion!$C$8:$Z$38,0))</f>
        <v>0.5</v>
      </c>
      <c r="AY29" s="526">
        <f t="array" ref="AY29">SUM(IF((Roadmap_Avion!$B$8:$B$38=$B29)*(Roadmap_Avion!$C$4:$Z$4=$B$2)*(Roadmap_Avion!$C$6:$Z$6=AY$7)*(Roadmap_Avion!$C$7:$Z$7=AY$9),Roadmap_Avion!$C$8:$Z$38,0))</f>
        <v>0</v>
      </c>
      <c r="AZ29" s="527">
        <f t="array" ref="AZ29">IF($J29&lt;1,AZ28+$H29*AW29,SUMPRODUCT(($B$16:$B$46&lt;=$B29)*($B$16:$B$46&gt;MAX($B29-$D$2-$I29,2019))*$H$16:$H$46*AW$16:AW$46))</f>
        <v>0.19999999999999998</v>
      </c>
      <c r="BA29" s="528">
        <f t="shared" si="35"/>
        <v>305.4824350718194</v>
      </c>
      <c r="BB29" s="529">
        <f t="shared" si="24"/>
        <v>0.14000000000000001</v>
      </c>
      <c r="BC29" s="529">
        <f t="shared" si="25"/>
        <v>0</v>
      </c>
      <c r="BD29" s="517">
        <f t="shared" si="12"/>
        <v>1033.464049094358</v>
      </c>
      <c r="BE29" s="518">
        <f>BD29*(Hypothèses!$D$23/Hypothèses!$B$23)</f>
        <v>1230.31434415995</v>
      </c>
      <c r="BF29" s="532">
        <f t="shared" si="13"/>
        <v>0.18806666666666649</v>
      </c>
      <c r="BG29" s="518">
        <f>BD29/Hypothèses!$B$23</f>
        <v>328.08382510932</v>
      </c>
      <c r="BH29" s="532">
        <f t="shared" si="14"/>
        <v>0.46250000000000002</v>
      </c>
      <c r="BI29" s="532">
        <f t="shared" si="14"/>
        <v>2.6666666666666666E-3</v>
      </c>
      <c r="BJ29" s="518">
        <f t="shared" si="26"/>
        <v>151.7387691130605</v>
      </c>
      <c r="BK29" s="533">
        <f t="shared" si="36"/>
        <v>58.385773085553204</v>
      </c>
      <c r="BL29" s="534">
        <f t="shared" si="37"/>
        <v>0.38477821737205464</v>
      </c>
      <c r="BM29" s="535">
        <f t="array" ref="BM29">SUM(IF((Prod_Carburant_Alt!$A$7:$A$37=$B29)*(Prod_Carburant_Alt!$B$3:$AI$3=$C$2)*(Prod_Carburant_Alt!$B$5:$AI$5=BM$7)*(Prod_Carburant_Alt!$B$6:$AI$6=BM$9),Prod_Carburant_Alt!$B$7:$AI$37,0))</f>
        <v>46.462943366856891</v>
      </c>
      <c r="BN29" s="534">
        <f t="shared" si="27"/>
        <v>2.0459671253388247</v>
      </c>
      <c r="BO29" s="536">
        <f t="array" ref="BO29">SUM(IF((Prod_Carburant_Alt!$A$7:$A$37=$B29)*(Prod_Carburant_Alt!$B$3:$AI$3=$C$2)*(Prod_Carburant_Alt!$B$5:$AI$5=BO$7)*(Prod_Carburant_Alt!$B$6:$AI$6=BO$9),Prod_Carburant_Alt!$B$7:$AI$37,0))</f>
        <v>0.20438251753392206</v>
      </c>
      <c r="BP29" s="543">
        <f t="array" ref="BP29">SUM(IF((Prod_Carburant_Alt!$A$7:$A$37=$B29)*(Prod_Carburant_Alt!$B$3:$AI$3=$C$2)*(Prod_Carburant_Alt!$B$5:$AI$5=BP$7)*(Prod_Carburant_Alt!$B$6:$AI$6=BP$9),Prod_Carburant_Alt!$B$7:$AI$37,0))</f>
        <v>11.922829718696311</v>
      </c>
      <c r="BQ29" s="536">
        <f t="shared" si="38"/>
        <v>7.857470960379688E-2</v>
      </c>
      <c r="BR29" s="537">
        <f t="shared" si="39"/>
        <v>269.69805202376682</v>
      </c>
      <c r="BS29" s="538">
        <f t="shared" si="40"/>
        <v>58.385773085553204</v>
      </c>
      <c r="BT29" s="539">
        <f t="shared" si="41"/>
        <v>1</v>
      </c>
      <c r="BU29" s="535">
        <f t="shared" si="28"/>
        <v>46.462943366856891</v>
      </c>
      <c r="BV29" s="539">
        <f t="shared" si="42"/>
        <v>1</v>
      </c>
      <c r="BW29" s="535">
        <f t="shared" si="29"/>
        <v>11.922829718696311</v>
      </c>
      <c r="BX29" s="539">
        <f t="shared" si="43"/>
        <v>1</v>
      </c>
      <c r="BY29" s="538">
        <f t="shared" si="44"/>
        <v>0.87489020029151998</v>
      </c>
      <c r="BZ29" s="540">
        <f>BY29*Hypothèses!$B$3/Hypothèses!$B$9</f>
        <v>0.32141801238092532</v>
      </c>
      <c r="CA29" s="538">
        <f t="shared" si="45"/>
        <v>268.82316182347529</v>
      </c>
      <c r="CB29" s="533">
        <f>BW29*Prod_Carburant_Alt!$R$61+BZ29*Hypothèses!$B$13</f>
        <v>558.1151589398736</v>
      </c>
      <c r="CC29" s="538">
        <f t="shared" si="46"/>
        <v>258.59997755861758</v>
      </c>
      <c r="CD29" s="541">
        <f t="shared" si="47"/>
        <v>0.39723498856930506</v>
      </c>
      <c r="CE29" s="537">
        <f t="shared" si="48"/>
        <v>6.1392667483386099</v>
      </c>
      <c r="CF29" s="503">
        <f>(CA29+BU29*BO29)*Hypothèses!$D$23+CE29</f>
        <v>1049.8369236014494</v>
      </c>
      <c r="CG29" s="504">
        <f t="shared" si="16"/>
        <v>0.14669212093249984</v>
      </c>
      <c r="CH29" s="503">
        <f>(CA29+BU29*BO29)*Hypothèses!$B$23</f>
        <v>876.70603175661313</v>
      </c>
      <c r="CI29" s="503">
        <f t="shared" si="49"/>
        <v>0</v>
      </c>
      <c r="CJ29" s="503">
        <f>(BU29+BW29+CA29)*Hypothèses!$B$6+BZ29*Hypothèses!$B$11</f>
        <v>10.479042785410815</v>
      </c>
      <c r="CK29" s="503">
        <f>(BU29+BW29+CA29)*Hypothèses!$B$5+BZ29*Hypothèses!$B$10</f>
        <v>457.7131816349779</v>
      </c>
      <c r="CL29" s="542">
        <f t="shared" si="17"/>
        <v>0.30717088938912757</v>
      </c>
    </row>
    <row r="30" spans="1:90" ht="14.25" customHeight="1">
      <c r="A30" s="331"/>
      <c r="B30" s="516">
        <v>2034</v>
      </c>
      <c r="C30" s="655">
        <f>Trajectoires!AA26</f>
        <v>1573.0984171359921</v>
      </c>
      <c r="D30" s="659">
        <f>C30/Hypothèses!$D$23</f>
        <v>419.49291123626455</v>
      </c>
      <c r="E30" s="659">
        <f>D30*Hypothèses!$B$23</f>
        <v>1321.4026703942334</v>
      </c>
      <c r="F30" s="659">
        <f>D30*Hypothèses!$B$5</f>
        <v>583.09514661840763</v>
      </c>
      <c r="G30" s="659">
        <f>D30*Hypothèses!$B$6</f>
        <v>13.423773159560465</v>
      </c>
      <c r="H30" s="519">
        <f t="shared" si="30"/>
        <v>6.6666666666666666E-2</v>
      </c>
      <c r="I30" s="520">
        <f>IF(J30&gt;=1,ROUND(COUNTIFS($B$16:$B30,"&gt;"&amp;MAX($B30-$D$2,2019),H$16:H30,1/25)*(1/$D$2-1/25)*25,0),0)</f>
        <v>0</v>
      </c>
      <c r="J30" s="521">
        <f t="shared" si="50"/>
        <v>0.86666666666666659</v>
      </c>
      <c r="K30" s="522">
        <f>Hypothèses!$G$77</f>
        <v>0.01</v>
      </c>
      <c r="L30" s="523">
        <f t="shared" si="0"/>
        <v>13.214026703942334</v>
      </c>
      <c r="M30" s="524">
        <f t="array" ref="M30">1-SUM(IF((Roadmap_Avion!$B$8:$B$38=$B30)*(Roadmap_Avion!$C$4:$Z$4=$B$2)*(Roadmap_Avion!$C$6:$Z$6=M$7)*(Roadmap_Avion!$C$7:$Z$7=M$9),Roadmap_Avion!$C$8:$Z$38,0))</f>
        <v>0.15000000000000002</v>
      </c>
      <c r="N30" s="525">
        <f t="array" ref="N30">SUM(IF((Roadmap_Avion!$B$8:$B$38=$B30)*(Roadmap_Avion!$C$4:$Z$4=$B$2)*(Roadmap_Avion!$C$6:$Z$6=N$7)*(Roadmap_Avion!$C$7:$Z$7=N$9),Roadmap_Avion!$C$8:$Z$38,0))</f>
        <v>0</v>
      </c>
      <c r="O30" s="526">
        <f t="array" ref="O30">SUM(IF((Roadmap_Avion!$B$8:$B$38=$B30)*(Roadmap_Avion!$C$4:$Z$4=$B$2)*(Roadmap_Avion!$C$6:$Z$6=O$7)*(Roadmap_Avion!$C$7:$Z$7=O$9),Roadmap_Avion!$C$8:$Z$38,0))</f>
        <v>1</v>
      </c>
      <c r="P30" s="527">
        <f t="array" ref="P30">IF($J30&lt;1,P29+$H30*M30,SUMPRODUCT(($B$16:$B$46&lt;=$B30)*($B$16:$B$46&gt;MAX($B30-$D$2-$I30,2019))*$H$16:$H$46*M$16:M$46))</f>
        <v>0.2166666666666667</v>
      </c>
      <c r="Q30" s="528">
        <f t="shared" si="31"/>
        <v>10.350987584754828</v>
      </c>
      <c r="R30" s="529">
        <f t="shared" si="18"/>
        <v>2.5000000000000001E-3</v>
      </c>
      <c r="S30" s="530">
        <f t="shared" si="19"/>
        <v>3.3333333333333335E-3</v>
      </c>
      <c r="T30" s="522">
        <f>Hypothèses!$G$78</f>
        <v>0.03</v>
      </c>
      <c r="U30" s="523">
        <f t="shared" si="2"/>
        <v>39.642080111826999</v>
      </c>
      <c r="V30" s="524">
        <f t="array" ref="V30">1-SUM(IF((Roadmap_Avion!$B$8:$B$38=$B30)*(Roadmap_Avion!$C$4:$Z$4=$B$2)*(Roadmap_Avion!$C$6:$Z$6=V$7)*(Roadmap_Avion!$C$7:$Z$7=V$9),Roadmap_Avion!$C$8:$Z$38,0))</f>
        <v>0.5</v>
      </c>
      <c r="W30" s="525">
        <f t="array" ref="W30">SUM(IF((Roadmap_Avion!$B$8:$B$38=$B30)*(Roadmap_Avion!$C$4:$Z$4=$B$2)*(Roadmap_Avion!$C$6:$Z$6=W$7)*(Roadmap_Avion!$C$7:$Z$7=W$9),Roadmap_Avion!$C$8:$Z$38,0))</f>
        <v>0.25</v>
      </c>
      <c r="X30" s="526">
        <f t="array" ref="X30">SUM(IF((Roadmap_Avion!$B$8:$B$38=$B30)*(Roadmap_Avion!$C$4:$Z$4=$B$2)*(Roadmap_Avion!$C$6:$Z$6=X$7)*(Roadmap_Avion!$C$7:$Z$7=X$9),Roadmap_Avion!$C$8:$Z$38,0))</f>
        <v>0</v>
      </c>
      <c r="Y30" s="527">
        <f t="array" ref="Y30">IF($J30&lt;1,Y29+$H30*V30,SUMPRODUCT(($B$16:$B$46&lt;=$B30)*($B$16:$B$46&gt;MAX($B30-$D$2-$I30,2019))*$H$16:$H$46*V$16:V$46))</f>
        <v>0.19999999999999996</v>
      </c>
      <c r="Z30" s="528">
        <f t="shared" si="32"/>
        <v>31.713664089461602</v>
      </c>
      <c r="AA30" s="529">
        <f t="shared" si="20"/>
        <v>1.2500000000000001E-2</v>
      </c>
      <c r="AB30" s="530">
        <f t="shared" si="21"/>
        <v>0</v>
      </c>
      <c r="AC30" s="522">
        <f>Hypothèses!$G$79</f>
        <v>0.24</v>
      </c>
      <c r="AD30" s="523">
        <f t="shared" si="4"/>
        <v>317.13664089461599</v>
      </c>
      <c r="AE30" s="524">
        <f t="array" ref="AE30">1-SUM(IF((Roadmap_Avion!$B$8:$B$38=$B30)*(Roadmap_Avion!$C$4:$Z$4=$B$2)*(Roadmap_Avion!$C$6:$Z$6=AE$7)*(Roadmap_Avion!$C$7:$Z$7=AE$9),Roadmap_Avion!$C$8:$Z$38,0))</f>
        <v>0.25</v>
      </c>
      <c r="AF30" s="525">
        <f t="array" ref="AF30">SUM(IF((Roadmap_Avion!$B$8:$B$38=$B30)*(Roadmap_Avion!$C$4:$Z$4=$B$2)*(Roadmap_Avion!$C$6:$Z$6=AF$7)*(Roadmap_Avion!$C$7:$Z$7=AF$9),Roadmap_Avion!$C$8:$Z$38,0))</f>
        <v>0.5</v>
      </c>
      <c r="AG30" s="526">
        <f t="array" ref="AG30">SUM(IF((Roadmap_Avion!$B$8:$B$38=$B30)*(Roadmap_Avion!$C$4:$Z$4=$B$2)*(Roadmap_Avion!$C$6:$Z$6=AG$7)*(Roadmap_Avion!$C$7:$Z$7=AG$9),Roadmap_Avion!$C$8:$Z$38,0))</f>
        <v>0</v>
      </c>
      <c r="AH30" s="527">
        <f t="array" ref="AH30">IF($J30&lt;1,AH29+$H30*AE30,SUMPRODUCT(($B$16:$B$46&lt;=$B30)*($B$16:$B$46&gt;MAX($B30-$D$2-$I30,2019))*$H$16:$H$46*AE$16:AE$46))</f>
        <v>0.19999999999999996</v>
      </c>
      <c r="AI30" s="528">
        <f t="shared" si="33"/>
        <v>253.70931271569282</v>
      </c>
      <c r="AJ30" s="529">
        <f t="shared" si="22"/>
        <v>0.11999999999999998</v>
      </c>
      <c r="AK30" s="530">
        <f t="shared" si="23"/>
        <v>0</v>
      </c>
      <c r="AL30" s="522">
        <f>Hypothèses!$G$80</f>
        <v>0.42</v>
      </c>
      <c r="AM30" s="523">
        <f t="shared" si="6"/>
        <v>554.98912156557799</v>
      </c>
      <c r="AN30" s="524">
        <f t="array" ref="AN30">1-SUM(IF((Roadmap_Avion!$B$8:$B$38=$B30)*(Roadmap_Avion!$C$4:$Z$4=$B$2)*(Roadmap_Avion!$C$6:$Z$6=AN$7)*(Roadmap_Avion!$C$7:$Z$7=AN$9),Roadmap_Avion!$C$8:$Z$38,0))</f>
        <v>0.25</v>
      </c>
      <c r="AO30" s="525">
        <f t="array" ref="AO30">SUM(IF((Roadmap_Avion!$B$8:$B$38=$B30)*(Roadmap_Avion!$C$4:$Z$4=$B$2)*(Roadmap_Avion!$C$6:$Z$6=AO$7)*(Roadmap_Avion!$C$7:$Z$7=AO$9),Roadmap_Avion!$C$8:$Z$38,0))</f>
        <v>0.5</v>
      </c>
      <c r="AP30" s="526">
        <f t="array" ref="AP30">SUM(IF((Roadmap_Avion!$B$8:$B$38=$B30)*(Roadmap_Avion!$C$4:$Z$4=$B$2)*(Roadmap_Avion!$C$6:$Z$6=AP$7)*(Roadmap_Avion!$C$7:$Z$7=AP$9),Roadmap_Avion!$C$8:$Z$38,0))</f>
        <v>0</v>
      </c>
      <c r="AQ30" s="527">
        <f t="array" ref="AQ30">IF($J30&lt;1,AQ29+$H30*AN30,SUMPRODUCT(($B$16:$B$46&lt;=$B30)*($B$16:$B$46&gt;MAX($B30-$D$2-$I30,2019))*$H$16:$H$46*AN$16:AN$46))</f>
        <v>0.19999999999999996</v>
      </c>
      <c r="AR30" s="528">
        <f t="shared" si="34"/>
        <v>443.9912972524624</v>
      </c>
      <c r="AS30" s="529">
        <f t="shared" si="8"/>
        <v>0.21</v>
      </c>
      <c r="AT30" s="530">
        <f t="shared" si="9"/>
        <v>0</v>
      </c>
      <c r="AU30" s="531">
        <f>Hypothèses!$G$81</f>
        <v>0.3</v>
      </c>
      <c r="AV30" s="523">
        <f t="shared" si="10"/>
        <v>396.42080111826999</v>
      </c>
      <c r="AW30" s="524">
        <f t="array" ref="AW30">1-SUM(IF((Roadmap_Avion!$B$8:$B$38=$B30)*(Roadmap_Avion!$C$4:$Z$4=$B$2)*(Roadmap_Avion!$C$6:$Z$6=AW$7)*(Roadmap_Avion!$C$7:$Z$7=AW$9),Roadmap_Avion!$C$8:$Z$38,0))</f>
        <v>0.25</v>
      </c>
      <c r="AX30" s="525">
        <f t="array" ref="AX30">SUM(IF((Roadmap_Avion!$B$8:$B$38=$B30)*(Roadmap_Avion!$C$4:$Z$4=$B$2)*(Roadmap_Avion!$C$6:$Z$6=AX$7)*(Roadmap_Avion!$C$7:$Z$7=AX$9),Roadmap_Avion!$C$8:$Z$38,0))</f>
        <v>0.5</v>
      </c>
      <c r="AY30" s="526">
        <f t="array" ref="AY30">SUM(IF((Roadmap_Avion!$B$8:$B$38=$B30)*(Roadmap_Avion!$C$4:$Z$4=$B$2)*(Roadmap_Avion!$C$6:$Z$6=AY$7)*(Roadmap_Avion!$C$7:$Z$7=AY$9),Roadmap_Avion!$C$8:$Z$38,0))</f>
        <v>0</v>
      </c>
      <c r="AZ30" s="527">
        <f t="array" ref="AZ30">IF($J30&lt;1,AZ29+$H30*AW30,SUMPRODUCT(($B$16:$B$46&lt;=$B30)*($B$16:$B$46&gt;MAX($B30-$D$2-$I30,2019))*$H$16:$H$46*AW$16:AW$46))</f>
        <v>0.21666666666666665</v>
      </c>
      <c r="BA30" s="528">
        <f t="shared" si="35"/>
        <v>310.52962754264485</v>
      </c>
      <c r="BB30" s="529">
        <f t="shared" si="24"/>
        <v>0.15</v>
      </c>
      <c r="BC30" s="529">
        <f t="shared" si="25"/>
        <v>0</v>
      </c>
      <c r="BD30" s="517">
        <f t="shared" si="12"/>
        <v>1050.2948891850165</v>
      </c>
      <c r="BE30" s="518">
        <f>BD30*(Hypothèses!$D$23/Hypothèses!$B$23)</f>
        <v>1250.351058553591</v>
      </c>
      <c r="BF30" s="532">
        <f t="shared" si="13"/>
        <v>0.20516666666666672</v>
      </c>
      <c r="BG30" s="518">
        <f>BD30/Hypothèses!$B$23</f>
        <v>333.42694894762428</v>
      </c>
      <c r="BH30" s="532">
        <f t="shared" si="14"/>
        <v>0.495</v>
      </c>
      <c r="BI30" s="532">
        <f t="shared" si="14"/>
        <v>3.3333333333333335E-3</v>
      </c>
      <c r="BJ30" s="518">
        <f t="shared" si="26"/>
        <v>165.04633972907402</v>
      </c>
      <c r="BK30" s="533">
        <f t="shared" si="36"/>
        <v>68.335922020255822</v>
      </c>
      <c r="BL30" s="534">
        <f t="shared" si="37"/>
        <v>0.41404082109564039</v>
      </c>
      <c r="BM30" s="535">
        <f t="array" ref="BM30">SUM(IF((Prod_Carburant_Alt!$A$7:$A$37=$B30)*(Prod_Carburant_Alt!$B$3:$AI$3=$C$2)*(Prod_Carburant_Alt!$B$5:$AI$5=BM$7)*(Prod_Carburant_Alt!$B$6:$AI$6=BM$9),Prod_Carburant_Alt!$B$7:$AI$37,0))</f>
        <v>53.432384871885425</v>
      </c>
      <c r="BN30" s="534">
        <f t="shared" si="27"/>
        <v>2.0180706146010086</v>
      </c>
      <c r="BO30" s="536">
        <f t="array" ref="BO30">SUM(IF((Prod_Carburant_Alt!$A$7:$A$37=$B30)*(Prod_Carburant_Alt!$B$3:$AI$3=$C$2)*(Prod_Carburant_Alt!$B$5:$AI$5=BO$7)*(Prod_Carburant_Alt!$B$6:$AI$6=BO$9),Prod_Carburant_Alt!$B$7:$AI$37,0))</f>
        <v>0.204382517533922</v>
      </c>
      <c r="BP30" s="543">
        <f t="array" ref="BP30">SUM(IF((Prod_Carburant_Alt!$A$7:$A$37=$B30)*(Prod_Carburant_Alt!$B$3:$AI$3=$C$2)*(Prod_Carburant_Alt!$B$5:$AI$5=BP$7)*(Prod_Carburant_Alt!$B$6:$AI$6=BP$9),Prod_Carburant_Alt!$B$7:$AI$37,0))</f>
        <v>14.90353714837039</v>
      </c>
      <c r="BQ30" s="536">
        <f t="shared" si="38"/>
        <v>9.02991073466686E-2</v>
      </c>
      <c r="BR30" s="537">
        <f t="shared" si="39"/>
        <v>265.09102692736849</v>
      </c>
      <c r="BS30" s="538">
        <f t="shared" si="40"/>
        <v>68.335922020255822</v>
      </c>
      <c r="BT30" s="539">
        <f t="shared" si="41"/>
        <v>1</v>
      </c>
      <c r="BU30" s="535">
        <f t="shared" si="28"/>
        <v>53.432384871885425</v>
      </c>
      <c r="BV30" s="539">
        <f t="shared" si="42"/>
        <v>1</v>
      </c>
      <c r="BW30" s="535">
        <f t="shared" si="29"/>
        <v>14.90353714837039</v>
      </c>
      <c r="BX30" s="539">
        <f t="shared" si="43"/>
        <v>1</v>
      </c>
      <c r="BY30" s="538">
        <f t="shared" si="44"/>
        <v>1.1114231631587477</v>
      </c>
      <c r="BZ30" s="540">
        <f>BY30*Hypothèses!$B$3/Hypothèses!$B$9</f>
        <v>0.40831572224442947</v>
      </c>
      <c r="CA30" s="538">
        <f t="shared" si="45"/>
        <v>263.97960376420974</v>
      </c>
      <c r="CB30" s="533">
        <f>BW30*Prod_Carburant_Alt!$R$61+BZ30*Hypothèses!$B$13</f>
        <v>698.01451410237598</v>
      </c>
      <c r="CC30" s="538">
        <f t="shared" si="46"/>
        <v>323.4216716588233</v>
      </c>
      <c r="CD30" s="541">
        <f t="shared" si="47"/>
        <v>0.49680748334688679</v>
      </c>
      <c r="CE30" s="537">
        <f t="shared" si="48"/>
        <v>7.6781596551261355</v>
      </c>
      <c r="CF30" s="503">
        <f>(CA30+BU30*BO30)*Hypothèses!$D$23+CE30</f>
        <v>1038.5540937882529</v>
      </c>
      <c r="CG30" s="504">
        <f t="shared" si="16"/>
        <v>0.16938999916579053</v>
      </c>
      <c r="CH30" s="503">
        <f>(CA30+BU30*BO30)*Hypothèses!$B$23</f>
        <v>865.93578467182647</v>
      </c>
      <c r="CI30" s="503">
        <f t="shared" si="49"/>
        <v>0</v>
      </c>
      <c r="CJ30" s="503">
        <f>(BU30+BW30+CA30)*Hypothèses!$B$6+BZ30*Hypothèses!$B$11</f>
        <v>10.644713033881253</v>
      </c>
      <c r="CK30" s="503">
        <f>(BU30+BW30+CA30)*Hypothèses!$B$5+BZ30*Hypothèses!$B$10</f>
        <v>465.59342234060693</v>
      </c>
      <c r="CL30" s="542">
        <f t="shared" si="17"/>
        <v>0.33980348433694257</v>
      </c>
    </row>
    <row r="31" spans="1:90" ht="14.25" customHeight="1">
      <c r="A31" s="331"/>
      <c r="B31" s="516">
        <v>2035</v>
      </c>
      <c r="C31" s="655">
        <f>Trajectoires!AA27</f>
        <v>1632.8010676045039</v>
      </c>
      <c r="D31" s="659">
        <f>C31/Hypothèses!$D$23</f>
        <v>435.4136180278677</v>
      </c>
      <c r="E31" s="659">
        <f>D31*Hypothèses!$B$23</f>
        <v>1371.5528967877833</v>
      </c>
      <c r="F31" s="659">
        <f>D31*Hypothèses!$B$5</f>
        <v>605.22492905873605</v>
      </c>
      <c r="G31" s="659">
        <f>D31*Hypothèses!$B$6</f>
        <v>13.933235776891767</v>
      </c>
      <c r="H31" s="519">
        <f t="shared" si="30"/>
        <v>6.6666666666666666E-2</v>
      </c>
      <c r="I31" s="520">
        <f>IF(J31&gt;=1,ROUND(COUNTIFS($B$16:$B31,"&gt;"&amp;MAX($B31-$D$2,2019),H$16:H31,1/25)*(1/$D$2-1/25)*25,0),0)</f>
        <v>0</v>
      </c>
      <c r="J31" s="521">
        <f t="shared" si="50"/>
        <v>0.93333333333333324</v>
      </c>
      <c r="K31" s="522">
        <f>Hypothèses!$G$77</f>
        <v>0.01</v>
      </c>
      <c r="L31" s="523">
        <f t="shared" si="0"/>
        <v>13.715528967877834</v>
      </c>
      <c r="M31" s="524">
        <f t="array" ref="M31">1-SUM(IF((Roadmap_Avion!$B$8:$B$38=$B31)*(Roadmap_Avion!$C$4:$Z$4=$B$2)*(Roadmap_Avion!$C$6:$Z$6=M$7)*(Roadmap_Avion!$C$7:$Z$7=M$9),Roadmap_Avion!$C$8:$Z$38,0))</f>
        <v>0.15000000000000002</v>
      </c>
      <c r="N31" s="525">
        <f t="array" ref="N31">SUM(IF((Roadmap_Avion!$B$8:$B$38=$B31)*(Roadmap_Avion!$C$4:$Z$4=$B$2)*(Roadmap_Avion!$C$6:$Z$6=N$7)*(Roadmap_Avion!$C$7:$Z$7=N$9),Roadmap_Avion!$C$8:$Z$38,0))</f>
        <v>0</v>
      </c>
      <c r="O31" s="526">
        <f t="array" ref="O31">SUM(IF((Roadmap_Avion!$B$8:$B$38=$B31)*(Roadmap_Avion!$C$4:$Z$4=$B$2)*(Roadmap_Avion!$C$6:$Z$6=O$7)*(Roadmap_Avion!$C$7:$Z$7=O$9),Roadmap_Avion!$C$8:$Z$38,0))</f>
        <v>1</v>
      </c>
      <c r="P31" s="527">
        <f t="array" ref="P31">IF($J31&lt;1,P30+$H31*M31,SUMPRODUCT(($B$16:$B$46&lt;=$B31)*($B$16:$B$46&gt;MAX($B31-$D$2-$I31,2019))*$H$16:$H$46*M$16:M$46))</f>
        <v>0.22666666666666671</v>
      </c>
      <c r="Q31" s="528">
        <f t="shared" si="31"/>
        <v>10.606675735158857</v>
      </c>
      <c r="R31" s="529">
        <f t="shared" si="18"/>
        <v>2.1666666666666666E-3</v>
      </c>
      <c r="S31" s="530">
        <f t="shared" si="19"/>
        <v>4.0000000000000001E-3</v>
      </c>
      <c r="T31" s="522">
        <f>Hypothèses!$G$78</f>
        <v>0.03</v>
      </c>
      <c r="U31" s="523">
        <f t="shared" si="2"/>
        <v>41.146586903633498</v>
      </c>
      <c r="V31" s="524">
        <f t="array" ref="V31">1-SUM(IF((Roadmap_Avion!$B$8:$B$38=$B31)*(Roadmap_Avion!$C$4:$Z$4=$B$2)*(Roadmap_Avion!$C$6:$Z$6=V$7)*(Roadmap_Avion!$C$7:$Z$7=V$9),Roadmap_Avion!$C$8:$Z$38,0))</f>
        <v>0.15000000000000002</v>
      </c>
      <c r="W31" s="525">
        <f t="array" ref="W31">SUM(IF((Roadmap_Avion!$B$8:$B$38=$B31)*(Roadmap_Avion!$C$4:$Z$4=$B$2)*(Roadmap_Avion!$C$6:$Z$6=W$7)*(Roadmap_Avion!$C$7:$Z$7=W$9),Roadmap_Avion!$C$8:$Z$38,0))</f>
        <v>0</v>
      </c>
      <c r="X31" s="526">
        <f t="array" ref="X31">SUM(IF((Roadmap_Avion!$B$8:$B$38=$B31)*(Roadmap_Avion!$C$4:$Z$4=$B$2)*(Roadmap_Avion!$C$6:$Z$6=X$7)*(Roadmap_Avion!$C$7:$Z$7=X$9),Roadmap_Avion!$C$8:$Z$38,0))</f>
        <v>1</v>
      </c>
      <c r="Y31" s="527">
        <f t="array" ref="Y31">IF($J31&lt;1,Y30+$H31*V31,SUMPRODUCT(($B$16:$B$46&lt;=$B31)*($B$16:$B$46&gt;MAX($B31-$D$2-$I31,2019))*$H$16:$H$46*V$16:V$46))</f>
        <v>0.20999999999999996</v>
      </c>
      <c r="Z31" s="528">
        <f t="shared" si="32"/>
        <v>32.505803653870466</v>
      </c>
      <c r="AA31" s="529">
        <f t="shared" si="20"/>
        <v>1.15E-2</v>
      </c>
      <c r="AB31" s="530">
        <f t="shared" si="21"/>
        <v>2E-3</v>
      </c>
      <c r="AC31" s="522">
        <f>Hypothèses!$G$79</f>
        <v>0.24</v>
      </c>
      <c r="AD31" s="523">
        <f t="shared" si="4"/>
        <v>329.17269522906798</v>
      </c>
      <c r="AE31" s="524">
        <f t="array" ref="AE31">1-SUM(IF((Roadmap_Avion!$B$8:$B$38=$B31)*(Roadmap_Avion!$C$4:$Z$4=$B$2)*(Roadmap_Avion!$C$6:$Z$6=AE$7)*(Roadmap_Avion!$C$7:$Z$7=AE$9),Roadmap_Avion!$C$8:$Z$38,0))</f>
        <v>0.36250000000000004</v>
      </c>
      <c r="AF31" s="525">
        <f t="array" ref="AF31">SUM(IF((Roadmap_Avion!$B$8:$B$38=$B31)*(Roadmap_Avion!$C$4:$Z$4=$B$2)*(Roadmap_Avion!$C$6:$Z$6=AF$7)*(Roadmap_Avion!$C$7:$Z$7=AF$9),Roadmap_Avion!$C$8:$Z$38,0))</f>
        <v>0</v>
      </c>
      <c r="AG31" s="526">
        <f t="array" ref="AG31">SUM(IF((Roadmap_Avion!$B$8:$B$38=$B31)*(Roadmap_Avion!$C$4:$Z$4=$B$2)*(Roadmap_Avion!$C$6:$Z$6=AG$7)*(Roadmap_Avion!$C$7:$Z$7=AG$9),Roadmap_Avion!$C$8:$Z$38,0))</f>
        <v>1</v>
      </c>
      <c r="AH31" s="527">
        <f t="array" ref="AH31">IF($J31&lt;1,AH30+$H31*AE31,SUMPRODUCT(($B$16:$B$46&lt;=$B31)*($B$16:$B$46&gt;MAX($B31-$D$2-$I31,2019))*$H$16:$H$46*AE$16:AE$46))</f>
        <v>0.22416666666666663</v>
      </c>
      <c r="AI31" s="528">
        <f t="shared" si="33"/>
        <v>255.38314938188526</v>
      </c>
      <c r="AJ31" s="529">
        <f t="shared" si="22"/>
        <v>0.112</v>
      </c>
      <c r="AK31" s="530">
        <f t="shared" si="23"/>
        <v>1.6E-2</v>
      </c>
      <c r="AL31" s="522">
        <f>Hypothèses!$G$80</f>
        <v>0.42</v>
      </c>
      <c r="AM31" s="523">
        <f t="shared" si="6"/>
        <v>576.05221665086901</v>
      </c>
      <c r="AN31" s="524">
        <f t="array" ref="AN31">1-SUM(IF((Roadmap_Avion!$B$8:$B$38=$B31)*(Roadmap_Avion!$C$4:$Z$4=$B$2)*(Roadmap_Avion!$C$6:$Z$6=AN$7)*(Roadmap_Avion!$C$7:$Z$7=AN$9),Roadmap_Avion!$C$8:$Z$38,0))</f>
        <v>0.36250000000000004</v>
      </c>
      <c r="AO31" s="525">
        <f t="array" ref="AO31">SUM(IF((Roadmap_Avion!$B$8:$B$38=$B31)*(Roadmap_Avion!$C$4:$Z$4=$B$2)*(Roadmap_Avion!$C$6:$Z$6=AO$7)*(Roadmap_Avion!$C$7:$Z$7=AO$9),Roadmap_Avion!$C$8:$Z$38,0))</f>
        <v>0</v>
      </c>
      <c r="AP31" s="526">
        <f t="array" ref="AP31">SUM(IF((Roadmap_Avion!$B$8:$B$38=$B31)*(Roadmap_Avion!$C$4:$Z$4=$B$2)*(Roadmap_Avion!$C$6:$Z$6=AP$7)*(Roadmap_Avion!$C$7:$Z$7=AP$9),Roadmap_Avion!$C$8:$Z$38,0))</f>
        <v>1</v>
      </c>
      <c r="AQ31" s="527">
        <f t="array" ref="AQ31">IF($J31&lt;1,AQ30+$H31*AN31,SUMPRODUCT(($B$16:$B$46&lt;=$B31)*($B$16:$B$46&gt;MAX($B31-$D$2-$I31,2019))*$H$16:$H$46*AN$16:AN$46))</f>
        <v>0.22416666666666663</v>
      </c>
      <c r="AR31" s="528">
        <f t="shared" si="34"/>
        <v>446.92051141829921</v>
      </c>
      <c r="AS31" s="529">
        <f t="shared" si="8"/>
        <v>0.19600000000000001</v>
      </c>
      <c r="AT31" s="530">
        <f t="shared" si="9"/>
        <v>2.8000000000000001E-2</v>
      </c>
      <c r="AU31" s="531">
        <f>Hypothèses!$G$81</f>
        <v>0.3</v>
      </c>
      <c r="AV31" s="523">
        <f t="shared" si="10"/>
        <v>411.46586903633499</v>
      </c>
      <c r="AW31" s="524">
        <f t="array" ref="AW31">1-SUM(IF((Roadmap_Avion!$B$8:$B$38=$B31)*(Roadmap_Avion!$C$4:$Z$4=$B$2)*(Roadmap_Avion!$C$6:$Z$6=AW$7)*(Roadmap_Avion!$C$7:$Z$7=AW$9),Roadmap_Avion!$C$8:$Z$38,0))</f>
        <v>0.4375</v>
      </c>
      <c r="AX31" s="525">
        <f t="array" ref="AX31">SUM(IF((Roadmap_Avion!$B$8:$B$38=$B31)*(Roadmap_Avion!$C$4:$Z$4=$B$2)*(Roadmap_Avion!$C$6:$Z$6=AX$7)*(Roadmap_Avion!$C$7:$Z$7=AX$9),Roadmap_Avion!$C$8:$Z$38,0))</f>
        <v>1</v>
      </c>
      <c r="AY31" s="526">
        <f t="array" ref="AY31">SUM(IF((Roadmap_Avion!$B$8:$B$38=$B31)*(Roadmap_Avion!$C$4:$Z$4=$B$2)*(Roadmap_Avion!$C$6:$Z$6=AY$7)*(Roadmap_Avion!$C$7:$Z$7=AY$9),Roadmap_Avion!$C$8:$Z$38,0))</f>
        <v>0</v>
      </c>
      <c r="AZ31" s="527">
        <f t="array" ref="AZ31">IF($J31&lt;1,AZ30+$H31*AW31,SUMPRODUCT(($B$16:$B$46&lt;=$B31)*($B$16:$B$46&gt;MAX($B31-$D$2-$I31,2019))*$H$16:$H$46*AW$16:AW$46))</f>
        <v>0.24583333333333332</v>
      </c>
      <c r="BA31" s="528">
        <f t="shared" si="35"/>
        <v>310.31384289823598</v>
      </c>
      <c r="BB31" s="529">
        <f t="shared" si="24"/>
        <v>0.16</v>
      </c>
      <c r="BC31" s="529">
        <f t="shared" si="25"/>
        <v>0</v>
      </c>
      <c r="BD31" s="517">
        <f t="shared" si="12"/>
        <v>1055.7299830874499</v>
      </c>
      <c r="BE31" s="518">
        <f>BD31*(Hypothèses!$D$23/Hypothèses!$B$23)</f>
        <v>1256.8214084374404</v>
      </c>
      <c r="BF31" s="532">
        <f t="shared" si="13"/>
        <v>0.23026666666666651</v>
      </c>
      <c r="BG31" s="518">
        <f>BD31/Hypothèses!$B$23</f>
        <v>335.15237558331745</v>
      </c>
      <c r="BH31" s="532">
        <f t="shared" si="14"/>
        <v>0.48166666666666669</v>
      </c>
      <c r="BI31" s="532">
        <f t="shared" si="14"/>
        <v>0.05</v>
      </c>
      <c r="BJ31" s="518">
        <f t="shared" si="26"/>
        <v>161.43172757263125</v>
      </c>
      <c r="BK31" s="533">
        <f t="shared" si="36"/>
        <v>80.076664038131227</v>
      </c>
      <c r="BL31" s="534">
        <f t="shared" si="37"/>
        <v>0.49604043295704181</v>
      </c>
      <c r="BM31" s="535">
        <f t="array" ref="BM31">SUM(IF((Prod_Carburant_Alt!$A$7:$A$37=$B31)*(Prod_Carburant_Alt!$B$3:$AI$3=$C$2)*(Prod_Carburant_Alt!$B$5:$AI$5=BM$7)*(Prod_Carburant_Alt!$B$6:$AI$6=BM$9),Prod_Carburant_Alt!$B$7:$AI$37,0))</f>
        <v>61.44724260266824</v>
      </c>
      <c r="BN31" s="534">
        <f t="shared" si="27"/>
        <v>2.1541999115100268</v>
      </c>
      <c r="BO31" s="536">
        <f t="array" ref="BO31">SUM(IF((Prod_Carburant_Alt!$A$7:$A$37=$B31)*(Prod_Carburant_Alt!$B$3:$AI$3=$C$2)*(Prod_Carburant_Alt!$B$5:$AI$5=BO$7)*(Prod_Carburant_Alt!$B$6:$AI$6=BO$9),Prod_Carburant_Alt!$B$7:$AI$37,0))</f>
        <v>0.204382517533922</v>
      </c>
      <c r="BP31" s="543">
        <f t="array" ref="BP31">SUM(IF((Prod_Carburant_Alt!$A$7:$A$37=$B31)*(Prod_Carburant_Alt!$B$3:$AI$3=$C$2)*(Prod_Carburant_Alt!$B$5:$AI$5=BP$7)*(Prod_Carburant_Alt!$B$6:$AI$6=BP$9),Prod_Carburant_Alt!$B$7:$AI$37,0))</f>
        <v>18.629421435462987</v>
      </c>
      <c r="BQ31" s="536">
        <f t="shared" si="38"/>
        <v>0.11540123936963538</v>
      </c>
      <c r="BR31" s="537">
        <f t="shared" si="39"/>
        <v>255.07571154518621</v>
      </c>
      <c r="BS31" s="538">
        <f t="shared" si="40"/>
        <v>80.076664038131227</v>
      </c>
      <c r="BT31" s="539">
        <f t="shared" si="41"/>
        <v>1</v>
      </c>
      <c r="BU31" s="535">
        <f t="shared" si="28"/>
        <v>61.447242602668233</v>
      </c>
      <c r="BV31" s="539">
        <f t="shared" si="42"/>
        <v>0.99999999999999989</v>
      </c>
      <c r="BW31" s="535">
        <f t="shared" si="29"/>
        <v>18.629421435462987</v>
      </c>
      <c r="BX31" s="539">
        <f t="shared" si="43"/>
        <v>1</v>
      </c>
      <c r="BY31" s="538">
        <f t="shared" si="44"/>
        <v>16.757618779165874</v>
      </c>
      <c r="BZ31" s="540">
        <f>BY31*Hypothèses!$B$3/Hypothèses!$B$9</f>
        <v>6.156430279413394</v>
      </c>
      <c r="CA31" s="538">
        <f t="shared" si="45"/>
        <v>238.31809276602033</v>
      </c>
      <c r="CB31" s="533">
        <f>BW31*Prod_Carburant_Alt!$R$61+BZ31*Hypothèses!$B$13</f>
        <v>1192.273528624758</v>
      </c>
      <c r="CC31" s="538">
        <f t="shared" si="46"/>
        <v>552.43421148378468</v>
      </c>
      <c r="CD31" s="541">
        <f t="shared" si="47"/>
        <v>0.8485932588076569</v>
      </c>
      <c r="CE31" s="537">
        <f t="shared" si="48"/>
        <v>13.115008814872336</v>
      </c>
      <c r="CF31" s="503">
        <f>(CA31+BU31*BO31)*Hypothèses!$D$23+CE31</f>
        <v>953.90313970738987</v>
      </c>
      <c r="CG31" s="504">
        <f t="shared" si="16"/>
        <v>0.24101934188617744</v>
      </c>
      <c r="CH31" s="503">
        <f>(CA31+BU31*BO31)*Hypothèses!$B$23</f>
        <v>790.2620299497147</v>
      </c>
      <c r="CI31" s="503">
        <f t="shared" si="49"/>
        <v>0</v>
      </c>
      <c r="CJ31" s="503">
        <f>(BU31+BW31+CA31)*Hypothèses!$B$6+BZ31*Hypothèses!$B$11</f>
        <v>10.348699404997596</v>
      </c>
      <c r="CK31" s="503">
        <f>(BU31+BW31+CA31)*Hypothèses!$B$5+BZ31*Hypothèses!$B$10</f>
        <v>497.9765844724912</v>
      </c>
      <c r="CL31" s="542">
        <f t="shared" si="17"/>
        <v>0.4157872880945202</v>
      </c>
    </row>
    <row r="32" spans="1:90" ht="14.25" customHeight="1">
      <c r="A32" s="331"/>
      <c r="B32" s="516">
        <v>2036</v>
      </c>
      <c r="C32" s="655">
        <f>Trajectoires!AA28</f>
        <v>1694.4111622566213</v>
      </c>
      <c r="D32" s="659">
        <f>C32/Hypothèses!$D$23</f>
        <v>451.84297660176566</v>
      </c>
      <c r="E32" s="659">
        <f>D32*Hypothèses!$B$23</f>
        <v>1423.3053762955617</v>
      </c>
      <c r="F32" s="659">
        <f>D32*Hypothèses!$B$5</f>
        <v>628.06173747645425</v>
      </c>
      <c r="G32" s="659">
        <f>D32*Hypothèses!$B$6</f>
        <v>14.458975251256501</v>
      </c>
      <c r="H32" s="519">
        <f t="shared" si="30"/>
        <v>6.6666666666666666E-2</v>
      </c>
      <c r="I32" s="520">
        <f>IF(J32&gt;=1,ROUND(COUNTIFS($B$16:$B32,"&gt;"&amp;MAX($B32-$D$2,2019),H$16:H32,1/25)*(1/$D$2-1/25)*25,0),0)</f>
        <v>2</v>
      </c>
      <c r="J32" s="521">
        <f t="shared" si="50"/>
        <v>0.99999999999999989</v>
      </c>
      <c r="K32" s="522">
        <f>Hypothèses!$G$77</f>
        <v>0.01</v>
      </c>
      <c r="L32" s="523">
        <f t="shared" si="0"/>
        <v>14.233053762955617</v>
      </c>
      <c r="M32" s="524">
        <f t="array" ref="M32">1-SUM(IF((Roadmap_Avion!$B$8:$B$38=$B32)*(Roadmap_Avion!$C$4:$Z$4=$B$2)*(Roadmap_Avion!$C$6:$Z$6=M$7)*(Roadmap_Avion!$C$7:$Z$7=M$9),Roadmap_Avion!$C$8:$Z$38,0))</f>
        <v>0.15000000000000002</v>
      </c>
      <c r="N32" s="525">
        <f t="array" ref="N32">SUM(IF((Roadmap_Avion!$B$8:$B$38=$B32)*(Roadmap_Avion!$C$4:$Z$4=$B$2)*(Roadmap_Avion!$C$6:$Z$6=N$7)*(Roadmap_Avion!$C$7:$Z$7=N$9),Roadmap_Avion!$C$8:$Z$38,0))</f>
        <v>0</v>
      </c>
      <c r="O32" s="526">
        <f t="array" ref="O32">SUM(IF((Roadmap_Avion!$B$8:$B$38=$B32)*(Roadmap_Avion!$C$4:$Z$4=$B$2)*(Roadmap_Avion!$C$6:$Z$6=O$7)*(Roadmap_Avion!$C$7:$Z$7=O$9),Roadmap_Avion!$C$8:$Z$38,0))</f>
        <v>1</v>
      </c>
      <c r="P32" s="527">
        <f t="array" ref="P32">IF($J32&lt;1,P31+$H32*M32,SUMPRODUCT(($B$16:$B$46&lt;=$B32)*($B$16:$B$46&gt;MAX($B32-$D$2-$I32,2019))*$H$16:$H$46*M$16:M$46))</f>
        <v>0.23666666666666672</v>
      </c>
      <c r="Q32" s="528">
        <f t="shared" si="31"/>
        <v>10.864564372389454</v>
      </c>
      <c r="R32" s="529">
        <f t="shared" si="18"/>
        <v>1.8333333333333333E-3</v>
      </c>
      <c r="S32" s="530">
        <f t="shared" si="19"/>
        <v>4.6666666666666671E-3</v>
      </c>
      <c r="T32" s="522">
        <f>Hypothèses!$G$78</f>
        <v>0.03</v>
      </c>
      <c r="U32" s="523">
        <f t="shared" si="2"/>
        <v>42.699161288866847</v>
      </c>
      <c r="V32" s="524">
        <f t="array" ref="V32">1-SUM(IF((Roadmap_Avion!$B$8:$B$38=$B32)*(Roadmap_Avion!$C$4:$Z$4=$B$2)*(Roadmap_Avion!$C$6:$Z$6=V$7)*(Roadmap_Avion!$C$7:$Z$7=V$9),Roadmap_Avion!$C$8:$Z$38,0))</f>
        <v>0.15000000000000002</v>
      </c>
      <c r="W32" s="525">
        <f t="array" ref="W32">SUM(IF((Roadmap_Avion!$B$8:$B$38=$B32)*(Roadmap_Avion!$C$4:$Z$4=$B$2)*(Roadmap_Avion!$C$6:$Z$6=W$7)*(Roadmap_Avion!$C$7:$Z$7=W$9),Roadmap_Avion!$C$8:$Z$38,0))</f>
        <v>0</v>
      </c>
      <c r="X32" s="526">
        <f t="array" ref="X32">SUM(IF((Roadmap_Avion!$B$8:$B$38=$B32)*(Roadmap_Avion!$C$4:$Z$4=$B$2)*(Roadmap_Avion!$C$6:$Z$6=X$7)*(Roadmap_Avion!$C$7:$Z$7=X$9),Roadmap_Avion!$C$8:$Z$38,0))</f>
        <v>1</v>
      </c>
      <c r="Y32" s="527">
        <f t="array" ref="Y32">IF($J32&lt;1,Y31+$H32*V32,SUMPRODUCT(($B$16:$B$46&lt;=$B32)*($B$16:$B$46&gt;MAX($B32-$D$2-$I32,2019))*$H$16:$H$46*V$16:V$46))</f>
        <v>0.21999999999999997</v>
      </c>
      <c r="Z32" s="528">
        <f t="shared" si="32"/>
        <v>33.305345805316144</v>
      </c>
      <c r="AA32" s="529">
        <f t="shared" si="20"/>
        <v>1.0500000000000001E-2</v>
      </c>
      <c r="AB32" s="530">
        <f t="shared" si="21"/>
        <v>4.0000000000000001E-3</v>
      </c>
      <c r="AC32" s="522">
        <f>Hypothèses!$G$79</f>
        <v>0.24</v>
      </c>
      <c r="AD32" s="523">
        <f t="shared" si="4"/>
        <v>341.59329031093478</v>
      </c>
      <c r="AE32" s="524">
        <f t="array" ref="AE32">1-SUM(IF((Roadmap_Avion!$B$8:$B$38=$B32)*(Roadmap_Avion!$C$4:$Z$4=$B$2)*(Roadmap_Avion!$C$6:$Z$6=AE$7)*(Roadmap_Avion!$C$7:$Z$7=AE$9),Roadmap_Avion!$C$8:$Z$38,0))</f>
        <v>0.36250000000000004</v>
      </c>
      <c r="AF32" s="525">
        <f t="array" ref="AF32">SUM(IF((Roadmap_Avion!$B$8:$B$38=$B32)*(Roadmap_Avion!$C$4:$Z$4=$B$2)*(Roadmap_Avion!$C$6:$Z$6=AF$7)*(Roadmap_Avion!$C$7:$Z$7=AF$9),Roadmap_Avion!$C$8:$Z$38,0))</f>
        <v>0</v>
      </c>
      <c r="AG32" s="526">
        <f t="array" ref="AG32">SUM(IF((Roadmap_Avion!$B$8:$B$38=$B32)*(Roadmap_Avion!$C$4:$Z$4=$B$2)*(Roadmap_Avion!$C$6:$Z$6=AG$7)*(Roadmap_Avion!$C$7:$Z$7=AG$9),Roadmap_Avion!$C$8:$Z$38,0))</f>
        <v>1</v>
      </c>
      <c r="AH32" s="527">
        <f t="array" ref="AH32">IF($J32&lt;1,AH31+$H32*AE32,SUMPRODUCT(($B$16:$B$46&lt;=$B32)*($B$16:$B$46&gt;MAX($B32-$D$2-$I32,2019))*$H$16:$H$46*AE$16:AE$46))</f>
        <v>0.24833333333333329</v>
      </c>
      <c r="AI32" s="528">
        <f t="shared" si="33"/>
        <v>256.7642898837193</v>
      </c>
      <c r="AJ32" s="529">
        <f t="shared" si="22"/>
        <v>0.10400000000000001</v>
      </c>
      <c r="AK32" s="530">
        <f t="shared" si="23"/>
        <v>3.2000000000000001E-2</v>
      </c>
      <c r="AL32" s="522">
        <f>Hypothèses!$G$80</f>
        <v>0.42</v>
      </c>
      <c r="AM32" s="523">
        <f t="shared" si="6"/>
        <v>597.78825804413589</v>
      </c>
      <c r="AN32" s="524">
        <f t="array" ref="AN32">1-SUM(IF((Roadmap_Avion!$B$8:$B$38=$B32)*(Roadmap_Avion!$C$4:$Z$4=$B$2)*(Roadmap_Avion!$C$6:$Z$6=AN$7)*(Roadmap_Avion!$C$7:$Z$7=AN$9),Roadmap_Avion!$C$8:$Z$38,0))</f>
        <v>0.36250000000000004</v>
      </c>
      <c r="AO32" s="525">
        <f t="array" ref="AO32">SUM(IF((Roadmap_Avion!$B$8:$B$38=$B32)*(Roadmap_Avion!$C$4:$Z$4=$B$2)*(Roadmap_Avion!$C$6:$Z$6=AO$7)*(Roadmap_Avion!$C$7:$Z$7=AO$9),Roadmap_Avion!$C$8:$Z$38,0))</f>
        <v>0</v>
      </c>
      <c r="AP32" s="526">
        <f t="array" ref="AP32">SUM(IF((Roadmap_Avion!$B$8:$B$38=$B32)*(Roadmap_Avion!$C$4:$Z$4=$B$2)*(Roadmap_Avion!$C$6:$Z$6=AP$7)*(Roadmap_Avion!$C$7:$Z$7=AP$9),Roadmap_Avion!$C$8:$Z$38,0))</f>
        <v>1</v>
      </c>
      <c r="AQ32" s="527">
        <f t="array" ref="AQ32">IF($J32&lt;1,AQ31+$H32*AN32,SUMPRODUCT(($B$16:$B$46&lt;=$B32)*($B$16:$B$46&gt;MAX($B32-$D$2-$I32,2019))*$H$16:$H$46*AN$16:AN$46))</f>
        <v>0.24833333333333329</v>
      </c>
      <c r="AR32" s="528">
        <f t="shared" si="34"/>
        <v>449.33750729650882</v>
      </c>
      <c r="AS32" s="529">
        <f t="shared" si="8"/>
        <v>0.182</v>
      </c>
      <c r="AT32" s="530">
        <f t="shared" si="9"/>
        <v>5.6000000000000001E-2</v>
      </c>
      <c r="AU32" s="531">
        <f>Hypothèses!$G$81</f>
        <v>0.3</v>
      </c>
      <c r="AV32" s="523">
        <f t="shared" si="10"/>
        <v>426.9916128886685</v>
      </c>
      <c r="AW32" s="524">
        <f t="array" ref="AW32">1-SUM(IF((Roadmap_Avion!$B$8:$B$38=$B32)*(Roadmap_Avion!$C$4:$Z$4=$B$2)*(Roadmap_Avion!$C$6:$Z$6=AW$7)*(Roadmap_Avion!$C$7:$Z$7=AW$9),Roadmap_Avion!$C$8:$Z$38,0))</f>
        <v>0.4375</v>
      </c>
      <c r="AX32" s="525">
        <f t="array" ref="AX32">SUM(IF((Roadmap_Avion!$B$8:$B$38=$B32)*(Roadmap_Avion!$C$4:$Z$4=$B$2)*(Roadmap_Avion!$C$6:$Z$6=AX$7)*(Roadmap_Avion!$C$7:$Z$7=AX$9),Roadmap_Avion!$C$8:$Z$38,0))</f>
        <v>1</v>
      </c>
      <c r="AY32" s="526">
        <f t="array" ref="AY32">SUM(IF((Roadmap_Avion!$B$8:$B$38=$B32)*(Roadmap_Avion!$C$4:$Z$4=$B$2)*(Roadmap_Avion!$C$6:$Z$6=AY$7)*(Roadmap_Avion!$C$7:$Z$7=AY$9),Roadmap_Avion!$C$8:$Z$38,0))</f>
        <v>0</v>
      </c>
      <c r="AZ32" s="527">
        <f t="array" ref="AZ32">IF($J32&lt;1,AZ31+$H32*AW32,SUMPRODUCT(($B$16:$B$46&lt;=$B32)*($B$16:$B$46&gt;MAX($B32-$D$2-$I32,2019))*$H$16:$H$46*AW$16:AW$46))</f>
        <v>0.27499999999999997</v>
      </c>
      <c r="BA32" s="528">
        <f t="shared" si="35"/>
        <v>309.56891934428472</v>
      </c>
      <c r="BB32" s="529">
        <f t="shared" si="24"/>
        <v>0.16999999999999998</v>
      </c>
      <c r="BC32" s="529">
        <f t="shared" si="25"/>
        <v>0</v>
      </c>
      <c r="BD32" s="517">
        <f t="shared" si="12"/>
        <v>1059.8406267022185</v>
      </c>
      <c r="BE32" s="518">
        <f>BD32*(Hypothèses!$D$23/Hypothèses!$B$23)</f>
        <v>1261.7150317883554</v>
      </c>
      <c r="BF32" s="532">
        <f t="shared" si="13"/>
        <v>0.25536666666666663</v>
      </c>
      <c r="BG32" s="518">
        <f>BD32/Hypothèses!$B$23</f>
        <v>336.45734181022812</v>
      </c>
      <c r="BH32" s="532">
        <f t="shared" si="14"/>
        <v>0.46833333333333332</v>
      </c>
      <c r="BI32" s="532">
        <f t="shared" si="14"/>
        <v>9.6666666666666679E-2</v>
      </c>
      <c r="BJ32" s="518">
        <f t="shared" si="26"/>
        <v>157.57418841445684</v>
      </c>
      <c r="BK32" s="533">
        <f t="shared" si="36"/>
        <v>93.951105787397196</v>
      </c>
      <c r="BL32" s="534">
        <f t="shared" si="37"/>
        <v>0.59623410872524307</v>
      </c>
      <c r="BM32" s="535">
        <f t="array" ref="BM32">SUM(IF((Prod_Carburant_Alt!$A$7:$A$37=$B32)*(Prod_Carburant_Alt!$B$3:$AI$3=$C$2)*(Prod_Carburant_Alt!$B$5:$AI$5=BM$7)*(Prod_Carburant_Alt!$B$6:$AI$6=BM$9),Prod_Carburant_Alt!$B$7:$AI$37,0))</f>
        <v>70.664328993068466</v>
      </c>
      <c r="BN32" s="534">
        <f t="shared" si="27"/>
        <v>2.3348157240252312</v>
      </c>
      <c r="BO32" s="536">
        <f t="array" ref="BO32">SUM(IF((Prod_Carburant_Alt!$A$7:$A$37=$B32)*(Prod_Carburant_Alt!$B$3:$AI$3=$C$2)*(Prod_Carburant_Alt!$B$5:$AI$5=BO$7)*(Prod_Carburant_Alt!$B$6:$AI$6=BO$9),Prod_Carburant_Alt!$B$7:$AI$37,0))</f>
        <v>0.204382517533922</v>
      </c>
      <c r="BP32" s="543">
        <f t="array" ref="BP32">SUM(IF((Prod_Carburant_Alt!$A$7:$A$37=$B32)*(Prod_Carburant_Alt!$B$3:$AI$3=$C$2)*(Prod_Carburant_Alt!$B$5:$AI$5=BP$7)*(Prod_Carburant_Alt!$B$6:$AI$6=BP$9),Prod_Carburant_Alt!$B$7:$AI$37,0))</f>
        <v>23.286776794328734</v>
      </c>
      <c r="BQ32" s="536">
        <f t="shared" si="38"/>
        <v>0.14778293976091492</v>
      </c>
      <c r="BR32" s="537">
        <f t="shared" si="39"/>
        <v>242.50623602283093</v>
      </c>
      <c r="BS32" s="538">
        <f t="shared" si="40"/>
        <v>93.951105787397196</v>
      </c>
      <c r="BT32" s="539">
        <f t="shared" si="41"/>
        <v>1</v>
      </c>
      <c r="BU32" s="535">
        <f t="shared" si="28"/>
        <v>70.664328993068466</v>
      </c>
      <c r="BV32" s="539">
        <f t="shared" si="42"/>
        <v>1</v>
      </c>
      <c r="BW32" s="535">
        <f t="shared" si="29"/>
        <v>23.286776794328734</v>
      </c>
      <c r="BX32" s="539">
        <f t="shared" si="43"/>
        <v>1</v>
      </c>
      <c r="BY32" s="538">
        <f t="shared" si="44"/>
        <v>32.524209708322054</v>
      </c>
      <c r="BZ32" s="540">
        <f>BY32*Hypothèses!$B$3/Hypothèses!$B$9</f>
        <v>11.948775783779451</v>
      </c>
      <c r="CA32" s="538">
        <f t="shared" si="45"/>
        <v>209.98202631450889</v>
      </c>
      <c r="CB32" s="533">
        <f>BW32*Prod_Carburant_Alt!$R$61+BZ32*Hypothèses!$B$13</f>
        <v>1731.2181339271658</v>
      </c>
      <c r="CC32" s="538">
        <f t="shared" si="46"/>
        <v>802.1516051150071</v>
      </c>
      <c r="CD32" s="541">
        <f t="shared" si="47"/>
        <v>1.2321837252150647</v>
      </c>
      <c r="CE32" s="537">
        <f t="shared" si="48"/>
        <v>19.043399473198825</v>
      </c>
      <c r="CF32" s="503">
        <f>(CA32+BU32*BO32)*Hypothèses!$D$23+CE32</f>
        <v>860.63557362553956</v>
      </c>
      <c r="CG32" s="504">
        <f t="shared" si="16"/>
        <v>0.31788434635222318</v>
      </c>
      <c r="CH32" s="503">
        <f>(CA32+BU32*BO32)*Hypothèses!$B$23</f>
        <v>706.93742628796622</v>
      </c>
      <c r="CI32" s="503">
        <f t="shared" si="49"/>
        <v>0</v>
      </c>
      <c r="CJ32" s="503">
        <f>(BU32+BW32+CA32)*Hypothèses!$B$6+BZ32*Hypothèses!$B$11</f>
        <v>10.036528397639261</v>
      </c>
      <c r="CK32" s="503">
        <f>(BU32+BW32+CA32)*Hypothèses!$B$5+BZ32*Hypothèses!$B$10</f>
        <v>530.00603567566452</v>
      </c>
      <c r="CL32" s="542">
        <f t="shared" si="17"/>
        <v>0.49207394710541047</v>
      </c>
    </row>
    <row r="33" spans="1:90" ht="14.25" customHeight="1">
      <c r="A33" s="331"/>
      <c r="B33" s="516">
        <v>2037</v>
      </c>
      <c r="C33" s="655">
        <f>Trajectoires!AA29</f>
        <v>1757.9332772602418</v>
      </c>
      <c r="D33" s="659">
        <f>C33/Hypothèses!$D$23</f>
        <v>468.78220726939782</v>
      </c>
      <c r="E33" s="659">
        <f>D33*Hypothèses!$B$23</f>
        <v>1476.6639528986032</v>
      </c>
      <c r="F33" s="659">
        <f>D33*Hypothèses!$B$5</f>
        <v>651.60726810446295</v>
      </c>
      <c r="G33" s="659">
        <f>D33*Hypothèses!$B$6</f>
        <v>15.001030632620731</v>
      </c>
      <c r="H33" s="519">
        <f t="shared" si="30"/>
        <v>6.6666666666666666E-2</v>
      </c>
      <c r="I33" s="520">
        <f>IF(J33&gt;=1,ROUND(COUNTIFS($B$16:$B33,"&gt;"&amp;MAX($B33-$D$2,2019),H$16:H33,1/25)*(1/$D$2-1/25)*25,0),0)</f>
        <v>1</v>
      </c>
      <c r="J33" s="521">
        <f t="shared" si="50"/>
        <v>1.0666666666666667</v>
      </c>
      <c r="K33" s="522">
        <f>Hypothèses!$G$77</f>
        <v>0.01</v>
      </c>
      <c r="L33" s="523">
        <f t="shared" si="0"/>
        <v>14.766639528986031</v>
      </c>
      <c r="M33" s="524">
        <f t="array" ref="M33">1-SUM(IF((Roadmap_Avion!$B$8:$B$38=$B33)*(Roadmap_Avion!$C$4:$Z$4=$B$2)*(Roadmap_Avion!$C$6:$Z$6=M$7)*(Roadmap_Avion!$C$7:$Z$7=M$9),Roadmap_Avion!$C$8:$Z$38,0))</f>
        <v>0.15000000000000002</v>
      </c>
      <c r="N33" s="525">
        <f t="array" ref="N33">SUM(IF((Roadmap_Avion!$B$8:$B$38=$B33)*(Roadmap_Avion!$C$4:$Z$4=$B$2)*(Roadmap_Avion!$C$6:$Z$6=N$7)*(Roadmap_Avion!$C$7:$Z$7=N$9),Roadmap_Avion!$C$8:$Z$38,0))</f>
        <v>0</v>
      </c>
      <c r="O33" s="526">
        <f t="array" ref="O33">SUM(IF((Roadmap_Avion!$B$8:$B$38=$B33)*(Roadmap_Avion!$C$4:$Z$4=$B$2)*(Roadmap_Avion!$C$6:$Z$6=O$7)*(Roadmap_Avion!$C$7:$Z$7=O$9),Roadmap_Avion!$C$8:$Z$38,0))</f>
        <v>1</v>
      </c>
      <c r="P33" s="527">
        <f t="array" ref="P33">IF($J33&lt;1,P32+$H33*M33,SUMPRODUCT(($B$16:$B$46&lt;=$B33)*($B$16:$B$46&gt;MAX($B33-$D$2-$I33,2019))*$H$16:$H$46*M$16:M$46))</f>
        <v>0.24666666666666673</v>
      </c>
      <c r="Q33" s="528">
        <f t="shared" si="31"/>
        <v>11.12420177850281</v>
      </c>
      <c r="R33" s="529">
        <f t="shared" si="18"/>
        <v>1.5E-3</v>
      </c>
      <c r="S33" s="530">
        <f t="shared" si="19"/>
        <v>5.3333333333333332E-3</v>
      </c>
      <c r="T33" s="522">
        <f>Hypothèses!$G$78</f>
        <v>0.03</v>
      </c>
      <c r="U33" s="523">
        <f t="shared" si="2"/>
        <v>44.299918586958093</v>
      </c>
      <c r="V33" s="524">
        <f t="array" ref="V33">1-SUM(IF((Roadmap_Avion!$B$8:$B$38=$B33)*(Roadmap_Avion!$C$4:$Z$4=$B$2)*(Roadmap_Avion!$C$6:$Z$6=V$7)*(Roadmap_Avion!$C$7:$Z$7=V$9),Roadmap_Avion!$C$8:$Z$38,0))</f>
        <v>0.15000000000000002</v>
      </c>
      <c r="W33" s="525">
        <f t="array" ref="W33">SUM(IF((Roadmap_Avion!$B$8:$B$38=$B33)*(Roadmap_Avion!$C$4:$Z$4=$B$2)*(Roadmap_Avion!$C$6:$Z$6=W$7)*(Roadmap_Avion!$C$7:$Z$7=W$9),Roadmap_Avion!$C$8:$Z$38,0))</f>
        <v>0</v>
      </c>
      <c r="X33" s="526">
        <f t="array" ref="X33">SUM(IF((Roadmap_Avion!$B$8:$B$38=$B33)*(Roadmap_Avion!$C$4:$Z$4=$B$2)*(Roadmap_Avion!$C$6:$Z$6=X$7)*(Roadmap_Avion!$C$7:$Z$7=X$9),Roadmap_Avion!$C$8:$Z$38,0))</f>
        <v>1</v>
      </c>
      <c r="Y33" s="527">
        <f t="array" ref="Y33">IF($J33&lt;1,Y32+$H33*V33,SUMPRODUCT(($B$16:$B$46&lt;=$B33)*($B$16:$B$46&gt;MAX($B33-$D$2-$I33,2019))*$H$16:$H$46*V$16:V$46))</f>
        <v>0.22999999999999998</v>
      </c>
      <c r="Z33" s="528">
        <f t="shared" si="32"/>
        <v>34.110937311957734</v>
      </c>
      <c r="AA33" s="529">
        <f t="shared" si="20"/>
        <v>9.4999999999999998E-3</v>
      </c>
      <c r="AB33" s="530">
        <f t="shared" si="21"/>
        <v>6.0000000000000001E-3</v>
      </c>
      <c r="AC33" s="522">
        <f>Hypothèses!$G$79</f>
        <v>0.24</v>
      </c>
      <c r="AD33" s="523">
        <f t="shared" si="4"/>
        <v>354.39934869566474</v>
      </c>
      <c r="AE33" s="524">
        <f t="array" ref="AE33">1-SUM(IF((Roadmap_Avion!$B$8:$B$38=$B33)*(Roadmap_Avion!$C$4:$Z$4=$B$2)*(Roadmap_Avion!$C$6:$Z$6=AE$7)*(Roadmap_Avion!$C$7:$Z$7=AE$9),Roadmap_Avion!$C$8:$Z$38,0))</f>
        <v>0.36250000000000004</v>
      </c>
      <c r="AF33" s="525">
        <f t="array" ref="AF33">SUM(IF((Roadmap_Avion!$B$8:$B$38=$B33)*(Roadmap_Avion!$C$4:$Z$4=$B$2)*(Roadmap_Avion!$C$6:$Z$6=AF$7)*(Roadmap_Avion!$C$7:$Z$7=AF$9),Roadmap_Avion!$C$8:$Z$38,0))</f>
        <v>0</v>
      </c>
      <c r="AG33" s="526">
        <f t="array" ref="AG33">SUM(IF((Roadmap_Avion!$B$8:$B$38=$B33)*(Roadmap_Avion!$C$4:$Z$4=$B$2)*(Roadmap_Avion!$C$6:$Z$6=AG$7)*(Roadmap_Avion!$C$7:$Z$7=AG$9),Roadmap_Avion!$C$8:$Z$38,0))</f>
        <v>1</v>
      </c>
      <c r="AH33" s="527">
        <f t="array" ref="AH33">IF($J33&lt;1,AH32+$H33*AE33,SUMPRODUCT(($B$16:$B$46&lt;=$B33)*($B$16:$B$46&gt;MAX($B33-$D$2-$I33,2019))*$H$16:$H$46*AE$16:AE$46))</f>
        <v>0.25649999999999995</v>
      </c>
      <c r="AI33" s="528">
        <f t="shared" si="33"/>
        <v>263.49591575522675</v>
      </c>
      <c r="AJ33" s="529">
        <f t="shared" si="22"/>
        <v>9.6000000000000002E-2</v>
      </c>
      <c r="AK33" s="530">
        <f t="shared" si="23"/>
        <v>4.8000000000000001E-2</v>
      </c>
      <c r="AL33" s="522">
        <f>Hypothèses!$G$80</f>
        <v>0.42</v>
      </c>
      <c r="AM33" s="523">
        <f t="shared" si="6"/>
        <v>620.19886021741331</v>
      </c>
      <c r="AN33" s="524">
        <f t="array" ref="AN33">1-SUM(IF((Roadmap_Avion!$B$8:$B$38=$B33)*(Roadmap_Avion!$C$4:$Z$4=$B$2)*(Roadmap_Avion!$C$6:$Z$6=AN$7)*(Roadmap_Avion!$C$7:$Z$7=AN$9),Roadmap_Avion!$C$8:$Z$38,0))</f>
        <v>0.36250000000000004</v>
      </c>
      <c r="AO33" s="525">
        <f t="array" ref="AO33">SUM(IF((Roadmap_Avion!$B$8:$B$38=$B33)*(Roadmap_Avion!$C$4:$Z$4=$B$2)*(Roadmap_Avion!$C$6:$Z$6=AO$7)*(Roadmap_Avion!$C$7:$Z$7=AO$9),Roadmap_Avion!$C$8:$Z$38,0))</f>
        <v>0</v>
      </c>
      <c r="AP33" s="526">
        <f t="array" ref="AP33">SUM(IF((Roadmap_Avion!$B$8:$B$38=$B33)*(Roadmap_Avion!$C$4:$Z$4=$B$2)*(Roadmap_Avion!$C$6:$Z$6=AP$7)*(Roadmap_Avion!$C$7:$Z$7=AP$9),Roadmap_Avion!$C$8:$Z$38,0))</f>
        <v>1</v>
      </c>
      <c r="AQ33" s="527">
        <f t="array" ref="AQ33">IF($J33&lt;1,AQ32+$H33*AN33,SUMPRODUCT(($B$16:$B$46&lt;=$B33)*($B$16:$B$46&gt;MAX($B33-$D$2-$I33,2019))*$H$16:$H$46*AN$16:AN$46))</f>
        <v>0.25649999999999995</v>
      </c>
      <c r="AR33" s="528">
        <f t="shared" si="34"/>
        <v>461.11785257164684</v>
      </c>
      <c r="AS33" s="529">
        <f t="shared" si="8"/>
        <v>0.16800000000000001</v>
      </c>
      <c r="AT33" s="530">
        <f t="shared" si="9"/>
        <v>8.4000000000000005E-2</v>
      </c>
      <c r="AU33" s="531">
        <f>Hypothèses!$G$81</f>
        <v>0.3</v>
      </c>
      <c r="AV33" s="523">
        <f t="shared" si="10"/>
        <v>442.99918586958091</v>
      </c>
      <c r="AW33" s="524">
        <f t="array" ref="AW33">1-SUM(IF((Roadmap_Avion!$B$8:$B$38=$B33)*(Roadmap_Avion!$C$4:$Z$4=$B$2)*(Roadmap_Avion!$C$6:$Z$6=AW$7)*(Roadmap_Avion!$C$7:$Z$7=AW$9),Roadmap_Avion!$C$8:$Z$38,0))</f>
        <v>0.4375</v>
      </c>
      <c r="AX33" s="525">
        <f t="array" ref="AX33">SUM(IF((Roadmap_Avion!$B$8:$B$38=$B33)*(Roadmap_Avion!$C$4:$Z$4=$B$2)*(Roadmap_Avion!$C$6:$Z$6=AX$7)*(Roadmap_Avion!$C$7:$Z$7=AX$9),Roadmap_Avion!$C$8:$Z$38,0))</f>
        <v>1</v>
      </c>
      <c r="AY33" s="526">
        <f t="array" ref="AY33">SUM(IF((Roadmap_Avion!$B$8:$B$38=$B33)*(Roadmap_Avion!$C$4:$Z$4=$B$2)*(Roadmap_Avion!$C$6:$Z$6=AY$7)*(Roadmap_Avion!$C$7:$Z$7=AY$9),Roadmap_Avion!$C$8:$Z$38,0))</f>
        <v>0</v>
      </c>
      <c r="AZ33" s="527">
        <f t="array" ref="AZ33">IF($J33&lt;1,AZ32+$H33*AW33,SUMPRODUCT(($B$16:$B$46&lt;=$B33)*($B$16:$B$46&gt;MAX($B33-$D$2-$I33,2019))*$H$16:$H$46*AW$16:AW$46))</f>
        <v>0.28416666666666662</v>
      </c>
      <c r="BA33" s="528">
        <f t="shared" si="35"/>
        <v>317.11358388497501</v>
      </c>
      <c r="BB33" s="529">
        <f t="shared" si="24"/>
        <v>0.18</v>
      </c>
      <c r="BC33" s="529">
        <f t="shared" si="25"/>
        <v>0</v>
      </c>
      <c r="BD33" s="517">
        <f t="shared" si="12"/>
        <v>1086.9624913023092</v>
      </c>
      <c r="BE33" s="518">
        <f>BD33*(Hypothèses!$D$23/Hypothèses!$B$23)</f>
        <v>1294.0029658360825</v>
      </c>
      <c r="BF33" s="532">
        <f t="shared" si="13"/>
        <v>0.26390666666666651</v>
      </c>
      <c r="BG33" s="518">
        <f>BD33/Hypothèses!$B$23</f>
        <v>345.06745755628867</v>
      </c>
      <c r="BH33" s="532">
        <f t="shared" si="14"/>
        <v>0.45500000000000002</v>
      </c>
      <c r="BI33" s="532">
        <f t="shared" si="14"/>
        <v>0.14333333333333334</v>
      </c>
      <c r="BJ33" s="518">
        <f t="shared" si="26"/>
        <v>157.00569318811137</v>
      </c>
      <c r="BK33" s="533">
        <f t="shared" si="36"/>
        <v>110.37244933493966</v>
      </c>
      <c r="BL33" s="534">
        <f t="shared" si="37"/>
        <v>0.70298373959408234</v>
      </c>
      <c r="BM33" s="535">
        <f t="array" ref="BM33">SUM(IF((Prod_Carburant_Alt!$A$7:$A$37=$B33)*(Prod_Carburant_Alt!$B$3:$AI$3=$C$2)*(Prod_Carburant_Alt!$B$5:$AI$5=BM$7)*(Prod_Carburant_Alt!$B$6:$AI$6=BM$9),Prod_Carburant_Alt!$B$7:$AI$37,0))</f>
        <v>81.263978342028736</v>
      </c>
      <c r="BN33" s="534">
        <f t="shared" si="27"/>
        <v>2.6637589283866117</v>
      </c>
      <c r="BO33" s="536">
        <f t="array" ref="BO33">SUM(IF((Prod_Carburant_Alt!$A$7:$A$37=$B33)*(Prod_Carburant_Alt!$B$3:$AI$3=$C$2)*(Prod_Carburant_Alt!$B$5:$AI$5=BO$7)*(Prod_Carburant_Alt!$B$6:$AI$6=BO$9),Prod_Carburant_Alt!$B$7:$AI$37,0))</f>
        <v>0.20438251753392203</v>
      </c>
      <c r="BP33" s="543">
        <f t="array" ref="BP33">SUM(IF((Prod_Carburant_Alt!$A$7:$A$37=$B33)*(Prod_Carburant_Alt!$B$3:$AI$3=$C$2)*(Prod_Carburant_Alt!$B$5:$AI$5=BP$7)*(Prod_Carburant_Alt!$B$6:$AI$6=BP$9),Prod_Carburant_Alt!$B$7:$AI$37,0))</f>
        <v>29.108470992910917</v>
      </c>
      <c r="BQ33" s="536">
        <f t="shared" si="38"/>
        <v>0.18539755089030771</v>
      </c>
      <c r="BR33" s="537">
        <f t="shared" si="39"/>
        <v>234.69500822134901</v>
      </c>
      <c r="BS33" s="538">
        <f t="shared" si="40"/>
        <v>110.37244933493966</v>
      </c>
      <c r="BT33" s="539">
        <f t="shared" si="41"/>
        <v>1</v>
      </c>
      <c r="BU33" s="535">
        <f t="shared" si="28"/>
        <v>81.263978342028736</v>
      </c>
      <c r="BV33" s="539">
        <f t="shared" si="42"/>
        <v>1</v>
      </c>
      <c r="BW33" s="535">
        <f t="shared" si="29"/>
        <v>29.108470992910913</v>
      </c>
      <c r="BX33" s="539">
        <f t="shared" si="43"/>
        <v>0.99999999999999989</v>
      </c>
      <c r="BY33" s="538">
        <f t="shared" si="44"/>
        <v>49.459668916401377</v>
      </c>
      <c r="BZ33" s="540">
        <f>BY33*Hypothèses!$B$3/Hypothèses!$B$9</f>
        <v>18.170541252869544</v>
      </c>
      <c r="CA33" s="538">
        <f t="shared" si="45"/>
        <v>185.23533930494764</v>
      </c>
      <c r="CB33" s="533">
        <f>BW33*Prod_Carburant_Alt!$R$61+BZ33*Hypothèses!$B$13</f>
        <v>2347.2081331618383</v>
      </c>
      <c r="CC33" s="538">
        <f t="shared" si="46"/>
        <v>1087.567611877834</v>
      </c>
      <c r="CD33" s="541">
        <f t="shared" si="47"/>
        <v>1.6706107709336928</v>
      </c>
      <c r="CE33" s="537">
        <f t="shared" si="48"/>
        <v>25.819289464780219</v>
      </c>
      <c r="CF33" s="503">
        <f>(CA33+BU33*BO33)*Hypothèses!$D$23+CE33</f>
        <v>782.73532365220626</v>
      </c>
      <c r="CG33" s="504">
        <f t="shared" si="16"/>
        <v>0.39510546396123247</v>
      </c>
      <c r="CH33" s="503">
        <f>(CA33+BU33*BO33)*Hypothèses!$B$23</f>
        <v>635.80946871743788</v>
      </c>
      <c r="CI33" s="503">
        <f t="shared" si="49"/>
        <v>0</v>
      </c>
      <c r="CJ33" s="503">
        <f>(BU33+BW33+CA33)*Hypothèses!$B$6+BZ33*Hypothèses!$B$11</f>
        <v>9.9318833090510008</v>
      </c>
      <c r="CK33" s="503">
        <f>(BU33+BW33+CA33)*Hypothèses!$B$5+BZ33*Hypothèses!$B$10</f>
        <v>574.42969748526923</v>
      </c>
      <c r="CL33" s="542">
        <f t="shared" si="17"/>
        <v>0.55474116465210344</v>
      </c>
    </row>
    <row r="34" spans="1:90" ht="14.25" customHeight="1">
      <c r="A34" s="331"/>
      <c r="B34" s="516">
        <v>2038</v>
      </c>
      <c r="C34" s="655">
        <f>Trajectoires!AA30</f>
        <v>1823.3614699446784</v>
      </c>
      <c r="D34" s="659">
        <f>C34/Hypothèses!$D$23</f>
        <v>486.2297253185809</v>
      </c>
      <c r="E34" s="659">
        <f>D34*Hypothèses!$B$23</f>
        <v>1531.6236347535298</v>
      </c>
      <c r="F34" s="659">
        <f>D34*Hypothèses!$B$5</f>
        <v>675.85931819282746</v>
      </c>
      <c r="G34" s="659">
        <f>D34*Hypothèses!$B$6</f>
        <v>15.55935121019459</v>
      </c>
      <c r="H34" s="519">
        <f t="shared" si="30"/>
        <v>6.6666666666666666E-2</v>
      </c>
      <c r="I34" s="520">
        <f>IF(J34&gt;=1,ROUND(COUNTIFS($B$16:$B34,"&gt;"&amp;MAX($B34-$D$2,2019),H$16:H34,1/25)*(1/$D$2-1/25)*25,0),0)</f>
        <v>1</v>
      </c>
      <c r="J34" s="521">
        <f t="shared" si="50"/>
        <v>1.1333333333333333</v>
      </c>
      <c r="K34" s="522">
        <f>Hypothèses!$G$77</f>
        <v>0.01</v>
      </c>
      <c r="L34" s="523">
        <f t="shared" si="0"/>
        <v>15.316236347535298</v>
      </c>
      <c r="M34" s="524">
        <f t="array" ref="M34">1-SUM(IF((Roadmap_Avion!$B$8:$B$38=$B34)*(Roadmap_Avion!$C$4:$Z$4=$B$2)*(Roadmap_Avion!$C$6:$Z$6=M$7)*(Roadmap_Avion!$C$7:$Z$7=M$9),Roadmap_Avion!$C$8:$Z$38,0))</f>
        <v>0.15000000000000002</v>
      </c>
      <c r="N34" s="525">
        <f t="array" ref="N34">SUM(IF((Roadmap_Avion!$B$8:$B$38=$B34)*(Roadmap_Avion!$C$4:$Z$4=$B$2)*(Roadmap_Avion!$C$6:$Z$6=N$7)*(Roadmap_Avion!$C$7:$Z$7=N$9),Roadmap_Avion!$C$8:$Z$38,0))</f>
        <v>0</v>
      </c>
      <c r="O34" s="526">
        <f t="array" ref="O34">SUM(IF((Roadmap_Avion!$B$8:$B$38=$B34)*(Roadmap_Avion!$C$4:$Z$4=$B$2)*(Roadmap_Avion!$C$6:$Z$6=O$7)*(Roadmap_Avion!$C$7:$Z$7=O$9),Roadmap_Avion!$C$8:$Z$38,0))</f>
        <v>1</v>
      </c>
      <c r="P34" s="527">
        <f t="array" ref="P34">IF($J34&lt;1,P33+$H34*M34,SUMPRODUCT(($B$16:$B$46&lt;=$B34)*($B$16:$B$46&gt;MAX($B34-$D$2-$I34,2019))*$H$16:$H$46*M$16:M$46))</f>
        <v>0.25666666666666671</v>
      </c>
      <c r="Q34" s="528">
        <f t="shared" si="31"/>
        <v>11.385069018334571</v>
      </c>
      <c r="R34" s="529">
        <f t="shared" si="18"/>
        <v>1.1666666666666668E-3</v>
      </c>
      <c r="S34" s="530">
        <f t="shared" si="19"/>
        <v>6.0000000000000001E-3</v>
      </c>
      <c r="T34" s="522">
        <f>Hypothèses!$G$78</f>
        <v>0.03</v>
      </c>
      <c r="U34" s="523">
        <f t="shared" si="2"/>
        <v>45.948709042605891</v>
      </c>
      <c r="V34" s="524">
        <f t="array" ref="V34">1-SUM(IF((Roadmap_Avion!$B$8:$B$38=$B34)*(Roadmap_Avion!$C$4:$Z$4=$B$2)*(Roadmap_Avion!$C$6:$Z$6=V$7)*(Roadmap_Avion!$C$7:$Z$7=V$9),Roadmap_Avion!$C$8:$Z$38,0))</f>
        <v>0.15000000000000002</v>
      </c>
      <c r="W34" s="525">
        <f t="array" ref="W34">SUM(IF((Roadmap_Avion!$B$8:$B$38=$B34)*(Roadmap_Avion!$C$4:$Z$4=$B$2)*(Roadmap_Avion!$C$6:$Z$6=W$7)*(Roadmap_Avion!$C$7:$Z$7=W$9),Roadmap_Avion!$C$8:$Z$38,0))</f>
        <v>0</v>
      </c>
      <c r="X34" s="526">
        <f t="array" ref="X34">SUM(IF((Roadmap_Avion!$B$8:$B$38=$B34)*(Roadmap_Avion!$C$4:$Z$4=$B$2)*(Roadmap_Avion!$C$6:$Z$6=X$7)*(Roadmap_Avion!$C$7:$Z$7=X$9),Roadmap_Avion!$C$8:$Z$38,0))</f>
        <v>1</v>
      </c>
      <c r="Y34" s="527">
        <f t="array" ref="Y34">IF($J34&lt;1,Y33+$H34*V34,SUMPRODUCT(($B$16:$B$46&lt;=$B34)*($B$16:$B$46&gt;MAX($B34-$D$2-$I34,2019))*$H$16:$H$46*V$16:V$46))</f>
        <v>0.24</v>
      </c>
      <c r="Z34" s="528">
        <f t="shared" si="32"/>
        <v>34.921018872380479</v>
      </c>
      <c r="AA34" s="529">
        <f t="shared" si="20"/>
        <v>8.5000000000000006E-3</v>
      </c>
      <c r="AB34" s="530">
        <f t="shared" si="21"/>
        <v>8.0000000000000002E-3</v>
      </c>
      <c r="AC34" s="522">
        <f>Hypothèses!$G$79</f>
        <v>0.24</v>
      </c>
      <c r="AD34" s="523">
        <f t="shared" si="4"/>
        <v>367.58967234084713</v>
      </c>
      <c r="AE34" s="524">
        <f t="array" ref="AE34">1-SUM(IF((Roadmap_Avion!$B$8:$B$38=$B34)*(Roadmap_Avion!$C$4:$Z$4=$B$2)*(Roadmap_Avion!$C$6:$Z$6=AE$7)*(Roadmap_Avion!$C$7:$Z$7=AE$9),Roadmap_Avion!$C$8:$Z$38,0))</f>
        <v>0.36250000000000004</v>
      </c>
      <c r="AF34" s="525">
        <f t="array" ref="AF34">SUM(IF((Roadmap_Avion!$B$8:$B$38=$B34)*(Roadmap_Avion!$C$4:$Z$4=$B$2)*(Roadmap_Avion!$C$6:$Z$6=AF$7)*(Roadmap_Avion!$C$7:$Z$7=AF$9),Roadmap_Avion!$C$8:$Z$38,0))</f>
        <v>0</v>
      </c>
      <c r="AG34" s="526">
        <f t="array" ref="AG34">SUM(IF((Roadmap_Avion!$B$8:$B$38=$B34)*(Roadmap_Avion!$C$4:$Z$4=$B$2)*(Roadmap_Avion!$C$6:$Z$6=AG$7)*(Roadmap_Avion!$C$7:$Z$7=AG$9),Roadmap_Avion!$C$8:$Z$38,0))</f>
        <v>1</v>
      </c>
      <c r="AH34" s="527">
        <f t="array" ref="AH34">IF($J34&lt;1,AH33+$H34*AE34,SUMPRODUCT(($B$16:$B$46&lt;=$B34)*($B$16:$B$46&gt;MAX($B34-$D$2-$I34,2019))*$H$16:$H$46*AE$16:AE$46))</f>
        <v>0.27266666666666661</v>
      </c>
      <c r="AI34" s="528">
        <f t="shared" si="33"/>
        <v>267.36022168257614</v>
      </c>
      <c r="AJ34" s="529">
        <f t="shared" si="22"/>
        <v>8.7999999999999995E-2</v>
      </c>
      <c r="AK34" s="530">
        <f t="shared" si="23"/>
        <v>6.4000000000000001E-2</v>
      </c>
      <c r="AL34" s="522">
        <f>Hypothèses!$G$80</f>
        <v>0.42</v>
      </c>
      <c r="AM34" s="523">
        <f t="shared" si="6"/>
        <v>643.28192659648255</v>
      </c>
      <c r="AN34" s="524">
        <f t="array" ref="AN34">1-SUM(IF((Roadmap_Avion!$B$8:$B$38=$B34)*(Roadmap_Avion!$C$4:$Z$4=$B$2)*(Roadmap_Avion!$C$6:$Z$6=AN$7)*(Roadmap_Avion!$C$7:$Z$7=AN$9),Roadmap_Avion!$C$8:$Z$38,0))</f>
        <v>0.36250000000000004</v>
      </c>
      <c r="AO34" s="525">
        <f t="array" ref="AO34">SUM(IF((Roadmap_Avion!$B$8:$B$38=$B34)*(Roadmap_Avion!$C$4:$Z$4=$B$2)*(Roadmap_Avion!$C$6:$Z$6=AO$7)*(Roadmap_Avion!$C$7:$Z$7=AO$9),Roadmap_Avion!$C$8:$Z$38,0))</f>
        <v>0</v>
      </c>
      <c r="AP34" s="526">
        <f t="array" ref="AP34">SUM(IF((Roadmap_Avion!$B$8:$B$38=$B34)*(Roadmap_Avion!$C$4:$Z$4=$B$2)*(Roadmap_Avion!$C$6:$Z$6=AP$7)*(Roadmap_Avion!$C$7:$Z$7=AP$9),Roadmap_Avion!$C$8:$Z$38,0))</f>
        <v>1</v>
      </c>
      <c r="AQ34" s="527">
        <f t="array" ref="AQ34">IF($J34&lt;1,AQ33+$H34*AN34,SUMPRODUCT(($B$16:$B$46&lt;=$B34)*($B$16:$B$46&gt;MAX($B34-$D$2-$I34,2019))*$H$16:$H$46*AN$16:AN$46))</f>
        <v>0.27266666666666661</v>
      </c>
      <c r="AR34" s="528">
        <f t="shared" si="34"/>
        <v>467.88038794450836</v>
      </c>
      <c r="AS34" s="529">
        <f t="shared" si="8"/>
        <v>0.154</v>
      </c>
      <c r="AT34" s="530">
        <f t="shared" si="9"/>
        <v>0.112</v>
      </c>
      <c r="AU34" s="531">
        <f>Hypothèses!$G$81</f>
        <v>0.3</v>
      </c>
      <c r="AV34" s="523">
        <f t="shared" si="10"/>
        <v>459.48709042605896</v>
      </c>
      <c r="AW34" s="524">
        <f t="array" ref="AW34">1-SUM(IF((Roadmap_Avion!$B$8:$B$38=$B34)*(Roadmap_Avion!$C$4:$Z$4=$B$2)*(Roadmap_Avion!$C$6:$Z$6=AW$7)*(Roadmap_Avion!$C$7:$Z$7=AW$9),Roadmap_Avion!$C$8:$Z$38,0))</f>
        <v>0.4375</v>
      </c>
      <c r="AX34" s="525">
        <f t="array" ref="AX34">SUM(IF((Roadmap_Avion!$B$8:$B$38=$B34)*(Roadmap_Avion!$C$4:$Z$4=$B$2)*(Roadmap_Avion!$C$6:$Z$6=AX$7)*(Roadmap_Avion!$C$7:$Z$7=AX$9),Roadmap_Avion!$C$8:$Z$38,0))</f>
        <v>1</v>
      </c>
      <c r="AY34" s="526">
        <f t="array" ref="AY34">SUM(IF((Roadmap_Avion!$B$8:$B$38=$B34)*(Roadmap_Avion!$C$4:$Z$4=$B$2)*(Roadmap_Avion!$C$6:$Z$6=AY$7)*(Roadmap_Avion!$C$7:$Z$7=AY$9),Roadmap_Avion!$C$8:$Z$38,0))</f>
        <v>0</v>
      </c>
      <c r="AZ34" s="527">
        <f t="array" ref="AZ34">IF($J34&lt;1,AZ33+$H34*AW34,SUMPRODUCT(($B$16:$B$46&lt;=$B34)*($B$16:$B$46&gt;MAX($B34-$D$2-$I34,2019))*$H$16:$H$46*AW$16:AW$46))</f>
        <v>0.30333333333333334</v>
      </c>
      <c r="BA34" s="528">
        <f t="shared" si="35"/>
        <v>320.10933966348773</v>
      </c>
      <c r="BB34" s="529">
        <f t="shared" si="24"/>
        <v>0.19</v>
      </c>
      <c r="BC34" s="529">
        <f t="shared" si="25"/>
        <v>0</v>
      </c>
      <c r="BD34" s="517">
        <f t="shared" si="12"/>
        <v>1101.6560371812873</v>
      </c>
      <c r="BE34" s="518">
        <f>BD34*(Hypothèses!$D$23/Hypothèses!$B$23)</f>
        <v>1311.4952823586752</v>
      </c>
      <c r="BF34" s="532">
        <f t="shared" si="13"/>
        <v>0.28072666666666668</v>
      </c>
      <c r="BG34" s="518">
        <f>BD34/Hypothèses!$B$23</f>
        <v>349.73207529564678</v>
      </c>
      <c r="BH34" s="532">
        <f t="shared" si="14"/>
        <v>0.44166666666666665</v>
      </c>
      <c r="BI34" s="532">
        <f t="shared" si="14"/>
        <v>0.19</v>
      </c>
      <c r="BJ34" s="518">
        <f t="shared" si="26"/>
        <v>154.46499992224398</v>
      </c>
      <c r="BK34" s="533">
        <f t="shared" si="36"/>
        <v>129.83916383447166</v>
      </c>
      <c r="BL34" s="534">
        <f t="shared" si="37"/>
        <v>0.84057335901227659</v>
      </c>
      <c r="BM34" s="535">
        <f t="array" ref="BM34">SUM(IF((Prod_Carburant_Alt!$A$7:$A$37=$B34)*(Prod_Carburant_Alt!$B$3:$AI$3=$C$2)*(Prod_Carburant_Alt!$B$5:$AI$5=BM$7)*(Prod_Carburant_Alt!$B$6:$AI$6=BM$9),Prod_Carburant_Alt!$B$7:$AI$37,0))</f>
        <v>93.453575093333029</v>
      </c>
      <c r="BN34" s="534">
        <f t="shared" si="27"/>
        <v>2.9942768494108498</v>
      </c>
      <c r="BO34" s="536">
        <f t="array" ref="BO34">SUM(IF((Prod_Carburant_Alt!$A$7:$A$37=$B34)*(Prod_Carburant_Alt!$B$3:$AI$3=$C$2)*(Prod_Carburant_Alt!$B$5:$AI$5=BO$7)*(Prod_Carburant_Alt!$B$6:$AI$6=BO$9),Prod_Carburant_Alt!$B$7:$AI$37,0))</f>
        <v>0.20438251753392203</v>
      </c>
      <c r="BP34" s="543">
        <f t="array" ref="BP34">SUM(IF((Prod_Carburant_Alt!$A$7:$A$37=$B34)*(Prod_Carburant_Alt!$B$3:$AI$3=$C$2)*(Prod_Carburant_Alt!$B$5:$AI$5=BP$7)*(Prod_Carburant_Alt!$B$6:$AI$6=BP$9),Prod_Carburant_Alt!$B$7:$AI$37,0))</f>
        <v>36.385588741138648</v>
      </c>
      <c r="BQ34" s="536">
        <f t="shared" si="38"/>
        <v>0.23555879169685537</v>
      </c>
      <c r="BR34" s="537">
        <f t="shared" si="39"/>
        <v>219.89291146117512</v>
      </c>
      <c r="BS34" s="538">
        <f t="shared" si="40"/>
        <v>129.83916383447166</v>
      </c>
      <c r="BT34" s="539">
        <f t="shared" si="41"/>
        <v>1</v>
      </c>
      <c r="BU34" s="535">
        <f t="shared" si="28"/>
        <v>93.453575093333029</v>
      </c>
      <c r="BV34" s="539">
        <f t="shared" si="42"/>
        <v>1</v>
      </c>
      <c r="BW34" s="535">
        <f t="shared" si="29"/>
        <v>36.385588741138648</v>
      </c>
      <c r="BX34" s="539">
        <f t="shared" si="43"/>
        <v>1</v>
      </c>
      <c r="BY34" s="538">
        <f t="shared" si="44"/>
        <v>66.449094306172896</v>
      </c>
      <c r="BZ34" s="540">
        <f>BY34*Hypothèses!$B$3/Hypothèses!$B$9</f>
        <v>24.412132870257466</v>
      </c>
      <c r="CA34" s="538">
        <f t="shared" si="45"/>
        <v>153.44381715500222</v>
      </c>
      <c r="CB34" s="533">
        <f>BW34*Prod_Carburant_Alt!$R$61+BZ34*Hypothèses!$B$13</f>
        <v>3030.2281970774629</v>
      </c>
      <c r="CC34" s="538">
        <f t="shared" si="46"/>
        <v>1404.0416770800202</v>
      </c>
      <c r="CD34" s="541">
        <f t="shared" si="47"/>
        <v>2.1567460477419664</v>
      </c>
      <c r="CE34" s="537">
        <f t="shared" si="48"/>
        <v>33.332510167852092</v>
      </c>
      <c r="CF34" s="503">
        <f>(CA34+BU34*BO34)*Hypothèses!$D$23+CE34</f>
        <v>680.37286306206363</v>
      </c>
      <c r="CG34" s="504">
        <f t="shared" si="16"/>
        <v>0.48122355283014173</v>
      </c>
      <c r="CH34" s="503">
        <f>(CA34+BU34*BO34)*Hypothèses!$B$23</f>
        <v>543.5138964311376</v>
      </c>
      <c r="CI34" s="503">
        <f t="shared" si="49"/>
        <v>0</v>
      </c>
      <c r="CJ34" s="503">
        <f>(BU34+BW34+CA34)*Hypothèses!$B$6+BZ34*Hypothèses!$B$11</f>
        <v>9.6997708462898586</v>
      </c>
      <c r="CK34" s="503">
        <f>(BU34+BW34+CA34)*Hypothèses!$B$5+BZ34*Hypothèses!$B$10</f>
        <v>613.47253940768587</v>
      </c>
      <c r="CL34" s="542">
        <f t="shared" si="17"/>
        <v>0.62685793558931224</v>
      </c>
    </row>
    <row r="35" spans="1:90" ht="14.25" customHeight="1">
      <c r="A35" s="331"/>
      <c r="B35" s="516">
        <v>2039</v>
      </c>
      <c r="C35" s="655">
        <f>Trajectoires!AA31</f>
        <v>1890.677261173237</v>
      </c>
      <c r="D35" s="659">
        <f>C35/Hypothèses!$D$23</f>
        <v>504.18060297952985</v>
      </c>
      <c r="E35" s="659">
        <f>D35*Hypothèses!$B$23</f>
        <v>1588.1688993855189</v>
      </c>
      <c r="F35" s="659">
        <f>D35*Hypothèses!$B$5</f>
        <v>700.81103814154642</v>
      </c>
      <c r="G35" s="659">
        <f>D35*Hypothèses!$B$6</f>
        <v>16.133779295344954</v>
      </c>
      <c r="H35" s="519">
        <f t="shared" si="30"/>
        <v>6.6666666666666666E-2</v>
      </c>
      <c r="I35" s="520">
        <f>IF(J35&gt;=1,ROUND(COUNTIFS($B$16:$B35,"&gt;"&amp;MAX($B35-$D$2,2019),H$16:H35,1/25)*(1/$D$2-1/25)*25,0),0)</f>
        <v>0</v>
      </c>
      <c r="J35" s="521">
        <f t="shared" si="50"/>
        <v>1.2</v>
      </c>
      <c r="K35" s="522">
        <f>Hypothèses!$G$77</f>
        <v>0.01</v>
      </c>
      <c r="L35" s="523">
        <f t="shared" si="0"/>
        <v>15.881688993855189</v>
      </c>
      <c r="M35" s="524">
        <f t="array" ref="M35">1-SUM(IF((Roadmap_Avion!$B$8:$B$38=$B35)*(Roadmap_Avion!$C$4:$Z$4=$B$2)*(Roadmap_Avion!$C$6:$Z$6=M$7)*(Roadmap_Avion!$C$7:$Z$7=M$9),Roadmap_Avion!$C$8:$Z$38,0))</f>
        <v>0.15000000000000002</v>
      </c>
      <c r="N35" s="525">
        <f t="array" ref="N35">SUM(IF((Roadmap_Avion!$B$8:$B$38=$B35)*(Roadmap_Avion!$C$4:$Z$4=$B$2)*(Roadmap_Avion!$C$6:$Z$6=N$7)*(Roadmap_Avion!$C$7:$Z$7=N$9),Roadmap_Avion!$C$8:$Z$38,0))</f>
        <v>0</v>
      </c>
      <c r="O35" s="526">
        <f t="array" ref="O35">SUM(IF((Roadmap_Avion!$B$8:$B$38=$B35)*(Roadmap_Avion!$C$4:$Z$4=$B$2)*(Roadmap_Avion!$C$6:$Z$6=O$7)*(Roadmap_Avion!$C$7:$Z$7=O$9),Roadmap_Avion!$C$8:$Z$38,0))</f>
        <v>1</v>
      </c>
      <c r="P35" s="527">
        <f t="array" ref="P35">IF($J35&lt;1,P34+$H35*M35,SUMPRODUCT(($B$16:$B$46&lt;=$B35)*($B$16:$B$46&gt;MAX($B35-$D$2-$I35,2019))*$H$16:$H$46*M$16:M$46))</f>
        <v>0.26666666666666672</v>
      </c>
      <c r="Q35" s="528">
        <f t="shared" si="31"/>
        <v>11.646571928827138</v>
      </c>
      <c r="R35" s="529">
        <f t="shared" si="18"/>
        <v>8.3333333333333339E-4</v>
      </c>
      <c r="S35" s="530">
        <f t="shared" si="19"/>
        <v>6.6666666666666671E-3</v>
      </c>
      <c r="T35" s="522">
        <f>Hypothèses!$G$78</f>
        <v>0.03</v>
      </c>
      <c r="U35" s="523">
        <f t="shared" si="2"/>
        <v>47.645066981565563</v>
      </c>
      <c r="V35" s="524">
        <f t="array" ref="V35">1-SUM(IF((Roadmap_Avion!$B$8:$B$38=$B35)*(Roadmap_Avion!$C$4:$Z$4=$B$2)*(Roadmap_Avion!$C$6:$Z$6=V$7)*(Roadmap_Avion!$C$7:$Z$7=V$9),Roadmap_Avion!$C$8:$Z$38,0))</f>
        <v>0.15000000000000002</v>
      </c>
      <c r="W35" s="525">
        <f t="array" ref="W35">SUM(IF((Roadmap_Avion!$B$8:$B$38=$B35)*(Roadmap_Avion!$C$4:$Z$4=$B$2)*(Roadmap_Avion!$C$6:$Z$6=W$7)*(Roadmap_Avion!$C$7:$Z$7=W$9),Roadmap_Avion!$C$8:$Z$38,0))</f>
        <v>0</v>
      </c>
      <c r="X35" s="526">
        <f t="array" ref="X35">SUM(IF((Roadmap_Avion!$B$8:$B$38=$B35)*(Roadmap_Avion!$C$4:$Z$4=$B$2)*(Roadmap_Avion!$C$6:$Z$6=X$7)*(Roadmap_Avion!$C$7:$Z$7=X$9),Roadmap_Avion!$C$8:$Z$38,0))</f>
        <v>1</v>
      </c>
      <c r="Y35" s="527">
        <f t="array" ref="Y35">IF($J35&lt;1,Y34+$H35*V35,SUMPRODUCT(($B$16:$B$46&lt;=$B35)*($B$16:$B$46&gt;MAX($B35-$D$2-$I35,2019))*$H$16:$H$46*V$16:V$46))</f>
        <v>0.25</v>
      </c>
      <c r="Z35" s="528">
        <f t="shared" si="32"/>
        <v>35.733800236174176</v>
      </c>
      <c r="AA35" s="529">
        <f t="shared" si="20"/>
        <v>7.4999999999999989E-3</v>
      </c>
      <c r="AB35" s="530">
        <f t="shared" si="21"/>
        <v>0.01</v>
      </c>
      <c r="AC35" s="522">
        <f>Hypothèses!$G$79</f>
        <v>0.24</v>
      </c>
      <c r="AD35" s="523">
        <f t="shared" si="4"/>
        <v>381.1605358525245</v>
      </c>
      <c r="AE35" s="524">
        <f t="array" ref="AE35">1-SUM(IF((Roadmap_Avion!$B$8:$B$38=$B35)*(Roadmap_Avion!$C$4:$Z$4=$B$2)*(Roadmap_Avion!$C$6:$Z$6=AE$7)*(Roadmap_Avion!$C$7:$Z$7=AE$9),Roadmap_Avion!$C$8:$Z$38,0))</f>
        <v>0.36250000000000004</v>
      </c>
      <c r="AF35" s="525">
        <f t="array" ref="AF35">SUM(IF((Roadmap_Avion!$B$8:$B$38=$B35)*(Roadmap_Avion!$C$4:$Z$4=$B$2)*(Roadmap_Avion!$C$6:$Z$6=AF$7)*(Roadmap_Avion!$C$7:$Z$7=AF$9),Roadmap_Avion!$C$8:$Z$38,0))</f>
        <v>0</v>
      </c>
      <c r="AG35" s="526">
        <f t="array" ref="AG35">SUM(IF((Roadmap_Avion!$B$8:$B$38=$B35)*(Roadmap_Avion!$C$4:$Z$4=$B$2)*(Roadmap_Avion!$C$6:$Z$6=AG$7)*(Roadmap_Avion!$C$7:$Z$7=AG$9),Roadmap_Avion!$C$8:$Z$38,0))</f>
        <v>1</v>
      </c>
      <c r="AH35" s="527">
        <f t="array" ref="AH35">IF($J35&lt;1,AH34+$H35*AE35,SUMPRODUCT(($B$16:$B$46&lt;=$B35)*($B$16:$B$46&gt;MAX($B35-$D$2-$I35,2019))*$H$16:$H$46*AE$16:AE$46))</f>
        <v>0.28083333333333332</v>
      </c>
      <c r="AI35" s="528">
        <f t="shared" si="33"/>
        <v>274.11795203394058</v>
      </c>
      <c r="AJ35" s="529">
        <f t="shared" si="22"/>
        <v>0.08</v>
      </c>
      <c r="AK35" s="530">
        <f t="shared" si="23"/>
        <v>0.08</v>
      </c>
      <c r="AL35" s="522">
        <f>Hypothèses!$G$80</f>
        <v>0.42</v>
      </c>
      <c r="AM35" s="523">
        <f t="shared" si="6"/>
        <v>667.03093774191791</v>
      </c>
      <c r="AN35" s="524">
        <f t="array" ref="AN35">1-SUM(IF((Roadmap_Avion!$B$8:$B$38=$B35)*(Roadmap_Avion!$C$4:$Z$4=$B$2)*(Roadmap_Avion!$C$6:$Z$6=AN$7)*(Roadmap_Avion!$C$7:$Z$7=AN$9),Roadmap_Avion!$C$8:$Z$38,0))</f>
        <v>0.36250000000000004</v>
      </c>
      <c r="AO35" s="525">
        <f t="array" ref="AO35">SUM(IF((Roadmap_Avion!$B$8:$B$38=$B35)*(Roadmap_Avion!$C$4:$Z$4=$B$2)*(Roadmap_Avion!$C$6:$Z$6=AO$7)*(Roadmap_Avion!$C$7:$Z$7=AO$9),Roadmap_Avion!$C$8:$Z$38,0))</f>
        <v>0</v>
      </c>
      <c r="AP35" s="526">
        <f t="array" ref="AP35">SUM(IF((Roadmap_Avion!$B$8:$B$38=$B35)*(Roadmap_Avion!$C$4:$Z$4=$B$2)*(Roadmap_Avion!$C$6:$Z$6=AP$7)*(Roadmap_Avion!$C$7:$Z$7=AP$9),Roadmap_Avion!$C$8:$Z$38,0))</f>
        <v>1</v>
      </c>
      <c r="AQ35" s="527">
        <f t="array" ref="AQ35">IF($J35&lt;1,AQ34+$H35*AN35,SUMPRODUCT(($B$16:$B$46&lt;=$B35)*($B$16:$B$46&gt;MAX($B35-$D$2-$I35,2019))*$H$16:$H$46*AN$16:AN$46))</f>
        <v>0.28083333333333332</v>
      </c>
      <c r="AR35" s="528">
        <f t="shared" si="34"/>
        <v>479.70641605939602</v>
      </c>
      <c r="AS35" s="529">
        <f t="shared" si="8"/>
        <v>0.14000000000000001</v>
      </c>
      <c r="AT35" s="530">
        <f t="shared" si="9"/>
        <v>0.14000000000000001</v>
      </c>
      <c r="AU35" s="531">
        <f>Hypothèses!$G$81</f>
        <v>0.3</v>
      </c>
      <c r="AV35" s="523">
        <f t="shared" si="10"/>
        <v>476.45066981565566</v>
      </c>
      <c r="AW35" s="524">
        <f t="array" ref="AW35">1-SUM(IF((Roadmap_Avion!$B$8:$B$38=$B35)*(Roadmap_Avion!$C$4:$Z$4=$B$2)*(Roadmap_Avion!$C$6:$Z$6=AW$7)*(Roadmap_Avion!$C$7:$Z$7=AW$9),Roadmap_Avion!$C$8:$Z$38,0))</f>
        <v>0.4375</v>
      </c>
      <c r="AX35" s="525">
        <f t="array" ref="AX35">SUM(IF((Roadmap_Avion!$B$8:$B$38=$B35)*(Roadmap_Avion!$C$4:$Z$4=$B$2)*(Roadmap_Avion!$C$6:$Z$6=AX$7)*(Roadmap_Avion!$C$7:$Z$7=AX$9),Roadmap_Avion!$C$8:$Z$38,0))</f>
        <v>1</v>
      </c>
      <c r="AY35" s="526">
        <f t="array" ref="AY35">SUM(IF((Roadmap_Avion!$B$8:$B$38=$B35)*(Roadmap_Avion!$C$4:$Z$4=$B$2)*(Roadmap_Avion!$C$6:$Z$6=AY$7)*(Roadmap_Avion!$C$7:$Z$7=AY$9),Roadmap_Avion!$C$8:$Z$38,0))</f>
        <v>0</v>
      </c>
      <c r="AZ35" s="527">
        <f t="array" ref="AZ35">IF($J35&lt;1,AZ34+$H35*AW35,SUMPRODUCT(($B$16:$B$46&lt;=$B35)*($B$16:$B$46&gt;MAX($B35-$D$2-$I35,2019))*$H$16:$H$46*AW$16:AW$46))</f>
        <v>0.3125</v>
      </c>
      <c r="BA35" s="528">
        <f t="shared" si="35"/>
        <v>327.55983549826328</v>
      </c>
      <c r="BB35" s="529">
        <f t="shared" si="24"/>
        <v>0.2</v>
      </c>
      <c r="BC35" s="529">
        <f t="shared" si="25"/>
        <v>0</v>
      </c>
      <c r="BD35" s="517">
        <f t="shared" si="12"/>
        <v>1128.7645757566011</v>
      </c>
      <c r="BE35" s="518">
        <f>BD35*(Hypothèses!$D$23/Hypothèses!$B$23)</f>
        <v>1343.7673520911917</v>
      </c>
      <c r="BF35" s="532">
        <f t="shared" si="13"/>
        <v>0.28926666666666678</v>
      </c>
      <c r="BG35" s="518">
        <f>BD35/Hypothèses!$B$23</f>
        <v>358.33796055765112</v>
      </c>
      <c r="BH35" s="532">
        <f t="shared" si="14"/>
        <v>0.42833333333333334</v>
      </c>
      <c r="BI35" s="532">
        <f t="shared" si="14"/>
        <v>0.23666666666666669</v>
      </c>
      <c r="BJ35" s="518">
        <f t="shared" si="26"/>
        <v>153.48809310552724</v>
      </c>
      <c r="BK35" s="533">
        <f t="shared" si="36"/>
        <v>152.9535972837563</v>
      </c>
      <c r="BL35" s="534">
        <f t="shared" si="37"/>
        <v>0.99651767240730871</v>
      </c>
      <c r="BM35" s="535">
        <f t="array" ref="BM35">SUM(IF((Prod_Carburant_Alt!$A$7:$A$37=$B35)*(Prod_Carburant_Alt!$B$3:$AI$3=$C$2)*(Prod_Carburant_Alt!$B$5:$AI$5=BM$7)*(Prod_Carburant_Alt!$B$6:$AI$6=BM$9),Prod_Carburant_Alt!$B$7:$AI$37,0))</f>
        <v>107.47161135733299</v>
      </c>
      <c r="BN35" s="534">
        <f t="shared" si="27"/>
        <v>3.4449792777390238</v>
      </c>
      <c r="BO35" s="536">
        <f t="array" ref="BO35">SUM(IF((Prod_Carburant_Alt!$A$7:$A$37=$B35)*(Prod_Carburant_Alt!$B$3:$AI$3=$C$2)*(Prod_Carburant_Alt!$B$5:$AI$5=BO$7)*(Prod_Carburant_Alt!$B$6:$AI$6=BO$9),Prod_Carburant_Alt!$B$7:$AI$37,0))</f>
        <v>0.20438251753392198</v>
      </c>
      <c r="BP35" s="543">
        <f t="array" ref="BP35">SUM(IF((Prod_Carburant_Alt!$A$7:$A$37=$B35)*(Prod_Carburant_Alt!$B$3:$AI$3=$C$2)*(Prod_Carburant_Alt!$B$5:$AI$5=BP$7)*(Prod_Carburant_Alt!$B$6:$AI$6=BP$9),Prod_Carburant_Alt!$B$7:$AI$37,0))</f>
        <v>45.481985926423313</v>
      </c>
      <c r="BQ35" s="536">
        <f t="shared" si="38"/>
        <v>0.29632256813011032</v>
      </c>
      <c r="BR35" s="537">
        <f t="shared" si="39"/>
        <v>205.38436327389482</v>
      </c>
      <c r="BS35" s="538">
        <f t="shared" si="40"/>
        <v>152.9535972837563</v>
      </c>
      <c r="BT35" s="539">
        <f t="shared" si="41"/>
        <v>1</v>
      </c>
      <c r="BU35" s="535">
        <f t="shared" si="28"/>
        <v>107.47161135733299</v>
      </c>
      <c r="BV35" s="539">
        <f t="shared" si="42"/>
        <v>1</v>
      </c>
      <c r="BW35" s="535">
        <f t="shared" si="29"/>
        <v>45.48198592642332</v>
      </c>
      <c r="BX35" s="539">
        <f t="shared" si="43"/>
        <v>1.0000000000000002</v>
      </c>
      <c r="BY35" s="538">
        <f t="shared" si="44"/>
        <v>84.806650665310769</v>
      </c>
      <c r="BZ35" s="540">
        <f>BY35*Hypothèses!$B$3/Hypothèses!$B$9</f>
        <v>31.156349773314368</v>
      </c>
      <c r="CA35" s="538">
        <f t="shared" si="45"/>
        <v>120.57771260858405</v>
      </c>
      <c r="CB35" s="533">
        <f>BW35*Prod_Carburant_Alt!$R$61+BZ35*Hypothèses!$B$13</f>
        <v>3824.0977938418018</v>
      </c>
      <c r="CC35" s="538">
        <f t="shared" si="46"/>
        <v>1771.8773407765216</v>
      </c>
      <c r="CD35" s="541">
        <f t="shared" si="47"/>
        <v>2.7217777892112465</v>
      </c>
      <c r="CE35" s="537">
        <f t="shared" si="48"/>
        <v>42.065075732259821</v>
      </c>
      <c r="CF35" s="503">
        <f>(CA35+BU35*BO35)*Hypothèses!$D$23+CE35</f>
        <v>576.60144236184613</v>
      </c>
      <c r="CG35" s="504">
        <f t="shared" si="16"/>
        <v>0.5709067931554298</v>
      </c>
      <c r="CH35" s="503">
        <f>(CA35+BU35*BO35)*Hypothèses!$B$23</f>
        <v>449.01054796885239</v>
      </c>
      <c r="CI35" s="503">
        <f t="shared" si="49"/>
        <v>0</v>
      </c>
      <c r="CJ35" s="503">
        <f>(BU35+BW35+CA35)*Hypothèses!$B$6+BZ35*Hypothèses!$B$11</f>
        <v>9.5630670106610651</v>
      </c>
      <c r="CK35" s="503">
        <f>(BU35+BW35+CA35)*Hypothèses!$B$5+BZ35*Hypothèses!$B$10</f>
        <v>660.61566871018238</v>
      </c>
      <c r="CL35" s="542">
        <f t="shared" si="17"/>
        <v>0.69502915478866922</v>
      </c>
    </row>
    <row r="36" spans="1:90" ht="14.25" customHeight="1">
      <c r="A36" s="331"/>
      <c r="B36" s="516">
        <v>2040</v>
      </c>
      <c r="C36" s="655">
        <f>Trajectoires!AA32</f>
        <v>1959.847298734338</v>
      </c>
      <c r="D36" s="659">
        <f>C36/Hypothèses!$D$23</f>
        <v>522.62594632915682</v>
      </c>
      <c r="E36" s="659">
        <f>D36*Hypothèses!$B$23</f>
        <v>1646.2717309368438</v>
      </c>
      <c r="F36" s="659">
        <f>D36*Hypothèses!$B$5</f>
        <v>726.45006539752796</v>
      </c>
      <c r="G36" s="659">
        <f>D36*Hypothèses!$B$6</f>
        <v>16.724030282533018</v>
      </c>
      <c r="H36" s="519">
        <f t="shared" si="30"/>
        <v>6.6666666666666666E-2</v>
      </c>
      <c r="I36" s="520">
        <f>IF(J36&gt;=1,ROUND(COUNTIFS($B$16:$B36,"&gt;"&amp;MAX($B36-$D$2,2019),H$16:H36,1/25)*(1/$D$2-1/25)*25,0),0)</f>
        <v>0</v>
      </c>
      <c r="J36" s="521">
        <f t="shared" si="50"/>
        <v>1.2666666666666666</v>
      </c>
      <c r="K36" s="522">
        <f>Hypothèses!$G$77</f>
        <v>0.01</v>
      </c>
      <c r="L36" s="523">
        <f t="shared" si="0"/>
        <v>16.46271730936844</v>
      </c>
      <c r="M36" s="524">
        <f t="array" ref="M36">1-SUM(IF((Roadmap_Avion!$B$8:$B$38=$B36)*(Roadmap_Avion!$C$4:$Z$4=$B$2)*(Roadmap_Avion!$C$6:$Z$6=M$7)*(Roadmap_Avion!$C$7:$Z$7=M$9),Roadmap_Avion!$C$8:$Z$38,0))</f>
        <v>0.15000000000000002</v>
      </c>
      <c r="N36" s="525">
        <f t="array" ref="N36">SUM(IF((Roadmap_Avion!$B$8:$B$38=$B36)*(Roadmap_Avion!$C$4:$Z$4=$B$2)*(Roadmap_Avion!$C$6:$Z$6=N$7)*(Roadmap_Avion!$C$7:$Z$7=N$9),Roadmap_Avion!$C$8:$Z$38,0))</f>
        <v>0</v>
      </c>
      <c r="O36" s="526">
        <f t="array" ref="O36">SUM(IF((Roadmap_Avion!$B$8:$B$38=$B36)*(Roadmap_Avion!$C$4:$Z$4=$B$2)*(Roadmap_Avion!$C$6:$Z$6=O$7)*(Roadmap_Avion!$C$7:$Z$7=O$9),Roadmap_Avion!$C$8:$Z$38,0))</f>
        <v>1</v>
      </c>
      <c r="P36" s="527">
        <f t="array" ref="P36">IF($J36&lt;1,P35+$H36*M36,SUMPRODUCT(($B$16:$B$46&lt;=$B36)*($B$16:$B$46&gt;MAX($B36-$D$2-$I36,2019))*$H$16:$H$46*M$16:M$46))</f>
        <v>0.24333333333333343</v>
      </c>
      <c r="Q36" s="528">
        <f t="shared" si="31"/>
        <v>12.456789430755451</v>
      </c>
      <c r="R36" s="529">
        <f t="shared" si="18"/>
        <v>6.6666666666666664E-4</v>
      </c>
      <c r="S36" s="530">
        <f t="shared" si="19"/>
        <v>7.3333333333333332E-3</v>
      </c>
      <c r="T36" s="522">
        <f>Hypothèses!$G$78</f>
        <v>0.03</v>
      </c>
      <c r="U36" s="523">
        <f t="shared" si="2"/>
        <v>49.388151928105316</v>
      </c>
      <c r="V36" s="524">
        <f t="array" ref="V36">1-SUM(IF((Roadmap_Avion!$B$8:$B$38=$B36)*(Roadmap_Avion!$C$4:$Z$4=$B$2)*(Roadmap_Avion!$C$6:$Z$6=V$7)*(Roadmap_Avion!$C$7:$Z$7=V$9),Roadmap_Avion!$C$8:$Z$38,0))</f>
        <v>0.15000000000000002</v>
      </c>
      <c r="W36" s="525">
        <f t="array" ref="W36">SUM(IF((Roadmap_Avion!$B$8:$B$38=$B36)*(Roadmap_Avion!$C$4:$Z$4=$B$2)*(Roadmap_Avion!$C$6:$Z$6=W$7)*(Roadmap_Avion!$C$7:$Z$7=W$9),Roadmap_Avion!$C$8:$Z$38,0))</f>
        <v>0</v>
      </c>
      <c r="X36" s="526">
        <f t="array" ref="X36">SUM(IF((Roadmap_Avion!$B$8:$B$38=$B36)*(Roadmap_Avion!$C$4:$Z$4=$B$2)*(Roadmap_Avion!$C$6:$Z$6=X$7)*(Roadmap_Avion!$C$7:$Z$7=X$9),Roadmap_Avion!$C$8:$Z$38,0))</f>
        <v>1</v>
      </c>
      <c r="Y36" s="527">
        <f t="array" ref="Y36">IF($J36&lt;1,Y35+$H36*V36,SUMPRODUCT(($B$16:$B$46&lt;=$B36)*($B$16:$B$46&gt;MAX($B36-$D$2-$I36,2019))*$H$16:$H$46*V$16:V$46))</f>
        <v>0.25333333333333335</v>
      </c>
      <c r="Z36" s="528">
        <f t="shared" si="32"/>
        <v>36.876486772985295</v>
      </c>
      <c r="AA36" s="529">
        <f t="shared" si="20"/>
        <v>6.5000000000000006E-3</v>
      </c>
      <c r="AB36" s="530">
        <f t="shared" si="21"/>
        <v>1.2E-2</v>
      </c>
      <c r="AC36" s="522">
        <f>Hypothèses!$G$79</f>
        <v>0.24</v>
      </c>
      <c r="AD36" s="523">
        <f t="shared" si="4"/>
        <v>395.10521542484253</v>
      </c>
      <c r="AE36" s="524">
        <f t="array" ref="AE36">1-SUM(IF((Roadmap_Avion!$B$8:$B$38=$B36)*(Roadmap_Avion!$C$4:$Z$4=$B$2)*(Roadmap_Avion!$C$6:$Z$6=AE$7)*(Roadmap_Avion!$C$7:$Z$7=AE$9),Roadmap_Avion!$C$8:$Z$38,0))</f>
        <v>0.36250000000000004</v>
      </c>
      <c r="AF36" s="525">
        <f t="array" ref="AF36">SUM(IF((Roadmap_Avion!$B$8:$B$38=$B36)*(Roadmap_Avion!$C$4:$Z$4=$B$2)*(Roadmap_Avion!$C$6:$Z$6=AF$7)*(Roadmap_Avion!$C$7:$Z$7=AF$9),Roadmap_Avion!$C$8:$Z$38,0))</f>
        <v>0</v>
      </c>
      <c r="AG36" s="526">
        <f t="array" ref="AG36">SUM(IF((Roadmap_Avion!$B$8:$B$38=$B36)*(Roadmap_Avion!$C$4:$Z$4=$B$2)*(Roadmap_Avion!$C$6:$Z$6=AG$7)*(Roadmap_Avion!$C$7:$Z$7=AG$9),Roadmap_Avion!$C$8:$Z$38,0))</f>
        <v>1</v>
      </c>
      <c r="AH36" s="527">
        <f t="array" ref="AH36">IF($J36&lt;1,AH35+$H36*AE36,SUMPRODUCT(($B$16:$B$46&lt;=$B36)*($B$16:$B$46&gt;MAX($B36-$D$2-$I36,2019))*$H$16:$H$46*AE$16:AE$46))</f>
        <v>0.29166666666666663</v>
      </c>
      <c r="AI36" s="528">
        <f t="shared" si="33"/>
        <v>279.86619425926347</v>
      </c>
      <c r="AJ36" s="529">
        <f t="shared" si="22"/>
        <v>7.2000000000000008E-2</v>
      </c>
      <c r="AK36" s="530">
        <f t="shared" si="23"/>
        <v>9.6000000000000002E-2</v>
      </c>
      <c r="AL36" s="522">
        <f>Hypothèses!$G$80</f>
        <v>0.42</v>
      </c>
      <c r="AM36" s="523">
        <f t="shared" si="6"/>
        <v>691.43412699347437</v>
      </c>
      <c r="AN36" s="524">
        <f t="array" ref="AN36">1-SUM(IF((Roadmap_Avion!$B$8:$B$38=$B36)*(Roadmap_Avion!$C$4:$Z$4=$B$2)*(Roadmap_Avion!$C$6:$Z$6=AN$7)*(Roadmap_Avion!$C$7:$Z$7=AN$9),Roadmap_Avion!$C$8:$Z$38,0))</f>
        <v>0.36250000000000004</v>
      </c>
      <c r="AO36" s="525">
        <f t="array" ref="AO36">SUM(IF((Roadmap_Avion!$B$8:$B$38=$B36)*(Roadmap_Avion!$C$4:$Z$4=$B$2)*(Roadmap_Avion!$C$6:$Z$6=AO$7)*(Roadmap_Avion!$C$7:$Z$7=AO$9),Roadmap_Avion!$C$8:$Z$38,0))</f>
        <v>0</v>
      </c>
      <c r="AP36" s="526">
        <f t="array" ref="AP36">SUM(IF((Roadmap_Avion!$B$8:$B$38=$B36)*(Roadmap_Avion!$C$4:$Z$4=$B$2)*(Roadmap_Avion!$C$6:$Z$6=AP$7)*(Roadmap_Avion!$C$7:$Z$7=AP$9),Roadmap_Avion!$C$8:$Z$38,0))</f>
        <v>1</v>
      </c>
      <c r="AQ36" s="527">
        <f t="array" ref="AQ36">IF($J36&lt;1,AQ35+$H36*AN36,SUMPRODUCT(($B$16:$B$46&lt;=$B36)*($B$16:$B$46&gt;MAX($B36-$D$2-$I36,2019))*$H$16:$H$46*AN$16:AN$46))</f>
        <v>0.29166666666666663</v>
      </c>
      <c r="AR36" s="528">
        <f t="shared" si="34"/>
        <v>489.76583995371101</v>
      </c>
      <c r="AS36" s="529">
        <f t="shared" si="8"/>
        <v>0.126</v>
      </c>
      <c r="AT36" s="530">
        <f t="shared" si="9"/>
        <v>0.16800000000000001</v>
      </c>
      <c r="AU36" s="531">
        <f>Hypothèses!$G$81</f>
        <v>0.3</v>
      </c>
      <c r="AV36" s="523">
        <f t="shared" si="10"/>
        <v>493.8815192810531</v>
      </c>
      <c r="AW36" s="524">
        <f t="array" ref="AW36">1-SUM(IF((Roadmap_Avion!$B$8:$B$38=$B36)*(Roadmap_Avion!$C$4:$Z$4=$B$2)*(Roadmap_Avion!$C$6:$Z$6=AW$7)*(Roadmap_Avion!$C$7:$Z$7=AW$9),Roadmap_Avion!$C$8:$Z$38,0))</f>
        <v>0.4375</v>
      </c>
      <c r="AX36" s="525">
        <f t="array" ref="AX36">SUM(IF((Roadmap_Avion!$B$8:$B$38=$B36)*(Roadmap_Avion!$C$4:$Z$4=$B$2)*(Roadmap_Avion!$C$6:$Z$6=AX$7)*(Roadmap_Avion!$C$7:$Z$7=AX$9),Roadmap_Avion!$C$8:$Z$38,0))</f>
        <v>1</v>
      </c>
      <c r="AY36" s="526">
        <f t="array" ref="AY36">SUM(IF((Roadmap_Avion!$B$8:$B$38=$B36)*(Roadmap_Avion!$C$4:$Z$4=$B$2)*(Roadmap_Avion!$C$6:$Z$6=AY$7)*(Roadmap_Avion!$C$7:$Z$7=AY$9),Roadmap_Avion!$C$8:$Z$38,0))</f>
        <v>0</v>
      </c>
      <c r="AZ36" s="527">
        <f t="array" ref="AZ36">IF($J36&lt;1,AZ35+$H36*AW36,SUMPRODUCT(($B$16:$B$46&lt;=$B36)*($B$16:$B$46&gt;MAX($B36-$D$2-$I36,2019))*$H$16:$H$46*AW$16:AW$46))</f>
        <v>0.32500000000000001</v>
      </c>
      <c r="BA36" s="528">
        <f t="shared" si="35"/>
        <v>333.37002551471085</v>
      </c>
      <c r="BB36" s="529">
        <f t="shared" si="24"/>
        <v>0.21</v>
      </c>
      <c r="BC36" s="529">
        <f t="shared" si="25"/>
        <v>0</v>
      </c>
      <c r="BD36" s="517">
        <f t="shared" si="12"/>
        <v>1152.335335931426</v>
      </c>
      <c r="BE36" s="518">
        <f>BD36*(Hypothèses!$D$23/Hypothèses!$B$23)</f>
        <v>1371.8277808707453</v>
      </c>
      <c r="BF36" s="532">
        <f t="shared" si="13"/>
        <v>0.30003333333333337</v>
      </c>
      <c r="BG36" s="518">
        <f>BD36/Hypothèses!$B$23</f>
        <v>365.8207415655321</v>
      </c>
      <c r="BH36" s="532">
        <f t="shared" si="14"/>
        <v>0.41516666666666668</v>
      </c>
      <c r="BI36" s="532">
        <f t="shared" si="14"/>
        <v>0.28333333333333333</v>
      </c>
      <c r="BJ36" s="518">
        <f t="shared" si="26"/>
        <v>151.87657787329007</v>
      </c>
      <c r="BK36" s="533">
        <f t="shared" si="36"/>
        <v>180.44483546896205</v>
      </c>
      <c r="BL36" s="534">
        <f t="shared" si="37"/>
        <v>1.1881017994723739</v>
      </c>
      <c r="BM36" s="535">
        <f t="array" ref="BM36">SUM(IF((Prod_Carburant_Alt!$A$7:$A$37=$B36)*(Prod_Carburant_Alt!$B$3:$AI$3=$C$2)*(Prod_Carburant_Alt!$B$5:$AI$5=BM$7)*(Prod_Carburant_Alt!$B$6:$AI$6=BM$9),Prod_Carburant_Alt!$B$7:$AI$37,0))</f>
        <v>123.59235306093292</v>
      </c>
      <c r="BN36" s="534">
        <f t="shared" si="27"/>
        <v>3.959899342758717</v>
      </c>
      <c r="BO36" s="536">
        <f t="array" ref="BO36">SUM(IF((Prod_Carburant_Alt!$A$7:$A$37=$B36)*(Prod_Carburant_Alt!$B$3:$AI$3=$C$2)*(Prod_Carburant_Alt!$B$5:$AI$5=BO$7)*(Prod_Carburant_Alt!$B$6:$AI$6=BO$9),Prod_Carburant_Alt!$B$7:$AI$37,0))</f>
        <v>0.204382517533922</v>
      </c>
      <c r="BP36" s="543">
        <f t="array" ref="BP36">SUM(IF((Prod_Carburant_Alt!$A$7:$A$37=$B36)*(Prod_Carburant_Alt!$B$3:$AI$3=$C$2)*(Prod_Carburant_Alt!$B$5:$AI$5=BP$7)*(Prod_Carburant_Alt!$B$6:$AI$6=BP$9),Prod_Carburant_Alt!$B$7:$AI$37,0))</f>
        <v>56.85248240802914</v>
      </c>
      <c r="BQ36" s="536">
        <f t="shared" si="38"/>
        <v>0.37433344366937804</v>
      </c>
      <c r="BR36" s="537">
        <f t="shared" si="39"/>
        <v>185.37590609657005</v>
      </c>
      <c r="BS36" s="538">
        <f t="shared" si="40"/>
        <v>151.87657787329007</v>
      </c>
      <c r="BT36" s="539">
        <f t="shared" si="41"/>
        <v>0.84167871847689457</v>
      </c>
      <c r="BU36" s="535">
        <f t="shared" si="28"/>
        <v>104.02505333786992</v>
      </c>
      <c r="BV36" s="539">
        <f t="shared" si="42"/>
        <v>0.84167871847689457</v>
      </c>
      <c r="BW36" s="535">
        <f t="shared" si="29"/>
        <v>47.851524535420161</v>
      </c>
      <c r="BX36" s="539">
        <f t="shared" si="43"/>
        <v>0.84167871847689457</v>
      </c>
      <c r="BY36" s="538">
        <f t="shared" si="44"/>
        <v>103.64921011023409</v>
      </c>
      <c r="BZ36" s="540">
        <f>BY36*Hypothèses!$B$3/Hypothèses!$B$9</f>
        <v>38.078747581563533</v>
      </c>
      <c r="CA36" s="538">
        <f t="shared" si="45"/>
        <v>110.29495358200793</v>
      </c>
      <c r="CB36" s="533">
        <f>BW36*Prod_Carburant_Alt!$R$61+BZ36*Hypothèses!$B$13</f>
        <v>4323.4401023583378</v>
      </c>
      <c r="CC36" s="538">
        <f t="shared" si="46"/>
        <v>2003.2452004521551</v>
      </c>
      <c r="CD36" s="541">
        <f t="shared" si="47"/>
        <v>3.0771815675148311</v>
      </c>
      <c r="CE36" s="537">
        <f t="shared" si="48"/>
        <v>47.557841125941721</v>
      </c>
      <c r="CF36" s="503">
        <f>(CA36+BU36*BO36)*Hypothèses!$D$23+CE36</f>
        <v>540.89230063770037</v>
      </c>
      <c r="CG36" s="504">
        <f t="shared" si="16"/>
        <v>0.60571413687629372</v>
      </c>
      <c r="CH36" s="503">
        <f>(CA36+BU36*BO36)*Hypothèses!$B$23</f>
        <v>414.4009459898773</v>
      </c>
      <c r="CI36" s="503">
        <f t="shared" si="49"/>
        <v>0</v>
      </c>
      <c r="CJ36" s="503">
        <f>(BU36+BW36+CA36)*Hypothèses!$B$6+BZ36*Hypothèses!$B$11</f>
        <v>9.3795364436901885</v>
      </c>
      <c r="CK36" s="503">
        <f>(BU36+BW36+CA36)*Hypothèses!$B$5+BZ36*Hypothèses!$B$10</f>
        <v>707.12715695693601</v>
      </c>
      <c r="CL36" s="542">
        <f t="shared" si="17"/>
        <v>0.72401303867550981</v>
      </c>
    </row>
    <row r="37" spans="1:90" ht="14.25" customHeight="1">
      <c r="A37" s="331"/>
      <c r="B37" s="516">
        <v>2041</v>
      </c>
      <c r="C37" s="655">
        <f>Trajectoires!AA33</f>
        <v>2030.8206534377057</v>
      </c>
      <c r="D37" s="659">
        <f>C37/Hypothèses!$D$23</f>
        <v>541.5521742500548</v>
      </c>
      <c r="E37" s="659">
        <f>D37*Hypothèses!$B$23</f>
        <v>1705.8893488876727</v>
      </c>
      <c r="F37" s="659">
        <f>D37*Hypothèses!$B$5</f>
        <v>752.75752220757613</v>
      </c>
      <c r="G37" s="659">
        <f>D37*Hypothèses!$B$6</f>
        <v>17.329669576001756</v>
      </c>
      <c r="H37" s="519">
        <f t="shared" si="30"/>
        <v>6.6666666666666666E-2</v>
      </c>
      <c r="I37" s="520">
        <f>IF(J37&gt;=1,ROUND(COUNTIFS($B$16:$B37,"&gt;"&amp;MAX($B37-$D$2,2019),H$16:H37,1/25)*(1/$D$2-1/25)*25,0),0)</f>
        <v>0</v>
      </c>
      <c r="J37" s="521">
        <f t="shared" si="50"/>
        <v>1.3333333333333333</v>
      </c>
      <c r="K37" s="522">
        <f>Hypothèses!$G$77</f>
        <v>0.01</v>
      </c>
      <c r="L37" s="523">
        <f t="shared" si="0"/>
        <v>17.058893488876727</v>
      </c>
      <c r="M37" s="524">
        <f t="array" ref="M37">1-SUM(IF((Roadmap_Avion!$B$8:$B$38=$B37)*(Roadmap_Avion!$C$4:$Z$4=$B$2)*(Roadmap_Avion!$C$6:$Z$6=M$7)*(Roadmap_Avion!$C$7:$Z$7=M$9),Roadmap_Avion!$C$8:$Z$38,0))</f>
        <v>0.15000000000000002</v>
      </c>
      <c r="N37" s="525">
        <f t="array" ref="N37">SUM(IF((Roadmap_Avion!$B$8:$B$38=$B37)*(Roadmap_Avion!$C$4:$Z$4=$B$2)*(Roadmap_Avion!$C$6:$Z$6=N$7)*(Roadmap_Avion!$C$7:$Z$7=N$9),Roadmap_Avion!$C$8:$Z$38,0))</f>
        <v>0</v>
      </c>
      <c r="O37" s="526">
        <f t="array" ref="O37">SUM(IF((Roadmap_Avion!$B$8:$B$38=$B37)*(Roadmap_Avion!$C$4:$Z$4=$B$2)*(Roadmap_Avion!$C$6:$Z$6=O$7)*(Roadmap_Avion!$C$7:$Z$7=O$9),Roadmap_Avion!$C$8:$Z$38,0))</f>
        <v>1</v>
      </c>
      <c r="P37" s="527">
        <f t="array" ref="P37">IF($J37&lt;1,P36+$H37*M37,SUMPRODUCT(($B$16:$B$46&lt;=$B37)*($B$16:$B$46&gt;MAX($B37-$D$2-$I37,2019))*$H$16:$H$46*M$16:M$46))</f>
        <v>0.22000000000000011</v>
      </c>
      <c r="Q37" s="528">
        <f t="shared" si="31"/>
        <v>13.305936921323845</v>
      </c>
      <c r="R37" s="529">
        <f t="shared" si="18"/>
        <v>5.0000000000000001E-4</v>
      </c>
      <c r="S37" s="530">
        <f t="shared" si="19"/>
        <v>8.0000000000000002E-3</v>
      </c>
      <c r="T37" s="522">
        <f>Hypothèses!$G$78</f>
        <v>0.03</v>
      </c>
      <c r="U37" s="523">
        <f t="shared" si="2"/>
        <v>51.176680466630181</v>
      </c>
      <c r="V37" s="524">
        <f t="array" ref="V37">1-SUM(IF((Roadmap_Avion!$B$8:$B$38=$B37)*(Roadmap_Avion!$C$4:$Z$4=$B$2)*(Roadmap_Avion!$C$6:$Z$6=V$7)*(Roadmap_Avion!$C$7:$Z$7=V$9),Roadmap_Avion!$C$8:$Z$38,0))</f>
        <v>0.15000000000000002</v>
      </c>
      <c r="W37" s="525">
        <f t="array" ref="W37">SUM(IF((Roadmap_Avion!$B$8:$B$38=$B37)*(Roadmap_Avion!$C$4:$Z$4=$B$2)*(Roadmap_Avion!$C$6:$Z$6=W$7)*(Roadmap_Avion!$C$7:$Z$7=W$9),Roadmap_Avion!$C$8:$Z$38,0))</f>
        <v>0</v>
      </c>
      <c r="X37" s="526">
        <f t="array" ref="X37">SUM(IF((Roadmap_Avion!$B$8:$B$38=$B37)*(Roadmap_Avion!$C$4:$Z$4=$B$2)*(Roadmap_Avion!$C$6:$Z$6=X$7)*(Roadmap_Avion!$C$7:$Z$7=X$9),Roadmap_Avion!$C$8:$Z$38,0))</f>
        <v>1</v>
      </c>
      <c r="Y37" s="527">
        <f t="array" ref="Y37">IF($J37&lt;1,Y36+$H37*V37,SUMPRODUCT(($B$16:$B$46&lt;=$B37)*($B$16:$B$46&gt;MAX($B37-$D$2-$I37,2019))*$H$16:$H$46*V$16:V$46))</f>
        <v>0.25666666666666671</v>
      </c>
      <c r="Z37" s="528">
        <f t="shared" si="32"/>
        <v>38.041332480195102</v>
      </c>
      <c r="AA37" s="529">
        <f t="shared" si="20"/>
        <v>5.4999999999999997E-3</v>
      </c>
      <c r="AB37" s="530">
        <f t="shared" si="21"/>
        <v>1.4E-2</v>
      </c>
      <c r="AC37" s="522">
        <f>Hypothèses!$G$79</f>
        <v>0.24</v>
      </c>
      <c r="AD37" s="523">
        <f t="shared" si="4"/>
        <v>409.41344373304145</v>
      </c>
      <c r="AE37" s="524">
        <f t="array" ref="AE37">1-SUM(IF((Roadmap_Avion!$B$8:$B$38=$B37)*(Roadmap_Avion!$C$4:$Z$4=$B$2)*(Roadmap_Avion!$C$6:$Z$6=AE$7)*(Roadmap_Avion!$C$7:$Z$7=AE$9),Roadmap_Avion!$C$8:$Z$38,0))</f>
        <v>0.36250000000000004</v>
      </c>
      <c r="AF37" s="525">
        <f t="array" ref="AF37">SUM(IF((Roadmap_Avion!$B$8:$B$38=$B37)*(Roadmap_Avion!$C$4:$Z$4=$B$2)*(Roadmap_Avion!$C$6:$Z$6=AF$7)*(Roadmap_Avion!$C$7:$Z$7=AF$9),Roadmap_Avion!$C$8:$Z$38,0))</f>
        <v>0</v>
      </c>
      <c r="AG37" s="526">
        <f t="array" ref="AG37">SUM(IF((Roadmap_Avion!$B$8:$B$38=$B37)*(Roadmap_Avion!$C$4:$Z$4=$B$2)*(Roadmap_Avion!$C$6:$Z$6=AG$7)*(Roadmap_Avion!$C$7:$Z$7=AG$9),Roadmap_Avion!$C$8:$Z$38,0))</f>
        <v>1</v>
      </c>
      <c r="AH37" s="527">
        <f t="array" ref="AH37">IF($J37&lt;1,AH36+$H37*AE37,SUMPRODUCT(($B$16:$B$46&lt;=$B37)*($B$16:$B$46&gt;MAX($B37-$D$2-$I37,2019))*$H$16:$H$46*AE$16:AE$46))</f>
        <v>0.30249999999999999</v>
      </c>
      <c r="AI37" s="528">
        <f t="shared" si="33"/>
        <v>285.5658770037964</v>
      </c>
      <c r="AJ37" s="529">
        <f t="shared" si="22"/>
        <v>6.4000000000000001E-2</v>
      </c>
      <c r="AK37" s="530">
        <f t="shared" si="23"/>
        <v>0.112</v>
      </c>
      <c r="AL37" s="522">
        <f>Hypothèses!$G$80</f>
        <v>0.42</v>
      </c>
      <c r="AM37" s="523">
        <f t="shared" si="6"/>
        <v>716.47352653282246</v>
      </c>
      <c r="AN37" s="524">
        <f t="array" ref="AN37">1-SUM(IF((Roadmap_Avion!$B$8:$B$38=$B37)*(Roadmap_Avion!$C$4:$Z$4=$B$2)*(Roadmap_Avion!$C$6:$Z$6=AN$7)*(Roadmap_Avion!$C$7:$Z$7=AN$9),Roadmap_Avion!$C$8:$Z$38,0))</f>
        <v>0.36250000000000004</v>
      </c>
      <c r="AO37" s="525">
        <f t="array" ref="AO37">SUM(IF((Roadmap_Avion!$B$8:$B$38=$B37)*(Roadmap_Avion!$C$4:$Z$4=$B$2)*(Roadmap_Avion!$C$6:$Z$6=AO$7)*(Roadmap_Avion!$C$7:$Z$7=AO$9),Roadmap_Avion!$C$8:$Z$38,0))</f>
        <v>0</v>
      </c>
      <c r="AP37" s="526">
        <f t="array" ref="AP37">SUM(IF((Roadmap_Avion!$B$8:$B$38=$B37)*(Roadmap_Avion!$C$4:$Z$4=$B$2)*(Roadmap_Avion!$C$6:$Z$6=AP$7)*(Roadmap_Avion!$C$7:$Z$7=AP$9),Roadmap_Avion!$C$8:$Z$38,0))</f>
        <v>1</v>
      </c>
      <c r="AQ37" s="527">
        <f t="array" ref="AQ37">IF($J37&lt;1,AQ36+$H37*AN37,SUMPRODUCT(($B$16:$B$46&lt;=$B37)*($B$16:$B$46&gt;MAX($B37-$D$2-$I37,2019))*$H$16:$H$46*AN$16:AN$46))</f>
        <v>0.30249999999999999</v>
      </c>
      <c r="AR37" s="528">
        <f t="shared" si="34"/>
        <v>499.74028475664369</v>
      </c>
      <c r="AS37" s="529">
        <f t="shared" si="8"/>
        <v>0.112</v>
      </c>
      <c r="AT37" s="530">
        <f t="shared" si="9"/>
        <v>0.19600000000000001</v>
      </c>
      <c r="AU37" s="531">
        <f>Hypothèses!$G$81</f>
        <v>0.3</v>
      </c>
      <c r="AV37" s="523">
        <f t="shared" si="10"/>
        <v>511.76680466630177</v>
      </c>
      <c r="AW37" s="524">
        <f t="array" ref="AW37">1-SUM(IF((Roadmap_Avion!$B$8:$B$38=$B37)*(Roadmap_Avion!$C$4:$Z$4=$B$2)*(Roadmap_Avion!$C$6:$Z$6=AW$7)*(Roadmap_Avion!$C$7:$Z$7=AW$9),Roadmap_Avion!$C$8:$Z$38,0))</f>
        <v>0.4375</v>
      </c>
      <c r="AX37" s="525">
        <f t="array" ref="AX37">SUM(IF((Roadmap_Avion!$B$8:$B$38=$B37)*(Roadmap_Avion!$C$4:$Z$4=$B$2)*(Roadmap_Avion!$C$6:$Z$6=AX$7)*(Roadmap_Avion!$C$7:$Z$7=AX$9),Roadmap_Avion!$C$8:$Z$38,0))</f>
        <v>1</v>
      </c>
      <c r="AY37" s="526">
        <f t="array" ref="AY37">SUM(IF((Roadmap_Avion!$B$8:$B$38=$B37)*(Roadmap_Avion!$C$4:$Z$4=$B$2)*(Roadmap_Avion!$C$6:$Z$6=AY$7)*(Roadmap_Avion!$C$7:$Z$7=AY$9),Roadmap_Avion!$C$8:$Z$38,0))</f>
        <v>0</v>
      </c>
      <c r="AZ37" s="527">
        <f t="array" ref="AZ37">IF($J37&lt;1,AZ36+$H37*AW37,SUMPRODUCT(($B$16:$B$46&lt;=$B37)*($B$16:$B$46&gt;MAX($B37-$D$2-$I37,2019))*$H$16:$H$46*AW$16:AW$46))</f>
        <v>0.33750000000000002</v>
      </c>
      <c r="BA37" s="528">
        <f t="shared" si="35"/>
        <v>339.04550809142489</v>
      </c>
      <c r="BB37" s="529">
        <f t="shared" si="24"/>
        <v>0.22</v>
      </c>
      <c r="BC37" s="529">
        <f t="shared" si="25"/>
        <v>0</v>
      </c>
      <c r="BD37" s="517">
        <f t="shared" si="12"/>
        <v>1175.698939253384</v>
      </c>
      <c r="BE37" s="518">
        <f>BD37*(Hypothèses!$D$23/Hypothèses!$B$23)</f>
        <v>1399.6415943492666</v>
      </c>
      <c r="BF37" s="532">
        <f t="shared" si="13"/>
        <v>0.31080000000000008</v>
      </c>
      <c r="BG37" s="518">
        <f>BD37/Hypothèses!$B$23</f>
        <v>373.23775849313779</v>
      </c>
      <c r="BH37" s="532">
        <f t="shared" si="14"/>
        <v>0.40200000000000002</v>
      </c>
      <c r="BI37" s="532">
        <f t="shared" si="14"/>
        <v>0.33</v>
      </c>
      <c r="BJ37" s="518">
        <f t="shared" si="26"/>
        <v>150.0415789142414</v>
      </c>
      <c r="BK37" s="533">
        <f t="shared" si="36"/>
        <v>213.19680903010928</v>
      </c>
      <c r="BL37" s="534">
        <f t="shared" si="37"/>
        <v>1.4209181919630773</v>
      </c>
      <c r="BM37" s="535">
        <f t="array" ref="BM37">SUM(IF((Prod_Carburant_Alt!$A$7:$A$37=$B37)*(Prod_Carburant_Alt!$B$3:$AI$3=$C$2)*(Prod_Carburant_Alt!$B$5:$AI$5=BM$7)*(Prod_Carburant_Alt!$B$6:$AI$6=BM$9),Prod_Carburant_Alt!$B$7:$AI$37,0))</f>
        <v>142.13120602007285</v>
      </c>
      <c r="BN37" s="534">
        <f t="shared" si="27"/>
        <v>4.5718088544500546</v>
      </c>
      <c r="BO37" s="536">
        <f t="array" ref="BO37">SUM(IF((Prod_Carburant_Alt!$A$7:$A$37=$B37)*(Prod_Carburant_Alt!$B$3:$AI$3=$C$2)*(Prod_Carburant_Alt!$B$5:$AI$5=BO$7)*(Prod_Carburant_Alt!$B$6:$AI$6=BO$9),Prod_Carburant_Alt!$B$7:$AI$37,0))</f>
        <v>0.20438251753392198</v>
      </c>
      <c r="BP37" s="543">
        <f t="array" ref="BP37">SUM(IF((Prod_Carburant_Alt!$A$7:$A$37=$B37)*(Prod_Carburant_Alt!$B$3:$AI$3=$C$2)*(Prod_Carburant_Alt!$B$5:$AI$5=BP$7)*(Prod_Carburant_Alt!$B$6:$AI$6=BP$9),Prod_Carburant_Alt!$B$7:$AI$37,0))</f>
        <v>71.065603010036426</v>
      </c>
      <c r="BQ37" s="536">
        <f t="shared" si="38"/>
        <v>0.47363939732102578</v>
      </c>
      <c r="BR37" s="537">
        <f t="shared" si="39"/>
        <v>160.04094946302851</v>
      </c>
      <c r="BS37" s="538">
        <f t="shared" si="40"/>
        <v>150.0415789142414</v>
      </c>
      <c r="BT37" s="539">
        <f t="shared" si="41"/>
        <v>0.70377028435285527</v>
      </c>
      <c r="BU37" s="535">
        <f t="shared" si="28"/>
        <v>100.02771927616092</v>
      </c>
      <c r="BV37" s="539">
        <f t="shared" si="42"/>
        <v>0.70377028435285527</v>
      </c>
      <c r="BW37" s="535">
        <f t="shared" si="29"/>
        <v>50.013859638080461</v>
      </c>
      <c r="BX37" s="539">
        <f t="shared" si="43"/>
        <v>0.70377028435285527</v>
      </c>
      <c r="BY37" s="538">
        <f t="shared" si="44"/>
        <v>123.16846030273548</v>
      </c>
      <c r="BZ37" s="540">
        <f>BY37*Hypothèses!$B$3/Hypothèses!$B$9</f>
        <v>45.249748694559536</v>
      </c>
      <c r="CA37" s="538">
        <f t="shared" si="45"/>
        <v>100.02771927616091</v>
      </c>
      <c r="CB37" s="533">
        <f>BW37*Prod_Carburant_Alt!$R$61+BZ37*Hypothèses!$B$13</f>
        <v>4827.4787331985117</v>
      </c>
      <c r="CC37" s="538">
        <f t="shared" si="46"/>
        <v>2236.7890785140435</v>
      </c>
      <c r="CD37" s="541">
        <f t="shared" si="47"/>
        <v>3.4359279239847056</v>
      </c>
      <c r="CE37" s="537">
        <f t="shared" si="48"/>
        <v>53.102266065183628</v>
      </c>
      <c r="CF37" s="503">
        <f>(CA37+BU37*BO37)*Hypothèses!$D$23+CE37</f>
        <v>504.87090243393021</v>
      </c>
      <c r="CG37" s="504">
        <f t="shared" si="16"/>
        <v>0.63928558248609413</v>
      </c>
      <c r="CH37" s="503">
        <f>(CA37+BU37*BO37)*Hypothèses!$B$23</f>
        <v>379.4856545497471</v>
      </c>
      <c r="CI37" s="503">
        <f t="shared" si="49"/>
        <v>0</v>
      </c>
      <c r="CJ37" s="503">
        <f>(BU37+BW37+CA37)*Hypothèses!$B$6+BZ37*Hypothèses!$B$11</f>
        <v>9.1787110081514189</v>
      </c>
      <c r="CK37" s="503">
        <f>(BU37+BW37+CA37)*Hypothèses!$B$5+BZ37*Hypothèses!$B$10</f>
        <v>754.84406273569493</v>
      </c>
      <c r="CL37" s="542">
        <f t="shared" si="17"/>
        <v>0.75139562344941613</v>
      </c>
    </row>
    <row r="38" spans="1:90" ht="14.25" customHeight="1">
      <c r="A38" s="331"/>
      <c r="B38" s="516">
        <v>2042</v>
      </c>
      <c r="C38" s="655">
        <f>Trajectoires!AA34</f>
        <v>2103.5256923643933</v>
      </c>
      <c r="D38" s="659">
        <f>C38/Hypothèses!$D$23</f>
        <v>560.94018463050486</v>
      </c>
      <c r="E38" s="659">
        <f>D38*Hypothèses!$B$23</f>
        <v>1766.9615815860902</v>
      </c>
      <c r="F38" s="659">
        <f>D38*Hypothèses!$B$5</f>
        <v>779.70685663640165</v>
      </c>
      <c r="G38" s="659">
        <f>D38*Hypothèses!$B$6</f>
        <v>17.950085908176156</v>
      </c>
      <c r="H38" s="519">
        <f t="shared" si="30"/>
        <v>6.6666666666666666E-2</v>
      </c>
      <c r="I38" s="520">
        <f>IF(J38&gt;=1,ROUND(COUNTIFS($B$16:$B38,"&gt;"&amp;MAX($B38-$D$2,2019),H$16:H38,1/25)*(1/$D$2-1/25)*25,0),0)</f>
        <v>0</v>
      </c>
      <c r="J38" s="521">
        <f t="shared" si="50"/>
        <v>1.4</v>
      </c>
      <c r="K38" s="522">
        <f>Hypothèses!$G$77</f>
        <v>0.01</v>
      </c>
      <c r="L38" s="523">
        <f t="shared" si="0"/>
        <v>17.669615815860904</v>
      </c>
      <c r="M38" s="524">
        <f t="array" ref="M38">1-SUM(IF((Roadmap_Avion!$B$8:$B$38=$B38)*(Roadmap_Avion!$C$4:$Z$4=$B$2)*(Roadmap_Avion!$C$6:$Z$6=M$7)*(Roadmap_Avion!$C$7:$Z$7=M$9),Roadmap_Avion!$C$8:$Z$38,0))</f>
        <v>0.15000000000000002</v>
      </c>
      <c r="N38" s="525">
        <f t="array" ref="N38">SUM(IF((Roadmap_Avion!$B$8:$B$38=$B38)*(Roadmap_Avion!$C$4:$Z$4=$B$2)*(Roadmap_Avion!$C$6:$Z$6=N$7)*(Roadmap_Avion!$C$7:$Z$7=N$9),Roadmap_Avion!$C$8:$Z$38,0))</f>
        <v>0</v>
      </c>
      <c r="O38" s="526">
        <f t="array" ref="O38">SUM(IF((Roadmap_Avion!$B$8:$B$38=$B38)*(Roadmap_Avion!$C$4:$Z$4=$B$2)*(Roadmap_Avion!$C$6:$Z$6=O$7)*(Roadmap_Avion!$C$7:$Z$7=O$9),Roadmap_Avion!$C$8:$Z$38,0))</f>
        <v>1</v>
      </c>
      <c r="P38" s="527">
        <f t="array" ref="P38">IF($J38&lt;1,P37+$H38*M38,SUMPRODUCT(($B$16:$B$46&lt;=$B38)*($B$16:$B$46&gt;MAX($B38-$D$2-$I38,2019))*$H$16:$H$46*M$16:M$46))</f>
        <v>0.19666666666666677</v>
      </c>
      <c r="Q38" s="528">
        <f t="shared" si="31"/>
        <v>14.194591372074925</v>
      </c>
      <c r="R38" s="529">
        <f t="shared" si="18"/>
        <v>3.3333333333333332E-4</v>
      </c>
      <c r="S38" s="530">
        <f t="shared" si="19"/>
        <v>8.6666666666666663E-3</v>
      </c>
      <c r="T38" s="522">
        <f>Hypothèses!$G$78</f>
        <v>0.03</v>
      </c>
      <c r="U38" s="523">
        <f t="shared" si="2"/>
        <v>53.008847447582703</v>
      </c>
      <c r="V38" s="524">
        <f t="array" ref="V38">1-SUM(IF((Roadmap_Avion!$B$8:$B$38=$B38)*(Roadmap_Avion!$C$4:$Z$4=$B$2)*(Roadmap_Avion!$C$6:$Z$6=V$7)*(Roadmap_Avion!$C$7:$Z$7=V$9),Roadmap_Avion!$C$8:$Z$38,0))</f>
        <v>0.15000000000000002</v>
      </c>
      <c r="W38" s="525">
        <f t="array" ref="W38">SUM(IF((Roadmap_Avion!$B$8:$B$38=$B38)*(Roadmap_Avion!$C$4:$Z$4=$B$2)*(Roadmap_Avion!$C$6:$Z$6=W$7)*(Roadmap_Avion!$C$7:$Z$7=W$9),Roadmap_Avion!$C$8:$Z$38,0))</f>
        <v>0</v>
      </c>
      <c r="X38" s="526">
        <f t="array" ref="X38">SUM(IF((Roadmap_Avion!$B$8:$B$38=$B38)*(Roadmap_Avion!$C$4:$Z$4=$B$2)*(Roadmap_Avion!$C$6:$Z$6=X$7)*(Roadmap_Avion!$C$7:$Z$7=X$9),Roadmap_Avion!$C$8:$Z$38,0))</f>
        <v>1</v>
      </c>
      <c r="Y38" s="527">
        <f t="array" ref="Y38">IF($J38&lt;1,Y37+$H38*V38,SUMPRODUCT(($B$16:$B$46&lt;=$B38)*($B$16:$B$46&gt;MAX($B38-$D$2-$I38,2019))*$H$16:$H$46*V$16:V$46))</f>
        <v>0.26</v>
      </c>
      <c r="Z38" s="528">
        <f t="shared" si="32"/>
        <v>39.226547111211197</v>
      </c>
      <c r="AA38" s="529">
        <f t="shared" si="20"/>
        <v>4.5000000000000005E-3</v>
      </c>
      <c r="AB38" s="530">
        <f t="shared" si="21"/>
        <v>1.6E-2</v>
      </c>
      <c r="AC38" s="522">
        <f>Hypothèses!$G$79</f>
        <v>0.24</v>
      </c>
      <c r="AD38" s="523">
        <f t="shared" si="4"/>
        <v>424.07077958066162</v>
      </c>
      <c r="AE38" s="524">
        <f t="array" ref="AE38">1-SUM(IF((Roadmap_Avion!$B$8:$B$38=$B38)*(Roadmap_Avion!$C$4:$Z$4=$B$2)*(Roadmap_Avion!$C$6:$Z$6=AE$7)*(Roadmap_Avion!$C$7:$Z$7=AE$9),Roadmap_Avion!$C$8:$Z$38,0))</f>
        <v>0.36250000000000004</v>
      </c>
      <c r="AF38" s="525">
        <f t="array" ref="AF38">SUM(IF((Roadmap_Avion!$B$8:$B$38=$B38)*(Roadmap_Avion!$C$4:$Z$4=$B$2)*(Roadmap_Avion!$C$6:$Z$6=AF$7)*(Roadmap_Avion!$C$7:$Z$7=AF$9),Roadmap_Avion!$C$8:$Z$38,0))</f>
        <v>0</v>
      </c>
      <c r="AG38" s="526">
        <f t="array" ref="AG38">SUM(IF((Roadmap_Avion!$B$8:$B$38=$B38)*(Roadmap_Avion!$C$4:$Z$4=$B$2)*(Roadmap_Avion!$C$6:$Z$6=AG$7)*(Roadmap_Avion!$C$7:$Z$7=AG$9),Roadmap_Avion!$C$8:$Z$38,0))</f>
        <v>1</v>
      </c>
      <c r="AH38" s="527">
        <f t="array" ref="AH38">IF($J38&lt;1,AH37+$H38*AE38,SUMPRODUCT(($B$16:$B$46&lt;=$B38)*($B$16:$B$46&gt;MAX($B38-$D$2-$I38,2019))*$H$16:$H$46*AE$16:AE$46))</f>
        <v>0.31</v>
      </c>
      <c r="AI38" s="528">
        <f t="shared" si="33"/>
        <v>292.60883791065652</v>
      </c>
      <c r="AJ38" s="529">
        <f t="shared" si="22"/>
        <v>5.6000000000000001E-2</v>
      </c>
      <c r="AK38" s="530">
        <f t="shared" si="23"/>
        <v>0.128</v>
      </c>
      <c r="AL38" s="522">
        <f>Hypothèses!$G$80</f>
        <v>0.42</v>
      </c>
      <c r="AM38" s="523">
        <f t="shared" si="6"/>
        <v>742.12386426615785</v>
      </c>
      <c r="AN38" s="524">
        <f t="array" ref="AN38">1-SUM(IF((Roadmap_Avion!$B$8:$B$38=$B38)*(Roadmap_Avion!$C$4:$Z$4=$B$2)*(Roadmap_Avion!$C$6:$Z$6=AN$7)*(Roadmap_Avion!$C$7:$Z$7=AN$9),Roadmap_Avion!$C$8:$Z$38,0))</f>
        <v>0.36250000000000004</v>
      </c>
      <c r="AO38" s="525">
        <f t="array" ref="AO38">SUM(IF((Roadmap_Avion!$B$8:$B$38=$B38)*(Roadmap_Avion!$C$4:$Z$4=$B$2)*(Roadmap_Avion!$C$6:$Z$6=AO$7)*(Roadmap_Avion!$C$7:$Z$7=AO$9),Roadmap_Avion!$C$8:$Z$38,0))</f>
        <v>0</v>
      </c>
      <c r="AP38" s="526">
        <f t="array" ref="AP38">SUM(IF((Roadmap_Avion!$B$8:$B$38=$B38)*(Roadmap_Avion!$C$4:$Z$4=$B$2)*(Roadmap_Avion!$C$6:$Z$6=AP$7)*(Roadmap_Avion!$C$7:$Z$7=AP$9),Roadmap_Avion!$C$8:$Z$38,0))</f>
        <v>1</v>
      </c>
      <c r="AQ38" s="527">
        <f t="array" ref="AQ38">IF($J38&lt;1,AQ37+$H38*AN38,SUMPRODUCT(($B$16:$B$46&lt;=$B38)*($B$16:$B$46&gt;MAX($B38-$D$2-$I38,2019))*$H$16:$H$46*AN$16:AN$46))</f>
        <v>0.31</v>
      </c>
      <c r="AR38" s="528">
        <f t="shared" si="34"/>
        <v>512.06546634364884</v>
      </c>
      <c r="AS38" s="529">
        <f t="shared" si="8"/>
        <v>9.8000000000000004E-2</v>
      </c>
      <c r="AT38" s="530">
        <f t="shared" si="9"/>
        <v>0.224</v>
      </c>
      <c r="AU38" s="531">
        <f>Hypothèses!$G$81</f>
        <v>0.3</v>
      </c>
      <c r="AV38" s="523">
        <f t="shared" si="10"/>
        <v>530.08847447582707</v>
      </c>
      <c r="AW38" s="524">
        <f t="array" ref="AW38">1-SUM(IF((Roadmap_Avion!$B$8:$B$38=$B38)*(Roadmap_Avion!$C$4:$Z$4=$B$2)*(Roadmap_Avion!$C$6:$Z$6=AW$7)*(Roadmap_Avion!$C$7:$Z$7=AW$9),Roadmap_Avion!$C$8:$Z$38,0))</f>
        <v>0.4375</v>
      </c>
      <c r="AX38" s="525">
        <f t="array" ref="AX38">SUM(IF((Roadmap_Avion!$B$8:$B$38=$B38)*(Roadmap_Avion!$C$4:$Z$4=$B$2)*(Roadmap_Avion!$C$6:$Z$6=AX$7)*(Roadmap_Avion!$C$7:$Z$7=AX$9),Roadmap_Avion!$C$8:$Z$38,0))</f>
        <v>1</v>
      </c>
      <c r="AY38" s="526">
        <f t="array" ref="AY38">SUM(IF((Roadmap_Avion!$B$8:$B$38=$B38)*(Roadmap_Avion!$C$4:$Z$4=$B$2)*(Roadmap_Avion!$C$6:$Z$6=AY$7)*(Roadmap_Avion!$C$7:$Z$7=AY$9),Roadmap_Avion!$C$8:$Z$38,0))</f>
        <v>0</v>
      </c>
      <c r="AZ38" s="527">
        <f t="array" ref="AZ38">IF($J38&lt;1,AZ37+$H38*AW38,SUMPRODUCT(($B$16:$B$46&lt;=$B38)*($B$16:$B$46&gt;MAX($B38-$D$2-$I38,2019))*$H$16:$H$46*AW$16:AW$46))</f>
        <v>0.35000000000000003</v>
      </c>
      <c r="BA38" s="528">
        <f t="shared" si="35"/>
        <v>344.55750840928755</v>
      </c>
      <c r="BB38" s="529">
        <f t="shared" si="24"/>
        <v>0.22999999999999998</v>
      </c>
      <c r="BC38" s="529">
        <f t="shared" si="25"/>
        <v>0</v>
      </c>
      <c r="BD38" s="517">
        <f t="shared" si="12"/>
        <v>1202.6529511468791</v>
      </c>
      <c r="BE38" s="518">
        <f>BD38*(Hypothèses!$D$23/Hypothèses!$B$23)</f>
        <v>1431.7297037462847</v>
      </c>
      <c r="BF38" s="532">
        <f t="shared" si="13"/>
        <v>0.3193666666666668</v>
      </c>
      <c r="BG38" s="518">
        <f>BD38/Hypothèses!$B$23</f>
        <v>381.79458766567592</v>
      </c>
      <c r="BH38" s="532">
        <f t="shared" si="14"/>
        <v>0.38883333333333331</v>
      </c>
      <c r="BI38" s="532">
        <f t="shared" si="14"/>
        <v>0.37666666666666671</v>
      </c>
      <c r="BJ38" s="518">
        <f t="shared" si="26"/>
        <v>148.4544621706703</v>
      </c>
      <c r="BK38" s="533">
        <f t="shared" si="36"/>
        <v>245.17633038462566</v>
      </c>
      <c r="BL38" s="534">
        <f t="shared" si="37"/>
        <v>1.6515255035093477</v>
      </c>
      <c r="BM38" s="535">
        <f t="array" ref="BM38">SUM(IF((Prod_Carburant_Alt!$A$7:$A$37=$B38)*(Prod_Carburant_Alt!$B$3:$AI$3=$C$2)*(Prod_Carburant_Alt!$B$5:$AI$5=BM$7)*(Prod_Carburant_Alt!$B$6:$AI$6=BM$9),Prod_Carburant_Alt!$B$7:$AI$37,0))</f>
        <v>163.45088692308377</v>
      </c>
      <c r="BN38" s="534">
        <f t="shared" si="27"/>
        <v>5.1712519679866826</v>
      </c>
      <c r="BO38" s="536">
        <f t="array" ref="BO38">SUM(IF((Prod_Carburant_Alt!$A$7:$A$37=$B38)*(Prod_Carburant_Alt!$B$3:$AI$3=$C$2)*(Prod_Carburant_Alt!$B$5:$AI$5=BO$7)*(Prod_Carburant_Alt!$B$6:$AI$6=BO$9),Prod_Carburant_Alt!$B$7:$AI$37,0))</f>
        <v>0.20438251753392195</v>
      </c>
      <c r="BP38" s="543">
        <f t="array" ref="BP38">SUM(IF((Prod_Carburant_Alt!$A$7:$A$37=$B38)*(Prod_Carburant_Alt!$B$3:$AI$3=$C$2)*(Prod_Carburant_Alt!$B$5:$AI$5=BP$7)*(Prod_Carburant_Alt!$B$6:$AI$6=BP$9),Prod_Carburant_Alt!$B$7:$AI$37,0))</f>
        <v>81.725443461541886</v>
      </c>
      <c r="BQ38" s="536">
        <f t="shared" si="38"/>
        <v>0.55050850116978256</v>
      </c>
      <c r="BR38" s="537">
        <f t="shared" si="39"/>
        <v>136.61825728105026</v>
      </c>
      <c r="BS38" s="538">
        <f t="shared" si="40"/>
        <v>148.4544621706703</v>
      </c>
      <c r="BT38" s="539">
        <f t="shared" si="41"/>
        <v>0.6055007917680274</v>
      </c>
      <c r="BU38" s="535">
        <f t="shared" si="28"/>
        <v>98.969641447113531</v>
      </c>
      <c r="BV38" s="539">
        <f t="shared" si="42"/>
        <v>0.6055007917680274</v>
      </c>
      <c r="BW38" s="535">
        <f t="shared" si="29"/>
        <v>49.484820723556766</v>
      </c>
      <c r="BX38" s="539">
        <f t="shared" si="43"/>
        <v>0.6055007917680274</v>
      </c>
      <c r="BY38" s="538">
        <f t="shared" si="44"/>
        <v>143.80929468740462</v>
      </c>
      <c r="BZ38" s="540">
        <f>BY38*Hypothèses!$B$3/Hypothèses!$B$9</f>
        <v>52.832798498516198</v>
      </c>
      <c r="CA38" s="538">
        <f t="shared" si="45"/>
        <v>89.530830807601006</v>
      </c>
      <c r="CB38" s="533">
        <f>BW38*Prod_Carburant_Alt!$R$61+BZ38*Hypothèses!$B$13</f>
        <v>5232.9772874087921</v>
      </c>
      <c r="CC38" s="538">
        <f t="shared" si="46"/>
        <v>2424.6748854826501</v>
      </c>
      <c r="CD38" s="541">
        <f t="shared" si="47"/>
        <v>3.7245389945970047</v>
      </c>
      <c r="CE38" s="537">
        <f t="shared" si="48"/>
        <v>57.562750161496709</v>
      </c>
      <c r="CF38" s="503">
        <f>(CA38+BU38*BO38)*Hypothèses!$D$23+CE38</f>
        <v>469.15710748396543</v>
      </c>
      <c r="CG38" s="504">
        <f t="shared" si="16"/>
        <v>0.67231446951448859</v>
      </c>
      <c r="CH38" s="503">
        <f>(CA38+BU38*BO38)*Hypothèses!$B$23</f>
        <v>345.73926015087369</v>
      </c>
      <c r="CI38" s="503">
        <f t="shared" si="49"/>
        <v>0</v>
      </c>
      <c r="CJ38" s="503">
        <f>(BU38+BW38+CA38)*Hypothèses!$B$6+BZ38*Hypothèses!$B$11</f>
        <v>8.9891821362661037</v>
      </c>
      <c r="CK38" s="503">
        <f>(BU38+BW38+CA38)*Hypothèses!$B$5+BZ38*Hypothèses!$B$10</f>
        <v>806.2947437264429</v>
      </c>
      <c r="CL38" s="542">
        <f t="shared" si="17"/>
        <v>0.77696630510054476</v>
      </c>
    </row>
    <row r="39" spans="1:90" ht="14.25" customHeight="1">
      <c r="A39" s="331"/>
      <c r="B39" s="516">
        <v>2043</v>
      </c>
      <c r="C39" s="655">
        <f>Trajectoires!AA35</f>
        <v>2177.8664654005638</v>
      </c>
      <c r="D39" s="659">
        <f>C39/Hypothèses!$D$23</f>
        <v>580.76439077348368</v>
      </c>
      <c r="E39" s="659">
        <f>D39*Hypothèses!$B$23</f>
        <v>1829.4078309364736</v>
      </c>
      <c r="F39" s="659">
        <f>D39*Hypothèses!$B$5</f>
        <v>807.26250317514223</v>
      </c>
      <c r="G39" s="659">
        <f>D39*Hypothèses!$B$6</f>
        <v>18.58446050475148</v>
      </c>
      <c r="H39" s="519">
        <f t="shared" si="30"/>
        <v>6.6666666666666666E-2</v>
      </c>
      <c r="I39" s="520">
        <f>IF(J39&gt;=1,ROUND(COUNTIFS($B$16:$B39,"&gt;"&amp;MAX($B39-$D$2,2019),H$16:H39,1/25)*(1/$D$2-1/25)*25,0),0)</f>
        <v>0</v>
      </c>
      <c r="J39" s="521">
        <f t="shared" si="50"/>
        <v>1.4666666666666666</v>
      </c>
      <c r="K39" s="522">
        <f>Hypothèses!$G$77</f>
        <v>0.01</v>
      </c>
      <c r="L39" s="523">
        <f t="shared" si="0"/>
        <v>18.294078309364735</v>
      </c>
      <c r="M39" s="524">
        <f t="array" ref="M39">1-SUM(IF((Roadmap_Avion!$B$8:$B$38=$B39)*(Roadmap_Avion!$C$4:$Z$4=$B$2)*(Roadmap_Avion!$C$6:$Z$6=M$7)*(Roadmap_Avion!$C$7:$Z$7=M$9),Roadmap_Avion!$C$8:$Z$38,0))</f>
        <v>0.15000000000000002</v>
      </c>
      <c r="N39" s="525">
        <f t="array" ref="N39">SUM(IF((Roadmap_Avion!$B$8:$B$38=$B39)*(Roadmap_Avion!$C$4:$Z$4=$B$2)*(Roadmap_Avion!$C$6:$Z$6=N$7)*(Roadmap_Avion!$C$7:$Z$7=N$9),Roadmap_Avion!$C$8:$Z$38,0))</f>
        <v>0</v>
      </c>
      <c r="O39" s="526">
        <f t="array" ref="O39">SUM(IF((Roadmap_Avion!$B$8:$B$38=$B39)*(Roadmap_Avion!$C$4:$Z$4=$B$2)*(Roadmap_Avion!$C$6:$Z$6=O$7)*(Roadmap_Avion!$C$7:$Z$7=O$9),Roadmap_Avion!$C$8:$Z$38,0))</f>
        <v>1</v>
      </c>
      <c r="P39" s="527">
        <f t="array" ref="P39">IF($J39&lt;1,P38+$H39*M39,SUMPRODUCT(($B$16:$B$46&lt;=$B39)*($B$16:$B$46&gt;MAX($B39-$D$2-$I39,2019))*$H$16:$H$46*M$16:M$46))</f>
        <v>0.17333333333333342</v>
      </c>
      <c r="Q39" s="528">
        <f t="shared" si="31"/>
        <v>15.123104735741512</v>
      </c>
      <c r="R39" s="529">
        <f t="shared" si="18"/>
        <v>1.6666666666666666E-4</v>
      </c>
      <c r="S39" s="530">
        <f t="shared" si="19"/>
        <v>9.3333333333333341E-3</v>
      </c>
      <c r="T39" s="522">
        <f>Hypothèses!$G$78</f>
        <v>0.03</v>
      </c>
      <c r="U39" s="523">
        <f t="shared" si="2"/>
        <v>54.882234928094206</v>
      </c>
      <c r="V39" s="524">
        <f t="array" ref="V39">1-SUM(IF((Roadmap_Avion!$B$8:$B$38=$B39)*(Roadmap_Avion!$C$4:$Z$4=$B$2)*(Roadmap_Avion!$C$6:$Z$6=V$7)*(Roadmap_Avion!$C$7:$Z$7=V$9),Roadmap_Avion!$C$8:$Z$38,0))</f>
        <v>0.15000000000000002</v>
      </c>
      <c r="W39" s="525">
        <f t="array" ref="W39">SUM(IF((Roadmap_Avion!$B$8:$B$38=$B39)*(Roadmap_Avion!$C$4:$Z$4=$B$2)*(Roadmap_Avion!$C$6:$Z$6=W$7)*(Roadmap_Avion!$C$7:$Z$7=W$9),Roadmap_Avion!$C$8:$Z$38,0))</f>
        <v>0</v>
      </c>
      <c r="X39" s="526">
        <f t="array" ref="X39">SUM(IF((Roadmap_Avion!$B$8:$B$38=$B39)*(Roadmap_Avion!$C$4:$Z$4=$B$2)*(Roadmap_Avion!$C$6:$Z$6=X$7)*(Roadmap_Avion!$C$7:$Z$7=X$9),Roadmap_Avion!$C$8:$Z$38,0))</f>
        <v>1</v>
      </c>
      <c r="Y39" s="527">
        <f t="array" ref="Y39">IF($J39&lt;1,Y38+$H39*V39,SUMPRODUCT(($B$16:$B$46&lt;=$B39)*($B$16:$B$46&gt;MAX($B39-$D$2-$I39,2019))*$H$16:$H$46*V$16:V$46))</f>
        <v>0.26333333333333336</v>
      </c>
      <c r="Z39" s="528">
        <f t="shared" si="32"/>
        <v>40.429913063696063</v>
      </c>
      <c r="AA39" s="529">
        <f t="shared" si="20"/>
        <v>3.5000000000000001E-3</v>
      </c>
      <c r="AB39" s="530">
        <f t="shared" si="21"/>
        <v>1.8000000000000002E-2</v>
      </c>
      <c r="AC39" s="522">
        <f>Hypothèses!$G$79</f>
        <v>0.24</v>
      </c>
      <c r="AD39" s="523">
        <f t="shared" si="4"/>
        <v>439.05787942475365</v>
      </c>
      <c r="AE39" s="524">
        <f t="array" ref="AE39">1-SUM(IF((Roadmap_Avion!$B$8:$B$38=$B39)*(Roadmap_Avion!$C$4:$Z$4=$B$2)*(Roadmap_Avion!$C$6:$Z$6=AE$7)*(Roadmap_Avion!$C$7:$Z$7=AE$9),Roadmap_Avion!$C$8:$Z$38,0))</f>
        <v>0.36250000000000004</v>
      </c>
      <c r="AF39" s="525">
        <f t="array" ref="AF39">SUM(IF((Roadmap_Avion!$B$8:$B$38=$B39)*(Roadmap_Avion!$C$4:$Z$4=$B$2)*(Roadmap_Avion!$C$6:$Z$6=AF$7)*(Roadmap_Avion!$C$7:$Z$7=AF$9),Roadmap_Avion!$C$8:$Z$38,0))</f>
        <v>0</v>
      </c>
      <c r="AG39" s="526">
        <f t="array" ref="AG39">SUM(IF((Roadmap_Avion!$B$8:$B$38=$B39)*(Roadmap_Avion!$C$4:$Z$4=$B$2)*(Roadmap_Avion!$C$6:$Z$6=AG$7)*(Roadmap_Avion!$C$7:$Z$7=AG$9),Roadmap_Avion!$C$8:$Z$38,0))</f>
        <v>1</v>
      </c>
      <c r="AH39" s="527">
        <f t="array" ref="AH39">IF($J39&lt;1,AH38+$H39*AE39,SUMPRODUCT(($B$16:$B$46&lt;=$B39)*($B$16:$B$46&gt;MAX($B39-$D$2-$I39,2019))*$H$16:$H$46*AE$16:AE$46))</f>
        <v>0.3175</v>
      </c>
      <c r="AI39" s="528">
        <f t="shared" si="33"/>
        <v>299.65700270739438</v>
      </c>
      <c r="AJ39" s="529">
        <f t="shared" si="22"/>
        <v>4.8000000000000001E-2</v>
      </c>
      <c r="AK39" s="530">
        <f t="shared" si="23"/>
        <v>0.14400000000000002</v>
      </c>
      <c r="AL39" s="522">
        <f>Hypothèses!$G$80</f>
        <v>0.42</v>
      </c>
      <c r="AM39" s="523">
        <f t="shared" si="6"/>
        <v>768.35128899331892</v>
      </c>
      <c r="AN39" s="524">
        <f t="array" ref="AN39">1-SUM(IF((Roadmap_Avion!$B$8:$B$38=$B39)*(Roadmap_Avion!$C$4:$Z$4=$B$2)*(Roadmap_Avion!$C$6:$Z$6=AN$7)*(Roadmap_Avion!$C$7:$Z$7=AN$9),Roadmap_Avion!$C$8:$Z$38,0))</f>
        <v>0.36250000000000004</v>
      </c>
      <c r="AO39" s="525">
        <f t="array" ref="AO39">SUM(IF((Roadmap_Avion!$B$8:$B$38=$B39)*(Roadmap_Avion!$C$4:$Z$4=$B$2)*(Roadmap_Avion!$C$6:$Z$6=AO$7)*(Roadmap_Avion!$C$7:$Z$7=AO$9),Roadmap_Avion!$C$8:$Z$38,0))</f>
        <v>0</v>
      </c>
      <c r="AP39" s="526">
        <f t="array" ref="AP39">SUM(IF((Roadmap_Avion!$B$8:$B$38=$B39)*(Roadmap_Avion!$C$4:$Z$4=$B$2)*(Roadmap_Avion!$C$6:$Z$6=AP$7)*(Roadmap_Avion!$C$7:$Z$7=AP$9),Roadmap_Avion!$C$8:$Z$38,0))</f>
        <v>1</v>
      </c>
      <c r="AQ39" s="527">
        <f t="array" ref="AQ39">IF($J39&lt;1,AQ38+$H39*AN39,SUMPRODUCT(($B$16:$B$46&lt;=$B39)*($B$16:$B$46&gt;MAX($B39-$D$2-$I39,2019))*$H$16:$H$46*AN$16:AN$46))</f>
        <v>0.3175</v>
      </c>
      <c r="AR39" s="528">
        <f t="shared" si="34"/>
        <v>524.39975473794016</v>
      </c>
      <c r="AS39" s="529">
        <f t="shared" si="8"/>
        <v>8.4000000000000005E-2</v>
      </c>
      <c r="AT39" s="530">
        <f t="shared" si="9"/>
        <v>0.252</v>
      </c>
      <c r="AU39" s="531">
        <f>Hypothèses!$G$81</f>
        <v>0.3</v>
      </c>
      <c r="AV39" s="523">
        <f t="shared" si="10"/>
        <v>548.82234928094203</v>
      </c>
      <c r="AW39" s="524">
        <f t="array" ref="AW39">1-SUM(IF((Roadmap_Avion!$B$8:$B$38=$B39)*(Roadmap_Avion!$C$4:$Z$4=$B$2)*(Roadmap_Avion!$C$6:$Z$6=AW$7)*(Roadmap_Avion!$C$7:$Z$7=AW$9),Roadmap_Avion!$C$8:$Z$38,0))</f>
        <v>0.4375</v>
      </c>
      <c r="AX39" s="525">
        <f t="array" ref="AX39">SUM(IF((Roadmap_Avion!$B$8:$B$38=$B39)*(Roadmap_Avion!$C$4:$Z$4=$B$2)*(Roadmap_Avion!$C$6:$Z$6=AX$7)*(Roadmap_Avion!$C$7:$Z$7=AX$9),Roadmap_Avion!$C$8:$Z$38,0))</f>
        <v>1</v>
      </c>
      <c r="AY39" s="526">
        <f t="array" ref="AY39">SUM(IF((Roadmap_Avion!$B$8:$B$38=$B39)*(Roadmap_Avion!$C$4:$Z$4=$B$2)*(Roadmap_Avion!$C$6:$Z$6=AY$7)*(Roadmap_Avion!$C$7:$Z$7=AY$9),Roadmap_Avion!$C$8:$Z$38,0))</f>
        <v>0</v>
      </c>
      <c r="AZ39" s="527">
        <f t="array" ref="AZ39">IF($J39&lt;1,AZ38+$H39*AW39,SUMPRODUCT(($B$16:$B$46&lt;=$B39)*($B$16:$B$46&gt;MAX($B39-$D$2-$I39,2019))*$H$16:$H$46*AW$16:AW$46))</f>
        <v>0.36250000000000004</v>
      </c>
      <c r="BA39" s="528">
        <f t="shared" si="35"/>
        <v>349.87424766660052</v>
      </c>
      <c r="BB39" s="529">
        <f t="shared" si="24"/>
        <v>0.23999999999999996</v>
      </c>
      <c r="BC39" s="529">
        <f t="shared" si="25"/>
        <v>0</v>
      </c>
      <c r="BD39" s="517">
        <f t="shared" si="12"/>
        <v>1229.4840229113727</v>
      </c>
      <c r="BE39" s="518">
        <f>BD39*(Hypothèses!$D$23/Hypothèses!$B$23)</f>
        <v>1463.6714558468723</v>
      </c>
      <c r="BF39" s="532">
        <f t="shared" si="13"/>
        <v>0.3279333333333333</v>
      </c>
      <c r="BG39" s="518">
        <f>BD39/Hypothèses!$B$23</f>
        <v>390.31238822583259</v>
      </c>
      <c r="BH39" s="532">
        <f t="shared" si="14"/>
        <v>0.37566666666666659</v>
      </c>
      <c r="BI39" s="532">
        <f t="shared" si="14"/>
        <v>0.42333333333333334</v>
      </c>
      <c r="BJ39" s="518">
        <f t="shared" si="26"/>
        <v>146.62735384350441</v>
      </c>
      <c r="BK39" s="533">
        <f t="shared" si="36"/>
        <v>281.95277994231947</v>
      </c>
      <c r="BL39" s="534">
        <f t="shared" si="37"/>
        <v>1.922920741263926</v>
      </c>
      <c r="BM39" s="535">
        <f t="array" ref="BM39">SUM(IF((Prod_Carburant_Alt!$A$7:$A$37=$B39)*(Prod_Carburant_Alt!$B$3:$AI$3=$C$2)*(Prod_Carburant_Alt!$B$5:$AI$5=BM$7)*(Prod_Carburant_Alt!$B$6:$AI$6=BM$9),Prod_Carburant_Alt!$B$7:$AI$37,0))</f>
        <v>187.96851996154632</v>
      </c>
      <c r="BN39" s="534">
        <f t="shared" si="27"/>
        <v>5.8637550556940221</v>
      </c>
      <c r="BO39" s="536">
        <f t="array" ref="BO39">SUM(IF((Prod_Carburant_Alt!$A$7:$A$37=$B39)*(Prod_Carburant_Alt!$B$3:$AI$3=$C$2)*(Prod_Carburant_Alt!$B$5:$AI$5=BO$7)*(Prod_Carburant_Alt!$B$6:$AI$6=BO$9),Prod_Carburant_Alt!$B$7:$AI$37,0))</f>
        <v>0.204382517533922</v>
      </c>
      <c r="BP39" s="543">
        <f t="array" ref="BP39">SUM(IF((Prod_Carburant_Alt!$A$7:$A$37=$B39)*(Prod_Carburant_Alt!$B$3:$AI$3=$C$2)*(Prod_Carburant_Alt!$B$5:$AI$5=BP$7)*(Prod_Carburant_Alt!$B$6:$AI$6=BP$9),Prod_Carburant_Alt!$B$7:$AI$37,0))</f>
        <v>93.98425998077316</v>
      </c>
      <c r="BQ39" s="536">
        <f t="shared" si="38"/>
        <v>0.6409735804213087</v>
      </c>
      <c r="BR39" s="537">
        <f t="shared" si="39"/>
        <v>108.35960828351313</v>
      </c>
      <c r="BS39" s="538">
        <f t="shared" si="40"/>
        <v>146.62735384350441</v>
      </c>
      <c r="BT39" s="539">
        <f t="shared" si="41"/>
        <v>0.52004223499233004</v>
      </c>
      <c r="BU39" s="535">
        <f t="shared" si="28"/>
        <v>97.751569229002953</v>
      </c>
      <c r="BV39" s="539">
        <f t="shared" si="42"/>
        <v>0.52004223499233004</v>
      </c>
      <c r="BW39" s="535">
        <f t="shared" si="29"/>
        <v>48.875784614501477</v>
      </c>
      <c r="BX39" s="539">
        <f t="shared" si="43"/>
        <v>0.52004223499233004</v>
      </c>
      <c r="BY39" s="538">
        <f t="shared" si="44"/>
        <v>165.23224434893581</v>
      </c>
      <c r="BZ39" s="540">
        <f>BY39*Hypothèses!$B$3/Hypothèses!$B$9</f>
        <v>60.703182573285346</v>
      </c>
      <c r="CA39" s="538">
        <f t="shared" si="45"/>
        <v>78.452790033392375</v>
      </c>
      <c r="CB39" s="533">
        <f>BW39*Prod_Carburant_Alt!$R$61+BZ39*Hypothèses!$B$13</f>
        <v>5651.1260349025688</v>
      </c>
      <c r="CC39" s="538">
        <f t="shared" si="46"/>
        <v>2618.4220987342151</v>
      </c>
      <c r="CD39" s="541">
        <f t="shared" si="47"/>
        <v>4.0221537614964902</v>
      </c>
      <c r="CE39" s="537">
        <f t="shared" si="48"/>
        <v>62.162386383928258</v>
      </c>
      <c r="CF39" s="503">
        <f>(CA39+BU39*BO39)*Hypothèses!$D$23+CE39</f>
        <v>431.28051830383129</v>
      </c>
      <c r="CG39" s="504">
        <f t="shared" si="16"/>
        <v>0.70534335654288294</v>
      </c>
      <c r="CH39" s="503">
        <f>(CA39+BU39*BO39)*Hypothèses!$B$23</f>
        <v>310.05923081271851</v>
      </c>
      <c r="CI39" s="503">
        <f t="shared" si="49"/>
        <v>0</v>
      </c>
      <c r="CJ39" s="503">
        <f>(BU39+BW39+CA39)*Hypothèses!$B$6+BZ39*Hypothèses!$B$11</f>
        <v>8.7808473509661162</v>
      </c>
      <c r="CK39" s="503">
        <f>(BU39+BW39+CA39)*Hypothèses!$B$5+BZ39*Hypothèses!$B$10</f>
        <v>859.19004314845472</v>
      </c>
      <c r="CL39" s="542">
        <f t="shared" si="17"/>
        <v>0.8019710918205869</v>
      </c>
    </row>
    <row r="40" spans="1:90" ht="14.25" customHeight="1">
      <c r="A40" s="331"/>
      <c r="B40" s="516">
        <v>2044</v>
      </c>
      <c r="C40" s="655">
        <f>Trajectoires!AA36</f>
        <v>2253.7185316236014</v>
      </c>
      <c r="D40" s="659">
        <f>C40/Hypothèses!$D$23</f>
        <v>600.99160843296033</v>
      </c>
      <c r="E40" s="659">
        <f>D40*Hypothèses!$B$23</f>
        <v>1893.1235665638251</v>
      </c>
      <c r="F40" s="659">
        <f>D40*Hypothèses!$B$5</f>
        <v>835.37833572181478</v>
      </c>
      <c r="G40" s="659">
        <f>D40*Hypothèses!$B$6</f>
        <v>19.231731469854733</v>
      </c>
      <c r="H40" s="519">
        <f t="shared" si="30"/>
        <v>6.6666666666666666E-2</v>
      </c>
      <c r="I40" s="520">
        <f>IF(J40&gt;=1,ROUND(COUNTIFS($B$16:$B40,"&gt;"&amp;MAX($B40-$D$2,2019),H$16:H40,1/25)*(1/$D$2-1/25)*25,0),0)</f>
        <v>0</v>
      </c>
      <c r="J40" s="521">
        <f t="shared" si="50"/>
        <v>1.5333333333333332</v>
      </c>
      <c r="K40" s="522">
        <f>Hypothèses!$G$77</f>
        <v>0.01</v>
      </c>
      <c r="L40" s="523">
        <f t="shared" si="0"/>
        <v>18.931235665638251</v>
      </c>
      <c r="M40" s="524">
        <f t="array" ref="M40">1-SUM(IF((Roadmap_Avion!$B$8:$B$38=$B40)*(Roadmap_Avion!$C$4:$Z$4=$B$2)*(Roadmap_Avion!$C$6:$Z$6=M$7)*(Roadmap_Avion!$C$7:$Z$7=M$9),Roadmap_Avion!$C$8:$Z$38,0))</f>
        <v>0.15000000000000002</v>
      </c>
      <c r="N40" s="525">
        <f t="array" ref="N40">SUM(IF((Roadmap_Avion!$B$8:$B$38=$B40)*(Roadmap_Avion!$C$4:$Z$4=$B$2)*(Roadmap_Avion!$C$6:$Z$6=N$7)*(Roadmap_Avion!$C$7:$Z$7=N$9),Roadmap_Avion!$C$8:$Z$38,0))</f>
        <v>0</v>
      </c>
      <c r="O40" s="526">
        <f t="array" ref="O40">SUM(IF((Roadmap_Avion!$B$8:$B$38=$B40)*(Roadmap_Avion!$C$4:$Z$4=$B$2)*(Roadmap_Avion!$C$6:$Z$6=O$7)*(Roadmap_Avion!$C$7:$Z$7=O$9),Roadmap_Avion!$C$8:$Z$38,0))</f>
        <v>1</v>
      </c>
      <c r="P40" s="527">
        <f t="array" ref="P40">IF($J40&lt;1,P39+$H40*M40,SUMPRODUCT(($B$16:$B$46&lt;=$B40)*($B$16:$B$46&gt;MAX($B40-$D$2-$I40,2019))*$H$16:$H$46*M$16:M$46))</f>
        <v>0.15000000000000008</v>
      </c>
      <c r="Q40" s="528">
        <f t="shared" si="31"/>
        <v>16.09155031579251</v>
      </c>
      <c r="R40" s="529">
        <f t="shared" si="18"/>
        <v>0</v>
      </c>
      <c r="S40" s="530">
        <f t="shared" si="19"/>
        <v>0.01</v>
      </c>
      <c r="T40" s="522">
        <f>Hypothèses!$G$78</f>
        <v>0.03</v>
      </c>
      <c r="U40" s="523">
        <f t="shared" si="2"/>
        <v>56.79370699691475</v>
      </c>
      <c r="V40" s="524">
        <f t="array" ref="V40">1-SUM(IF((Roadmap_Avion!$B$8:$B$38=$B40)*(Roadmap_Avion!$C$4:$Z$4=$B$2)*(Roadmap_Avion!$C$6:$Z$6=V$7)*(Roadmap_Avion!$C$7:$Z$7=V$9),Roadmap_Avion!$C$8:$Z$38,0))</f>
        <v>0.15000000000000002</v>
      </c>
      <c r="W40" s="525">
        <f t="array" ref="W40">SUM(IF((Roadmap_Avion!$B$8:$B$38=$B40)*(Roadmap_Avion!$C$4:$Z$4=$B$2)*(Roadmap_Avion!$C$6:$Z$6=W$7)*(Roadmap_Avion!$C$7:$Z$7=W$9),Roadmap_Avion!$C$8:$Z$38,0))</f>
        <v>0</v>
      </c>
      <c r="X40" s="526">
        <f t="array" ref="X40">SUM(IF((Roadmap_Avion!$B$8:$B$38=$B40)*(Roadmap_Avion!$C$4:$Z$4=$B$2)*(Roadmap_Avion!$C$6:$Z$6=X$7)*(Roadmap_Avion!$C$7:$Z$7=X$9),Roadmap_Avion!$C$8:$Z$38,0))</f>
        <v>1</v>
      </c>
      <c r="Y40" s="527">
        <f t="array" ref="Y40">IF($J40&lt;1,Y39+$H40*V40,SUMPRODUCT(($B$16:$B$46&lt;=$B40)*($B$16:$B$46&gt;MAX($B40-$D$2-$I40,2019))*$H$16:$H$46*V$16:V$46))</f>
        <v>0.26666666666666672</v>
      </c>
      <c r="Z40" s="528">
        <f t="shared" si="32"/>
        <v>41.648718464404148</v>
      </c>
      <c r="AA40" s="529">
        <f t="shared" si="20"/>
        <v>2.5000000000000001E-3</v>
      </c>
      <c r="AB40" s="530">
        <f t="shared" si="21"/>
        <v>0.02</v>
      </c>
      <c r="AC40" s="522">
        <f>Hypothèses!$G$79</f>
        <v>0.24</v>
      </c>
      <c r="AD40" s="523">
        <f t="shared" si="4"/>
        <v>454.349655975318</v>
      </c>
      <c r="AE40" s="524">
        <f t="array" ref="AE40">1-SUM(IF((Roadmap_Avion!$B$8:$B$38=$B40)*(Roadmap_Avion!$C$4:$Z$4=$B$2)*(Roadmap_Avion!$C$6:$Z$6=AE$7)*(Roadmap_Avion!$C$7:$Z$7=AE$9),Roadmap_Avion!$C$8:$Z$38,0))</f>
        <v>0.36250000000000004</v>
      </c>
      <c r="AF40" s="525">
        <f t="array" ref="AF40">SUM(IF((Roadmap_Avion!$B$8:$B$38=$B40)*(Roadmap_Avion!$C$4:$Z$4=$B$2)*(Roadmap_Avion!$C$6:$Z$6=AF$7)*(Roadmap_Avion!$C$7:$Z$7=AF$9),Roadmap_Avion!$C$8:$Z$38,0))</f>
        <v>0</v>
      </c>
      <c r="AG40" s="526">
        <f t="array" ref="AG40">SUM(IF((Roadmap_Avion!$B$8:$B$38=$B40)*(Roadmap_Avion!$C$4:$Z$4=$B$2)*(Roadmap_Avion!$C$6:$Z$6=AG$7)*(Roadmap_Avion!$C$7:$Z$7=AG$9),Roadmap_Avion!$C$8:$Z$38,0))</f>
        <v>1</v>
      </c>
      <c r="AH40" s="527">
        <f t="array" ref="AH40">IF($J40&lt;1,AH39+$H40*AE40,SUMPRODUCT(($B$16:$B$46&lt;=$B40)*($B$16:$B$46&gt;MAX($B40-$D$2-$I40,2019))*$H$16:$H$46*AE$16:AE$46))</f>
        <v>0.32500000000000001</v>
      </c>
      <c r="AI40" s="528">
        <f t="shared" si="33"/>
        <v>306.68601778333965</v>
      </c>
      <c r="AJ40" s="529">
        <f t="shared" si="22"/>
        <v>0.04</v>
      </c>
      <c r="AK40" s="530">
        <f t="shared" si="23"/>
        <v>0.16</v>
      </c>
      <c r="AL40" s="522">
        <f>Hypothèses!$G$80</f>
        <v>0.42</v>
      </c>
      <c r="AM40" s="523">
        <f t="shared" si="6"/>
        <v>795.1118979568065</v>
      </c>
      <c r="AN40" s="524">
        <f t="array" ref="AN40">1-SUM(IF((Roadmap_Avion!$B$8:$B$38=$B40)*(Roadmap_Avion!$C$4:$Z$4=$B$2)*(Roadmap_Avion!$C$6:$Z$6=AN$7)*(Roadmap_Avion!$C$7:$Z$7=AN$9),Roadmap_Avion!$C$8:$Z$38,0))</f>
        <v>0.36250000000000004</v>
      </c>
      <c r="AO40" s="525">
        <f t="array" ref="AO40">SUM(IF((Roadmap_Avion!$B$8:$B$38=$B40)*(Roadmap_Avion!$C$4:$Z$4=$B$2)*(Roadmap_Avion!$C$6:$Z$6=AO$7)*(Roadmap_Avion!$C$7:$Z$7=AO$9),Roadmap_Avion!$C$8:$Z$38,0))</f>
        <v>0</v>
      </c>
      <c r="AP40" s="526">
        <f t="array" ref="AP40">SUM(IF((Roadmap_Avion!$B$8:$B$38=$B40)*(Roadmap_Avion!$C$4:$Z$4=$B$2)*(Roadmap_Avion!$C$6:$Z$6=AP$7)*(Roadmap_Avion!$C$7:$Z$7=AP$9),Roadmap_Avion!$C$8:$Z$38,0))</f>
        <v>1</v>
      </c>
      <c r="AQ40" s="527">
        <f t="array" ref="AQ40">IF($J40&lt;1,AQ39+$H40*AN40,SUMPRODUCT(($B$16:$B$46&lt;=$B40)*($B$16:$B$46&gt;MAX($B40-$D$2-$I40,2019))*$H$16:$H$46*AN$16:AN$46))</f>
        <v>0.32500000000000001</v>
      </c>
      <c r="AR40" s="528">
        <f t="shared" si="34"/>
        <v>536.7005311208444</v>
      </c>
      <c r="AS40" s="529">
        <f t="shared" si="8"/>
        <v>7.0000000000000007E-2</v>
      </c>
      <c r="AT40" s="530">
        <f t="shared" si="9"/>
        <v>0.28000000000000003</v>
      </c>
      <c r="AU40" s="531">
        <f>Hypothèses!$G$81</f>
        <v>0.3</v>
      </c>
      <c r="AV40" s="523">
        <f t="shared" si="10"/>
        <v>567.9370699691475</v>
      </c>
      <c r="AW40" s="524">
        <f t="array" ref="AW40">1-SUM(IF((Roadmap_Avion!$B$8:$B$38=$B40)*(Roadmap_Avion!$C$4:$Z$4=$B$2)*(Roadmap_Avion!$C$6:$Z$6=AW$7)*(Roadmap_Avion!$C$7:$Z$7=AW$9),Roadmap_Avion!$C$8:$Z$38,0))</f>
        <v>0.4375</v>
      </c>
      <c r="AX40" s="525">
        <f t="array" ref="AX40">SUM(IF((Roadmap_Avion!$B$8:$B$38=$B40)*(Roadmap_Avion!$C$4:$Z$4=$B$2)*(Roadmap_Avion!$C$6:$Z$6=AX$7)*(Roadmap_Avion!$C$7:$Z$7=AX$9),Roadmap_Avion!$C$8:$Z$38,0))</f>
        <v>1</v>
      </c>
      <c r="AY40" s="526">
        <f t="array" ref="AY40">SUM(IF((Roadmap_Avion!$B$8:$B$38=$B40)*(Roadmap_Avion!$C$4:$Z$4=$B$2)*(Roadmap_Avion!$C$6:$Z$6=AY$7)*(Roadmap_Avion!$C$7:$Z$7=AY$9),Roadmap_Avion!$C$8:$Z$38,0))</f>
        <v>0</v>
      </c>
      <c r="AZ40" s="527">
        <f t="array" ref="AZ40">IF($J40&lt;1,AZ39+$H40*AW40,SUMPRODUCT(($B$16:$B$46&lt;=$B40)*($B$16:$B$46&gt;MAX($B40-$D$2-$I40,2019))*$H$16:$H$46*AW$16:AW$46))</f>
        <v>0.37500000000000006</v>
      </c>
      <c r="BA40" s="528">
        <f t="shared" si="35"/>
        <v>354.9606687307172</v>
      </c>
      <c r="BB40" s="529">
        <f t="shared" si="24"/>
        <v>0.25</v>
      </c>
      <c r="BC40" s="529">
        <f t="shared" si="25"/>
        <v>0</v>
      </c>
      <c r="BD40" s="517">
        <f t="shared" si="12"/>
        <v>1256.0874864150978</v>
      </c>
      <c r="BE40" s="518">
        <f>BD40*(Hypothèses!$D$23/Hypothèses!$B$23)</f>
        <v>1495.3422457322592</v>
      </c>
      <c r="BF40" s="532">
        <f t="shared" si="13"/>
        <v>0.33650000000000013</v>
      </c>
      <c r="BG40" s="518">
        <f>BD40/Hypothèses!$B$23</f>
        <v>398.75793219526918</v>
      </c>
      <c r="BH40" s="532">
        <f t="shared" si="14"/>
        <v>0.36250000000000004</v>
      </c>
      <c r="BI40" s="532">
        <f t="shared" si="14"/>
        <v>0.47000000000000003</v>
      </c>
      <c r="BJ40" s="518">
        <f t="shared" si="26"/>
        <v>144.5497504207851</v>
      </c>
      <c r="BK40" s="533">
        <f t="shared" si="36"/>
        <v>324.24569693366738</v>
      </c>
      <c r="BL40" s="534">
        <f t="shared" si="37"/>
        <v>2.2431425581143269</v>
      </c>
      <c r="BM40" s="535">
        <f t="array" ref="BM40">SUM(IF((Prod_Carburant_Alt!$A$7:$A$37=$B40)*(Prod_Carburant_Alt!$B$3:$AI$3=$C$2)*(Prod_Carburant_Alt!$B$5:$AI$5=BM$7)*(Prod_Carburant_Alt!$B$6:$AI$6=BM$9),Prod_Carburant_Alt!$B$7:$AI$37,0))</f>
        <v>216.16379795577825</v>
      </c>
      <c r="BN40" s="534">
        <f t="shared" si="27"/>
        <v>6.6660997269370759</v>
      </c>
      <c r="BO40" s="536">
        <f t="array" ref="BO40">SUM(IF((Prod_Carburant_Alt!$A$7:$A$37=$B40)*(Prod_Carburant_Alt!$B$3:$AI$3=$C$2)*(Prod_Carburant_Alt!$B$5:$AI$5=BO$7)*(Prod_Carburant_Alt!$B$6:$AI$6=BO$9),Prod_Carburant_Alt!$B$7:$AI$37,0))</f>
        <v>0.204382517533922</v>
      </c>
      <c r="BP40" s="543">
        <f t="array" ref="BP40">SUM(IF((Prod_Carburant_Alt!$A$7:$A$37=$B40)*(Prod_Carburant_Alt!$B$3:$AI$3=$C$2)*(Prod_Carburant_Alt!$B$5:$AI$5=BP$7)*(Prod_Carburant_Alt!$B$6:$AI$6=BP$9),Prod_Carburant_Alt!$B$7:$AI$37,0))</f>
        <v>108.08189897788913</v>
      </c>
      <c r="BQ40" s="536">
        <f t="shared" si="38"/>
        <v>0.74771418603810891</v>
      </c>
      <c r="BR40" s="537">
        <f t="shared" si="39"/>
        <v>74.512235261601802</v>
      </c>
      <c r="BS40" s="538">
        <f t="shared" si="40"/>
        <v>144.5497504207851</v>
      </c>
      <c r="BT40" s="539">
        <f t="shared" si="41"/>
        <v>0.44580314183893827</v>
      </c>
      <c r="BU40" s="535">
        <f t="shared" si="28"/>
        <v>96.366500280523397</v>
      </c>
      <c r="BV40" s="539">
        <f t="shared" si="42"/>
        <v>0.44580314183893821</v>
      </c>
      <c r="BW40" s="535">
        <f t="shared" si="29"/>
        <v>48.183250140261698</v>
      </c>
      <c r="BX40" s="539">
        <f t="shared" si="43"/>
        <v>0.44580314183893821</v>
      </c>
      <c r="BY40" s="538">
        <f t="shared" si="44"/>
        <v>187.41622813177653</v>
      </c>
      <c r="BZ40" s="540">
        <f>BY40*Hypothèses!$B$3/Hypothèses!$B$9</f>
        <v>68.853156103444292</v>
      </c>
      <c r="CA40" s="538">
        <f t="shared" si="45"/>
        <v>66.79195364270754</v>
      </c>
      <c r="CB40" s="533">
        <f>BW40*Prod_Carburant_Alt!$R$61+BZ40*Hypothèses!$B$13</f>
        <v>6081.3278121922413</v>
      </c>
      <c r="CC40" s="538">
        <f t="shared" si="46"/>
        <v>2817.7540254356932</v>
      </c>
      <c r="CD40" s="541">
        <f t="shared" si="47"/>
        <v>4.3283471972898511</v>
      </c>
      <c r="CE40" s="537">
        <f t="shared" si="48"/>
        <v>66.894605934114665</v>
      </c>
      <c r="CF40" s="503">
        <f>(CA40+BU40*BO40)*Hypothèses!$D$23+CE40</f>
        <v>391.2230368440184</v>
      </c>
      <c r="CG40" s="504">
        <f t="shared" si="16"/>
        <v>0.73837224357127751</v>
      </c>
      <c r="CH40" s="503">
        <f>(CA40+BU40*BO40)*Hypothèses!$B$23</f>
        <v>272.43588196431909</v>
      </c>
      <c r="CI40" s="503">
        <f t="shared" si="49"/>
        <v>0</v>
      </c>
      <c r="CJ40" s="503">
        <f>(BU40+BW40+CA40)*Hypothèses!$B$6+BZ40*Hypothèses!$B$11</f>
        <v>8.5531165887213163</v>
      </c>
      <c r="CK40" s="503">
        <f>(BU40+BW40+CA40)*Hypothèses!$B$5+BZ40*Hypothèses!$B$10</f>
        <v>913.44337357925338</v>
      </c>
      <c r="CL40" s="542">
        <f t="shared" si="17"/>
        <v>0.82640998360954265</v>
      </c>
    </row>
    <row r="41" spans="1:90" ht="14.25" customHeight="1">
      <c r="A41" s="331"/>
      <c r="B41" s="516">
        <v>2045</v>
      </c>
      <c r="C41" s="655">
        <f>Trajectoires!AA37</f>
        <v>2330.9241411198473</v>
      </c>
      <c r="D41" s="659">
        <f>C41/Hypothèses!$D$23</f>
        <v>621.5797709652926</v>
      </c>
      <c r="E41" s="659">
        <f>D41*Hypothèses!$B$23</f>
        <v>1957.9762785406717</v>
      </c>
      <c r="F41" s="659">
        <f>D41*Hypothèses!$B$5</f>
        <v>863.99588164175668</v>
      </c>
      <c r="G41" s="659">
        <f>D41*Hypothèses!$B$6</f>
        <v>19.890552670889363</v>
      </c>
      <c r="H41" s="519">
        <f t="shared" si="30"/>
        <v>6.6666666666666666E-2</v>
      </c>
      <c r="I41" s="520">
        <f>IF(J41&gt;=1,ROUND(COUNTIFS($B$16:$B41,"&gt;"&amp;MAX($B41-$D$2,2019),H$16:H41,1/25)*(1/$D$2-1/25)*25,0),0)</f>
        <v>0</v>
      </c>
      <c r="J41" s="521">
        <f t="shared" si="50"/>
        <v>1.5999999999999999</v>
      </c>
      <c r="K41" s="522">
        <f>Hypothèses!$G$77</f>
        <v>0.01</v>
      </c>
      <c r="L41" s="523">
        <f t="shared" si="0"/>
        <v>19.579762785406718</v>
      </c>
      <c r="M41" s="524">
        <f t="array" ref="M41">1-SUM(IF((Roadmap_Avion!$B$8:$B$38=$B41)*(Roadmap_Avion!$C$4:$Z$4=$B$2)*(Roadmap_Avion!$C$6:$Z$6=M$7)*(Roadmap_Avion!$C$7:$Z$7=M$9),Roadmap_Avion!$C$8:$Z$38,0))</f>
        <v>0.15000000000000002</v>
      </c>
      <c r="N41" s="525">
        <f t="array" ref="N41">SUM(IF((Roadmap_Avion!$B$8:$B$38=$B41)*(Roadmap_Avion!$C$4:$Z$4=$B$2)*(Roadmap_Avion!$C$6:$Z$6=N$7)*(Roadmap_Avion!$C$7:$Z$7=N$9),Roadmap_Avion!$C$8:$Z$38,0))</f>
        <v>0</v>
      </c>
      <c r="O41" s="526">
        <f t="array" ref="O41">SUM(IF((Roadmap_Avion!$B$8:$B$38=$B41)*(Roadmap_Avion!$C$4:$Z$4=$B$2)*(Roadmap_Avion!$C$6:$Z$6=O$7)*(Roadmap_Avion!$C$7:$Z$7=O$9),Roadmap_Avion!$C$8:$Z$38,0))</f>
        <v>1</v>
      </c>
      <c r="P41" s="527">
        <f t="array" ref="P41">IF($J41&lt;1,P40+$H41*M41,SUMPRODUCT(($B$16:$B$46&lt;=$B41)*($B$16:$B$46&gt;MAX($B41-$D$2-$I41,2019))*$H$16:$H$46*M$16:M$46))</f>
        <v>0.15000000000000008</v>
      </c>
      <c r="Q41" s="528">
        <f t="shared" si="31"/>
        <v>16.642798367595709</v>
      </c>
      <c r="R41" s="529">
        <f t="shared" si="18"/>
        <v>0</v>
      </c>
      <c r="S41" s="530">
        <f t="shared" si="19"/>
        <v>0.01</v>
      </c>
      <c r="T41" s="522">
        <f>Hypothèses!$G$78</f>
        <v>0.03</v>
      </c>
      <c r="U41" s="523">
        <f t="shared" si="2"/>
        <v>58.73928835622015</v>
      </c>
      <c r="V41" s="524">
        <f t="array" ref="V41">1-SUM(IF((Roadmap_Avion!$B$8:$B$38=$B41)*(Roadmap_Avion!$C$4:$Z$4=$B$2)*(Roadmap_Avion!$C$6:$Z$6=V$7)*(Roadmap_Avion!$C$7:$Z$7=V$9),Roadmap_Avion!$C$8:$Z$38,0))</f>
        <v>0.15000000000000002</v>
      </c>
      <c r="W41" s="525">
        <f t="array" ref="W41">SUM(IF((Roadmap_Avion!$B$8:$B$38=$B41)*(Roadmap_Avion!$C$4:$Z$4=$B$2)*(Roadmap_Avion!$C$6:$Z$6=W$7)*(Roadmap_Avion!$C$7:$Z$7=W$9),Roadmap_Avion!$C$8:$Z$38,0))</f>
        <v>0</v>
      </c>
      <c r="X41" s="526">
        <f t="array" ref="X41">SUM(IF((Roadmap_Avion!$B$8:$B$38=$B41)*(Roadmap_Avion!$C$4:$Z$4=$B$2)*(Roadmap_Avion!$C$6:$Z$6=X$7)*(Roadmap_Avion!$C$7:$Z$7=X$9),Roadmap_Avion!$C$8:$Z$38,0))</f>
        <v>1</v>
      </c>
      <c r="Y41" s="527">
        <f t="array" ref="Y41">IF($J41&lt;1,Y40+$H41*V41,SUMPRODUCT(($B$16:$B$46&lt;=$B41)*($B$16:$B$46&gt;MAX($B41-$D$2-$I41,2019))*$H$16:$H$46*V$16:V$46))</f>
        <v>0.24333333333333343</v>
      </c>
      <c r="Z41" s="528">
        <f t="shared" si="32"/>
        <v>44.446061522873244</v>
      </c>
      <c r="AA41" s="529">
        <f t="shared" si="20"/>
        <v>2E-3</v>
      </c>
      <c r="AB41" s="530">
        <f t="shared" si="21"/>
        <v>2.1999999999999999E-2</v>
      </c>
      <c r="AC41" s="522">
        <f>Hypothèses!$G$79</f>
        <v>0.24</v>
      </c>
      <c r="AD41" s="523">
        <f t="shared" si="4"/>
        <v>469.9143068497612</v>
      </c>
      <c r="AE41" s="524">
        <f t="array" ref="AE41">1-SUM(IF((Roadmap_Avion!$B$8:$B$38=$B41)*(Roadmap_Avion!$C$4:$Z$4=$B$2)*(Roadmap_Avion!$C$6:$Z$6=AE$7)*(Roadmap_Avion!$C$7:$Z$7=AE$9),Roadmap_Avion!$C$8:$Z$38,0))</f>
        <v>0.36250000000000004</v>
      </c>
      <c r="AF41" s="525">
        <f t="array" ref="AF41">SUM(IF((Roadmap_Avion!$B$8:$B$38=$B41)*(Roadmap_Avion!$C$4:$Z$4=$B$2)*(Roadmap_Avion!$C$6:$Z$6=AF$7)*(Roadmap_Avion!$C$7:$Z$7=AF$9),Roadmap_Avion!$C$8:$Z$38,0))</f>
        <v>0</v>
      </c>
      <c r="AG41" s="526">
        <f t="array" ref="AG41">SUM(IF((Roadmap_Avion!$B$8:$B$38=$B41)*(Roadmap_Avion!$C$4:$Z$4=$B$2)*(Roadmap_Avion!$C$6:$Z$6=AG$7)*(Roadmap_Avion!$C$7:$Z$7=AG$9),Roadmap_Avion!$C$8:$Z$38,0))</f>
        <v>1</v>
      </c>
      <c r="AH41" s="527">
        <f t="array" ref="AH41">IF($J41&lt;1,AH40+$H41*AE41,SUMPRODUCT(($B$16:$B$46&lt;=$B41)*($B$16:$B$46&gt;MAX($B41-$D$2-$I41,2019))*$H$16:$H$46*AE$16:AE$46))</f>
        <v>0.33250000000000002</v>
      </c>
      <c r="AI41" s="528">
        <f t="shared" si="33"/>
        <v>313.66779982221561</v>
      </c>
      <c r="AJ41" s="529">
        <f t="shared" si="22"/>
        <v>3.2000000000000001E-2</v>
      </c>
      <c r="AK41" s="530">
        <f t="shared" si="23"/>
        <v>0.17599999999999999</v>
      </c>
      <c r="AL41" s="522">
        <f>Hypothèses!$G$80</f>
        <v>0.42</v>
      </c>
      <c r="AM41" s="523">
        <f t="shared" si="6"/>
        <v>822.35003698708215</v>
      </c>
      <c r="AN41" s="524">
        <f t="array" ref="AN41">1-SUM(IF((Roadmap_Avion!$B$8:$B$38=$B41)*(Roadmap_Avion!$C$4:$Z$4=$B$2)*(Roadmap_Avion!$C$6:$Z$6=AN$7)*(Roadmap_Avion!$C$7:$Z$7=AN$9),Roadmap_Avion!$C$8:$Z$38,0))</f>
        <v>0.36250000000000004</v>
      </c>
      <c r="AO41" s="525">
        <f t="array" ref="AO41">SUM(IF((Roadmap_Avion!$B$8:$B$38=$B41)*(Roadmap_Avion!$C$4:$Z$4=$B$2)*(Roadmap_Avion!$C$6:$Z$6=AO$7)*(Roadmap_Avion!$C$7:$Z$7=AO$9),Roadmap_Avion!$C$8:$Z$38,0))</f>
        <v>0</v>
      </c>
      <c r="AP41" s="526">
        <f t="array" ref="AP41">SUM(IF((Roadmap_Avion!$B$8:$B$38=$B41)*(Roadmap_Avion!$C$4:$Z$4=$B$2)*(Roadmap_Avion!$C$6:$Z$6=AP$7)*(Roadmap_Avion!$C$7:$Z$7=AP$9),Roadmap_Avion!$C$8:$Z$38,0))</f>
        <v>1</v>
      </c>
      <c r="AQ41" s="527">
        <f t="array" ref="AQ41">IF($J41&lt;1,AQ40+$H41*AN41,SUMPRODUCT(($B$16:$B$46&lt;=$B41)*($B$16:$B$46&gt;MAX($B41-$D$2-$I41,2019))*$H$16:$H$46*AN$16:AN$46))</f>
        <v>0.33250000000000002</v>
      </c>
      <c r="AR41" s="528">
        <f t="shared" si="34"/>
        <v>548.91864968887728</v>
      </c>
      <c r="AS41" s="529">
        <f t="shared" si="8"/>
        <v>5.6000000000000001E-2</v>
      </c>
      <c r="AT41" s="530">
        <f t="shared" si="9"/>
        <v>0.308</v>
      </c>
      <c r="AU41" s="531">
        <f>Hypothèses!$G$81</f>
        <v>0.3</v>
      </c>
      <c r="AV41" s="523">
        <f t="shared" si="10"/>
        <v>587.39288356220152</v>
      </c>
      <c r="AW41" s="524">
        <f t="array" ref="AW41">1-SUM(IF((Roadmap_Avion!$B$8:$B$38=$B41)*(Roadmap_Avion!$C$4:$Z$4=$B$2)*(Roadmap_Avion!$C$6:$Z$6=AW$7)*(Roadmap_Avion!$C$7:$Z$7=AW$9),Roadmap_Avion!$C$8:$Z$38,0))</f>
        <v>0.4375</v>
      </c>
      <c r="AX41" s="525">
        <f t="array" ref="AX41">SUM(IF((Roadmap_Avion!$B$8:$B$38=$B41)*(Roadmap_Avion!$C$4:$Z$4=$B$2)*(Roadmap_Avion!$C$6:$Z$6=AX$7)*(Roadmap_Avion!$C$7:$Z$7=AX$9),Roadmap_Avion!$C$8:$Z$38,0))</f>
        <v>1</v>
      </c>
      <c r="AY41" s="526">
        <f t="array" ref="AY41">SUM(IF((Roadmap_Avion!$B$8:$B$38=$B41)*(Roadmap_Avion!$C$4:$Z$4=$B$2)*(Roadmap_Avion!$C$6:$Z$6=AY$7)*(Roadmap_Avion!$C$7:$Z$7=AY$9),Roadmap_Avion!$C$8:$Z$38,0))</f>
        <v>0</v>
      </c>
      <c r="AZ41" s="527">
        <f t="array" ref="AZ41">IF($J41&lt;1,AZ40+$H41*AW41,SUMPRODUCT(($B$16:$B$46&lt;=$B41)*($B$16:$B$46&gt;MAX($B41-$D$2-$I41,2019))*$H$16:$H$46*AW$16:AW$46))</f>
        <v>0.38750000000000007</v>
      </c>
      <c r="BA41" s="528">
        <f t="shared" si="35"/>
        <v>359.77814118184841</v>
      </c>
      <c r="BB41" s="529">
        <f t="shared" si="24"/>
        <v>0.26</v>
      </c>
      <c r="BC41" s="529">
        <f t="shared" si="25"/>
        <v>0</v>
      </c>
      <c r="BD41" s="517">
        <f t="shared" si="12"/>
        <v>1283.4534505834104</v>
      </c>
      <c r="BE41" s="518">
        <f>BD41*(Hypothèses!$D$23/Hypothèses!$B$23)</f>
        <v>1527.9207745040599</v>
      </c>
      <c r="BF41" s="532">
        <f t="shared" si="13"/>
        <v>0.34450000000000003</v>
      </c>
      <c r="BG41" s="518">
        <f>BD41/Hypothèses!$B$23</f>
        <v>407.44553986774935</v>
      </c>
      <c r="BH41" s="532">
        <f t="shared" si="14"/>
        <v>0.35</v>
      </c>
      <c r="BI41" s="532">
        <f t="shared" si="14"/>
        <v>0.51600000000000001</v>
      </c>
      <c r="BJ41" s="518">
        <f t="shared" si="26"/>
        <v>142.60593895371227</v>
      </c>
      <c r="BK41" s="533">
        <f t="shared" si="36"/>
        <v>372.88255147371746</v>
      </c>
      <c r="BL41" s="534">
        <f t="shared" si="37"/>
        <v>2.614775753447053</v>
      </c>
      <c r="BM41" s="535">
        <f t="array" ref="BM41">SUM(IF((Prod_Carburant_Alt!$A$7:$A$37=$B41)*(Prod_Carburant_Alt!$B$3:$AI$3=$C$2)*(Prod_Carburant_Alt!$B$5:$AI$5=BM$7)*(Prod_Carburant_Alt!$B$6:$AI$6=BM$9),Prod_Carburant_Alt!$B$7:$AI$37,0))</f>
        <v>248.58836764914497</v>
      </c>
      <c r="BN41" s="534">
        <f t="shared" si="27"/>
        <v>7.5900602422265688</v>
      </c>
      <c r="BO41" s="536">
        <f t="array" ref="BO41">SUM(IF((Prod_Carburant_Alt!$A$7:$A$37=$B41)*(Prod_Carburant_Alt!$B$3:$AI$3=$C$2)*(Prod_Carburant_Alt!$B$5:$AI$5=BO$7)*(Prod_Carburant_Alt!$B$6:$AI$6=BO$9),Prod_Carburant_Alt!$B$7:$AI$37,0))</f>
        <v>0.204382517533922</v>
      </c>
      <c r="BP41" s="543">
        <f t="array" ref="BP41">SUM(IF((Prod_Carburant_Alt!$A$7:$A$37=$B41)*(Prod_Carburant_Alt!$B$3:$AI$3=$C$2)*(Prod_Carburant_Alt!$B$5:$AI$5=BP$7)*(Prod_Carburant_Alt!$B$6:$AI$6=BP$9),Prod_Carburant_Alt!$B$7:$AI$37,0))</f>
        <v>124.29418382457249</v>
      </c>
      <c r="BQ41" s="536">
        <f t="shared" si="38"/>
        <v>0.87159191781568435</v>
      </c>
      <c r="BR41" s="537">
        <f t="shared" si="39"/>
        <v>34.56298839403189</v>
      </c>
      <c r="BS41" s="538">
        <f t="shared" si="40"/>
        <v>142.60593895371227</v>
      </c>
      <c r="BT41" s="539">
        <f t="shared" si="41"/>
        <v>0.38244197372631372</v>
      </c>
      <c r="BU41" s="535">
        <f t="shared" si="28"/>
        <v>95.070625969141503</v>
      </c>
      <c r="BV41" s="539">
        <f t="shared" si="42"/>
        <v>0.38244197372631367</v>
      </c>
      <c r="BW41" s="535">
        <f t="shared" si="29"/>
        <v>47.535312984570751</v>
      </c>
      <c r="BX41" s="539">
        <f t="shared" si="43"/>
        <v>0.38244197372631367</v>
      </c>
      <c r="BY41" s="538">
        <f t="shared" si="44"/>
        <v>210.24189857175867</v>
      </c>
      <c r="BZ41" s="540">
        <f>BY41*Hypothèses!$B$3/Hypothèses!$B$9</f>
        <v>77.238873101573304</v>
      </c>
      <c r="CA41" s="538">
        <f t="shared" si="45"/>
        <v>54.59770234227841</v>
      </c>
      <c r="CB41" s="533">
        <f>BW41*Prod_Carburant_Alt!$R$61+BZ41*Hypothèses!$B$13</f>
        <v>6526.9001333868218</v>
      </c>
      <c r="CC41" s="538">
        <f t="shared" si="46"/>
        <v>3024.2078198112608</v>
      </c>
      <c r="CD41" s="541">
        <f t="shared" si="47"/>
        <v>4.6454805219835036</v>
      </c>
      <c r="CE41" s="537">
        <f t="shared" si="48"/>
        <v>71.795901467255035</v>
      </c>
      <c r="CF41" s="503">
        <f>(CA41+BU41*BO41)*Hypothèses!$D$23+CE41</f>
        <v>349.40268729742036</v>
      </c>
      <c r="CG41" s="504">
        <f t="shared" si="16"/>
        <v>0.77132146304455396</v>
      </c>
      <c r="CH41" s="503">
        <f>(CA41+BU41*BO41)*Hypothèses!$B$23</f>
        <v>233.18970009733886</v>
      </c>
      <c r="CI41" s="503">
        <f t="shared" si="49"/>
        <v>0</v>
      </c>
      <c r="CJ41" s="503">
        <f>(BU41+BW41+CA41)*Hypothèses!$B$6+BZ41*Hypothèses!$B$11</f>
        <v>8.3187272221126083</v>
      </c>
      <c r="CK41" s="503">
        <f>(BU41+BW41+CA41)*Hypothèses!$B$5+BZ41*Hypothèses!$B$10</f>
        <v>969.26291931558671</v>
      </c>
      <c r="CL41" s="542">
        <f t="shared" si="17"/>
        <v>0.85010121902570512</v>
      </c>
    </row>
    <row r="42" spans="1:90" ht="14.25" customHeight="1">
      <c r="A42" s="331"/>
      <c r="B42" s="516">
        <v>2046</v>
      </c>
      <c r="C42" s="655">
        <f>Trajectoires!AA38</f>
        <v>2409.2866751829547</v>
      </c>
      <c r="D42" s="659">
        <f>C42/Hypothèses!$D$23</f>
        <v>642.47644671545459</v>
      </c>
      <c r="E42" s="659">
        <f>D42*Hypothèses!$B$23</f>
        <v>2023.8008071536819</v>
      </c>
      <c r="F42" s="659">
        <f>D42*Hypothèses!$B$5</f>
        <v>893.04226093448176</v>
      </c>
      <c r="G42" s="659">
        <f>D42*Hypothèses!$B$6</f>
        <v>20.559246294894546</v>
      </c>
      <c r="H42" s="519">
        <f t="shared" si="30"/>
        <v>6.6666666666666666E-2</v>
      </c>
      <c r="I42" s="520">
        <f>IF(J42&gt;=1,ROUND(COUNTIFS($B$16:$B42,"&gt;"&amp;MAX($B42-$D$2,2019),H$16:H42,1/25)*(1/$D$2-1/25)*25,0),0)</f>
        <v>0</v>
      </c>
      <c r="J42" s="521">
        <f t="shared" si="50"/>
        <v>1.6666666666666665</v>
      </c>
      <c r="K42" s="522">
        <f>Hypothèses!$G$77</f>
        <v>0.01</v>
      </c>
      <c r="L42" s="523">
        <f t="shared" si="0"/>
        <v>20.238008071536822</v>
      </c>
      <c r="M42" s="524">
        <f t="array" ref="M42">1-SUM(IF((Roadmap_Avion!$B$8:$B$38=$B42)*(Roadmap_Avion!$C$4:$Z$4=$B$2)*(Roadmap_Avion!$C$6:$Z$6=M$7)*(Roadmap_Avion!$C$7:$Z$7=M$9),Roadmap_Avion!$C$8:$Z$38,0))</f>
        <v>0.15000000000000002</v>
      </c>
      <c r="N42" s="525">
        <f t="array" ref="N42">SUM(IF((Roadmap_Avion!$B$8:$B$38=$B42)*(Roadmap_Avion!$C$4:$Z$4=$B$2)*(Roadmap_Avion!$C$6:$Z$6=N$7)*(Roadmap_Avion!$C$7:$Z$7=N$9),Roadmap_Avion!$C$8:$Z$38,0))</f>
        <v>0</v>
      </c>
      <c r="O42" s="526">
        <f t="array" ref="O42">SUM(IF((Roadmap_Avion!$B$8:$B$38=$B42)*(Roadmap_Avion!$C$4:$Z$4=$B$2)*(Roadmap_Avion!$C$6:$Z$6=O$7)*(Roadmap_Avion!$C$7:$Z$7=O$9),Roadmap_Avion!$C$8:$Z$38,0))</f>
        <v>1</v>
      </c>
      <c r="P42" s="527">
        <f t="array" ref="P42">IF($J42&lt;1,P41+$H42*M42,SUMPRODUCT(($B$16:$B$46&lt;=$B42)*($B$16:$B$46&gt;MAX($B42-$D$2-$I42,2019))*$H$16:$H$46*M$16:M$46))</f>
        <v>0.15000000000000008</v>
      </c>
      <c r="Q42" s="528">
        <f t="shared" si="31"/>
        <v>17.202306860806296</v>
      </c>
      <c r="R42" s="529">
        <f t="shared" si="18"/>
        <v>0</v>
      </c>
      <c r="S42" s="530">
        <f t="shared" si="19"/>
        <v>0.01</v>
      </c>
      <c r="T42" s="522">
        <f>Hypothèses!$G$78</f>
        <v>0.03</v>
      </c>
      <c r="U42" s="523">
        <f t="shared" si="2"/>
        <v>60.714024214610454</v>
      </c>
      <c r="V42" s="524">
        <f t="array" ref="V42">1-SUM(IF((Roadmap_Avion!$B$8:$B$38=$B42)*(Roadmap_Avion!$C$4:$Z$4=$B$2)*(Roadmap_Avion!$C$6:$Z$6=V$7)*(Roadmap_Avion!$C$7:$Z$7=V$9),Roadmap_Avion!$C$8:$Z$38,0))</f>
        <v>0.15000000000000002</v>
      </c>
      <c r="W42" s="525">
        <f t="array" ref="W42">SUM(IF((Roadmap_Avion!$B$8:$B$38=$B42)*(Roadmap_Avion!$C$4:$Z$4=$B$2)*(Roadmap_Avion!$C$6:$Z$6=W$7)*(Roadmap_Avion!$C$7:$Z$7=W$9),Roadmap_Avion!$C$8:$Z$38,0))</f>
        <v>0</v>
      </c>
      <c r="X42" s="526">
        <f t="array" ref="X42">SUM(IF((Roadmap_Avion!$B$8:$B$38=$B42)*(Roadmap_Avion!$C$4:$Z$4=$B$2)*(Roadmap_Avion!$C$6:$Z$6=X$7)*(Roadmap_Avion!$C$7:$Z$7=X$9),Roadmap_Avion!$C$8:$Z$38,0))</f>
        <v>1</v>
      </c>
      <c r="Y42" s="527">
        <f t="array" ref="Y42">IF($J42&lt;1,Y41+$H42*V42,SUMPRODUCT(($B$16:$B$46&lt;=$B42)*($B$16:$B$46&gt;MAX($B42-$D$2-$I42,2019))*$H$16:$H$46*V$16:V$46))</f>
        <v>0.22000000000000011</v>
      </c>
      <c r="Z42" s="528">
        <f t="shared" si="32"/>
        <v>47.356938887396147</v>
      </c>
      <c r="AA42" s="529">
        <f t="shared" si="20"/>
        <v>1.5E-3</v>
      </c>
      <c r="AB42" s="530">
        <f t="shared" si="21"/>
        <v>2.4E-2</v>
      </c>
      <c r="AC42" s="522">
        <f>Hypothèses!$G$79</f>
        <v>0.24</v>
      </c>
      <c r="AD42" s="523">
        <f t="shared" si="4"/>
        <v>485.71219371688363</v>
      </c>
      <c r="AE42" s="524">
        <f t="array" ref="AE42">1-SUM(IF((Roadmap_Avion!$B$8:$B$38=$B42)*(Roadmap_Avion!$C$4:$Z$4=$B$2)*(Roadmap_Avion!$C$6:$Z$6=AE$7)*(Roadmap_Avion!$C$7:$Z$7=AE$9),Roadmap_Avion!$C$8:$Z$38,0))</f>
        <v>0.36250000000000004</v>
      </c>
      <c r="AF42" s="525">
        <f t="array" ref="AF42">SUM(IF((Roadmap_Avion!$B$8:$B$38=$B42)*(Roadmap_Avion!$C$4:$Z$4=$B$2)*(Roadmap_Avion!$C$6:$Z$6=AF$7)*(Roadmap_Avion!$C$7:$Z$7=AF$9),Roadmap_Avion!$C$8:$Z$38,0))</f>
        <v>0</v>
      </c>
      <c r="AG42" s="526">
        <f t="array" ref="AG42">SUM(IF((Roadmap_Avion!$B$8:$B$38=$B42)*(Roadmap_Avion!$C$4:$Z$4=$B$2)*(Roadmap_Avion!$C$6:$Z$6=AG$7)*(Roadmap_Avion!$C$7:$Z$7=AG$9),Roadmap_Avion!$C$8:$Z$38,0))</f>
        <v>1</v>
      </c>
      <c r="AH42" s="527">
        <f t="array" ref="AH42">IF($J42&lt;1,AH41+$H42*AE42,SUMPRODUCT(($B$16:$B$46&lt;=$B42)*($B$16:$B$46&gt;MAX($B42-$D$2-$I42,2019))*$H$16:$H$46*AE$16:AE$46))</f>
        <v>0.34</v>
      </c>
      <c r="AI42" s="528">
        <f t="shared" si="33"/>
        <v>320.57004785314314</v>
      </c>
      <c r="AJ42" s="529">
        <f t="shared" si="22"/>
        <v>2.4E-2</v>
      </c>
      <c r="AK42" s="530">
        <f t="shared" si="23"/>
        <v>0.192</v>
      </c>
      <c r="AL42" s="522">
        <f>Hypothèses!$G$80</f>
        <v>0.42</v>
      </c>
      <c r="AM42" s="523">
        <f t="shared" si="6"/>
        <v>849.99633900454637</v>
      </c>
      <c r="AN42" s="524">
        <f t="array" ref="AN42">1-SUM(IF((Roadmap_Avion!$B$8:$B$38=$B42)*(Roadmap_Avion!$C$4:$Z$4=$B$2)*(Roadmap_Avion!$C$6:$Z$6=AN$7)*(Roadmap_Avion!$C$7:$Z$7=AN$9),Roadmap_Avion!$C$8:$Z$38,0))</f>
        <v>0.36250000000000004</v>
      </c>
      <c r="AO42" s="525">
        <f t="array" ref="AO42">SUM(IF((Roadmap_Avion!$B$8:$B$38=$B42)*(Roadmap_Avion!$C$4:$Z$4=$B$2)*(Roadmap_Avion!$C$6:$Z$6=AO$7)*(Roadmap_Avion!$C$7:$Z$7=AO$9),Roadmap_Avion!$C$8:$Z$38,0))</f>
        <v>0</v>
      </c>
      <c r="AP42" s="526">
        <f t="array" ref="AP42">SUM(IF((Roadmap_Avion!$B$8:$B$38=$B42)*(Roadmap_Avion!$C$4:$Z$4=$B$2)*(Roadmap_Avion!$C$6:$Z$6=AP$7)*(Roadmap_Avion!$C$7:$Z$7=AP$9),Roadmap_Avion!$C$8:$Z$38,0))</f>
        <v>1</v>
      </c>
      <c r="AQ42" s="527">
        <f t="array" ref="AQ42">IF($J42&lt;1,AQ41+$H42*AN42,SUMPRODUCT(($B$16:$B$46&lt;=$B42)*($B$16:$B$46&gt;MAX($B42-$D$2-$I42,2019))*$H$16:$H$46*AN$16:AN$46))</f>
        <v>0.34</v>
      </c>
      <c r="AR42" s="528">
        <f t="shared" si="34"/>
        <v>560.99758374300052</v>
      </c>
      <c r="AS42" s="529">
        <f t="shared" si="8"/>
        <v>4.2000000000000003E-2</v>
      </c>
      <c r="AT42" s="530">
        <f t="shared" si="9"/>
        <v>0.33600000000000002</v>
      </c>
      <c r="AU42" s="531">
        <f>Hypothèses!$G$81</f>
        <v>0.3</v>
      </c>
      <c r="AV42" s="523">
        <f t="shared" si="10"/>
        <v>607.14024214610458</v>
      </c>
      <c r="AW42" s="524">
        <f t="array" ref="AW42">1-SUM(IF((Roadmap_Avion!$B$8:$B$38=$B42)*(Roadmap_Avion!$C$4:$Z$4=$B$2)*(Roadmap_Avion!$C$6:$Z$6=AW$7)*(Roadmap_Avion!$C$7:$Z$7=AW$9),Roadmap_Avion!$C$8:$Z$38,0))</f>
        <v>0.4375</v>
      </c>
      <c r="AX42" s="525">
        <f t="array" ref="AX42">SUM(IF((Roadmap_Avion!$B$8:$B$38=$B42)*(Roadmap_Avion!$C$4:$Z$4=$B$2)*(Roadmap_Avion!$C$6:$Z$6=AX$7)*(Roadmap_Avion!$C$7:$Z$7=AX$9),Roadmap_Avion!$C$8:$Z$38,0))</f>
        <v>1</v>
      </c>
      <c r="AY42" s="526">
        <f t="array" ref="AY42">SUM(IF((Roadmap_Avion!$B$8:$B$38=$B42)*(Roadmap_Avion!$C$4:$Z$4=$B$2)*(Roadmap_Avion!$C$6:$Z$6=AY$7)*(Roadmap_Avion!$C$7:$Z$7=AY$9),Roadmap_Avion!$C$8:$Z$38,0))</f>
        <v>0</v>
      </c>
      <c r="AZ42" s="527">
        <f t="array" ref="AZ42">IF($J42&lt;1,AZ41+$H42*AW42,SUMPRODUCT(($B$16:$B$46&lt;=$B42)*($B$16:$B$46&gt;MAX($B42-$D$2-$I42,2019))*$H$16:$H$46*AW$16:AW$46))</f>
        <v>0.40000000000000008</v>
      </c>
      <c r="BA42" s="528">
        <f t="shared" si="35"/>
        <v>364.28414528766268</v>
      </c>
      <c r="BB42" s="529">
        <f t="shared" si="24"/>
        <v>0.26999999999999996</v>
      </c>
      <c r="BC42" s="529">
        <f t="shared" si="25"/>
        <v>0</v>
      </c>
      <c r="BD42" s="517">
        <f t="shared" si="12"/>
        <v>1310.4110226320088</v>
      </c>
      <c r="BE42" s="518">
        <f>BD42*(Hypothèses!$D$23/Hypothèses!$B$23)</f>
        <v>1560.0131221809629</v>
      </c>
      <c r="BF42" s="532">
        <f t="shared" si="13"/>
        <v>0.35250000000000015</v>
      </c>
      <c r="BG42" s="518">
        <f>BD42/Hypothèses!$B$23</f>
        <v>416.00349924825679</v>
      </c>
      <c r="BH42" s="532">
        <f t="shared" si="14"/>
        <v>0.33749999999999997</v>
      </c>
      <c r="BI42" s="532">
        <f t="shared" si="14"/>
        <v>0.56200000000000006</v>
      </c>
      <c r="BJ42" s="518">
        <f t="shared" si="26"/>
        <v>140.40118099628666</v>
      </c>
      <c r="BK42" s="533">
        <f t="shared" si="36"/>
        <v>428.81493419477505</v>
      </c>
      <c r="BL42" s="534">
        <f t="shared" si="37"/>
        <v>3.0542117320659603</v>
      </c>
      <c r="BM42" s="535">
        <f t="array" ref="BM42">SUM(IF((Prod_Carburant_Alt!$A$7:$A$37=$B42)*(Prod_Carburant_Alt!$B$3:$AI$3=$C$2)*(Prod_Carburant_Alt!$B$5:$AI$5=BM$7)*(Prod_Carburant_Alt!$B$6:$AI$6=BM$9),Prod_Carburant_Alt!$B$7:$AI$37,0))</f>
        <v>285.8766227965167</v>
      </c>
      <c r="BN42" s="534">
        <f t="shared" si="27"/>
        <v>8.6644304455771888</v>
      </c>
      <c r="BO42" s="536">
        <f t="array" ref="BO42">SUM(IF((Prod_Carburant_Alt!$A$7:$A$37=$B42)*(Prod_Carburant_Alt!$B$3:$AI$3=$C$2)*(Prod_Carburant_Alt!$B$5:$AI$5=BO$7)*(Prod_Carburant_Alt!$B$6:$AI$6=BO$9),Prod_Carburant_Alt!$B$7:$AI$37,0))</f>
        <v>0.204382517533922</v>
      </c>
      <c r="BP42" s="543">
        <f t="array" ref="BP42">SUM(IF((Prod_Carburant_Alt!$A$7:$A$37=$B42)*(Prod_Carburant_Alt!$B$3:$AI$3=$C$2)*(Prod_Carburant_Alt!$B$5:$AI$5=BP$7)*(Prod_Carburant_Alt!$B$6:$AI$6=BP$9),Prod_Carburant_Alt!$B$7:$AI$37,0))</f>
        <v>142.93831139825835</v>
      </c>
      <c r="BQ42" s="536">
        <f t="shared" si="38"/>
        <v>1.01807057735532</v>
      </c>
      <c r="BR42" s="537">
        <f t="shared" si="39"/>
        <v>-12.811434946518261</v>
      </c>
      <c r="BS42" s="538">
        <f t="shared" si="40"/>
        <v>140.40118099628666</v>
      </c>
      <c r="BT42" s="539">
        <f t="shared" si="41"/>
        <v>0.32741672409318201</v>
      </c>
      <c r="BU42" s="535">
        <f t="shared" si="28"/>
        <v>93.60078733085777</v>
      </c>
      <c r="BV42" s="539">
        <f t="shared" si="42"/>
        <v>0.32741672409318201</v>
      </c>
      <c r="BW42" s="535">
        <f t="shared" si="29"/>
        <v>46.800393665428885</v>
      </c>
      <c r="BX42" s="539">
        <f t="shared" si="43"/>
        <v>0.32741672409318201</v>
      </c>
      <c r="BY42" s="538">
        <f t="shared" si="44"/>
        <v>233.79396657752034</v>
      </c>
      <c r="BZ42" s="540">
        <f>BY42*Hypothèses!$B$3/Hypothèses!$B$9</f>
        <v>85.891454743646676</v>
      </c>
      <c r="CA42" s="538">
        <f t="shared" si="45"/>
        <v>41.808351674449796</v>
      </c>
      <c r="CB42" s="533">
        <f>BW42*Prod_Carburant_Alt!$R$61+BZ42*Hypothèses!$B$13</f>
        <v>6983.6470724208266</v>
      </c>
      <c r="CC42" s="538">
        <f t="shared" si="46"/>
        <v>3235.8393196768384</v>
      </c>
      <c r="CD42" s="541">
        <f t="shared" si="47"/>
        <v>4.9705673113315489</v>
      </c>
      <c r="CE42" s="537">
        <f t="shared" si="48"/>
        <v>76.820117796629091</v>
      </c>
      <c r="CF42" s="503">
        <f>(CA42+BU42*BO42)*Hypothèses!$D$23+CE42</f>
        <v>305.3403036677081</v>
      </c>
      <c r="CG42" s="504">
        <f t="shared" si="16"/>
        <v>0.80427068251783052</v>
      </c>
      <c r="CH42" s="503">
        <f>(CA42+BU42*BO42)*Hypothèses!$B$23</f>
        <v>191.95695613170636</v>
      </c>
      <c r="CI42" s="503">
        <f t="shared" si="49"/>
        <v>0</v>
      </c>
      <c r="CJ42" s="503">
        <f>(BU42+BW42+CA42)*Hypothèses!$B$6+BZ42*Hypothèses!$B$11</f>
        <v>8.0638828687983803</v>
      </c>
      <c r="CK42" s="503">
        <f>(BU42+BW42+CA42)*Hypothèses!$B$5+BZ42*Hypothèses!$B$10</f>
        <v>1026.2943431051438</v>
      </c>
      <c r="CL42" s="542">
        <f t="shared" si="17"/>
        <v>0.87326526693029527</v>
      </c>
    </row>
    <row r="43" spans="1:90" ht="14.25" customHeight="1">
      <c r="A43" s="331"/>
      <c r="B43" s="516">
        <v>2047</v>
      </c>
      <c r="C43" s="655">
        <f>Trajectoires!AA39</f>
        <v>2488.5642333255469</v>
      </c>
      <c r="D43" s="659">
        <f>C43/Hypothèses!$D$23</f>
        <v>663.61712888681245</v>
      </c>
      <c r="E43" s="659">
        <f>D43*Hypothèses!$B$23</f>
        <v>2090.3939559934593</v>
      </c>
      <c r="F43" s="659">
        <f>D43*Hypothèses!$B$5</f>
        <v>922.42780915266928</v>
      </c>
      <c r="G43" s="659">
        <f>D43*Hypothèses!$B$6</f>
        <v>21.235748124377999</v>
      </c>
      <c r="H43" s="519">
        <f t="shared" si="30"/>
        <v>6.6666666666666666E-2</v>
      </c>
      <c r="I43" s="520">
        <f>IF(J43&gt;=1,ROUND(COUNTIFS($B$16:$B43,"&gt;"&amp;MAX($B43-$D$2,2019),H$16:H43,1/25)*(1/$D$2-1/25)*25,0),0)</f>
        <v>0</v>
      </c>
      <c r="J43" s="521">
        <f t="shared" si="50"/>
        <v>1.7333333333333332</v>
      </c>
      <c r="K43" s="522">
        <f>Hypothèses!$G$77</f>
        <v>0.01</v>
      </c>
      <c r="L43" s="523">
        <f t="shared" si="0"/>
        <v>20.903939559934592</v>
      </c>
      <c r="M43" s="524">
        <f t="array" ref="M43">1-SUM(IF((Roadmap_Avion!$B$8:$B$38=$B43)*(Roadmap_Avion!$C$4:$Z$4=$B$2)*(Roadmap_Avion!$C$6:$Z$6=M$7)*(Roadmap_Avion!$C$7:$Z$7=M$9),Roadmap_Avion!$C$8:$Z$38,0))</f>
        <v>0.15000000000000002</v>
      </c>
      <c r="N43" s="525">
        <f t="array" ref="N43">SUM(IF((Roadmap_Avion!$B$8:$B$38=$B43)*(Roadmap_Avion!$C$4:$Z$4=$B$2)*(Roadmap_Avion!$C$6:$Z$6=N$7)*(Roadmap_Avion!$C$7:$Z$7=N$9),Roadmap_Avion!$C$8:$Z$38,0))</f>
        <v>0</v>
      </c>
      <c r="O43" s="526">
        <f t="array" ref="O43">SUM(IF((Roadmap_Avion!$B$8:$B$38=$B43)*(Roadmap_Avion!$C$4:$Z$4=$B$2)*(Roadmap_Avion!$C$6:$Z$6=O$7)*(Roadmap_Avion!$C$7:$Z$7=O$9),Roadmap_Avion!$C$8:$Z$38,0))</f>
        <v>1</v>
      </c>
      <c r="P43" s="527">
        <f t="array" ref="P43">IF($J43&lt;1,P42+$H43*M43,SUMPRODUCT(($B$16:$B$46&lt;=$B43)*($B$16:$B$46&gt;MAX($B43-$D$2-$I43,2019))*$H$16:$H$46*M$16:M$46))</f>
        <v>0.15000000000000008</v>
      </c>
      <c r="Q43" s="528">
        <f t="shared" si="31"/>
        <v>17.768348625944402</v>
      </c>
      <c r="R43" s="529">
        <f t="shared" si="18"/>
        <v>0</v>
      </c>
      <c r="S43" s="530">
        <f t="shared" si="19"/>
        <v>0.01</v>
      </c>
      <c r="T43" s="522">
        <f>Hypothèses!$G$78</f>
        <v>0.03</v>
      </c>
      <c r="U43" s="523">
        <f t="shared" si="2"/>
        <v>62.711818679803777</v>
      </c>
      <c r="V43" s="524">
        <f t="array" ref="V43">1-SUM(IF((Roadmap_Avion!$B$8:$B$38=$B43)*(Roadmap_Avion!$C$4:$Z$4=$B$2)*(Roadmap_Avion!$C$6:$Z$6=V$7)*(Roadmap_Avion!$C$7:$Z$7=V$9),Roadmap_Avion!$C$8:$Z$38,0))</f>
        <v>0.15000000000000002</v>
      </c>
      <c r="W43" s="525">
        <f t="array" ref="W43">SUM(IF((Roadmap_Avion!$B$8:$B$38=$B43)*(Roadmap_Avion!$C$4:$Z$4=$B$2)*(Roadmap_Avion!$C$6:$Z$6=W$7)*(Roadmap_Avion!$C$7:$Z$7=W$9),Roadmap_Avion!$C$8:$Z$38,0))</f>
        <v>0</v>
      </c>
      <c r="X43" s="526">
        <f t="array" ref="X43">SUM(IF((Roadmap_Avion!$B$8:$B$38=$B43)*(Roadmap_Avion!$C$4:$Z$4=$B$2)*(Roadmap_Avion!$C$6:$Z$6=X$7)*(Roadmap_Avion!$C$7:$Z$7=X$9),Roadmap_Avion!$C$8:$Z$38,0))</f>
        <v>1</v>
      </c>
      <c r="Y43" s="527">
        <f t="array" ref="Y43">IF($J43&lt;1,Y42+$H43*V43,SUMPRODUCT(($B$16:$B$46&lt;=$B43)*($B$16:$B$46&gt;MAX($B43-$D$2-$I43,2019))*$H$16:$H$46*V$16:V$46))</f>
        <v>0.19666666666666677</v>
      </c>
      <c r="Z43" s="528">
        <f t="shared" si="32"/>
        <v>50.378494339442362</v>
      </c>
      <c r="AA43" s="529">
        <f t="shared" si="20"/>
        <v>1E-3</v>
      </c>
      <c r="AB43" s="530">
        <f t="shared" si="21"/>
        <v>2.6000000000000002E-2</v>
      </c>
      <c r="AC43" s="522">
        <f>Hypothèses!$G$79</f>
        <v>0.24</v>
      </c>
      <c r="AD43" s="523">
        <f t="shared" si="4"/>
        <v>501.69454943843022</v>
      </c>
      <c r="AE43" s="524">
        <f t="array" ref="AE43">1-SUM(IF((Roadmap_Avion!$B$8:$B$38=$B43)*(Roadmap_Avion!$C$4:$Z$4=$B$2)*(Roadmap_Avion!$C$6:$Z$6=AE$7)*(Roadmap_Avion!$C$7:$Z$7=AE$9),Roadmap_Avion!$C$8:$Z$38,0))</f>
        <v>0.36250000000000004</v>
      </c>
      <c r="AF43" s="525">
        <f t="array" ref="AF43">SUM(IF((Roadmap_Avion!$B$8:$B$38=$B43)*(Roadmap_Avion!$C$4:$Z$4=$B$2)*(Roadmap_Avion!$C$6:$Z$6=AF$7)*(Roadmap_Avion!$C$7:$Z$7=AF$9),Roadmap_Avion!$C$8:$Z$38,0))</f>
        <v>0</v>
      </c>
      <c r="AG43" s="526">
        <f t="array" ref="AG43">SUM(IF((Roadmap_Avion!$B$8:$B$38=$B43)*(Roadmap_Avion!$C$4:$Z$4=$B$2)*(Roadmap_Avion!$C$6:$Z$6=AG$7)*(Roadmap_Avion!$C$7:$Z$7=AG$9),Roadmap_Avion!$C$8:$Z$38,0))</f>
        <v>1</v>
      </c>
      <c r="AH43" s="527">
        <f t="array" ref="AH43">IF($J43&lt;1,AH42+$H43*AE43,SUMPRODUCT(($B$16:$B$46&lt;=$B43)*($B$16:$B$46&gt;MAX($B43-$D$2-$I43,2019))*$H$16:$H$46*AE$16:AE$46))</f>
        <v>0.34750000000000003</v>
      </c>
      <c r="AI43" s="528">
        <f t="shared" si="33"/>
        <v>327.35569350857571</v>
      </c>
      <c r="AJ43" s="529">
        <f t="shared" si="22"/>
        <v>1.6E-2</v>
      </c>
      <c r="AK43" s="530">
        <f t="shared" si="23"/>
        <v>0.20800000000000002</v>
      </c>
      <c r="AL43" s="522">
        <f>Hypothèses!$G$80</f>
        <v>0.42</v>
      </c>
      <c r="AM43" s="523">
        <f t="shared" si="6"/>
        <v>877.96546151725283</v>
      </c>
      <c r="AN43" s="524">
        <f t="array" ref="AN43">1-SUM(IF((Roadmap_Avion!$B$8:$B$38=$B43)*(Roadmap_Avion!$C$4:$Z$4=$B$2)*(Roadmap_Avion!$C$6:$Z$6=AN$7)*(Roadmap_Avion!$C$7:$Z$7=AN$9),Roadmap_Avion!$C$8:$Z$38,0))</f>
        <v>0.36250000000000004</v>
      </c>
      <c r="AO43" s="525">
        <f t="array" ref="AO43">SUM(IF((Roadmap_Avion!$B$8:$B$38=$B43)*(Roadmap_Avion!$C$4:$Z$4=$B$2)*(Roadmap_Avion!$C$6:$Z$6=AO$7)*(Roadmap_Avion!$C$7:$Z$7=AO$9),Roadmap_Avion!$C$8:$Z$38,0))</f>
        <v>0</v>
      </c>
      <c r="AP43" s="526">
        <f t="array" ref="AP43">SUM(IF((Roadmap_Avion!$B$8:$B$38=$B43)*(Roadmap_Avion!$C$4:$Z$4=$B$2)*(Roadmap_Avion!$C$6:$Z$6=AP$7)*(Roadmap_Avion!$C$7:$Z$7=AP$9),Roadmap_Avion!$C$8:$Z$38,0))</f>
        <v>1</v>
      </c>
      <c r="AQ43" s="527">
        <f t="array" ref="AQ43">IF($J43&lt;1,AQ42+$H43*AN43,SUMPRODUCT(($B$16:$B$46&lt;=$B43)*($B$16:$B$46&gt;MAX($B43-$D$2-$I43,2019))*$H$16:$H$46*AN$16:AN$46))</f>
        <v>0.34750000000000003</v>
      </c>
      <c r="AR43" s="528">
        <f t="shared" si="34"/>
        <v>572.87246364000748</v>
      </c>
      <c r="AS43" s="529">
        <f t="shared" si="8"/>
        <v>2.8000000000000001E-2</v>
      </c>
      <c r="AT43" s="530">
        <f t="shared" si="9"/>
        <v>0.36399999999999999</v>
      </c>
      <c r="AU43" s="531">
        <f>Hypothèses!$G$81</f>
        <v>0.3</v>
      </c>
      <c r="AV43" s="523">
        <f t="shared" si="10"/>
        <v>627.11818679803775</v>
      </c>
      <c r="AW43" s="524">
        <f t="array" ref="AW43">1-SUM(IF((Roadmap_Avion!$B$8:$B$38=$B43)*(Roadmap_Avion!$C$4:$Z$4=$B$2)*(Roadmap_Avion!$C$6:$Z$6=AW$7)*(Roadmap_Avion!$C$7:$Z$7=AW$9),Roadmap_Avion!$C$8:$Z$38,0))</f>
        <v>0.4375</v>
      </c>
      <c r="AX43" s="525">
        <f t="array" ref="AX43">SUM(IF((Roadmap_Avion!$B$8:$B$38=$B43)*(Roadmap_Avion!$C$4:$Z$4=$B$2)*(Roadmap_Avion!$C$6:$Z$6=AX$7)*(Roadmap_Avion!$C$7:$Z$7=AX$9),Roadmap_Avion!$C$8:$Z$38,0))</f>
        <v>1</v>
      </c>
      <c r="AY43" s="526">
        <f t="array" ref="AY43">SUM(IF((Roadmap_Avion!$B$8:$B$38=$B43)*(Roadmap_Avion!$C$4:$Z$4=$B$2)*(Roadmap_Avion!$C$6:$Z$6=AY$7)*(Roadmap_Avion!$C$7:$Z$7=AY$9),Roadmap_Avion!$C$8:$Z$38,0))</f>
        <v>0</v>
      </c>
      <c r="AZ43" s="527">
        <f t="array" ref="AZ43">IF($J43&lt;1,AZ42+$H43*AW43,SUMPRODUCT(($B$16:$B$46&lt;=$B43)*($B$16:$B$46&gt;MAX($B43-$D$2-$I43,2019))*$H$16:$H$46*AW$16:AW$46))</f>
        <v>0.41250000000000009</v>
      </c>
      <c r="BA43" s="528">
        <f t="shared" si="35"/>
        <v>368.43193474384714</v>
      </c>
      <c r="BB43" s="529">
        <f t="shared" si="24"/>
        <v>0.28000000000000003</v>
      </c>
      <c r="BC43" s="529">
        <f t="shared" si="25"/>
        <v>0</v>
      </c>
      <c r="BD43" s="517">
        <f t="shared" si="12"/>
        <v>1336.8069348578169</v>
      </c>
      <c r="BE43" s="518">
        <f>BD43*(Hypothèses!$D$23/Hypothèses!$B$23)</f>
        <v>1591.4368272116869</v>
      </c>
      <c r="BF43" s="532">
        <f t="shared" si="13"/>
        <v>0.36050000000000015</v>
      </c>
      <c r="BG43" s="518">
        <f>BD43/Hypothèses!$B$23</f>
        <v>424.38315392311648</v>
      </c>
      <c r="BH43" s="532">
        <f t="shared" si="14"/>
        <v>0.32500000000000001</v>
      </c>
      <c r="BI43" s="532">
        <f t="shared" si="14"/>
        <v>0.60799999999999998</v>
      </c>
      <c r="BJ43" s="518">
        <f t="shared" si="26"/>
        <v>137.92452502501285</v>
      </c>
      <c r="BK43" s="533">
        <f t="shared" si="36"/>
        <v>493.13717432399125</v>
      </c>
      <c r="BL43" s="534">
        <f t="shared" si="37"/>
        <v>3.5754132503596439</v>
      </c>
      <c r="BM43" s="535">
        <f t="array" ref="BM43">SUM(IF((Prod_Carburant_Alt!$A$7:$A$37=$B43)*(Prod_Carburant_Alt!$B$3:$AI$3=$C$2)*(Prod_Carburant_Alt!$B$5:$AI$5=BM$7)*(Prod_Carburant_Alt!$B$6:$AI$6=BM$9),Prod_Carburant_Alt!$B$7:$AI$37,0))</f>
        <v>328.75811621599416</v>
      </c>
      <c r="BN43" s="534">
        <f t="shared" si="27"/>
        <v>9.9179285724261916</v>
      </c>
      <c r="BO43" s="536">
        <f t="array" ref="BO43">SUM(IF((Prod_Carburant_Alt!$A$7:$A$37=$B43)*(Prod_Carburant_Alt!$B$3:$AI$3=$C$2)*(Prod_Carburant_Alt!$B$5:$AI$5=BO$7)*(Prod_Carburant_Alt!$B$6:$AI$6=BO$9),Prod_Carburant_Alt!$B$7:$AI$37,0))</f>
        <v>0.20438251753392198</v>
      </c>
      <c r="BP43" s="543">
        <f t="array" ref="BP43">SUM(IF((Prod_Carburant_Alt!$A$7:$A$37=$B43)*(Prod_Carburant_Alt!$B$3:$AI$3=$C$2)*(Prod_Carburant_Alt!$B$5:$AI$5=BP$7)*(Prod_Carburant_Alt!$B$6:$AI$6=BP$9),Prod_Carburant_Alt!$B$7:$AI$37,0))</f>
        <v>164.37905810799708</v>
      </c>
      <c r="BQ43" s="536">
        <f t="shared" si="38"/>
        <v>1.191804416786548</v>
      </c>
      <c r="BR43" s="537">
        <f t="shared" si="39"/>
        <v>-68.754020400874765</v>
      </c>
      <c r="BS43" s="538">
        <f t="shared" si="40"/>
        <v>137.92452502501285</v>
      </c>
      <c r="BT43" s="539">
        <f t="shared" si="41"/>
        <v>0.2796879493298885</v>
      </c>
      <c r="BU43" s="535">
        <f t="shared" si="28"/>
        <v>91.94968335000857</v>
      </c>
      <c r="BV43" s="539">
        <f t="shared" si="42"/>
        <v>0.2796879493298885</v>
      </c>
      <c r="BW43" s="535">
        <f t="shared" si="29"/>
        <v>45.974841675004285</v>
      </c>
      <c r="BX43" s="539">
        <f t="shared" si="43"/>
        <v>0.2796879493298885</v>
      </c>
      <c r="BY43" s="538">
        <f t="shared" si="44"/>
        <v>258.02495758525481</v>
      </c>
      <c r="BZ43" s="540">
        <f>BY43*Hypothèses!$B$3/Hypothèses!$B$9</f>
        <v>94.793459778256704</v>
      </c>
      <c r="CA43" s="538">
        <f t="shared" si="45"/>
        <v>28.433671312848787</v>
      </c>
      <c r="CB43" s="533">
        <f>BW43*Prod_Carburant_Alt!$R$61+BZ43*Hypothèses!$B$13</f>
        <v>7450.4155590536957</v>
      </c>
      <c r="CC43" s="538">
        <f t="shared" si="46"/>
        <v>3452.114255476125</v>
      </c>
      <c r="CD43" s="541">
        <f t="shared" si="47"/>
        <v>5.3027868747713134</v>
      </c>
      <c r="CE43" s="537">
        <f t="shared" si="48"/>
        <v>81.954571149590663</v>
      </c>
      <c r="CF43" s="503">
        <f>(CA43+BU43*BO43)*Hypothèses!$D$23+CE43</f>
        <v>259.05424270848005</v>
      </c>
      <c r="CG43" s="504">
        <f t="shared" si="16"/>
        <v>0.83721990199110707</v>
      </c>
      <c r="CH43" s="503">
        <f>(CA43+BU43*BO43)*Hypothèses!$B$23</f>
        <v>148.76372410946703</v>
      </c>
      <c r="CI43" s="503">
        <f t="shared" si="49"/>
        <v>0</v>
      </c>
      <c r="CJ43" s="503">
        <f>(BU43+BW43+CA43)*Hypothèses!$B$6+BZ43*Hypothèses!$B$11</f>
        <v>7.7880922370462464</v>
      </c>
      <c r="CK43" s="503">
        <f>(BU43+BW43+CA43)*Hypothèses!$B$5+BZ43*Hypothèses!$B$10</f>
        <v>1084.3790309139379</v>
      </c>
      <c r="CL43" s="542">
        <f t="shared" si="17"/>
        <v>0.89590212732331298</v>
      </c>
    </row>
    <row r="44" spans="1:90" ht="14.25" customHeight="1">
      <c r="A44" s="331"/>
      <c r="B44" s="516">
        <v>2048</v>
      </c>
      <c r="C44" s="655">
        <f>Trajectoires!AA40</f>
        <v>2568.4622388531639</v>
      </c>
      <c r="D44" s="659">
        <f>C44/Hypothèses!$D$23</f>
        <v>684.92326369417708</v>
      </c>
      <c r="E44" s="659">
        <f>D44*Hypothèses!$B$23</f>
        <v>2157.5082806366577</v>
      </c>
      <c r="F44" s="659">
        <f>D44*Hypothèses!$B$5</f>
        <v>952.04333653490608</v>
      </c>
      <c r="G44" s="659">
        <f>D44*Hypothèses!$B$6</f>
        <v>21.917544438213667</v>
      </c>
      <c r="H44" s="519">
        <f t="shared" si="30"/>
        <v>6.6666666666666666E-2</v>
      </c>
      <c r="I44" s="520">
        <f>IF(J44&gt;=1,ROUND(COUNTIFS($B$16:$B44,"&gt;"&amp;MAX($B44-$D$2,2019),H$16:H44,1/25)*(1/$D$2-1/25)*25,0),0)</f>
        <v>0</v>
      </c>
      <c r="J44" s="521">
        <f t="shared" si="50"/>
        <v>1.7999999999999998</v>
      </c>
      <c r="K44" s="522">
        <f>Hypothèses!$G$77</f>
        <v>0.01</v>
      </c>
      <c r="L44" s="523">
        <f t="shared" si="0"/>
        <v>21.575082806366577</v>
      </c>
      <c r="M44" s="524">
        <f t="array" ref="M44">1-SUM(IF((Roadmap_Avion!$B$8:$B$38=$B44)*(Roadmap_Avion!$C$4:$Z$4=$B$2)*(Roadmap_Avion!$C$6:$Z$6=M$7)*(Roadmap_Avion!$C$7:$Z$7=M$9),Roadmap_Avion!$C$8:$Z$38,0))</f>
        <v>0.15000000000000002</v>
      </c>
      <c r="N44" s="525">
        <f t="array" ref="N44">SUM(IF((Roadmap_Avion!$B$8:$B$38=$B44)*(Roadmap_Avion!$C$4:$Z$4=$B$2)*(Roadmap_Avion!$C$6:$Z$6=N$7)*(Roadmap_Avion!$C$7:$Z$7=N$9),Roadmap_Avion!$C$8:$Z$38,0))</f>
        <v>0</v>
      </c>
      <c r="O44" s="526">
        <f t="array" ref="O44">SUM(IF((Roadmap_Avion!$B$8:$B$38=$B44)*(Roadmap_Avion!$C$4:$Z$4=$B$2)*(Roadmap_Avion!$C$6:$Z$6=O$7)*(Roadmap_Avion!$C$7:$Z$7=O$9),Roadmap_Avion!$C$8:$Z$38,0))</f>
        <v>1</v>
      </c>
      <c r="P44" s="527">
        <f t="array" ref="P44">IF($J44&lt;1,P43+$H44*M44,SUMPRODUCT(($B$16:$B$46&lt;=$B44)*($B$16:$B$46&gt;MAX($B44-$D$2-$I44,2019))*$H$16:$H$46*M$16:M$46))</f>
        <v>0.15000000000000008</v>
      </c>
      <c r="Q44" s="528">
        <f t="shared" si="31"/>
        <v>18.338820385411587</v>
      </c>
      <c r="R44" s="529">
        <f t="shared" si="18"/>
        <v>0</v>
      </c>
      <c r="S44" s="530">
        <f t="shared" si="19"/>
        <v>0.01</v>
      </c>
      <c r="T44" s="522">
        <f>Hypothèses!$G$78</f>
        <v>0.03</v>
      </c>
      <c r="U44" s="523">
        <f t="shared" si="2"/>
        <v>64.725248419099728</v>
      </c>
      <c r="V44" s="524">
        <f t="array" ref="V44">1-SUM(IF((Roadmap_Avion!$B$8:$B$38=$B44)*(Roadmap_Avion!$C$4:$Z$4=$B$2)*(Roadmap_Avion!$C$6:$Z$6=V$7)*(Roadmap_Avion!$C$7:$Z$7=V$9),Roadmap_Avion!$C$8:$Z$38,0))</f>
        <v>0.15000000000000002</v>
      </c>
      <c r="W44" s="525">
        <f t="array" ref="W44">SUM(IF((Roadmap_Avion!$B$8:$B$38=$B44)*(Roadmap_Avion!$C$4:$Z$4=$B$2)*(Roadmap_Avion!$C$6:$Z$6=W$7)*(Roadmap_Avion!$C$7:$Z$7=W$9),Roadmap_Avion!$C$8:$Z$38,0))</f>
        <v>0</v>
      </c>
      <c r="X44" s="526">
        <f t="array" ref="X44">SUM(IF((Roadmap_Avion!$B$8:$B$38=$B44)*(Roadmap_Avion!$C$4:$Z$4=$B$2)*(Roadmap_Avion!$C$6:$Z$6=X$7)*(Roadmap_Avion!$C$7:$Z$7=X$9),Roadmap_Avion!$C$8:$Z$38,0))</f>
        <v>1</v>
      </c>
      <c r="Y44" s="527">
        <f t="array" ref="Y44">IF($J44&lt;1,Y43+$H44*V44,SUMPRODUCT(($B$16:$B$46&lt;=$B44)*($B$16:$B$46&gt;MAX($B44-$D$2-$I44,2019))*$H$16:$H$46*V$16:V$46))</f>
        <v>0.17333333333333342</v>
      </c>
      <c r="Z44" s="528">
        <f t="shared" si="32"/>
        <v>53.506205359789099</v>
      </c>
      <c r="AA44" s="529">
        <f t="shared" si="20"/>
        <v>5.0000000000000001E-4</v>
      </c>
      <c r="AB44" s="530">
        <f t="shared" si="21"/>
        <v>2.8000000000000001E-2</v>
      </c>
      <c r="AC44" s="522">
        <f>Hypothèses!$G$79</f>
        <v>0.24</v>
      </c>
      <c r="AD44" s="523">
        <f t="shared" si="4"/>
        <v>517.80198735279782</v>
      </c>
      <c r="AE44" s="524">
        <f t="array" ref="AE44">1-SUM(IF((Roadmap_Avion!$B$8:$B$38=$B44)*(Roadmap_Avion!$C$4:$Z$4=$B$2)*(Roadmap_Avion!$C$6:$Z$6=AE$7)*(Roadmap_Avion!$C$7:$Z$7=AE$9),Roadmap_Avion!$C$8:$Z$38,0))</f>
        <v>0.36250000000000004</v>
      </c>
      <c r="AF44" s="525">
        <f t="array" ref="AF44">SUM(IF((Roadmap_Avion!$B$8:$B$38=$B44)*(Roadmap_Avion!$C$4:$Z$4=$B$2)*(Roadmap_Avion!$C$6:$Z$6=AF$7)*(Roadmap_Avion!$C$7:$Z$7=AF$9),Roadmap_Avion!$C$8:$Z$38,0))</f>
        <v>0</v>
      </c>
      <c r="AG44" s="526">
        <f t="array" ref="AG44">SUM(IF((Roadmap_Avion!$B$8:$B$38=$B44)*(Roadmap_Avion!$C$4:$Z$4=$B$2)*(Roadmap_Avion!$C$6:$Z$6=AG$7)*(Roadmap_Avion!$C$7:$Z$7=AG$9),Roadmap_Avion!$C$8:$Z$38,0))</f>
        <v>1</v>
      </c>
      <c r="AH44" s="527">
        <f t="array" ref="AH44">IF($J44&lt;1,AH43+$H44*AE44,SUMPRODUCT(($B$16:$B$46&lt;=$B44)*($B$16:$B$46&gt;MAX($B44-$D$2-$I44,2019))*$H$16:$H$46*AE$16:AE$46))</f>
        <v>0.35500000000000004</v>
      </c>
      <c r="AI44" s="528">
        <f t="shared" si="33"/>
        <v>333.98228184255458</v>
      </c>
      <c r="AJ44" s="529">
        <f t="shared" si="22"/>
        <v>8.0000000000000002E-3</v>
      </c>
      <c r="AK44" s="530">
        <f t="shared" si="23"/>
        <v>0.224</v>
      </c>
      <c r="AL44" s="522">
        <f>Hypothèses!$G$80</f>
        <v>0.42</v>
      </c>
      <c r="AM44" s="523">
        <f t="shared" si="6"/>
        <v>906.15347786739619</v>
      </c>
      <c r="AN44" s="524">
        <f t="array" ref="AN44">1-SUM(IF((Roadmap_Avion!$B$8:$B$38=$B44)*(Roadmap_Avion!$C$4:$Z$4=$B$2)*(Roadmap_Avion!$C$6:$Z$6=AN$7)*(Roadmap_Avion!$C$7:$Z$7=AN$9),Roadmap_Avion!$C$8:$Z$38,0))</f>
        <v>0.36250000000000004</v>
      </c>
      <c r="AO44" s="525">
        <f t="array" ref="AO44">SUM(IF((Roadmap_Avion!$B$8:$B$38=$B44)*(Roadmap_Avion!$C$4:$Z$4=$B$2)*(Roadmap_Avion!$C$6:$Z$6=AO$7)*(Roadmap_Avion!$C$7:$Z$7=AO$9),Roadmap_Avion!$C$8:$Z$38,0))</f>
        <v>0</v>
      </c>
      <c r="AP44" s="526">
        <f t="array" ref="AP44">SUM(IF((Roadmap_Avion!$B$8:$B$38=$B44)*(Roadmap_Avion!$C$4:$Z$4=$B$2)*(Roadmap_Avion!$C$6:$Z$6=AP$7)*(Roadmap_Avion!$C$7:$Z$7=AP$9),Roadmap_Avion!$C$8:$Z$38,0))</f>
        <v>1</v>
      </c>
      <c r="AQ44" s="527">
        <f t="array" ref="AQ44">IF($J44&lt;1,AQ43+$H44*AN44,SUMPRODUCT(($B$16:$B$46&lt;=$B44)*($B$16:$B$46&gt;MAX($B44-$D$2-$I44,2019))*$H$16:$H$46*AN$16:AN$46))</f>
        <v>0.35500000000000004</v>
      </c>
      <c r="AR44" s="528">
        <f t="shared" si="34"/>
        <v>584.46899322447052</v>
      </c>
      <c r="AS44" s="529">
        <f t="shared" si="8"/>
        <v>1.4E-2</v>
      </c>
      <c r="AT44" s="530">
        <f t="shared" si="9"/>
        <v>0.39200000000000002</v>
      </c>
      <c r="AU44" s="531">
        <f>Hypothèses!$G$81</f>
        <v>0.3</v>
      </c>
      <c r="AV44" s="523">
        <f t="shared" si="10"/>
        <v>647.25248419099728</v>
      </c>
      <c r="AW44" s="524">
        <f t="array" ref="AW44">1-SUM(IF((Roadmap_Avion!$B$8:$B$38=$B44)*(Roadmap_Avion!$C$4:$Z$4=$B$2)*(Roadmap_Avion!$C$6:$Z$6=AW$7)*(Roadmap_Avion!$C$7:$Z$7=AW$9),Roadmap_Avion!$C$8:$Z$38,0))</f>
        <v>0.4375</v>
      </c>
      <c r="AX44" s="525">
        <f t="array" ref="AX44">SUM(IF((Roadmap_Avion!$B$8:$B$38=$B44)*(Roadmap_Avion!$C$4:$Z$4=$B$2)*(Roadmap_Avion!$C$6:$Z$6=AX$7)*(Roadmap_Avion!$C$7:$Z$7=AX$9),Roadmap_Avion!$C$8:$Z$38,0))</f>
        <v>1</v>
      </c>
      <c r="AY44" s="526">
        <f t="array" ref="AY44">SUM(IF((Roadmap_Avion!$B$8:$B$38=$B44)*(Roadmap_Avion!$C$4:$Z$4=$B$2)*(Roadmap_Avion!$C$6:$Z$6=AY$7)*(Roadmap_Avion!$C$7:$Z$7=AY$9),Roadmap_Avion!$C$8:$Z$38,0))</f>
        <v>0</v>
      </c>
      <c r="AZ44" s="527">
        <f t="array" ref="AZ44">IF($J44&lt;1,AZ43+$H44*AW44,SUMPRODUCT(($B$16:$B$46&lt;=$B44)*($B$16:$B$46&gt;MAX($B44-$D$2-$I44,2019))*$H$16:$H$46*AW$16:AW$46))</f>
        <v>0.4250000000000001</v>
      </c>
      <c r="BA44" s="528">
        <f t="shared" si="35"/>
        <v>372.17017840982339</v>
      </c>
      <c r="BB44" s="529">
        <f t="shared" si="24"/>
        <v>0.28999999999999998</v>
      </c>
      <c r="BC44" s="529">
        <f t="shared" si="25"/>
        <v>0</v>
      </c>
      <c r="BD44" s="517">
        <f t="shared" si="12"/>
        <v>1362.4664792220492</v>
      </c>
      <c r="BE44" s="518">
        <f>BD44*(Hypothèses!$D$23/Hypothèses!$B$23)</f>
        <v>1621.9839038357729</v>
      </c>
      <c r="BF44" s="532">
        <f t="shared" si="13"/>
        <v>0.36850000000000005</v>
      </c>
      <c r="BG44" s="518">
        <f>BD44/Hypothèses!$B$23</f>
        <v>432.52904102287278</v>
      </c>
      <c r="BH44" s="532">
        <f t="shared" si="14"/>
        <v>0.3125</v>
      </c>
      <c r="BI44" s="532">
        <f t="shared" si="14"/>
        <v>0.65400000000000003</v>
      </c>
      <c r="BJ44" s="518">
        <f t="shared" si="26"/>
        <v>135.16532531964774</v>
      </c>
      <c r="BK44" s="533">
        <f t="shared" si="36"/>
        <v>567.10775047258983</v>
      </c>
      <c r="BL44" s="534">
        <f t="shared" si="37"/>
        <v>4.1956600121477647</v>
      </c>
      <c r="BM44" s="535">
        <f t="array" ref="BM44">SUM(IF((Prod_Carburant_Alt!$A$7:$A$37=$B44)*(Prod_Carburant_Alt!$B$3:$AI$3=$C$2)*(Prod_Carburant_Alt!$B$5:$AI$5=BM$7)*(Prod_Carburant_Alt!$B$6:$AI$6=BM$9),Prod_Carburant_Alt!$B$7:$AI$37,0))</f>
        <v>378.07183364839324</v>
      </c>
      <c r="BN44" s="534">
        <f t="shared" si="27"/>
        <v>11.385780222924733</v>
      </c>
      <c r="BO44" s="536">
        <f t="array" ref="BO44">SUM(IF((Prod_Carburant_Alt!$A$7:$A$37=$B44)*(Prod_Carburant_Alt!$B$3:$AI$3=$C$2)*(Prod_Carburant_Alt!$B$5:$AI$5=BO$7)*(Prod_Carburant_Alt!$B$6:$AI$6=BO$9),Prod_Carburant_Alt!$B$7:$AI$37,0))</f>
        <v>0.20438251753392198</v>
      </c>
      <c r="BP44" s="543">
        <f t="array" ref="BP44">SUM(IF((Prod_Carburant_Alt!$A$7:$A$37=$B44)*(Prod_Carburant_Alt!$B$3:$AI$3=$C$2)*(Prod_Carburant_Alt!$B$5:$AI$5=BP$7)*(Prod_Carburant_Alt!$B$6:$AI$6=BP$9),Prod_Carburant_Alt!$B$7:$AI$37,0))</f>
        <v>189.03591682419662</v>
      </c>
      <c r="BQ44" s="536">
        <f t="shared" si="38"/>
        <v>1.3985533373825885</v>
      </c>
      <c r="BR44" s="537">
        <f t="shared" si="39"/>
        <v>-134.57870944971705</v>
      </c>
      <c r="BS44" s="538">
        <f t="shared" si="40"/>
        <v>135.16532531964774</v>
      </c>
      <c r="BT44" s="539">
        <f t="shared" si="41"/>
        <v>0.23834152364697883</v>
      </c>
      <c r="BU44" s="535">
        <f t="shared" si="28"/>
        <v>90.110216879765161</v>
      </c>
      <c r="BV44" s="539">
        <f t="shared" si="42"/>
        <v>0.23834152364697883</v>
      </c>
      <c r="BW44" s="535">
        <f t="shared" si="29"/>
        <v>45.055108439882581</v>
      </c>
      <c r="BX44" s="539">
        <f t="shared" si="43"/>
        <v>0.23834152364697883</v>
      </c>
      <c r="BY44" s="538">
        <f t="shared" si="44"/>
        <v>282.87399282895882</v>
      </c>
      <c r="BZ44" s="540">
        <f>BY44*Hypothèses!$B$3/Hypothèses!$B$9</f>
        <v>103.92252250516073</v>
      </c>
      <c r="CA44" s="538">
        <f t="shared" si="45"/>
        <v>14.489722874266192</v>
      </c>
      <c r="CB44" s="533">
        <f>BW44*Prod_Carburant_Alt!$R$61+BZ44*Hypothèses!$B$13</f>
        <v>7925.7782497114476</v>
      </c>
      <c r="CC44" s="538">
        <f t="shared" si="46"/>
        <v>3672.3712744214608</v>
      </c>
      <c r="CD44" s="541">
        <f t="shared" si="47"/>
        <v>5.6411233094031656</v>
      </c>
      <c r="CE44" s="537">
        <f t="shared" si="48"/>
        <v>87.183560746825933</v>
      </c>
      <c r="CF44" s="503">
        <f>(CA44+BU44*BO44)*Hypothèses!$D$23+CE44</f>
        <v>210.58359520562709</v>
      </c>
      <c r="CG44" s="504">
        <f t="shared" si="16"/>
        <v>0.87016912146438363</v>
      </c>
      <c r="CH44" s="503">
        <f>(CA44+BU44*BO44)*Hypothèses!$B$23</f>
        <v>103.65602894539296</v>
      </c>
      <c r="CI44" s="503">
        <f t="shared" si="49"/>
        <v>0</v>
      </c>
      <c r="CJ44" s="503">
        <f>(BU44+BW44+CA44)*Hypothèses!$B$6+BZ44*Hypothèses!$B$11</f>
        <v>7.4909471273394246</v>
      </c>
      <c r="CK44" s="503">
        <f>(BU44+BW44+CA44)*Hypothèses!$B$5+BZ44*Hypothèses!$B$10</f>
        <v>1143.3232195359869</v>
      </c>
      <c r="CL44" s="542">
        <f t="shared" si="17"/>
        <v>0.91801180020475825</v>
      </c>
    </row>
    <row r="45" spans="1:90" ht="14.25" customHeight="1">
      <c r="A45" s="331"/>
      <c r="B45" s="516">
        <v>2049</v>
      </c>
      <c r="C45" s="655">
        <f>Trajectoires!AA41</f>
        <v>2648.6249155748642</v>
      </c>
      <c r="D45" s="659">
        <f>C45/Hypothèses!$D$23</f>
        <v>706.2999774866305</v>
      </c>
      <c r="E45" s="659">
        <f>D45*Hypothèses!$B$23</f>
        <v>2224.8449290828862</v>
      </c>
      <c r="F45" s="659">
        <f>D45*Hypothèses!$B$5</f>
        <v>981.75696870641627</v>
      </c>
      <c r="G45" s="659">
        <f>D45*Hypothèses!$B$6</f>
        <v>22.601599279572177</v>
      </c>
      <c r="H45" s="519">
        <f t="shared" si="30"/>
        <v>6.6666666666666666E-2</v>
      </c>
      <c r="I45" s="520">
        <f>IF(J45&gt;=1,ROUND(COUNTIFS($B$16:$B45,"&gt;"&amp;MAX($B45-$D$2,2019),H$16:H45,1/25)*(1/$D$2-1/25)*25,0),0)</f>
        <v>0</v>
      </c>
      <c r="J45" s="521">
        <f t="shared" si="50"/>
        <v>1.8666666666666665</v>
      </c>
      <c r="K45" s="522">
        <f>Hypothèses!$G$77</f>
        <v>0.01</v>
      </c>
      <c r="L45" s="523">
        <f t="shared" si="0"/>
        <v>22.248449290828862</v>
      </c>
      <c r="M45" s="524">
        <f t="array" ref="M45">1-SUM(IF((Roadmap_Avion!$B$8:$B$38=$B45)*(Roadmap_Avion!$C$4:$Z$4=$B$2)*(Roadmap_Avion!$C$6:$Z$6=M$7)*(Roadmap_Avion!$C$7:$Z$7=M$9),Roadmap_Avion!$C$8:$Z$38,0))</f>
        <v>0.15000000000000002</v>
      </c>
      <c r="N45" s="525">
        <f t="array" ref="N45">SUM(IF((Roadmap_Avion!$B$8:$B$38=$B45)*(Roadmap_Avion!$C$4:$Z$4=$B$2)*(Roadmap_Avion!$C$6:$Z$6=N$7)*(Roadmap_Avion!$C$7:$Z$7=N$9),Roadmap_Avion!$C$8:$Z$38,0))</f>
        <v>0</v>
      </c>
      <c r="O45" s="526">
        <f t="array" ref="O45">SUM(IF((Roadmap_Avion!$B$8:$B$38=$B45)*(Roadmap_Avion!$C$4:$Z$4=$B$2)*(Roadmap_Avion!$C$6:$Z$6=O$7)*(Roadmap_Avion!$C$7:$Z$7=O$9),Roadmap_Avion!$C$8:$Z$38,0))</f>
        <v>1</v>
      </c>
      <c r="P45" s="527">
        <f t="array" ref="P45">IF($J45&lt;1,P44+$H45*M45,SUMPRODUCT(($B$16:$B$46&lt;=$B45)*($B$16:$B$46&gt;MAX($B45-$D$2-$I45,2019))*$H$16:$H$46*M$16:M$46))</f>
        <v>0.15000000000000008</v>
      </c>
      <c r="Q45" s="528">
        <f t="shared" si="31"/>
        <v>18.911181897204528</v>
      </c>
      <c r="R45" s="529">
        <f t="shared" si="18"/>
        <v>0</v>
      </c>
      <c r="S45" s="530">
        <f t="shared" si="19"/>
        <v>0.01</v>
      </c>
      <c r="T45" s="522">
        <f>Hypothèses!$G$78</f>
        <v>0.03</v>
      </c>
      <c r="U45" s="523">
        <f t="shared" si="2"/>
        <v>66.74534787248659</v>
      </c>
      <c r="V45" s="524">
        <f t="array" ref="V45">1-SUM(IF((Roadmap_Avion!$B$8:$B$38=$B45)*(Roadmap_Avion!$C$4:$Z$4=$B$2)*(Roadmap_Avion!$C$6:$Z$6=V$7)*(Roadmap_Avion!$C$7:$Z$7=V$9),Roadmap_Avion!$C$8:$Z$38,0))</f>
        <v>0.15000000000000002</v>
      </c>
      <c r="W45" s="525">
        <f t="array" ref="W45">SUM(IF((Roadmap_Avion!$B$8:$B$38=$B45)*(Roadmap_Avion!$C$4:$Z$4=$B$2)*(Roadmap_Avion!$C$6:$Z$6=W$7)*(Roadmap_Avion!$C$7:$Z$7=W$9),Roadmap_Avion!$C$8:$Z$38,0))</f>
        <v>0</v>
      </c>
      <c r="X45" s="526">
        <f t="array" ref="X45">SUM(IF((Roadmap_Avion!$B$8:$B$38=$B45)*(Roadmap_Avion!$C$4:$Z$4=$B$2)*(Roadmap_Avion!$C$6:$Z$6=X$7)*(Roadmap_Avion!$C$7:$Z$7=X$9),Roadmap_Avion!$C$8:$Z$38,0))</f>
        <v>1</v>
      </c>
      <c r="Y45" s="527">
        <f t="array" ref="Y45">IF($J45&lt;1,Y44+$H45*V45,SUMPRODUCT(($B$16:$B$46&lt;=$B45)*($B$16:$B$46&gt;MAX($B45-$D$2-$I45,2019))*$H$16:$H$46*V$16:V$46))</f>
        <v>0.15000000000000008</v>
      </c>
      <c r="Z45" s="528">
        <f t="shared" si="32"/>
        <v>56.733545691613593</v>
      </c>
      <c r="AA45" s="529">
        <f t="shared" si="20"/>
        <v>0</v>
      </c>
      <c r="AB45" s="530">
        <f t="shared" si="21"/>
        <v>2.9999999999999995E-2</v>
      </c>
      <c r="AC45" s="522">
        <f>Hypothèses!$G$79</f>
        <v>0.24</v>
      </c>
      <c r="AD45" s="523">
        <f t="shared" si="4"/>
        <v>533.96278297989272</v>
      </c>
      <c r="AE45" s="524">
        <f t="array" ref="AE45">1-SUM(IF((Roadmap_Avion!$B$8:$B$38=$B45)*(Roadmap_Avion!$C$4:$Z$4=$B$2)*(Roadmap_Avion!$C$6:$Z$6=AE$7)*(Roadmap_Avion!$C$7:$Z$7=AE$9),Roadmap_Avion!$C$8:$Z$38,0))</f>
        <v>0.36250000000000004</v>
      </c>
      <c r="AF45" s="525">
        <f t="array" ref="AF45">SUM(IF((Roadmap_Avion!$B$8:$B$38=$B45)*(Roadmap_Avion!$C$4:$Z$4=$B$2)*(Roadmap_Avion!$C$6:$Z$6=AF$7)*(Roadmap_Avion!$C$7:$Z$7=AF$9),Roadmap_Avion!$C$8:$Z$38,0))</f>
        <v>0</v>
      </c>
      <c r="AG45" s="526">
        <f t="array" ref="AG45">SUM(IF((Roadmap_Avion!$B$8:$B$38=$B45)*(Roadmap_Avion!$C$4:$Z$4=$B$2)*(Roadmap_Avion!$C$6:$Z$6=AG$7)*(Roadmap_Avion!$C$7:$Z$7=AG$9),Roadmap_Avion!$C$8:$Z$38,0))</f>
        <v>1</v>
      </c>
      <c r="AH45" s="527">
        <f t="array" ref="AH45">IF($J45&lt;1,AH44+$H45*AE45,SUMPRODUCT(($B$16:$B$46&lt;=$B45)*($B$16:$B$46&gt;MAX($B45-$D$2-$I45,2019))*$H$16:$H$46*AE$16:AE$46))</f>
        <v>0.36250000000000004</v>
      </c>
      <c r="AI45" s="528">
        <f t="shared" si="33"/>
        <v>340.40127414968157</v>
      </c>
      <c r="AJ45" s="529">
        <f t="shared" si="22"/>
        <v>0</v>
      </c>
      <c r="AK45" s="530">
        <f t="shared" si="23"/>
        <v>0.23999999999999996</v>
      </c>
      <c r="AL45" s="522">
        <f>Hypothèses!$G$80</f>
        <v>0.42</v>
      </c>
      <c r="AM45" s="523">
        <f t="shared" si="6"/>
        <v>934.43487021481212</v>
      </c>
      <c r="AN45" s="524">
        <f t="array" ref="AN45">1-SUM(IF((Roadmap_Avion!$B$8:$B$38=$B45)*(Roadmap_Avion!$C$4:$Z$4=$B$2)*(Roadmap_Avion!$C$6:$Z$6=AN$7)*(Roadmap_Avion!$C$7:$Z$7=AN$9),Roadmap_Avion!$C$8:$Z$38,0))</f>
        <v>0.36250000000000004</v>
      </c>
      <c r="AO45" s="525">
        <f t="array" ref="AO45">SUM(IF((Roadmap_Avion!$B$8:$B$38=$B45)*(Roadmap_Avion!$C$4:$Z$4=$B$2)*(Roadmap_Avion!$C$6:$Z$6=AO$7)*(Roadmap_Avion!$C$7:$Z$7=AO$9),Roadmap_Avion!$C$8:$Z$38,0))</f>
        <v>0</v>
      </c>
      <c r="AP45" s="526">
        <f t="array" ref="AP45">SUM(IF((Roadmap_Avion!$B$8:$B$38=$B45)*(Roadmap_Avion!$C$4:$Z$4=$B$2)*(Roadmap_Avion!$C$6:$Z$6=AP$7)*(Roadmap_Avion!$C$7:$Z$7=AP$9),Roadmap_Avion!$C$8:$Z$38,0))</f>
        <v>1</v>
      </c>
      <c r="AQ45" s="527">
        <f t="array" ref="AQ45">IF($J45&lt;1,AQ44+$H45*AN45,SUMPRODUCT(($B$16:$B$46&lt;=$B45)*($B$16:$B$46&gt;MAX($B45-$D$2-$I45,2019))*$H$16:$H$46*AN$16:AN$46))</f>
        <v>0.36250000000000004</v>
      </c>
      <c r="AR45" s="528">
        <f t="shared" si="34"/>
        <v>595.7022297619427</v>
      </c>
      <c r="AS45" s="529">
        <f t="shared" si="8"/>
        <v>0</v>
      </c>
      <c r="AT45" s="530">
        <f t="shared" si="9"/>
        <v>0.42</v>
      </c>
      <c r="AU45" s="531">
        <f>Hypothèses!$G$81</f>
        <v>0.3</v>
      </c>
      <c r="AV45" s="523">
        <f t="shared" si="10"/>
        <v>667.45347872486582</v>
      </c>
      <c r="AW45" s="524">
        <f t="array" ref="AW45">1-SUM(IF((Roadmap_Avion!$B$8:$B$38=$B45)*(Roadmap_Avion!$C$4:$Z$4=$B$2)*(Roadmap_Avion!$C$6:$Z$6=AW$7)*(Roadmap_Avion!$C$7:$Z$7=AW$9),Roadmap_Avion!$C$8:$Z$38,0))</f>
        <v>0.4375</v>
      </c>
      <c r="AX45" s="525">
        <f t="array" ref="AX45">SUM(IF((Roadmap_Avion!$B$8:$B$38=$B45)*(Roadmap_Avion!$C$4:$Z$4=$B$2)*(Roadmap_Avion!$C$6:$Z$6=AX$7)*(Roadmap_Avion!$C$7:$Z$7=AX$9),Roadmap_Avion!$C$8:$Z$38,0))</f>
        <v>1</v>
      </c>
      <c r="AY45" s="526">
        <f t="array" ref="AY45">SUM(IF((Roadmap_Avion!$B$8:$B$38=$B45)*(Roadmap_Avion!$C$4:$Z$4=$B$2)*(Roadmap_Avion!$C$6:$Z$6=AY$7)*(Roadmap_Avion!$C$7:$Z$7=AY$9),Roadmap_Avion!$C$8:$Z$38,0))</f>
        <v>0</v>
      </c>
      <c r="AZ45" s="527">
        <f t="array" ref="AZ45">IF($J45&lt;1,AZ44+$H45*AW45,SUMPRODUCT(($B$16:$B$46&lt;=$B45)*($B$16:$B$46&gt;MAX($B45-$D$2-$I45,2019))*$H$16:$H$46*AW$16:AW$46))</f>
        <v>0.43750000000000006</v>
      </c>
      <c r="BA45" s="528">
        <f t="shared" si="35"/>
        <v>375.44258178273702</v>
      </c>
      <c r="BB45" s="529">
        <f t="shared" si="24"/>
        <v>0.3</v>
      </c>
      <c r="BC45" s="529">
        <f t="shared" si="25"/>
        <v>0</v>
      </c>
      <c r="BD45" s="517">
        <f t="shared" si="12"/>
        <v>1387.1908132831795</v>
      </c>
      <c r="BE45" s="518">
        <f>BD45*(Hypothèses!$D$23/Hypothèses!$B$23)</f>
        <v>1651.417634860928</v>
      </c>
      <c r="BF45" s="532">
        <f t="shared" si="13"/>
        <v>0.37649999999999995</v>
      </c>
      <c r="BG45" s="518">
        <f>BD45/Hypothèses!$B$23</f>
        <v>440.37803596291417</v>
      </c>
      <c r="BH45" s="532">
        <f t="shared" si="14"/>
        <v>0.3</v>
      </c>
      <c r="BI45" s="532">
        <f t="shared" si="14"/>
        <v>0.7</v>
      </c>
      <c r="BJ45" s="518">
        <f t="shared" si="26"/>
        <v>132.11341078887423</v>
      </c>
      <c r="BK45" s="533">
        <f t="shared" si="36"/>
        <v>652.17391304347825</v>
      </c>
      <c r="BL45" s="534">
        <f t="shared" si="37"/>
        <v>4.9364701823170272</v>
      </c>
      <c r="BM45" s="535">
        <f t="array" ref="BM45">SUM(IF((Prod_Carburant_Alt!$A$7:$A$37=$B45)*(Prod_Carburant_Alt!$B$3:$AI$3=$C$2)*(Prod_Carburant_Alt!$B$5:$AI$5=BM$7)*(Prod_Carburant_Alt!$B$6:$AI$6=BM$9),Prod_Carburant_Alt!$B$7:$AI$37,0))</f>
        <v>434.78260869565219</v>
      </c>
      <c r="BN45" s="534">
        <f t="shared" si="27"/>
        <v>13.111474587827431</v>
      </c>
      <c r="BO45" s="536">
        <f t="array" ref="BO45">SUM(IF((Prod_Carburant_Alt!$A$7:$A$37=$B45)*(Prod_Carburant_Alt!$B$3:$AI$3=$C$2)*(Prod_Carburant_Alt!$B$5:$AI$5=BO$7)*(Prod_Carburant_Alt!$B$6:$AI$6=BO$9),Prod_Carburant_Alt!$B$7:$AI$37,0))</f>
        <v>0.204382517533922</v>
      </c>
      <c r="BP45" s="543">
        <f t="array" ref="BP45">SUM(IF((Prod_Carburant_Alt!$A$7:$A$37=$B45)*(Prod_Carburant_Alt!$B$3:$AI$3=$C$2)*(Prod_Carburant_Alt!$B$5:$AI$5=BP$7)*(Prod_Carburant_Alt!$B$6:$AI$6=BP$9),Prod_Carburant_Alt!$B$7:$AI$37,0))</f>
        <v>217.39130434782609</v>
      </c>
      <c r="BQ45" s="536">
        <f t="shared" si="38"/>
        <v>1.6454900607723424</v>
      </c>
      <c r="BR45" s="537">
        <f t="shared" si="39"/>
        <v>-211.79587708056408</v>
      </c>
      <c r="BS45" s="538">
        <f t="shared" si="40"/>
        <v>132.11341078887423</v>
      </c>
      <c r="BT45" s="539">
        <f t="shared" si="41"/>
        <v>0.2025738965429405</v>
      </c>
      <c r="BU45" s="535">
        <f t="shared" si="28"/>
        <v>88.075607192582837</v>
      </c>
      <c r="BV45" s="539">
        <f t="shared" si="42"/>
        <v>0.20257389654294053</v>
      </c>
      <c r="BW45" s="535">
        <f t="shared" si="29"/>
        <v>44.037803596291418</v>
      </c>
      <c r="BX45" s="539">
        <f t="shared" si="43"/>
        <v>0.20257389654294053</v>
      </c>
      <c r="BY45" s="538">
        <f t="shared" si="44"/>
        <v>308.26462517403991</v>
      </c>
      <c r="BZ45" s="540">
        <f>BY45*Hypothèses!$B$3/Hypothèses!$B$9</f>
        <v>113.25055770172766</v>
      </c>
      <c r="CA45" s="538">
        <f t="shared" si="45"/>
        <v>0</v>
      </c>
      <c r="CB45" s="533">
        <f>BW45*Prod_Carburant_Alt!$R$61+BZ45*Hypothèses!$B$13</f>
        <v>8407.9910479612645</v>
      </c>
      <c r="CC45" s="538">
        <f t="shared" si="46"/>
        <v>3895.8022578098098</v>
      </c>
      <c r="CD45" s="541">
        <f t="shared" si="47"/>
        <v>5.9843352654528568</v>
      </c>
      <c r="CE45" s="537">
        <f t="shared" si="48"/>
        <v>92.487901527573911</v>
      </c>
      <c r="CF45" s="503">
        <f>(CA45+BU45*BO45)*Hypothèses!$D$23+CE45</f>
        <v>159.99208027013225</v>
      </c>
      <c r="CG45" s="504">
        <f t="shared" si="16"/>
        <v>0.90311834093766008</v>
      </c>
      <c r="CH45" s="503">
        <f>(CA45+BU45*BO45)*Hypothèses!$B$23</f>
        <v>56.703510143748993</v>
      </c>
      <c r="CI45" s="503">
        <f t="shared" si="49"/>
        <v>0</v>
      </c>
      <c r="CJ45" s="503">
        <f>(BU45+BW45+CA45)*Hypothèses!$B$6+BZ45*Hypothèses!$B$11</f>
        <v>7.1721436454888954</v>
      </c>
      <c r="CK45" s="503">
        <f>(BU45+BW45+CA45)*Hypothèses!$B$5+BZ45*Hypothèses!$B$10</f>
        <v>1202.8926603120842</v>
      </c>
      <c r="CL45" s="542">
        <f t="shared" si="17"/>
        <v>0.93959428557463109</v>
      </c>
    </row>
    <row r="46" spans="1:90" ht="14.25" customHeight="1" thickBot="1">
      <c r="A46" s="331"/>
      <c r="B46" s="545">
        <v>2050</v>
      </c>
      <c r="C46" s="656">
        <f>Trajectoires!AA42</f>
        <v>2699.9564976387192</v>
      </c>
      <c r="D46" s="660">
        <f>C46/Hypothèses!$D$23</f>
        <v>719.98839937032506</v>
      </c>
      <c r="E46" s="660">
        <f>D46*Hypothèses!$B$23</f>
        <v>2267.9634580165239</v>
      </c>
      <c r="F46" s="660">
        <f>D46*Hypothèses!$B$5</f>
        <v>1000.7838751247517</v>
      </c>
      <c r="G46" s="660">
        <f>D46*Hypothèses!$B$6</f>
        <v>23.039628779850403</v>
      </c>
      <c r="H46" s="548">
        <f t="shared" si="30"/>
        <v>6.6666666666666666E-2</v>
      </c>
      <c r="I46" s="549">
        <f>IF(J46&gt;=1,ROUND(COUNTIFS($B$16:$B46,"&gt;"&amp;MAX($B46-$D$2,2019),H$16:H46,1/25)*(1/$D$2-1/25)*25,0),0)</f>
        <v>0</v>
      </c>
      <c r="J46" s="550">
        <f t="shared" si="50"/>
        <v>1.9333333333333331</v>
      </c>
      <c r="K46" s="551">
        <f>Hypothèses!$G$77</f>
        <v>0.01</v>
      </c>
      <c r="L46" s="552">
        <f t="shared" si="0"/>
        <v>22.679634580165239</v>
      </c>
      <c r="M46" s="553">
        <f t="array" ref="M46">1-SUM(IF((Roadmap_Avion!$B$8:$B$38=$B46)*(Roadmap_Avion!$C$4:$Z$4=$B$2)*(Roadmap_Avion!$C$6:$Z$6=M$7)*(Roadmap_Avion!$C$7:$Z$7=M$9),Roadmap_Avion!$C$8:$Z$38,0))</f>
        <v>0.15000000000000002</v>
      </c>
      <c r="N46" s="554">
        <f t="array" ref="N46">SUM(IF((Roadmap_Avion!$B$8:$B$38=$B46)*(Roadmap_Avion!$C$4:$Z$4=$B$2)*(Roadmap_Avion!$C$6:$Z$6=N$7)*(Roadmap_Avion!$C$7:$Z$7=N$9),Roadmap_Avion!$C$8:$Z$38,0))</f>
        <v>0</v>
      </c>
      <c r="O46" s="555">
        <f t="array" ref="O46">SUM(IF((Roadmap_Avion!$B$8:$B$38=$B46)*(Roadmap_Avion!$C$4:$Z$4=$B$2)*(Roadmap_Avion!$C$6:$Z$6=O$7)*(Roadmap_Avion!$C$7:$Z$7=O$9),Roadmap_Avion!$C$8:$Z$38,0))</f>
        <v>1</v>
      </c>
      <c r="P46" s="556">
        <f t="array" ref="P46">IF($J46&lt;1,P45+$H46*M46,SUMPRODUCT(($B$16:$B$46&lt;=$B46)*($B$16:$B$46&gt;MAX($B46-$D$2-$I46,2019))*$H$16:$H$46*M$16:M$46))</f>
        <v>0.15000000000000008</v>
      </c>
      <c r="Q46" s="557">
        <f t="shared" si="31"/>
        <v>19.277689393140449</v>
      </c>
      <c r="R46" s="558">
        <f t="shared" si="18"/>
        <v>0</v>
      </c>
      <c r="S46" s="559">
        <f t="shared" si="19"/>
        <v>0.01</v>
      </c>
      <c r="T46" s="551">
        <f>Hypothèses!$G$78</f>
        <v>0.03</v>
      </c>
      <c r="U46" s="552">
        <f t="shared" si="2"/>
        <v>68.038903740495712</v>
      </c>
      <c r="V46" s="553">
        <f t="array" ref="V46">1-SUM(IF((Roadmap_Avion!$B$8:$B$38=$B46)*(Roadmap_Avion!$C$4:$Z$4=$B$2)*(Roadmap_Avion!$C$6:$Z$6=V$7)*(Roadmap_Avion!$C$7:$Z$7=V$9),Roadmap_Avion!$C$8:$Z$38,0))</f>
        <v>0.15000000000000002</v>
      </c>
      <c r="W46" s="554">
        <f t="array" ref="W46">SUM(IF((Roadmap_Avion!$B$8:$B$38=$B46)*(Roadmap_Avion!$C$4:$Z$4=$B$2)*(Roadmap_Avion!$C$6:$Z$6=W$7)*(Roadmap_Avion!$C$7:$Z$7=W$9),Roadmap_Avion!$C$8:$Z$38,0))</f>
        <v>0</v>
      </c>
      <c r="X46" s="555">
        <f t="array" ref="X46">SUM(IF((Roadmap_Avion!$B$8:$B$38=$B46)*(Roadmap_Avion!$C$4:$Z$4=$B$2)*(Roadmap_Avion!$C$6:$Z$6=X$7)*(Roadmap_Avion!$C$7:$Z$7=X$9),Roadmap_Avion!$C$8:$Z$38,0))</f>
        <v>1</v>
      </c>
      <c r="Y46" s="556">
        <f t="array" ref="Y46">IF($J46&lt;1,Y45+$H46*V46,SUMPRODUCT(($B$16:$B$46&lt;=$B46)*($B$16:$B$46&gt;MAX($B46-$D$2-$I46,2019))*$H$16:$H$46*V$16:V$46))</f>
        <v>0.15000000000000008</v>
      </c>
      <c r="Z46" s="557">
        <f t="shared" si="32"/>
        <v>57.833068179421346</v>
      </c>
      <c r="AA46" s="558">
        <f t="shared" si="20"/>
        <v>0</v>
      </c>
      <c r="AB46" s="559">
        <f t="shared" si="21"/>
        <v>2.9999999999999995E-2</v>
      </c>
      <c r="AC46" s="551">
        <f>Hypothèses!$G$79</f>
        <v>0.24</v>
      </c>
      <c r="AD46" s="552">
        <f t="shared" si="4"/>
        <v>544.3112299239657</v>
      </c>
      <c r="AE46" s="553">
        <f t="array" ref="AE46">1-SUM(IF((Roadmap_Avion!$B$8:$B$38=$B46)*(Roadmap_Avion!$C$4:$Z$4=$B$2)*(Roadmap_Avion!$C$6:$Z$6=AE$7)*(Roadmap_Avion!$C$7:$Z$7=AE$9),Roadmap_Avion!$C$8:$Z$38,0))</f>
        <v>0.36250000000000004</v>
      </c>
      <c r="AF46" s="554">
        <f t="array" ref="AF46">SUM(IF((Roadmap_Avion!$B$8:$B$38=$B46)*(Roadmap_Avion!$C$4:$Z$4=$B$2)*(Roadmap_Avion!$C$6:$Z$6=AF$7)*(Roadmap_Avion!$C$7:$Z$7=AF$9),Roadmap_Avion!$C$8:$Z$38,0))</f>
        <v>0</v>
      </c>
      <c r="AG46" s="555">
        <f t="array" ref="AG46">SUM(IF((Roadmap_Avion!$B$8:$B$38=$B46)*(Roadmap_Avion!$C$4:$Z$4=$B$2)*(Roadmap_Avion!$C$6:$Z$6=AG$7)*(Roadmap_Avion!$C$7:$Z$7=AG$9),Roadmap_Avion!$C$8:$Z$38,0))</f>
        <v>1</v>
      </c>
      <c r="AH46" s="556">
        <f t="array" ref="AH46">IF($J46&lt;1,AH45+$H46*AE46,SUMPRODUCT(($B$16:$B$46&lt;=$B46)*($B$16:$B$46&gt;MAX($B46-$D$2-$I46,2019))*$H$16:$H$46*AE$16:AE$46))</f>
        <v>0.36250000000000004</v>
      </c>
      <c r="AI46" s="557">
        <f t="shared" si="33"/>
        <v>346.99840907652811</v>
      </c>
      <c r="AJ46" s="558">
        <f t="shared" si="22"/>
        <v>0</v>
      </c>
      <c r="AK46" s="559">
        <f t="shared" si="23"/>
        <v>0.23999999999999996</v>
      </c>
      <c r="AL46" s="551">
        <f>Hypothèses!$G$80</f>
        <v>0.42</v>
      </c>
      <c r="AM46" s="552">
        <f t="shared" si="6"/>
        <v>952.54465236694</v>
      </c>
      <c r="AN46" s="553">
        <f t="array" ref="AN46">1-SUM(IF((Roadmap_Avion!$B$8:$B$38=$B46)*(Roadmap_Avion!$C$4:$Z$4=$B$2)*(Roadmap_Avion!$C$6:$Z$6=AN$7)*(Roadmap_Avion!$C$7:$Z$7=AN$9),Roadmap_Avion!$C$8:$Z$38,0))</f>
        <v>0.36250000000000004</v>
      </c>
      <c r="AO46" s="554">
        <f t="array" ref="AO46">SUM(IF((Roadmap_Avion!$B$8:$B$38=$B46)*(Roadmap_Avion!$C$4:$Z$4=$B$2)*(Roadmap_Avion!$C$6:$Z$6=AO$7)*(Roadmap_Avion!$C$7:$Z$7=AO$9),Roadmap_Avion!$C$8:$Z$38,0))</f>
        <v>0</v>
      </c>
      <c r="AP46" s="555">
        <f t="array" ref="AP46">SUM(IF((Roadmap_Avion!$B$8:$B$38=$B46)*(Roadmap_Avion!$C$4:$Z$4=$B$2)*(Roadmap_Avion!$C$6:$Z$6=AP$7)*(Roadmap_Avion!$C$7:$Z$7=AP$9),Roadmap_Avion!$C$8:$Z$38,0))</f>
        <v>1</v>
      </c>
      <c r="AQ46" s="556">
        <f t="array" ref="AQ46">IF($J46&lt;1,AQ45+$H46*AN46,SUMPRODUCT(($B$16:$B$46&lt;=$B46)*($B$16:$B$46&gt;MAX($B46-$D$2-$I46,2019))*$H$16:$H$46*AN$16:AN$46))</f>
        <v>0.36250000000000004</v>
      </c>
      <c r="AR46" s="557">
        <f t="shared" si="34"/>
        <v>607.24721588392424</v>
      </c>
      <c r="AS46" s="558">
        <f t="shared" si="8"/>
        <v>0</v>
      </c>
      <c r="AT46" s="559">
        <f t="shared" si="9"/>
        <v>0.42</v>
      </c>
      <c r="AU46" s="560">
        <f>Hypothèses!$G$81</f>
        <v>0.3</v>
      </c>
      <c r="AV46" s="552">
        <f t="shared" si="10"/>
        <v>680.38903740495709</v>
      </c>
      <c r="AW46" s="553">
        <f t="array" ref="AW46">1-SUM(IF((Roadmap_Avion!$B$8:$B$38=$B46)*(Roadmap_Avion!$C$4:$Z$4=$B$2)*(Roadmap_Avion!$C$6:$Z$6=AW$7)*(Roadmap_Avion!$C$7:$Z$7=AW$9),Roadmap_Avion!$C$8:$Z$38,0))</f>
        <v>0.4375</v>
      </c>
      <c r="AX46" s="554">
        <f t="array" ref="AX46">SUM(IF((Roadmap_Avion!$B$8:$B$38=$B46)*(Roadmap_Avion!$C$4:$Z$4=$B$2)*(Roadmap_Avion!$C$6:$Z$6=AX$7)*(Roadmap_Avion!$C$7:$Z$7=AX$9),Roadmap_Avion!$C$8:$Z$38,0))</f>
        <v>1</v>
      </c>
      <c r="AY46" s="555">
        <f t="array" ref="AY46">SUM(IF((Roadmap_Avion!$B$8:$B$38=$B46)*(Roadmap_Avion!$C$4:$Z$4=$B$2)*(Roadmap_Avion!$C$6:$Z$6=AY$7)*(Roadmap_Avion!$C$7:$Z$7=AY$9),Roadmap_Avion!$C$8:$Z$38,0))</f>
        <v>0</v>
      </c>
      <c r="AZ46" s="556">
        <f t="array" ref="AZ46">IF($J46&lt;1,AZ45+$H46*AW46,SUMPRODUCT(($B$16:$B$46&lt;=$B46)*($B$16:$B$46&gt;MAX($B46-$D$2-$I46,2019))*$H$16:$H$46*AW$16:AW$46))</f>
        <v>0.43750000000000006</v>
      </c>
      <c r="BA46" s="557">
        <f t="shared" si="35"/>
        <v>382.71883354028836</v>
      </c>
      <c r="BB46" s="558">
        <f t="shared" si="24"/>
        <v>0.3</v>
      </c>
      <c r="BC46" s="558">
        <f t="shared" si="25"/>
        <v>0</v>
      </c>
      <c r="BD46" s="546">
        <f t="shared" si="12"/>
        <v>1414.0752160733025</v>
      </c>
      <c r="BE46" s="547">
        <f>BD46*(Hypothèses!$D$23/Hypothèses!$B$23)</f>
        <v>1683.4228762777411</v>
      </c>
      <c r="BF46" s="561">
        <f t="shared" si="13"/>
        <v>0.37650000000000006</v>
      </c>
      <c r="BG46" s="547">
        <f>BD46/Hypothèses!$B$23</f>
        <v>448.91276700739763</v>
      </c>
      <c r="BH46" s="561">
        <f t="shared" si="14"/>
        <v>0.3</v>
      </c>
      <c r="BI46" s="561">
        <f t="shared" si="14"/>
        <v>0.7</v>
      </c>
      <c r="BJ46" s="547">
        <f t="shared" si="26"/>
        <v>134.67383010221928</v>
      </c>
      <c r="BK46" s="562">
        <f t="shared" si="36"/>
        <v>750</v>
      </c>
      <c r="BL46" s="563">
        <f t="shared" si="37"/>
        <v>5.5690106936940884</v>
      </c>
      <c r="BM46" s="564">
        <f t="array" ref="BM46">SUM(IF((Prod_Carburant_Alt!$A$7:$A$37=$B46)*(Prod_Carburant_Alt!$B$3:$AI$3=$C$2)*(Prod_Carburant_Alt!$B$5:$AI$5=BM$7)*(Prod_Carburant_Alt!$B$6:$AI$6=BM$9),Prod_Carburant_Alt!$B$7:$AI$37,0))</f>
        <v>500</v>
      </c>
      <c r="BN46" s="563">
        <f t="shared" si="27"/>
        <v>14.791529066916567</v>
      </c>
      <c r="BO46" s="565">
        <f t="array" ref="BO46">SUM(IF((Prod_Carburant_Alt!$A$7:$A$37=$B46)*(Prod_Carburant_Alt!$B$3:$AI$3=$C$2)*(Prod_Carburant_Alt!$B$5:$AI$5=BO$7)*(Prod_Carburant_Alt!$B$6:$AI$6=BO$9),Prod_Carburant_Alt!$B$7:$AI$37,0))</f>
        <v>0.204382517533922</v>
      </c>
      <c r="BP46" s="566">
        <f t="array" ref="BP46">SUM(IF((Prod_Carburant_Alt!$A$7:$A$37=$B46)*(Prod_Carburant_Alt!$B$3:$AI$3=$C$2)*(Prod_Carburant_Alt!$B$5:$AI$5=BP$7)*(Prod_Carburant_Alt!$B$6:$AI$6=BP$9),Prod_Carburant_Alt!$B$7:$AI$37,0))</f>
        <v>250</v>
      </c>
      <c r="BQ46" s="565">
        <f t="shared" si="38"/>
        <v>1.8563368978980295</v>
      </c>
      <c r="BR46" s="567">
        <f t="shared" si="39"/>
        <v>-301.08723299260237</v>
      </c>
      <c r="BS46" s="568">
        <f t="shared" si="40"/>
        <v>134.67383010221928</v>
      </c>
      <c r="BT46" s="569">
        <f t="shared" si="41"/>
        <v>0.17956510680295903</v>
      </c>
      <c r="BU46" s="570">
        <f t="shared" si="28"/>
        <v>89.782553401479518</v>
      </c>
      <c r="BV46" s="571">
        <f t="shared" si="42"/>
        <v>0.17956510680295903</v>
      </c>
      <c r="BW46" s="572">
        <f t="shared" si="29"/>
        <v>44.891276700739759</v>
      </c>
      <c r="BX46" s="569">
        <f t="shared" si="43"/>
        <v>0.17956510680295903</v>
      </c>
      <c r="BY46" s="568">
        <f t="shared" si="44"/>
        <v>314.23893690517832</v>
      </c>
      <c r="BZ46" s="573">
        <f>BY46*Hypothèses!$B$3/Hypothèses!$B$9</f>
        <v>115.44540615394111</v>
      </c>
      <c r="CA46" s="568">
        <f t="shared" si="45"/>
        <v>0</v>
      </c>
      <c r="CB46" s="562">
        <f>BW46*Prod_Carburant_Alt!$R$61+BZ46*Hypothèses!$B$13</f>
        <v>8570.9418228832401</v>
      </c>
      <c r="CC46" s="574">
        <f t="shared" si="46"/>
        <v>3971.3047165103126</v>
      </c>
      <c r="CD46" s="575">
        <f t="shared" si="47"/>
        <v>6.1003144646855798</v>
      </c>
      <c r="CE46" s="567">
        <f t="shared" si="48"/>
        <v>94.280360051715647</v>
      </c>
      <c r="CF46" s="661">
        <f>(CA46+BU46*BO46)*Hypothèses!$D$23+CE46</f>
        <v>163.09280115728382</v>
      </c>
      <c r="CG46" s="577">
        <f t="shared" si="16"/>
        <v>0.90311834093766008</v>
      </c>
      <c r="CH46" s="661">
        <f>(CA46+BU46*BO46)*Hypothèses!$B$23</f>
        <v>57.802450528677262</v>
      </c>
      <c r="CI46" s="661">
        <f t="shared" si="49"/>
        <v>0</v>
      </c>
      <c r="CJ46" s="661">
        <f>(BU46+BW46+CA46)*Hypothèses!$B$6+BZ46*Hypothèses!$B$11</f>
        <v>7.3111431232734851</v>
      </c>
      <c r="CK46" s="661">
        <f>(BU46+BW46+CA46)*Hypothèses!$B$5+BZ46*Hypothèses!$B$10</f>
        <v>1226.2052792275547</v>
      </c>
      <c r="CL46" s="578">
        <f t="shared" si="17"/>
        <v>0.93959428557463109</v>
      </c>
    </row>
    <row r="47" spans="1:90" ht="14.25" customHeight="1">
      <c r="A47" s="1149"/>
      <c r="B47" s="1149"/>
      <c r="BK47" s="427"/>
      <c r="BL47" s="427"/>
      <c r="BM47" s="428"/>
      <c r="BN47" s="427"/>
      <c r="BO47" s="427"/>
      <c r="BP47" s="429"/>
      <c r="BQ47" s="429"/>
      <c r="BR47" s="429"/>
      <c r="BS47" s="427"/>
      <c r="BT47" s="427"/>
      <c r="BU47" s="429"/>
      <c r="BV47" s="429"/>
      <c r="BW47" s="429"/>
      <c r="BX47" s="429"/>
      <c r="BY47" s="429"/>
      <c r="BZ47" s="429"/>
      <c r="CA47" s="429"/>
      <c r="CB47" s="429"/>
      <c r="CC47" s="429"/>
      <c r="CD47" s="429"/>
      <c r="CE47" s="429"/>
      <c r="CF47" s="429"/>
      <c r="CG47" s="429"/>
      <c r="CH47" s="429"/>
      <c r="CI47" s="429"/>
      <c r="CJ47" s="429"/>
      <c r="CK47" s="429"/>
      <c r="CL47" s="430"/>
    </row>
    <row r="48" spans="1:90" ht="14.25" customHeight="1">
      <c r="A48" s="1149"/>
      <c r="B48" s="1149"/>
      <c r="Q48" s="579"/>
      <c r="R48" s="579"/>
      <c r="S48" s="579"/>
      <c r="Z48" s="579"/>
      <c r="AA48" s="579"/>
      <c r="AB48" s="579"/>
      <c r="AI48" s="579"/>
      <c r="AJ48" s="579"/>
      <c r="AK48" s="579"/>
      <c r="AR48" s="579"/>
      <c r="AS48" s="579"/>
      <c r="AT48" s="579"/>
      <c r="BA48" s="579"/>
      <c r="BB48" s="579"/>
      <c r="BC48" s="579"/>
      <c r="BK48" s="427"/>
      <c r="BL48" s="427"/>
      <c r="BM48" s="428"/>
      <c r="BN48" s="427"/>
      <c r="BO48" s="427"/>
      <c r="BP48" s="429"/>
      <c r="BQ48" s="429"/>
      <c r="BR48" s="429"/>
      <c r="BS48" s="427"/>
      <c r="BT48" s="427"/>
      <c r="BU48" s="429"/>
      <c r="BV48" s="429"/>
      <c r="BW48" s="429"/>
      <c r="BX48" s="429"/>
      <c r="BY48" s="580"/>
      <c r="BZ48" s="580"/>
      <c r="CA48" s="580"/>
      <c r="CB48" s="429"/>
      <c r="CC48" s="429"/>
      <c r="CD48" s="429"/>
      <c r="CE48" s="429"/>
      <c r="CF48" s="429"/>
      <c r="CG48" s="429"/>
      <c r="CH48" s="429"/>
      <c r="CI48" s="429"/>
      <c r="CJ48" s="429"/>
      <c r="CK48" s="429"/>
      <c r="CL48" s="430"/>
    </row>
    <row r="49" spans="17:90" ht="14.25" customHeight="1">
      <c r="Q49" s="579"/>
      <c r="R49" s="579"/>
      <c r="S49" s="579"/>
      <c r="Z49" s="579"/>
      <c r="AA49" s="579"/>
      <c r="AB49" s="579"/>
      <c r="AI49" s="579"/>
      <c r="AJ49" s="579"/>
      <c r="AK49" s="579"/>
      <c r="AR49" s="579"/>
      <c r="AS49" s="579"/>
      <c r="AT49" s="579"/>
      <c r="BA49" s="579"/>
      <c r="BB49" s="579"/>
      <c r="BC49" s="579"/>
      <c r="BK49" s="427"/>
      <c r="BL49" s="427"/>
      <c r="BM49" s="428"/>
      <c r="BN49" s="427"/>
      <c r="BO49" s="427"/>
      <c r="BP49" s="429"/>
      <c r="BQ49" s="429"/>
      <c r="BR49" s="429"/>
      <c r="BS49" s="427"/>
      <c r="BT49" s="427"/>
      <c r="BU49" s="429"/>
      <c r="BV49" s="429"/>
      <c r="BW49" s="429"/>
      <c r="BX49" s="429"/>
      <c r="BY49" s="429"/>
      <c r="BZ49" s="429"/>
      <c r="CA49" s="429"/>
      <c r="CB49" s="429"/>
      <c r="CC49" s="429"/>
      <c r="CD49" s="429"/>
      <c r="CE49" s="429"/>
      <c r="CF49" s="429"/>
      <c r="CG49" s="429"/>
      <c r="CH49" s="429"/>
      <c r="CI49" s="429"/>
      <c r="CJ49" s="429"/>
      <c r="CK49" s="429"/>
      <c r="CL49" s="430"/>
    </row>
    <row r="50" spans="17:90" ht="14.25" customHeight="1">
      <c r="Q50" s="579"/>
      <c r="R50" s="579"/>
      <c r="S50" s="579"/>
      <c r="Z50" s="579"/>
      <c r="AA50" s="579"/>
      <c r="AB50" s="579"/>
      <c r="AI50" s="579"/>
      <c r="AJ50" s="579"/>
      <c r="AK50" s="579"/>
      <c r="AR50" s="579"/>
      <c r="AS50" s="579"/>
      <c r="AT50" s="579"/>
      <c r="BA50" s="579"/>
      <c r="BB50" s="579"/>
      <c r="BC50" s="579"/>
      <c r="BK50" s="427"/>
      <c r="BL50" s="427"/>
      <c r="BM50" s="428"/>
      <c r="BN50" s="427"/>
      <c r="BO50" s="427"/>
      <c r="BP50" s="429"/>
      <c r="BQ50" s="429"/>
      <c r="BR50" s="429"/>
      <c r="BS50" s="427"/>
      <c r="BT50" s="427"/>
      <c r="BU50" s="429"/>
      <c r="BV50" s="429"/>
      <c r="BW50" s="429"/>
      <c r="BX50" s="429"/>
      <c r="BY50" s="429"/>
      <c r="BZ50" s="429"/>
      <c r="CA50" s="429"/>
      <c r="CB50" s="429"/>
      <c r="CC50" s="429"/>
      <c r="CD50" s="429"/>
      <c r="CE50" s="429"/>
      <c r="CF50" s="429"/>
      <c r="CG50" s="429"/>
      <c r="CH50" s="429"/>
      <c r="CI50" s="429"/>
      <c r="CJ50" s="429"/>
      <c r="CK50" s="429"/>
      <c r="CL50" s="430"/>
    </row>
    <row r="51" spans="17:90" ht="14.25" customHeight="1">
      <c r="Q51" s="579"/>
      <c r="R51" s="579"/>
      <c r="S51" s="579"/>
      <c r="Z51" s="579"/>
      <c r="AA51" s="579"/>
      <c r="AB51" s="579"/>
      <c r="AI51" s="579"/>
      <c r="AJ51" s="579"/>
      <c r="AK51" s="579"/>
      <c r="AR51" s="579"/>
      <c r="AS51" s="579"/>
      <c r="AT51" s="579"/>
      <c r="BA51" s="579"/>
      <c r="BB51" s="579"/>
      <c r="BC51" s="579"/>
      <c r="BK51" s="427"/>
      <c r="BL51" s="427"/>
      <c r="BM51" s="428"/>
      <c r="BN51" s="427"/>
      <c r="BO51" s="427"/>
      <c r="BP51" s="429"/>
      <c r="BQ51" s="429"/>
      <c r="BR51" s="429"/>
      <c r="BS51" s="427"/>
      <c r="BT51" s="427"/>
      <c r="BU51" s="429"/>
      <c r="BV51" s="429"/>
      <c r="BW51" s="429"/>
      <c r="BX51" s="429"/>
      <c r="BY51" s="429"/>
      <c r="BZ51" s="429"/>
      <c r="CA51" s="429"/>
      <c r="CB51" s="429"/>
      <c r="CC51" s="429"/>
      <c r="CD51" s="429"/>
      <c r="CE51" s="429"/>
      <c r="CF51" s="429"/>
      <c r="CG51" s="429"/>
      <c r="CH51" s="429"/>
      <c r="CI51" s="429"/>
      <c r="CJ51" s="429"/>
      <c r="CK51" s="429"/>
      <c r="CL51" s="430"/>
    </row>
    <row r="52" spans="17:90" ht="14.25" customHeight="1">
      <c r="Q52" s="579"/>
      <c r="R52" s="579"/>
      <c r="S52" s="579"/>
      <c r="Z52" s="579"/>
      <c r="AA52" s="579"/>
      <c r="AB52" s="579"/>
      <c r="AI52" s="579"/>
      <c r="AJ52" s="579"/>
      <c r="AK52" s="579"/>
      <c r="AR52" s="579"/>
      <c r="AS52" s="579"/>
      <c r="AT52" s="579"/>
      <c r="BA52" s="579"/>
      <c r="BB52" s="579"/>
      <c r="BC52" s="579"/>
      <c r="BK52" s="427"/>
      <c r="BL52" s="427"/>
      <c r="BM52" s="428"/>
      <c r="BN52" s="427"/>
      <c r="BO52" s="427"/>
      <c r="BP52" s="429"/>
      <c r="BQ52" s="429"/>
      <c r="BR52" s="429"/>
      <c r="BS52" s="427"/>
      <c r="BT52" s="427"/>
      <c r="BU52" s="429"/>
      <c r="BV52" s="429"/>
      <c r="BW52" s="429"/>
      <c r="BX52" s="429"/>
      <c r="BY52" s="429"/>
      <c r="BZ52" s="429"/>
      <c r="CA52" s="429"/>
      <c r="CB52" s="429"/>
      <c r="CC52" s="429"/>
      <c r="CD52" s="429"/>
      <c r="CE52" s="429"/>
      <c r="CF52" s="429"/>
      <c r="CG52" s="429"/>
      <c r="CH52" s="429"/>
      <c r="CI52" s="429"/>
      <c r="CJ52" s="429"/>
      <c r="CK52" s="429"/>
      <c r="CL52" s="430"/>
    </row>
    <row r="53" spans="17:90" ht="14.25" customHeight="1">
      <c r="Q53" s="579"/>
      <c r="R53" s="579"/>
      <c r="S53" s="579"/>
      <c r="Z53" s="579"/>
      <c r="AA53" s="579"/>
      <c r="AB53" s="579"/>
      <c r="AI53" s="579"/>
      <c r="AJ53" s="579"/>
      <c r="AK53" s="579"/>
      <c r="AR53" s="579"/>
      <c r="AS53" s="579"/>
      <c r="AT53" s="579"/>
      <c r="BA53" s="579"/>
      <c r="BB53" s="579"/>
      <c r="BC53" s="579"/>
      <c r="BK53" s="427"/>
      <c r="BL53" s="427"/>
      <c r="BM53" s="428"/>
      <c r="BN53" s="427"/>
      <c r="BO53" s="427"/>
      <c r="BP53" s="429"/>
      <c r="BQ53" s="429"/>
      <c r="BR53" s="429"/>
      <c r="BS53" s="427"/>
      <c r="BT53" s="427"/>
      <c r="BU53" s="429"/>
      <c r="BV53" s="429"/>
      <c r="BW53" s="429"/>
      <c r="BX53" s="429"/>
      <c r="BY53" s="429"/>
      <c r="BZ53" s="429"/>
      <c r="CA53" s="429"/>
      <c r="CB53" s="429"/>
      <c r="CC53" s="429"/>
      <c r="CD53" s="429"/>
      <c r="CE53" s="429"/>
      <c r="CF53" s="429"/>
      <c r="CG53" s="429"/>
      <c r="CH53" s="429"/>
      <c r="CI53" s="429"/>
      <c r="CJ53" s="429"/>
      <c r="CK53" s="429"/>
      <c r="CL53" s="430"/>
    </row>
    <row r="54" spans="17:90" ht="14.25" customHeight="1">
      <c r="Q54" s="579"/>
      <c r="R54" s="579"/>
      <c r="S54" s="579"/>
      <c r="Z54" s="579"/>
      <c r="AA54" s="579"/>
      <c r="AB54" s="579"/>
      <c r="AI54" s="579"/>
      <c r="AJ54" s="579"/>
      <c r="AK54" s="579"/>
      <c r="AR54" s="579"/>
      <c r="AS54" s="579"/>
      <c r="AT54" s="579"/>
      <c r="BA54" s="579"/>
      <c r="BB54" s="579"/>
      <c r="BC54" s="579"/>
      <c r="BK54" s="427"/>
      <c r="BL54" s="427"/>
      <c r="BM54" s="428"/>
      <c r="BN54" s="427"/>
      <c r="BO54" s="427"/>
      <c r="BP54" s="429"/>
      <c r="BQ54" s="429"/>
      <c r="BR54" s="429"/>
      <c r="BS54" s="427"/>
      <c r="BT54" s="427"/>
      <c r="BU54" s="429"/>
      <c r="BV54" s="429"/>
      <c r="BW54" s="429"/>
      <c r="BX54" s="429"/>
      <c r="BY54" s="429"/>
      <c r="BZ54" s="429"/>
      <c r="CA54" s="429"/>
      <c r="CB54" s="429"/>
      <c r="CC54" s="429"/>
      <c r="CD54" s="429"/>
      <c r="CE54" s="429"/>
      <c r="CF54" s="429"/>
      <c r="CG54" s="429"/>
      <c r="CH54" s="429"/>
      <c r="CI54" s="429"/>
      <c r="CJ54" s="429"/>
      <c r="CK54" s="429"/>
      <c r="CL54" s="430"/>
    </row>
    <row r="55" spans="17:90" ht="14.25" customHeight="1">
      <c r="Q55" s="579"/>
      <c r="R55" s="579"/>
      <c r="S55" s="579"/>
      <c r="Z55" s="579"/>
      <c r="AA55" s="579"/>
      <c r="AB55" s="579"/>
      <c r="AI55" s="579"/>
      <c r="AJ55" s="579"/>
      <c r="AK55" s="579"/>
      <c r="AR55" s="579"/>
      <c r="AS55" s="579"/>
      <c r="AT55" s="579"/>
      <c r="BA55" s="579"/>
      <c r="BB55" s="579"/>
      <c r="BC55" s="579"/>
      <c r="BK55" s="427"/>
      <c r="BL55" s="427"/>
      <c r="BM55" s="428"/>
      <c r="BN55" s="427"/>
      <c r="BO55" s="427"/>
      <c r="BP55" s="429"/>
      <c r="BQ55" s="429"/>
      <c r="BR55" s="429"/>
      <c r="BS55" s="427"/>
      <c r="BT55" s="427"/>
      <c r="BU55" s="429"/>
      <c r="BV55" s="429"/>
      <c r="BW55" s="429"/>
      <c r="BX55" s="429"/>
      <c r="BY55" s="429"/>
      <c r="BZ55" s="429"/>
      <c r="CA55" s="429"/>
      <c r="CB55" s="429"/>
      <c r="CC55" s="429"/>
      <c r="CD55" s="429"/>
      <c r="CE55" s="429"/>
      <c r="CF55" s="429"/>
      <c r="CG55" s="429"/>
      <c r="CH55" s="429"/>
      <c r="CI55" s="429"/>
      <c r="CJ55" s="429"/>
      <c r="CK55" s="429"/>
      <c r="CL55" s="430"/>
    </row>
    <row r="56" spans="17:90" ht="14.25" customHeight="1">
      <c r="Q56" s="579"/>
      <c r="R56" s="579"/>
      <c r="S56" s="579"/>
      <c r="Z56" s="579"/>
      <c r="AA56" s="579"/>
      <c r="AB56" s="579"/>
      <c r="AI56" s="579"/>
      <c r="AJ56" s="579"/>
      <c r="AK56" s="579"/>
      <c r="AR56" s="579"/>
      <c r="AS56" s="579"/>
      <c r="AT56" s="579"/>
      <c r="BA56" s="579"/>
      <c r="BB56" s="579"/>
      <c r="BC56" s="579"/>
      <c r="BK56" s="581"/>
      <c r="BL56" s="581"/>
      <c r="BM56" s="582"/>
      <c r="BN56" s="581"/>
      <c r="BO56" s="581"/>
      <c r="BP56" s="430"/>
      <c r="BQ56" s="430"/>
      <c r="BR56" s="430"/>
      <c r="BS56" s="581"/>
      <c r="BT56" s="581"/>
      <c r="BU56" s="430"/>
      <c r="BV56" s="430"/>
      <c r="BW56" s="430"/>
      <c r="BX56" s="430"/>
      <c r="BY56" s="430"/>
      <c r="BZ56" s="430"/>
      <c r="CA56" s="430"/>
      <c r="CB56" s="430"/>
      <c r="CC56" s="430"/>
      <c r="CD56" s="430"/>
      <c r="CE56" s="430"/>
      <c r="CF56" s="430"/>
      <c r="CG56" s="430"/>
      <c r="CH56" s="430"/>
      <c r="CI56" s="430"/>
      <c r="CJ56" s="430"/>
      <c r="CK56" s="430"/>
      <c r="CL56" s="430"/>
    </row>
    <row r="57" spans="17:90" ht="14.25" customHeight="1">
      <c r="Q57" s="579"/>
      <c r="R57" s="579"/>
      <c r="S57" s="579"/>
      <c r="Z57" s="579"/>
      <c r="AA57" s="579"/>
      <c r="AB57" s="579"/>
      <c r="AI57" s="579"/>
      <c r="AJ57" s="579"/>
      <c r="AK57" s="579"/>
      <c r="AR57" s="579"/>
      <c r="AS57" s="579"/>
      <c r="AT57" s="579"/>
      <c r="BA57" s="579"/>
      <c r="BB57" s="579"/>
      <c r="BC57" s="579"/>
      <c r="BK57" s="581"/>
      <c r="BL57" s="581"/>
      <c r="BM57" s="582"/>
      <c r="BN57" s="581"/>
      <c r="BO57" s="581"/>
      <c r="BP57" s="430"/>
      <c r="BQ57" s="430"/>
      <c r="BR57" s="430"/>
      <c r="BS57" s="581"/>
      <c r="BT57" s="581"/>
      <c r="BU57" s="430"/>
      <c r="BV57" s="430"/>
      <c r="BW57" s="430"/>
      <c r="BX57" s="430"/>
      <c r="BY57" s="430"/>
      <c r="BZ57" s="430"/>
      <c r="CA57" s="430"/>
      <c r="CB57" s="430"/>
      <c r="CC57" s="430"/>
      <c r="CD57" s="430"/>
      <c r="CE57" s="430"/>
      <c r="CF57" s="430"/>
      <c r="CG57" s="430"/>
      <c r="CH57" s="430"/>
      <c r="CI57" s="430"/>
      <c r="CJ57" s="430"/>
      <c r="CK57" s="430"/>
      <c r="CL57" s="430"/>
    </row>
    <row r="58" spans="17:90" ht="14.25" customHeight="1">
      <c r="Q58" s="579"/>
      <c r="R58" s="579"/>
      <c r="S58" s="579"/>
      <c r="Z58" s="579"/>
      <c r="AA58" s="579"/>
      <c r="AB58" s="579"/>
      <c r="AI58" s="579"/>
      <c r="AJ58" s="579"/>
      <c r="AK58" s="579"/>
      <c r="AR58" s="579"/>
      <c r="AS58" s="579"/>
      <c r="AT58" s="579"/>
      <c r="BA58" s="579"/>
      <c r="BB58" s="579"/>
      <c r="BC58" s="579"/>
      <c r="BK58" s="581"/>
      <c r="BL58" s="581"/>
      <c r="BM58" s="582"/>
      <c r="BN58" s="581"/>
      <c r="BO58" s="581"/>
      <c r="BP58" s="430"/>
      <c r="BQ58" s="430"/>
      <c r="BR58" s="430"/>
      <c r="BS58" s="581"/>
      <c r="BT58" s="581"/>
      <c r="BU58" s="430"/>
      <c r="BV58" s="430"/>
      <c r="BW58" s="430"/>
      <c r="BX58" s="430"/>
      <c r="BY58" s="430"/>
      <c r="BZ58" s="430"/>
      <c r="CA58" s="430"/>
      <c r="CB58" s="430"/>
      <c r="CC58" s="430"/>
      <c r="CD58" s="430"/>
      <c r="CE58" s="430"/>
      <c r="CF58" s="430"/>
      <c r="CG58" s="430"/>
      <c r="CH58" s="430"/>
      <c r="CI58" s="430"/>
      <c r="CJ58" s="430"/>
      <c r="CK58" s="430"/>
      <c r="CL58" s="430"/>
    </row>
    <row r="59" spans="17:90" ht="14.25" customHeight="1">
      <c r="Q59" s="579"/>
      <c r="R59" s="579"/>
      <c r="S59" s="579"/>
      <c r="Z59" s="579"/>
      <c r="AA59" s="579"/>
      <c r="AB59" s="579"/>
      <c r="AI59" s="579"/>
      <c r="AJ59" s="579"/>
      <c r="AK59" s="579"/>
      <c r="AR59" s="579"/>
      <c r="AS59" s="579"/>
      <c r="AT59" s="579"/>
      <c r="BA59" s="579"/>
      <c r="BB59" s="579"/>
      <c r="BC59" s="579"/>
      <c r="BK59" s="581"/>
      <c r="BL59" s="581"/>
      <c r="BM59" s="582"/>
      <c r="BN59" s="581"/>
      <c r="BO59" s="581"/>
      <c r="BP59" s="430"/>
      <c r="BQ59" s="430"/>
      <c r="BR59" s="430"/>
      <c r="BS59" s="581"/>
      <c r="BT59" s="581"/>
      <c r="BU59" s="430"/>
      <c r="BV59" s="430"/>
      <c r="BW59" s="430"/>
      <c r="BX59" s="430"/>
      <c r="BY59" s="430"/>
      <c r="BZ59" s="430"/>
      <c r="CA59" s="430"/>
      <c r="CB59" s="430"/>
      <c r="CC59" s="430"/>
      <c r="CD59" s="430"/>
      <c r="CE59" s="430"/>
      <c r="CF59" s="430"/>
      <c r="CG59" s="430"/>
      <c r="CH59" s="430"/>
      <c r="CI59" s="430"/>
      <c r="CJ59" s="430"/>
      <c r="CK59" s="430"/>
      <c r="CL59" s="430"/>
    </row>
    <row r="60" spans="17:90" ht="14.25" customHeight="1">
      <c r="Q60" s="579"/>
      <c r="R60" s="579"/>
      <c r="S60" s="579"/>
      <c r="Z60" s="579"/>
      <c r="AA60" s="579"/>
      <c r="AB60" s="579"/>
      <c r="AI60" s="579"/>
      <c r="AJ60" s="579"/>
      <c r="AK60" s="579"/>
      <c r="AR60" s="579"/>
      <c r="AS60" s="579"/>
      <c r="AT60" s="579"/>
      <c r="BA60" s="579"/>
      <c r="BB60" s="579"/>
      <c r="BC60" s="579"/>
      <c r="BK60" s="581"/>
      <c r="BL60" s="581"/>
      <c r="BM60" s="582"/>
      <c r="BN60" s="581"/>
      <c r="BO60" s="581"/>
      <c r="BP60" s="430"/>
      <c r="BQ60" s="430"/>
      <c r="BR60" s="430"/>
      <c r="BS60" s="581"/>
      <c r="BT60" s="581"/>
      <c r="BU60" s="430"/>
      <c r="BV60" s="430"/>
      <c r="BW60" s="430"/>
      <c r="BX60" s="430"/>
      <c r="BY60" s="430"/>
      <c r="BZ60" s="430"/>
      <c r="CA60" s="430"/>
      <c r="CB60" s="430"/>
      <c r="CC60" s="430"/>
      <c r="CD60" s="430"/>
      <c r="CE60" s="430"/>
      <c r="CF60" s="430"/>
      <c r="CG60" s="430"/>
      <c r="CH60" s="430"/>
      <c r="CI60" s="430"/>
      <c r="CJ60" s="430"/>
      <c r="CK60" s="430"/>
      <c r="CL60" s="430"/>
    </row>
    <row r="61" spans="17:90" ht="14.25" customHeight="1">
      <c r="Q61" s="579"/>
      <c r="R61" s="579"/>
      <c r="S61" s="579"/>
      <c r="Z61" s="579"/>
      <c r="AA61" s="579"/>
      <c r="AB61" s="579"/>
      <c r="AI61" s="579"/>
      <c r="AJ61" s="579"/>
      <c r="AK61" s="579"/>
      <c r="AR61" s="579"/>
      <c r="AS61" s="579"/>
      <c r="AT61" s="579"/>
      <c r="BA61" s="579"/>
      <c r="BB61" s="579"/>
      <c r="BC61" s="579"/>
      <c r="BK61" s="581"/>
      <c r="BL61" s="581"/>
      <c r="BM61" s="582"/>
      <c r="BN61" s="581"/>
      <c r="BO61" s="581"/>
      <c r="BP61" s="430"/>
      <c r="BQ61" s="430"/>
      <c r="BR61" s="430"/>
      <c r="BS61" s="581"/>
      <c r="BT61" s="581"/>
      <c r="BU61" s="430"/>
      <c r="BV61" s="430"/>
      <c r="BW61" s="430"/>
      <c r="BX61" s="430"/>
      <c r="BY61" s="430"/>
      <c r="BZ61" s="430"/>
      <c r="CA61" s="430"/>
      <c r="CB61" s="430"/>
      <c r="CC61" s="430"/>
      <c r="CD61" s="430"/>
      <c r="CE61" s="430"/>
      <c r="CF61" s="430"/>
      <c r="CG61" s="430"/>
      <c r="CH61" s="430"/>
      <c r="CI61" s="430"/>
      <c r="CJ61" s="430"/>
      <c r="CK61" s="430"/>
      <c r="CL61" s="430"/>
    </row>
    <row r="62" spans="17:90" ht="14.25" customHeight="1">
      <c r="Q62" s="579"/>
      <c r="R62" s="579"/>
      <c r="S62" s="579"/>
      <c r="Z62" s="579"/>
      <c r="AA62" s="579"/>
      <c r="AB62" s="579"/>
      <c r="AI62" s="579"/>
      <c r="AJ62" s="579"/>
      <c r="AK62" s="579"/>
      <c r="AR62" s="579"/>
      <c r="AS62" s="579"/>
      <c r="AT62" s="579"/>
      <c r="BA62" s="579"/>
      <c r="BB62" s="579"/>
      <c r="BC62" s="579"/>
      <c r="BK62" s="581"/>
      <c r="BL62" s="581"/>
      <c r="BM62" s="582"/>
      <c r="BN62" s="581"/>
      <c r="BO62" s="581"/>
      <c r="BP62" s="430"/>
      <c r="BQ62" s="430"/>
      <c r="BR62" s="430"/>
      <c r="BS62" s="581"/>
      <c r="BT62" s="581"/>
      <c r="BU62" s="430"/>
      <c r="BV62" s="430"/>
      <c r="BW62" s="430"/>
      <c r="BX62" s="430"/>
      <c r="BY62" s="430"/>
      <c r="BZ62" s="430"/>
      <c r="CA62" s="430"/>
      <c r="CB62" s="430"/>
      <c r="CC62" s="430"/>
      <c r="CD62" s="430"/>
      <c r="CE62" s="430"/>
      <c r="CF62" s="430"/>
      <c r="CG62" s="430"/>
      <c r="CH62" s="430"/>
      <c r="CI62" s="430"/>
      <c r="CJ62" s="430"/>
      <c r="CK62" s="430"/>
      <c r="CL62" s="430"/>
    </row>
    <row r="63" spans="17:90" ht="14.25" customHeight="1">
      <c r="Q63" s="579"/>
      <c r="R63" s="579"/>
      <c r="S63" s="579"/>
      <c r="Z63" s="579"/>
      <c r="AA63" s="579"/>
      <c r="AB63" s="579"/>
      <c r="AI63" s="579"/>
      <c r="AJ63" s="579"/>
      <c r="AK63" s="579"/>
      <c r="AR63" s="579"/>
      <c r="AS63" s="579"/>
      <c r="AT63" s="579"/>
      <c r="BA63" s="579"/>
      <c r="BB63" s="579"/>
      <c r="BC63" s="579"/>
      <c r="BK63" s="581"/>
      <c r="BL63" s="581"/>
      <c r="BM63" s="582"/>
      <c r="BN63" s="581"/>
      <c r="BO63" s="581"/>
      <c r="BP63" s="430"/>
      <c r="BQ63" s="430"/>
      <c r="BR63" s="430"/>
      <c r="BS63" s="581"/>
      <c r="BT63" s="581"/>
      <c r="BU63" s="430"/>
      <c r="BV63" s="430"/>
      <c r="BW63" s="430"/>
      <c r="BX63" s="430"/>
      <c r="BY63" s="430"/>
      <c r="BZ63" s="430"/>
      <c r="CA63" s="430"/>
      <c r="CB63" s="430"/>
      <c r="CC63" s="430"/>
      <c r="CD63" s="430"/>
      <c r="CE63" s="430"/>
      <c r="CF63" s="430"/>
      <c r="CG63" s="430"/>
      <c r="CH63" s="430"/>
      <c r="CI63" s="430"/>
      <c r="CJ63" s="430"/>
      <c r="CK63" s="430"/>
      <c r="CL63" s="430"/>
    </row>
    <row r="64" spans="17:90" ht="14.25" customHeight="1">
      <c r="Q64" s="579"/>
      <c r="R64" s="579"/>
      <c r="S64" s="579"/>
      <c r="Z64" s="579"/>
      <c r="AA64" s="579"/>
      <c r="AB64" s="579"/>
      <c r="AI64" s="579"/>
      <c r="AJ64" s="579"/>
      <c r="AK64" s="579"/>
      <c r="AR64" s="579"/>
      <c r="AS64" s="579"/>
      <c r="AT64" s="579"/>
      <c r="BA64" s="579"/>
      <c r="BB64" s="579"/>
      <c r="BC64" s="579"/>
      <c r="BK64" s="581"/>
      <c r="BL64" s="581"/>
      <c r="BM64" s="582"/>
      <c r="BN64" s="581"/>
      <c r="BO64" s="581"/>
      <c r="BP64" s="430"/>
      <c r="BQ64" s="430"/>
      <c r="BR64" s="430"/>
      <c r="BS64" s="581"/>
      <c r="BT64" s="581"/>
      <c r="BU64" s="430"/>
      <c r="BV64" s="430"/>
      <c r="BW64" s="430"/>
      <c r="BX64" s="430"/>
      <c r="BY64" s="430"/>
      <c r="BZ64" s="430"/>
      <c r="CA64" s="430"/>
      <c r="CB64" s="430"/>
      <c r="CC64" s="430"/>
      <c r="CD64" s="430"/>
      <c r="CE64" s="430"/>
      <c r="CF64" s="430"/>
      <c r="CG64" s="430"/>
      <c r="CH64" s="430"/>
      <c r="CI64" s="430"/>
      <c r="CJ64" s="430"/>
      <c r="CK64" s="430"/>
      <c r="CL64" s="430"/>
    </row>
    <row r="65" spans="17:90" ht="14.25" customHeight="1">
      <c r="Q65" s="579"/>
      <c r="R65" s="579"/>
      <c r="S65" s="579"/>
      <c r="Z65" s="579"/>
      <c r="AA65" s="579"/>
      <c r="AB65" s="579"/>
      <c r="AI65" s="579"/>
      <c r="AJ65" s="579"/>
      <c r="AK65" s="579"/>
      <c r="AR65" s="579"/>
      <c r="AS65" s="579"/>
      <c r="AT65" s="579"/>
      <c r="BA65" s="579"/>
      <c r="BB65" s="579"/>
      <c r="BC65" s="579"/>
      <c r="BK65" s="581"/>
      <c r="BL65" s="581"/>
      <c r="BM65" s="582"/>
      <c r="BN65" s="581"/>
      <c r="BO65" s="581"/>
      <c r="BP65" s="430"/>
      <c r="BQ65" s="430"/>
      <c r="BR65" s="430"/>
      <c r="BS65" s="581"/>
      <c r="BT65" s="581"/>
      <c r="BU65" s="430"/>
      <c r="BV65" s="430"/>
      <c r="BW65" s="430"/>
      <c r="BX65" s="430"/>
      <c r="BY65" s="430"/>
      <c r="BZ65" s="430"/>
      <c r="CA65" s="430"/>
      <c r="CB65" s="430"/>
      <c r="CC65" s="430"/>
      <c r="CD65" s="430"/>
      <c r="CE65" s="430"/>
      <c r="CF65" s="430"/>
      <c r="CG65" s="430"/>
      <c r="CH65" s="430"/>
      <c r="CI65" s="430"/>
      <c r="CJ65" s="430"/>
      <c r="CK65" s="430"/>
      <c r="CL65" s="430"/>
    </row>
    <row r="66" spans="17:90" ht="14.25" customHeight="1">
      <c r="Q66" s="579"/>
      <c r="R66" s="579"/>
      <c r="S66" s="579"/>
      <c r="Z66" s="579"/>
      <c r="AA66" s="579"/>
      <c r="AB66" s="579"/>
      <c r="AI66" s="579"/>
      <c r="AJ66" s="579"/>
      <c r="AK66" s="579"/>
      <c r="AR66" s="579"/>
      <c r="AS66" s="579"/>
      <c r="AT66" s="579"/>
      <c r="BA66" s="579"/>
      <c r="BB66" s="579"/>
      <c r="BC66" s="579"/>
      <c r="BK66" s="581"/>
      <c r="BL66" s="581"/>
      <c r="BM66" s="582"/>
      <c r="BN66" s="581"/>
      <c r="BO66" s="581"/>
      <c r="BP66" s="430"/>
      <c r="BQ66" s="430"/>
      <c r="BR66" s="430"/>
      <c r="BS66" s="581"/>
      <c r="BT66" s="581"/>
      <c r="BU66" s="430"/>
      <c r="BV66" s="430"/>
      <c r="BW66" s="430"/>
      <c r="BX66" s="430"/>
      <c r="BY66" s="430"/>
      <c r="BZ66" s="430"/>
      <c r="CA66" s="430"/>
      <c r="CB66" s="430"/>
      <c r="CC66" s="430"/>
      <c r="CD66" s="430"/>
      <c r="CE66" s="430"/>
      <c r="CF66" s="430"/>
      <c r="CG66" s="430"/>
      <c r="CH66" s="430"/>
      <c r="CI66" s="430"/>
      <c r="CJ66" s="430"/>
      <c r="CK66" s="430"/>
      <c r="CL66" s="430"/>
    </row>
    <row r="67" spans="17:90" ht="14.25" customHeight="1">
      <c r="Q67" s="579"/>
      <c r="R67" s="579"/>
      <c r="S67" s="579"/>
      <c r="Z67" s="579"/>
      <c r="AA67" s="579"/>
      <c r="AB67" s="579"/>
      <c r="AI67" s="579"/>
      <c r="AJ67" s="579"/>
      <c r="AK67" s="579"/>
      <c r="AR67" s="579"/>
      <c r="AS67" s="579"/>
      <c r="AT67" s="579"/>
      <c r="BA67" s="579"/>
      <c r="BB67" s="579"/>
      <c r="BC67" s="579"/>
      <c r="BK67" s="581"/>
      <c r="BL67" s="581"/>
      <c r="BM67" s="582"/>
      <c r="BN67" s="581"/>
      <c r="BO67" s="581"/>
      <c r="BP67" s="430"/>
      <c r="BQ67" s="430"/>
      <c r="BR67" s="430"/>
      <c r="BS67" s="581"/>
      <c r="BT67" s="581"/>
      <c r="BU67" s="430"/>
      <c r="BV67" s="430"/>
      <c r="BW67" s="430"/>
      <c r="BX67" s="430"/>
      <c r="BY67" s="430"/>
      <c r="BZ67" s="430"/>
      <c r="CA67" s="430"/>
      <c r="CB67" s="430"/>
      <c r="CC67" s="430"/>
      <c r="CD67" s="430"/>
      <c r="CE67" s="430"/>
      <c r="CF67" s="430"/>
      <c r="CG67" s="430"/>
      <c r="CH67" s="430"/>
      <c r="CI67" s="430"/>
      <c r="CJ67" s="430"/>
      <c r="CK67" s="430"/>
      <c r="CL67" s="430"/>
    </row>
    <row r="68" spans="17:90" ht="14.25" customHeight="1">
      <c r="Q68" s="579"/>
      <c r="R68" s="579"/>
      <c r="S68" s="579"/>
      <c r="Z68" s="579"/>
      <c r="AA68" s="579"/>
      <c r="AB68" s="579"/>
      <c r="AI68" s="579"/>
      <c r="AJ68" s="579"/>
      <c r="AK68" s="579"/>
      <c r="AR68" s="579"/>
      <c r="AS68" s="579"/>
      <c r="AT68" s="579"/>
      <c r="BA68" s="579"/>
      <c r="BB68" s="579"/>
      <c r="BC68" s="579"/>
      <c r="BK68" s="581"/>
      <c r="BL68" s="581"/>
      <c r="BM68" s="582"/>
      <c r="BN68" s="581"/>
      <c r="BO68" s="581"/>
      <c r="BP68" s="430"/>
      <c r="BQ68" s="430"/>
      <c r="BR68" s="430"/>
      <c r="BS68" s="581"/>
      <c r="BT68" s="581"/>
      <c r="BU68" s="430"/>
      <c r="BV68" s="430"/>
      <c r="BW68" s="430"/>
      <c r="BX68" s="430"/>
      <c r="BY68" s="430"/>
      <c r="BZ68" s="430"/>
      <c r="CA68" s="430"/>
      <c r="CB68" s="430"/>
      <c r="CC68" s="430"/>
      <c r="CD68" s="430"/>
      <c r="CE68" s="430"/>
      <c r="CF68" s="430"/>
      <c r="CG68" s="430"/>
      <c r="CH68" s="430"/>
      <c r="CI68" s="430"/>
      <c r="CJ68" s="430"/>
      <c r="CK68" s="430"/>
      <c r="CL68" s="430"/>
    </row>
    <row r="69" spans="17:90" ht="14.25" customHeight="1">
      <c r="Q69" s="579"/>
      <c r="R69" s="579"/>
      <c r="S69" s="579"/>
      <c r="Z69" s="579"/>
      <c r="AA69" s="579"/>
      <c r="AB69" s="579"/>
      <c r="AI69" s="579"/>
      <c r="AJ69" s="579"/>
      <c r="AK69" s="579"/>
      <c r="AR69" s="579"/>
      <c r="AS69" s="579"/>
      <c r="AT69" s="579"/>
      <c r="BA69" s="579"/>
      <c r="BB69" s="579"/>
      <c r="BC69" s="579"/>
      <c r="BK69" s="581"/>
      <c r="BL69" s="581"/>
      <c r="BM69" s="582"/>
      <c r="BN69" s="581"/>
      <c r="BO69" s="581"/>
      <c r="BP69" s="430"/>
      <c r="BQ69" s="430"/>
      <c r="BR69" s="430"/>
      <c r="BS69" s="581"/>
      <c r="BT69" s="581"/>
      <c r="BU69" s="430"/>
      <c r="BV69" s="430"/>
      <c r="BW69" s="430"/>
      <c r="BX69" s="430"/>
      <c r="BY69" s="430"/>
      <c r="BZ69" s="430"/>
      <c r="CA69" s="430"/>
      <c r="CB69" s="430"/>
      <c r="CC69" s="430"/>
      <c r="CD69" s="430"/>
      <c r="CE69" s="430"/>
      <c r="CF69" s="430"/>
      <c r="CG69" s="430"/>
      <c r="CH69" s="430"/>
      <c r="CI69" s="430"/>
      <c r="CJ69" s="430"/>
      <c r="CK69" s="430"/>
      <c r="CL69" s="430"/>
    </row>
    <row r="70" spans="17:90" ht="14.25" customHeight="1">
      <c r="Q70" s="579"/>
      <c r="R70" s="579"/>
      <c r="S70" s="579"/>
      <c r="Z70" s="579"/>
      <c r="AA70" s="579"/>
      <c r="AB70" s="579"/>
      <c r="AI70" s="579"/>
      <c r="AJ70" s="579"/>
      <c r="AK70" s="579"/>
      <c r="AR70" s="579"/>
      <c r="AS70" s="579"/>
      <c r="AT70" s="579"/>
      <c r="BA70" s="579"/>
      <c r="BB70" s="579"/>
      <c r="BC70" s="579"/>
      <c r="BK70" s="581"/>
      <c r="BL70" s="581"/>
      <c r="BM70" s="582"/>
      <c r="BN70" s="581"/>
      <c r="BO70" s="581"/>
      <c r="BP70" s="430"/>
      <c r="BQ70" s="430"/>
      <c r="BR70" s="430"/>
      <c r="BS70" s="581"/>
      <c r="BT70" s="581"/>
      <c r="BU70" s="430"/>
      <c r="BV70" s="430"/>
      <c r="BW70" s="430"/>
      <c r="BX70" s="430"/>
      <c r="BY70" s="430"/>
      <c r="BZ70" s="430"/>
      <c r="CA70" s="430"/>
      <c r="CB70" s="430"/>
      <c r="CC70" s="430"/>
      <c r="CD70" s="430"/>
      <c r="CE70" s="430"/>
      <c r="CF70" s="430"/>
      <c r="CG70" s="430"/>
      <c r="CH70" s="430"/>
      <c r="CI70" s="430"/>
      <c r="CJ70" s="430"/>
      <c r="CK70" s="430"/>
      <c r="CL70" s="430"/>
    </row>
    <row r="71" spans="17:90" ht="14.25" customHeight="1">
      <c r="Q71" s="579"/>
      <c r="R71" s="579"/>
      <c r="S71" s="579"/>
      <c r="Z71" s="579"/>
      <c r="AA71" s="579"/>
      <c r="AB71" s="579"/>
      <c r="AI71" s="579"/>
      <c r="AJ71" s="579"/>
      <c r="AK71" s="579"/>
      <c r="AR71" s="579"/>
      <c r="AS71" s="579"/>
      <c r="AT71" s="579"/>
      <c r="BA71" s="579"/>
      <c r="BB71" s="579"/>
      <c r="BC71" s="579"/>
      <c r="BK71" s="581"/>
      <c r="BL71" s="581"/>
      <c r="BM71" s="582"/>
      <c r="BN71" s="581"/>
      <c r="BO71" s="581"/>
      <c r="BP71" s="430"/>
      <c r="BQ71" s="430"/>
      <c r="BR71" s="430"/>
      <c r="BS71" s="581"/>
      <c r="BT71" s="581"/>
      <c r="BU71" s="430"/>
      <c r="BV71" s="430"/>
      <c r="BW71" s="430"/>
      <c r="BX71" s="430"/>
      <c r="BY71" s="430"/>
      <c r="BZ71" s="430"/>
      <c r="CA71" s="430"/>
      <c r="CB71" s="430"/>
      <c r="CC71" s="430"/>
      <c r="CD71" s="430"/>
      <c r="CE71" s="430"/>
      <c r="CF71" s="430"/>
      <c r="CG71" s="430"/>
      <c r="CH71" s="430"/>
      <c r="CI71" s="430"/>
      <c r="CJ71" s="430"/>
      <c r="CK71" s="430"/>
      <c r="CL71" s="430"/>
    </row>
    <row r="72" spans="17:90" ht="14.25" customHeight="1">
      <c r="Q72" s="579"/>
      <c r="R72" s="579"/>
      <c r="S72" s="579"/>
      <c r="Z72" s="579"/>
      <c r="AA72" s="579"/>
      <c r="AB72" s="579"/>
      <c r="AI72" s="579"/>
      <c r="AJ72" s="579"/>
      <c r="AK72" s="579"/>
      <c r="AR72" s="579"/>
      <c r="AS72" s="579"/>
      <c r="AT72" s="579"/>
      <c r="BA72" s="579"/>
      <c r="BB72" s="579"/>
      <c r="BC72" s="579"/>
      <c r="BK72" s="581"/>
      <c r="BL72" s="581"/>
      <c r="BM72" s="582"/>
      <c r="BN72" s="581"/>
      <c r="BO72" s="581"/>
      <c r="BP72" s="430"/>
      <c r="BQ72" s="430"/>
      <c r="BR72" s="430"/>
      <c r="BS72" s="581"/>
      <c r="BT72" s="581"/>
      <c r="BU72" s="430"/>
      <c r="BV72" s="430"/>
      <c r="BW72" s="430"/>
      <c r="BX72" s="430"/>
      <c r="BY72" s="430"/>
      <c r="BZ72" s="430"/>
      <c r="CA72" s="430"/>
      <c r="CB72" s="430"/>
      <c r="CC72" s="430"/>
      <c r="CD72" s="430"/>
      <c r="CE72" s="430"/>
      <c r="CF72" s="430"/>
      <c r="CG72" s="430"/>
      <c r="CH72" s="430"/>
      <c r="CI72" s="430"/>
      <c r="CJ72" s="430"/>
      <c r="CK72" s="430"/>
      <c r="CL72" s="430"/>
    </row>
    <row r="73" spans="17:90" ht="14.25" customHeight="1">
      <c r="Q73" s="579"/>
      <c r="R73" s="579"/>
      <c r="S73" s="579"/>
      <c r="Z73" s="579"/>
      <c r="AA73" s="579"/>
      <c r="AB73" s="579"/>
      <c r="AI73" s="579"/>
      <c r="AJ73" s="579"/>
      <c r="AK73" s="579"/>
      <c r="AR73" s="579"/>
      <c r="AS73" s="579"/>
      <c r="AT73" s="579"/>
      <c r="BA73" s="579"/>
      <c r="BB73" s="579"/>
      <c r="BC73" s="579"/>
      <c r="BK73" s="581"/>
      <c r="BL73" s="581"/>
      <c r="BM73" s="582"/>
      <c r="BN73" s="581"/>
      <c r="BO73" s="581"/>
      <c r="BP73" s="430"/>
      <c r="BQ73" s="430"/>
      <c r="BR73" s="430"/>
      <c r="BS73" s="581"/>
      <c r="BT73" s="581"/>
      <c r="BU73" s="430"/>
      <c r="BV73" s="430"/>
      <c r="BW73" s="430"/>
      <c r="BX73" s="430"/>
      <c r="BY73" s="430"/>
      <c r="BZ73" s="430"/>
      <c r="CA73" s="430"/>
      <c r="CB73" s="430"/>
      <c r="CC73" s="430"/>
      <c r="CD73" s="430"/>
      <c r="CE73" s="430"/>
      <c r="CF73" s="430"/>
      <c r="CG73" s="430"/>
      <c r="CH73" s="430"/>
      <c r="CI73" s="430"/>
      <c r="CJ73" s="430"/>
      <c r="CK73" s="430"/>
      <c r="CL73" s="430"/>
    </row>
    <row r="74" spans="17:90" ht="14.25" customHeight="1">
      <c r="Q74" s="579"/>
      <c r="R74" s="579"/>
      <c r="S74" s="579"/>
      <c r="Z74" s="579"/>
      <c r="AA74" s="579"/>
      <c r="AB74" s="579"/>
      <c r="AI74" s="579"/>
      <c r="AJ74" s="579"/>
      <c r="AK74" s="579"/>
      <c r="AR74" s="579"/>
      <c r="AS74" s="579"/>
      <c r="AT74" s="579"/>
      <c r="BA74" s="579"/>
      <c r="BB74" s="579"/>
      <c r="BC74" s="579"/>
      <c r="BK74" s="581"/>
      <c r="BL74" s="581"/>
      <c r="BM74" s="582"/>
      <c r="BN74" s="581"/>
      <c r="BO74" s="581"/>
      <c r="BP74" s="430"/>
      <c r="BQ74" s="430"/>
      <c r="BR74" s="430"/>
      <c r="BS74" s="581"/>
      <c r="BT74" s="581"/>
      <c r="BU74" s="430"/>
      <c r="BV74" s="430"/>
      <c r="BW74" s="430"/>
      <c r="BX74" s="430"/>
      <c r="BY74" s="430"/>
      <c r="BZ74" s="430"/>
      <c r="CA74" s="430"/>
      <c r="CB74" s="430"/>
      <c r="CC74" s="430"/>
      <c r="CD74" s="430"/>
      <c r="CE74" s="430"/>
      <c r="CF74" s="430"/>
      <c r="CG74" s="430"/>
      <c r="CH74" s="430"/>
      <c r="CI74" s="430"/>
      <c r="CJ74" s="430"/>
      <c r="CK74" s="430"/>
      <c r="CL74" s="430"/>
    </row>
    <row r="75" spans="17:90" ht="14.25" customHeight="1">
      <c r="Q75" s="579"/>
      <c r="R75" s="579"/>
      <c r="S75" s="579"/>
      <c r="Z75" s="579"/>
      <c r="AA75" s="579"/>
      <c r="AB75" s="579"/>
      <c r="AI75" s="579"/>
      <c r="AJ75" s="579"/>
      <c r="AK75" s="579"/>
      <c r="AR75" s="579"/>
      <c r="AS75" s="579"/>
      <c r="AT75" s="579"/>
      <c r="BA75" s="579"/>
      <c r="BB75" s="579"/>
      <c r="BC75" s="579"/>
      <c r="BK75" s="581"/>
      <c r="BL75" s="581"/>
      <c r="BM75" s="582"/>
      <c r="BN75" s="581"/>
      <c r="BO75" s="581"/>
      <c r="BP75" s="430"/>
      <c r="BQ75" s="430"/>
      <c r="BR75" s="430"/>
      <c r="BS75" s="581"/>
      <c r="BT75" s="581"/>
      <c r="BU75" s="430"/>
      <c r="BV75" s="430"/>
      <c r="BW75" s="430"/>
      <c r="BX75" s="430"/>
      <c r="BY75" s="430"/>
      <c r="BZ75" s="430"/>
      <c r="CA75" s="430"/>
      <c r="CB75" s="430"/>
      <c r="CC75" s="430"/>
      <c r="CD75" s="430"/>
      <c r="CE75" s="430"/>
      <c r="CF75" s="430"/>
      <c r="CG75" s="430"/>
      <c r="CH75" s="430"/>
      <c r="CI75" s="430"/>
      <c r="CJ75" s="430"/>
      <c r="CK75" s="430"/>
      <c r="CL75" s="430"/>
    </row>
    <row r="76" spans="17:90" ht="14.25" customHeight="1">
      <c r="Q76" s="579"/>
      <c r="R76" s="579"/>
      <c r="S76" s="579"/>
      <c r="Z76" s="579"/>
      <c r="AA76" s="579"/>
      <c r="AB76" s="579"/>
      <c r="AI76" s="579"/>
      <c r="AJ76" s="579"/>
      <c r="AK76" s="579"/>
      <c r="AR76" s="579"/>
      <c r="AS76" s="579"/>
      <c r="AT76" s="579"/>
      <c r="BA76" s="579"/>
      <c r="BB76" s="579"/>
      <c r="BC76" s="579"/>
      <c r="BK76" s="581"/>
      <c r="BL76" s="581"/>
      <c r="BM76" s="582"/>
      <c r="BN76" s="581"/>
      <c r="BO76" s="581"/>
      <c r="BP76" s="430"/>
      <c r="BQ76" s="430"/>
      <c r="BR76" s="430"/>
      <c r="BS76" s="581"/>
      <c r="BT76" s="581"/>
      <c r="BU76" s="430"/>
      <c r="BV76" s="430"/>
      <c r="BW76" s="430"/>
      <c r="BX76" s="430"/>
      <c r="BY76" s="430"/>
      <c r="BZ76" s="430"/>
      <c r="CA76" s="430"/>
      <c r="CB76" s="430"/>
      <c r="CC76" s="430"/>
      <c r="CD76" s="430"/>
      <c r="CE76" s="430"/>
      <c r="CF76" s="430"/>
      <c r="CG76" s="430"/>
      <c r="CH76" s="430"/>
      <c r="CI76" s="430"/>
      <c r="CJ76" s="430"/>
      <c r="CK76" s="430"/>
      <c r="CL76" s="430"/>
    </row>
    <row r="77" spans="17:90" ht="14.25" customHeight="1">
      <c r="Q77" s="579"/>
      <c r="R77" s="579"/>
      <c r="S77" s="579"/>
      <c r="Z77" s="579"/>
      <c r="AA77" s="579"/>
      <c r="AB77" s="579"/>
      <c r="AI77" s="579"/>
      <c r="AJ77" s="579"/>
      <c r="AK77" s="579"/>
      <c r="AR77" s="579"/>
      <c r="AS77" s="579"/>
      <c r="AT77" s="579"/>
      <c r="BA77" s="579"/>
      <c r="BB77" s="579"/>
      <c r="BC77" s="579"/>
      <c r="BK77" s="581"/>
      <c r="BL77" s="581"/>
      <c r="BM77" s="582"/>
      <c r="BN77" s="581"/>
      <c r="BO77" s="581"/>
      <c r="BP77" s="430"/>
      <c r="BQ77" s="430"/>
      <c r="BR77" s="430"/>
      <c r="BS77" s="581"/>
      <c r="BT77" s="581"/>
      <c r="BU77" s="430"/>
      <c r="BV77" s="430"/>
      <c r="BW77" s="430"/>
      <c r="BX77" s="430"/>
      <c r="BY77" s="430"/>
      <c r="BZ77" s="430"/>
      <c r="CA77" s="430"/>
      <c r="CB77" s="430"/>
      <c r="CC77" s="430"/>
      <c r="CD77" s="430"/>
      <c r="CE77" s="430"/>
      <c r="CF77" s="430"/>
      <c r="CG77" s="430"/>
      <c r="CH77" s="430"/>
      <c r="CI77" s="430"/>
      <c r="CJ77" s="430"/>
      <c r="CK77" s="430"/>
      <c r="CL77" s="430"/>
    </row>
    <row r="78" spans="17:90" ht="14.25" customHeight="1">
      <c r="Q78" s="579"/>
      <c r="R78" s="579"/>
      <c r="S78" s="579"/>
      <c r="Z78" s="579"/>
      <c r="AA78" s="579"/>
      <c r="AB78" s="579"/>
      <c r="AI78" s="579"/>
      <c r="AJ78" s="579"/>
      <c r="AK78" s="579"/>
      <c r="AR78" s="579"/>
      <c r="AS78" s="579"/>
      <c r="AT78" s="579"/>
      <c r="BA78" s="579"/>
      <c r="BB78" s="579"/>
      <c r="BC78" s="579"/>
      <c r="BK78" s="581"/>
      <c r="BL78" s="581"/>
      <c r="BM78" s="582"/>
      <c r="BN78" s="581"/>
      <c r="BO78" s="581"/>
      <c r="BP78" s="430"/>
      <c r="BQ78" s="430"/>
      <c r="BR78" s="430"/>
      <c r="BS78" s="581"/>
      <c r="BT78" s="581"/>
      <c r="BU78" s="430"/>
      <c r="BV78" s="430"/>
      <c r="BW78" s="430"/>
      <c r="BX78" s="430"/>
      <c r="BY78" s="430"/>
      <c r="BZ78" s="430"/>
      <c r="CA78" s="430"/>
      <c r="CB78" s="430"/>
      <c r="CC78" s="430"/>
      <c r="CD78" s="430"/>
      <c r="CE78" s="430"/>
      <c r="CF78" s="430"/>
      <c r="CG78" s="430"/>
      <c r="CH78" s="430"/>
      <c r="CI78" s="430"/>
      <c r="CJ78" s="430"/>
      <c r="CK78" s="430"/>
      <c r="CL78" s="430"/>
    </row>
    <row r="79" spans="17:90" ht="14.25" customHeight="1">
      <c r="Q79" s="579"/>
      <c r="R79" s="579"/>
      <c r="S79" s="579"/>
      <c r="Z79" s="579"/>
      <c r="AA79" s="579"/>
      <c r="AB79" s="579"/>
      <c r="AI79" s="579"/>
      <c r="AJ79" s="579"/>
      <c r="AK79" s="579"/>
      <c r="AR79" s="579"/>
      <c r="AS79" s="579"/>
      <c r="AT79" s="579"/>
      <c r="BA79" s="579"/>
      <c r="BB79" s="579"/>
      <c r="BC79" s="579"/>
      <c r="BK79" s="581"/>
      <c r="BL79" s="581"/>
      <c r="BM79" s="582"/>
      <c r="BN79" s="581"/>
      <c r="BO79" s="581"/>
      <c r="BP79" s="430"/>
      <c r="BQ79" s="430"/>
      <c r="BR79" s="430"/>
      <c r="BS79" s="581"/>
      <c r="BT79" s="581"/>
      <c r="BU79" s="430"/>
      <c r="BV79" s="430"/>
      <c r="BW79" s="430"/>
      <c r="BX79" s="430"/>
      <c r="BY79" s="430"/>
      <c r="BZ79" s="430"/>
      <c r="CA79" s="430"/>
      <c r="CB79" s="430"/>
      <c r="CC79" s="430"/>
      <c r="CD79" s="430"/>
      <c r="CE79" s="430"/>
      <c r="CF79" s="430"/>
      <c r="CG79" s="430"/>
      <c r="CH79" s="430"/>
      <c r="CI79" s="430"/>
      <c r="CJ79" s="430"/>
      <c r="CK79" s="430"/>
      <c r="CL79" s="430"/>
    </row>
    <row r="80" spans="17:90" ht="14.25" customHeight="1">
      <c r="Q80" s="579"/>
      <c r="R80" s="579"/>
      <c r="S80" s="579"/>
      <c r="Z80" s="579"/>
      <c r="AA80" s="579"/>
      <c r="AB80" s="579"/>
      <c r="AI80" s="579"/>
      <c r="AJ80" s="579"/>
      <c r="AK80" s="579"/>
      <c r="AR80" s="579"/>
      <c r="AS80" s="579"/>
      <c r="AT80" s="579"/>
      <c r="BA80" s="579"/>
      <c r="BB80" s="579"/>
      <c r="BC80" s="579"/>
      <c r="BK80" s="581"/>
      <c r="BL80" s="581"/>
      <c r="BM80" s="582"/>
      <c r="BN80" s="581"/>
      <c r="BO80" s="581"/>
      <c r="BP80" s="430"/>
      <c r="BQ80" s="430"/>
      <c r="BR80" s="430"/>
      <c r="BS80" s="581"/>
      <c r="BT80" s="581"/>
      <c r="BU80" s="430"/>
      <c r="BV80" s="430"/>
      <c r="BW80" s="430"/>
      <c r="BX80" s="430"/>
      <c r="BY80" s="430"/>
      <c r="BZ80" s="430"/>
      <c r="CA80" s="430"/>
      <c r="CB80" s="430"/>
      <c r="CC80" s="430"/>
      <c r="CD80" s="430"/>
      <c r="CE80" s="430"/>
      <c r="CF80" s="430"/>
      <c r="CG80" s="430"/>
      <c r="CH80" s="430"/>
      <c r="CI80" s="430"/>
      <c r="CJ80" s="430"/>
      <c r="CK80" s="430"/>
      <c r="CL80" s="430"/>
    </row>
    <row r="81" spans="17:90" ht="14.25" customHeight="1">
      <c r="Q81" s="579"/>
      <c r="R81" s="579"/>
      <c r="S81" s="579"/>
      <c r="Z81" s="579"/>
      <c r="AA81" s="579"/>
      <c r="AB81" s="579"/>
      <c r="AI81" s="579"/>
      <c r="AJ81" s="579"/>
      <c r="AK81" s="579"/>
      <c r="AR81" s="579"/>
      <c r="AS81" s="579"/>
      <c r="AT81" s="579"/>
      <c r="BA81" s="579"/>
      <c r="BB81" s="579"/>
      <c r="BC81" s="579"/>
      <c r="BK81" s="581"/>
      <c r="BL81" s="581"/>
      <c r="BM81" s="582"/>
      <c r="BN81" s="581"/>
      <c r="BO81" s="581"/>
      <c r="BP81" s="430"/>
      <c r="BQ81" s="430"/>
      <c r="BR81" s="430"/>
      <c r="BS81" s="581"/>
      <c r="BT81" s="581"/>
      <c r="BU81" s="430"/>
      <c r="BV81" s="430"/>
      <c r="BW81" s="430"/>
      <c r="BX81" s="430"/>
      <c r="BY81" s="430"/>
      <c r="BZ81" s="430"/>
      <c r="CA81" s="430"/>
      <c r="CB81" s="430"/>
      <c r="CC81" s="430"/>
      <c r="CD81" s="430"/>
      <c r="CE81" s="430"/>
      <c r="CF81" s="430"/>
      <c r="CG81" s="430"/>
      <c r="CH81" s="430"/>
      <c r="CI81" s="430"/>
      <c r="CJ81" s="430"/>
      <c r="CK81" s="430"/>
      <c r="CL81" s="430"/>
    </row>
    <row r="82" spans="17:90" ht="14.25" customHeight="1">
      <c r="Q82" s="579"/>
      <c r="R82" s="579"/>
      <c r="S82" s="579"/>
      <c r="Z82" s="579"/>
      <c r="AA82" s="579"/>
      <c r="AB82" s="579"/>
      <c r="AI82" s="579"/>
      <c r="AJ82" s="579"/>
      <c r="AK82" s="579"/>
      <c r="AR82" s="579"/>
      <c r="AS82" s="579"/>
      <c r="AT82" s="579"/>
      <c r="BA82" s="579"/>
      <c r="BB82" s="579"/>
      <c r="BC82" s="579"/>
      <c r="BK82" s="581"/>
      <c r="BL82" s="581"/>
      <c r="BM82" s="582"/>
      <c r="BN82" s="581"/>
      <c r="BO82" s="581"/>
      <c r="BP82" s="430"/>
      <c r="BQ82" s="430"/>
      <c r="BR82" s="430"/>
      <c r="BS82" s="581"/>
      <c r="BT82" s="581"/>
      <c r="BU82" s="430"/>
      <c r="BV82" s="430"/>
      <c r="BW82" s="430"/>
      <c r="BX82" s="430"/>
      <c r="BY82" s="430"/>
      <c r="BZ82" s="430"/>
      <c r="CA82" s="430"/>
      <c r="CB82" s="430"/>
      <c r="CC82" s="430"/>
      <c r="CD82" s="430"/>
      <c r="CE82" s="430"/>
      <c r="CF82" s="430"/>
      <c r="CG82" s="430"/>
      <c r="CH82" s="430"/>
      <c r="CI82" s="430"/>
      <c r="CJ82" s="430"/>
      <c r="CK82" s="430"/>
      <c r="CL82" s="430"/>
    </row>
    <row r="83" spans="17:90" ht="14.25" customHeight="1">
      <c r="Q83" s="579"/>
      <c r="R83" s="579"/>
      <c r="S83" s="579"/>
      <c r="Z83" s="579"/>
      <c r="AA83" s="579"/>
      <c r="AB83" s="579"/>
      <c r="AI83" s="579"/>
      <c r="AJ83" s="579"/>
      <c r="AK83" s="579"/>
      <c r="AR83" s="579"/>
      <c r="AS83" s="579"/>
      <c r="AT83" s="579"/>
      <c r="BA83" s="579"/>
      <c r="BB83" s="579"/>
      <c r="BC83" s="579"/>
      <c r="BK83" s="581"/>
      <c r="BL83" s="581"/>
      <c r="BM83" s="582"/>
      <c r="BN83" s="581"/>
      <c r="BO83" s="581"/>
      <c r="BP83" s="430"/>
      <c r="BQ83" s="430"/>
      <c r="BR83" s="430"/>
      <c r="BS83" s="581"/>
      <c r="BT83" s="581"/>
      <c r="BU83" s="430"/>
      <c r="BV83" s="430"/>
      <c r="BW83" s="430"/>
      <c r="BX83" s="430"/>
      <c r="BY83" s="430"/>
      <c r="BZ83" s="430"/>
      <c r="CA83" s="430"/>
      <c r="CB83" s="430"/>
      <c r="CC83" s="430"/>
      <c r="CD83" s="430"/>
      <c r="CE83" s="430"/>
      <c r="CF83" s="430"/>
      <c r="CG83" s="430"/>
      <c r="CH83" s="430"/>
      <c r="CI83" s="430"/>
      <c r="CJ83" s="430"/>
      <c r="CK83" s="430"/>
      <c r="CL83" s="430"/>
    </row>
    <row r="84" spans="17:90" ht="14.25" customHeight="1">
      <c r="Q84" s="579"/>
      <c r="R84" s="579"/>
      <c r="S84" s="579"/>
      <c r="Z84" s="579"/>
      <c r="AA84" s="579"/>
      <c r="AB84" s="579"/>
      <c r="AI84" s="579"/>
      <c r="AJ84" s="579"/>
      <c r="AK84" s="579"/>
      <c r="AR84" s="579"/>
      <c r="AS84" s="579"/>
      <c r="AT84" s="579"/>
      <c r="BA84" s="579"/>
      <c r="BB84" s="579"/>
      <c r="BC84" s="579"/>
      <c r="BK84" s="581"/>
      <c r="BL84" s="581"/>
      <c r="BM84" s="582"/>
      <c r="BN84" s="581"/>
      <c r="BO84" s="581"/>
      <c r="BP84" s="430"/>
      <c r="BQ84" s="430"/>
      <c r="BR84" s="430"/>
      <c r="BS84" s="581"/>
      <c r="BT84" s="581"/>
      <c r="BU84" s="430"/>
      <c r="BV84" s="430"/>
      <c r="BW84" s="430"/>
      <c r="BX84" s="430"/>
      <c r="BY84" s="430"/>
      <c r="BZ84" s="430"/>
      <c r="CA84" s="430"/>
      <c r="CB84" s="430"/>
      <c r="CC84" s="430"/>
      <c r="CD84" s="430"/>
      <c r="CE84" s="430"/>
      <c r="CF84" s="430"/>
      <c r="CG84" s="430"/>
      <c r="CH84" s="430"/>
      <c r="CI84" s="430"/>
      <c r="CJ84" s="430"/>
      <c r="CK84" s="430"/>
      <c r="CL84" s="430"/>
    </row>
    <row r="85" spans="17:90" ht="14.25" customHeight="1">
      <c r="BK85" s="581"/>
      <c r="BL85" s="581"/>
      <c r="BM85" s="582"/>
      <c r="BN85" s="581"/>
      <c r="BO85" s="581"/>
      <c r="BP85" s="430"/>
      <c r="BQ85" s="430"/>
      <c r="BR85" s="430"/>
      <c r="BS85" s="581"/>
      <c r="BT85" s="581"/>
      <c r="BU85" s="430"/>
      <c r="BV85" s="430"/>
      <c r="BW85" s="430"/>
      <c r="BX85" s="430"/>
      <c r="BY85" s="430"/>
      <c r="BZ85" s="430"/>
      <c r="CA85" s="430"/>
      <c r="CB85" s="430"/>
      <c r="CC85" s="430"/>
      <c r="CD85" s="430"/>
      <c r="CE85" s="430"/>
      <c r="CF85" s="430"/>
      <c r="CG85" s="430"/>
      <c r="CH85" s="430"/>
      <c r="CI85" s="430"/>
      <c r="CJ85" s="430"/>
      <c r="CK85" s="430"/>
      <c r="CL85" s="430"/>
    </row>
    <row r="86" spans="17:90" ht="14.25" customHeight="1">
      <c r="BK86" s="581"/>
      <c r="BL86" s="581"/>
      <c r="BM86" s="582"/>
      <c r="BN86" s="581"/>
      <c r="BO86" s="581"/>
      <c r="BP86" s="430"/>
      <c r="BQ86" s="430"/>
      <c r="BR86" s="430"/>
      <c r="BS86" s="581"/>
      <c r="BT86" s="581"/>
      <c r="BU86" s="430"/>
      <c r="BV86" s="430"/>
      <c r="BW86" s="430"/>
      <c r="BX86" s="430"/>
      <c r="BY86" s="430"/>
      <c r="BZ86" s="430"/>
      <c r="CA86" s="430"/>
      <c r="CB86" s="430"/>
      <c r="CC86" s="430"/>
      <c r="CD86" s="430"/>
      <c r="CE86" s="430"/>
      <c r="CF86" s="430"/>
      <c r="CG86" s="430"/>
      <c r="CH86" s="430"/>
      <c r="CI86" s="430"/>
      <c r="CJ86" s="430"/>
      <c r="CK86" s="430"/>
      <c r="CL86" s="430"/>
    </row>
    <row r="87" spans="17:90" ht="14.25" customHeight="1">
      <c r="BK87" s="581"/>
      <c r="BL87" s="581"/>
      <c r="BM87" s="582"/>
      <c r="BN87" s="581"/>
      <c r="BO87" s="581"/>
      <c r="BP87" s="430"/>
      <c r="BQ87" s="430"/>
      <c r="BR87" s="430"/>
      <c r="BS87" s="581"/>
      <c r="BT87" s="581"/>
      <c r="BU87" s="430"/>
      <c r="BV87" s="430"/>
      <c r="BW87" s="430"/>
      <c r="BX87" s="430"/>
      <c r="BY87" s="430"/>
      <c r="BZ87" s="430"/>
      <c r="CA87" s="430"/>
      <c r="CB87" s="430"/>
      <c r="CC87" s="430"/>
      <c r="CD87" s="430"/>
      <c r="CE87" s="430"/>
      <c r="CF87" s="430"/>
      <c r="CG87" s="430"/>
      <c r="CH87" s="430"/>
      <c r="CI87" s="430"/>
      <c r="CJ87" s="430"/>
      <c r="CK87" s="430"/>
      <c r="CL87" s="430"/>
    </row>
    <row r="88" spans="17:90" ht="14.25" customHeight="1">
      <c r="BK88" s="581"/>
      <c r="BL88" s="581"/>
      <c r="BM88" s="582"/>
      <c r="BN88" s="581"/>
      <c r="BO88" s="581"/>
      <c r="BP88" s="430"/>
      <c r="BQ88" s="430"/>
      <c r="BR88" s="430"/>
      <c r="BS88" s="581"/>
      <c r="BT88" s="581"/>
      <c r="BU88" s="430"/>
      <c r="BV88" s="430"/>
      <c r="BW88" s="430"/>
      <c r="BX88" s="430"/>
      <c r="BY88" s="430"/>
      <c r="BZ88" s="430"/>
      <c r="CA88" s="430"/>
      <c r="CB88" s="430"/>
      <c r="CC88" s="430"/>
      <c r="CD88" s="430"/>
      <c r="CE88" s="430"/>
      <c r="CF88" s="430"/>
      <c r="CG88" s="430"/>
      <c r="CH88" s="430"/>
      <c r="CI88" s="430"/>
      <c r="CJ88" s="430"/>
      <c r="CK88" s="430"/>
      <c r="CL88" s="430"/>
    </row>
    <row r="89" spans="17:90" ht="14.25" customHeight="1">
      <c r="BK89" s="581"/>
      <c r="BL89" s="581"/>
      <c r="BM89" s="582"/>
      <c r="BN89" s="581"/>
      <c r="BO89" s="581"/>
      <c r="BP89" s="430"/>
      <c r="BQ89" s="430"/>
      <c r="BR89" s="430"/>
      <c r="BS89" s="581"/>
      <c r="BT89" s="581"/>
      <c r="BU89" s="430"/>
      <c r="BV89" s="430"/>
      <c r="BW89" s="430"/>
      <c r="BX89" s="430"/>
      <c r="BY89" s="430"/>
      <c r="BZ89" s="430"/>
      <c r="CA89" s="430"/>
      <c r="CB89" s="430"/>
      <c r="CC89" s="430"/>
      <c r="CD89" s="430"/>
      <c r="CE89" s="430"/>
      <c r="CF89" s="430"/>
      <c r="CG89" s="430"/>
      <c r="CH89" s="430"/>
      <c r="CI89" s="430"/>
      <c r="CJ89" s="430"/>
      <c r="CK89" s="430"/>
      <c r="CL89" s="430"/>
    </row>
    <row r="90" spans="17:90" ht="14.25" customHeight="1">
      <c r="BK90" s="581"/>
      <c r="BL90" s="581"/>
      <c r="BM90" s="582"/>
      <c r="BN90" s="581"/>
      <c r="BO90" s="581"/>
      <c r="BP90" s="430"/>
      <c r="BQ90" s="430"/>
      <c r="BR90" s="430"/>
      <c r="BS90" s="581"/>
      <c r="BT90" s="581"/>
      <c r="BU90" s="430"/>
      <c r="BV90" s="430"/>
      <c r="BW90" s="430"/>
      <c r="BX90" s="430"/>
      <c r="BY90" s="430"/>
      <c r="BZ90" s="430"/>
      <c r="CA90" s="430"/>
      <c r="CB90" s="430"/>
      <c r="CC90" s="430"/>
      <c r="CD90" s="430"/>
      <c r="CE90" s="430"/>
      <c r="CF90" s="430"/>
      <c r="CG90" s="430"/>
      <c r="CH90" s="430"/>
      <c r="CI90" s="430"/>
      <c r="CJ90" s="430"/>
      <c r="CK90" s="430"/>
      <c r="CL90" s="430"/>
    </row>
    <row r="91" spans="17:90" ht="14.25" customHeight="1">
      <c r="BK91" s="581"/>
      <c r="BL91" s="581"/>
      <c r="BM91" s="582"/>
      <c r="BN91" s="581"/>
      <c r="BO91" s="581"/>
      <c r="BP91" s="430"/>
      <c r="BQ91" s="430"/>
      <c r="BR91" s="430"/>
      <c r="BS91" s="581"/>
      <c r="BT91" s="581"/>
      <c r="BU91" s="430"/>
      <c r="BV91" s="430"/>
      <c r="BW91" s="430"/>
      <c r="BX91" s="430"/>
      <c r="BY91" s="430"/>
      <c r="BZ91" s="430"/>
      <c r="CA91" s="430"/>
      <c r="CB91" s="430"/>
      <c r="CC91" s="430"/>
      <c r="CD91" s="430"/>
      <c r="CE91" s="430"/>
      <c r="CF91" s="430"/>
      <c r="CG91" s="430"/>
      <c r="CH91" s="430"/>
      <c r="CI91" s="430"/>
      <c r="CJ91" s="430"/>
      <c r="CK91" s="430"/>
      <c r="CL91" s="430"/>
    </row>
    <row r="92" spans="17:90" ht="14.25" customHeight="1">
      <c r="BK92" s="581"/>
      <c r="BL92" s="581"/>
      <c r="BM92" s="582"/>
      <c r="BN92" s="581"/>
      <c r="BO92" s="581"/>
      <c r="BP92" s="430"/>
      <c r="BQ92" s="430"/>
      <c r="BR92" s="430"/>
      <c r="BS92" s="581"/>
      <c r="BT92" s="581"/>
      <c r="BU92" s="430"/>
      <c r="BV92" s="430"/>
      <c r="BW92" s="430"/>
      <c r="BX92" s="430"/>
      <c r="BY92" s="430"/>
      <c r="BZ92" s="430"/>
      <c r="CA92" s="430"/>
      <c r="CB92" s="430"/>
      <c r="CC92" s="430"/>
      <c r="CD92" s="430"/>
      <c r="CE92" s="430"/>
      <c r="CF92" s="430"/>
      <c r="CG92" s="430"/>
      <c r="CH92" s="430"/>
      <c r="CI92" s="430"/>
      <c r="CJ92" s="430"/>
      <c r="CK92" s="430"/>
      <c r="CL92" s="430"/>
    </row>
    <row r="93" spans="17:90" ht="14.25" customHeight="1">
      <c r="BK93" s="581"/>
      <c r="BL93" s="581"/>
      <c r="BM93" s="582"/>
      <c r="BN93" s="581"/>
      <c r="BO93" s="581"/>
      <c r="BP93" s="430"/>
      <c r="BQ93" s="430"/>
      <c r="BR93" s="430"/>
      <c r="BS93" s="581"/>
      <c r="BT93" s="581"/>
      <c r="BU93" s="430"/>
      <c r="BV93" s="430"/>
      <c r="BW93" s="430"/>
      <c r="BX93" s="430"/>
      <c r="BY93" s="430"/>
      <c r="BZ93" s="430"/>
      <c r="CA93" s="430"/>
      <c r="CB93" s="430"/>
      <c r="CC93" s="430"/>
      <c r="CD93" s="430"/>
      <c r="CE93" s="430"/>
      <c r="CF93" s="430"/>
      <c r="CG93" s="430"/>
      <c r="CH93" s="430"/>
      <c r="CI93" s="430"/>
      <c r="CJ93" s="430"/>
      <c r="CK93" s="430"/>
      <c r="CL93" s="430"/>
    </row>
    <row r="94" spans="17:90" ht="14.25" customHeight="1">
      <c r="BK94" s="581"/>
      <c r="BL94" s="581"/>
      <c r="BM94" s="582"/>
      <c r="BN94" s="581"/>
      <c r="BO94" s="581"/>
      <c r="BP94" s="430"/>
      <c r="BQ94" s="430"/>
      <c r="BR94" s="430"/>
      <c r="BS94" s="581"/>
      <c r="BT94" s="581"/>
      <c r="BU94" s="430"/>
      <c r="BV94" s="430"/>
      <c r="BW94" s="430"/>
      <c r="BX94" s="430"/>
      <c r="BY94" s="430"/>
      <c r="BZ94" s="430"/>
      <c r="CA94" s="430"/>
      <c r="CB94" s="430"/>
      <c r="CC94" s="430"/>
      <c r="CD94" s="430"/>
      <c r="CE94" s="430"/>
      <c r="CF94" s="430"/>
      <c r="CG94" s="430"/>
      <c r="CH94" s="430"/>
      <c r="CI94" s="430"/>
      <c r="CJ94" s="430"/>
      <c r="CK94" s="430"/>
      <c r="CL94" s="430"/>
    </row>
    <row r="95" spans="17:90" ht="14.25" customHeight="1">
      <c r="BK95" s="581"/>
      <c r="BL95" s="581"/>
      <c r="BM95" s="582"/>
      <c r="BN95" s="581"/>
      <c r="BO95" s="581"/>
      <c r="BP95" s="430"/>
      <c r="BQ95" s="430"/>
      <c r="BR95" s="430"/>
      <c r="BS95" s="581"/>
      <c r="BT95" s="581"/>
      <c r="BU95" s="430"/>
      <c r="BV95" s="430"/>
      <c r="BW95" s="430"/>
      <c r="BX95" s="430"/>
      <c r="BY95" s="430"/>
      <c r="BZ95" s="430"/>
      <c r="CA95" s="430"/>
      <c r="CB95" s="430"/>
      <c r="CC95" s="430"/>
      <c r="CD95" s="430"/>
      <c r="CE95" s="430"/>
      <c r="CF95" s="430"/>
      <c r="CG95" s="430"/>
      <c r="CH95" s="430"/>
      <c r="CI95" s="430"/>
      <c r="CJ95" s="430"/>
      <c r="CK95" s="430"/>
      <c r="CL95" s="430"/>
    </row>
    <row r="96" spans="17:90" ht="14.25" customHeight="1">
      <c r="BK96" s="581"/>
      <c r="BL96" s="581"/>
      <c r="BM96" s="582"/>
      <c r="BN96" s="581"/>
      <c r="BO96" s="581"/>
      <c r="BP96" s="430"/>
      <c r="BQ96" s="430"/>
      <c r="BR96" s="430"/>
      <c r="BS96" s="581"/>
      <c r="BT96" s="581"/>
      <c r="BU96" s="430"/>
      <c r="BV96" s="430"/>
      <c r="BW96" s="430"/>
      <c r="BX96" s="430"/>
      <c r="BY96" s="430"/>
      <c r="BZ96" s="430"/>
      <c r="CA96" s="430"/>
      <c r="CB96" s="430"/>
      <c r="CC96" s="430"/>
      <c r="CD96" s="430"/>
      <c r="CE96" s="430"/>
      <c r="CF96" s="430"/>
      <c r="CG96" s="430"/>
      <c r="CH96" s="430"/>
      <c r="CI96" s="430"/>
      <c r="CJ96" s="430"/>
      <c r="CK96" s="430"/>
      <c r="CL96" s="430"/>
    </row>
    <row r="97" spans="63:90" ht="14.25" customHeight="1">
      <c r="BK97" s="581"/>
      <c r="BL97" s="581"/>
      <c r="BM97" s="582"/>
      <c r="BN97" s="581"/>
      <c r="BO97" s="581"/>
      <c r="BP97" s="430"/>
      <c r="BQ97" s="430"/>
      <c r="BR97" s="430"/>
      <c r="BS97" s="581"/>
      <c r="BT97" s="581"/>
      <c r="BU97" s="430"/>
      <c r="BV97" s="430"/>
      <c r="BW97" s="430"/>
      <c r="BX97" s="430"/>
      <c r="BY97" s="430"/>
      <c r="BZ97" s="430"/>
      <c r="CA97" s="430"/>
      <c r="CB97" s="430"/>
      <c r="CC97" s="430"/>
      <c r="CD97" s="430"/>
      <c r="CE97" s="430"/>
      <c r="CF97" s="430"/>
      <c r="CG97" s="430"/>
      <c r="CH97" s="430"/>
      <c r="CI97" s="430"/>
      <c r="CJ97" s="430"/>
      <c r="CK97" s="430"/>
      <c r="CL97" s="430"/>
    </row>
    <row r="98" spans="63:90" ht="14.25" customHeight="1">
      <c r="BK98" s="581"/>
      <c r="BL98" s="581"/>
      <c r="BM98" s="582"/>
      <c r="BN98" s="581"/>
      <c r="BO98" s="581"/>
      <c r="BP98" s="430"/>
      <c r="BQ98" s="430"/>
      <c r="BR98" s="430"/>
      <c r="BS98" s="581"/>
      <c r="BT98" s="581"/>
      <c r="BU98" s="430"/>
      <c r="BV98" s="430"/>
      <c r="BW98" s="430"/>
      <c r="BX98" s="430"/>
      <c r="BY98" s="430"/>
      <c r="BZ98" s="430"/>
      <c r="CA98" s="430"/>
      <c r="CB98" s="430"/>
      <c r="CC98" s="430"/>
      <c r="CD98" s="430"/>
      <c r="CE98" s="430"/>
      <c r="CF98" s="430"/>
      <c r="CG98" s="430"/>
      <c r="CH98" s="430"/>
      <c r="CI98" s="430"/>
      <c r="CJ98" s="430"/>
      <c r="CK98" s="430"/>
      <c r="CL98" s="430"/>
    </row>
    <row r="99" spans="63:90" ht="14.25" customHeight="1">
      <c r="BK99" s="581"/>
      <c r="BL99" s="581"/>
      <c r="BM99" s="582"/>
      <c r="BN99" s="581"/>
      <c r="BO99" s="581"/>
      <c r="BP99" s="430"/>
      <c r="BQ99" s="430"/>
      <c r="BR99" s="430"/>
      <c r="BS99" s="581"/>
      <c r="BT99" s="581"/>
      <c r="BU99" s="430"/>
      <c r="BV99" s="430"/>
      <c r="BW99" s="430"/>
      <c r="BX99" s="430"/>
      <c r="BY99" s="430"/>
      <c r="BZ99" s="430"/>
      <c r="CA99" s="430"/>
      <c r="CB99" s="430"/>
      <c r="CC99" s="430"/>
      <c r="CD99" s="430"/>
      <c r="CE99" s="430"/>
      <c r="CF99" s="430"/>
      <c r="CG99" s="430"/>
      <c r="CH99" s="430"/>
      <c r="CI99" s="430"/>
      <c r="CJ99" s="430"/>
      <c r="CK99" s="430"/>
      <c r="CL99" s="430"/>
    </row>
    <row r="100" spans="63:90" ht="14.25" customHeight="1">
      <c r="BK100" s="581"/>
      <c r="BL100" s="581"/>
      <c r="BM100" s="582"/>
      <c r="BN100" s="581"/>
      <c r="BO100" s="581"/>
      <c r="BP100" s="430"/>
      <c r="BQ100" s="430"/>
      <c r="BR100" s="430"/>
      <c r="BS100" s="581"/>
      <c r="BT100" s="581"/>
      <c r="BU100" s="430"/>
      <c r="BV100" s="430"/>
      <c r="BW100" s="430"/>
      <c r="BX100" s="430"/>
      <c r="BY100" s="430"/>
      <c r="BZ100" s="430"/>
      <c r="CA100" s="430"/>
      <c r="CB100" s="430"/>
      <c r="CC100" s="430"/>
      <c r="CD100" s="430"/>
      <c r="CE100" s="430"/>
      <c r="CF100" s="430"/>
      <c r="CG100" s="430"/>
      <c r="CH100" s="430"/>
      <c r="CI100" s="430"/>
      <c r="CJ100" s="430"/>
      <c r="CK100" s="430"/>
      <c r="CL100" s="430"/>
    </row>
    <row r="101" spans="63:90" ht="14.25" customHeight="1">
      <c r="BK101" s="581"/>
      <c r="BL101" s="581"/>
      <c r="BM101" s="582"/>
      <c r="BN101" s="581"/>
      <c r="BO101" s="581"/>
      <c r="BP101" s="430"/>
      <c r="BQ101" s="430"/>
      <c r="BR101" s="430"/>
      <c r="BS101" s="581"/>
      <c r="BT101" s="581"/>
      <c r="BU101" s="430"/>
      <c r="BV101" s="430"/>
      <c r="BW101" s="430"/>
      <c r="BX101" s="430"/>
      <c r="BY101" s="430"/>
      <c r="BZ101" s="430"/>
      <c r="CA101" s="430"/>
      <c r="CB101" s="430"/>
      <c r="CC101" s="430"/>
      <c r="CD101" s="430"/>
      <c r="CE101" s="430"/>
      <c r="CF101" s="430"/>
      <c r="CG101" s="430"/>
      <c r="CH101" s="430"/>
      <c r="CI101" s="430"/>
      <c r="CJ101" s="430"/>
      <c r="CK101" s="430"/>
      <c r="CL101" s="430"/>
    </row>
    <row r="102" spans="63:90" ht="14.25" customHeight="1">
      <c r="BK102" s="581"/>
      <c r="BL102" s="581"/>
      <c r="BM102" s="582"/>
      <c r="BN102" s="581"/>
      <c r="BO102" s="581"/>
      <c r="BP102" s="430"/>
      <c r="BQ102" s="430"/>
      <c r="BR102" s="430"/>
      <c r="BS102" s="581"/>
      <c r="BT102" s="581"/>
      <c r="BU102" s="430"/>
      <c r="BV102" s="430"/>
      <c r="BW102" s="430"/>
      <c r="BX102" s="430"/>
      <c r="BY102" s="430"/>
      <c r="BZ102" s="430"/>
      <c r="CA102" s="430"/>
      <c r="CB102" s="430"/>
      <c r="CC102" s="430"/>
      <c r="CD102" s="430"/>
      <c r="CE102" s="430"/>
      <c r="CF102" s="430"/>
      <c r="CG102" s="430"/>
      <c r="CH102" s="430"/>
      <c r="CI102" s="430"/>
      <c r="CJ102" s="430"/>
      <c r="CK102" s="430"/>
      <c r="CL102" s="430"/>
    </row>
    <row r="103" spans="63:90" ht="14.25" customHeight="1">
      <c r="BK103" s="581"/>
      <c r="BL103" s="581"/>
      <c r="BM103" s="582"/>
      <c r="BN103" s="581"/>
      <c r="BO103" s="581"/>
      <c r="BP103" s="430"/>
      <c r="BQ103" s="430"/>
      <c r="BR103" s="430"/>
      <c r="BS103" s="581"/>
      <c r="BT103" s="581"/>
      <c r="BU103" s="430"/>
      <c r="BV103" s="430"/>
      <c r="BW103" s="430"/>
      <c r="BX103" s="430"/>
      <c r="BY103" s="430"/>
      <c r="BZ103" s="430"/>
      <c r="CA103" s="430"/>
      <c r="CB103" s="430"/>
      <c r="CC103" s="430"/>
      <c r="CD103" s="430"/>
      <c r="CE103" s="430"/>
      <c r="CF103" s="430"/>
      <c r="CG103" s="430"/>
      <c r="CH103" s="430"/>
      <c r="CI103" s="430"/>
      <c r="CJ103" s="430"/>
      <c r="CK103" s="430"/>
      <c r="CL103" s="430"/>
    </row>
    <row r="104" spans="63:90" ht="14.25" customHeight="1">
      <c r="BK104" s="581"/>
      <c r="BL104" s="581"/>
      <c r="BM104" s="582"/>
      <c r="BN104" s="581"/>
      <c r="BO104" s="581"/>
      <c r="BP104" s="430"/>
      <c r="BQ104" s="430"/>
      <c r="BR104" s="430"/>
      <c r="BS104" s="581"/>
      <c r="BT104" s="581"/>
      <c r="BU104" s="430"/>
      <c r="BV104" s="430"/>
      <c r="BW104" s="430"/>
      <c r="BX104" s="430"/>
      <c r="BY104" s="430"/>
      <c r="BZ104" s="430"/>
      <c r="CA104" s="430"/>
      <c r="CB104" s="430"/>
      <c r="CC104" s="430"/>
      <c r="CD104" s="430"/>
      <c r="CE104" s="430"/>
      <c r="CF104" s="430"/>
      <c r="CG104" s="430"/>
      <c r="CH104" s="430"/>
      <c r="CI104" s="430"/>
      <c r="CJ104" s="430"/>
      <c r="CK104" s="430"/>
      <c r="CL104" s="430"/>
    </row>
    <row r="105" spans="63:90" ht="14.25" customHeight="1">
      <c r="BK105" s="581"/>
      <c r="BL105" s="581"/>
      <c r="BM105" s="582"/>
      <c r="BN105" s="581"/>
      <c r="BO105" s="581"/>
      <c r="BP105" s="430"/>
      <c r="BQ105" s="430"/>
      <c r="BR105" s="430"/>
      <c r="BS105" s="581"/>
      <c r="BT105" s="581"/>
      <c r="BU105" s="430"/>
      <c r="BV105" s="430"/>
      <c r="BW105" s="430"/>
      <c r="BX105" s="430"/>
      <c r="BY105" s="430"/>
      <c r="BZ105" s="430"/>
      <c r="CA105" s="430"/>
      <c r="CB105" s="430"/>
      <c r="CC105" s="430"/>
      <c r="CD105" s="430"/>
      <c r="CE105" s="430"/>
      <c r="CF105" s="430"/>
      <c r="CG105" s="430"/>
      <c r="CH105" s="430"/>
      <c r="CI105" s="430"/>
      <c r="CJ105" s="430"/>
      <c r="CK105" s="430"/>
      <c r="CL105" s="430"/>
    </row>
    <row r="106" spans="63:90" ht="14.25" customHeight="1">
      <c r="BK106" s="581"/>
      <c r="BL106" s="581"/>
      <c r="BM106" s="582"/>
      <c r="BN106" s="581"/>
      <c r="BO106" s="581"/>
      <c r="BP106" s="430"/>
      <c r="BQ106" s="430"/>
      <c r="BR106" s="430"/>
      <c r="BS106" s="581"/>
      <c r="BT106" s="581"/>
      <c r="BU106" s="430"/>
      <c r="BV106" s="430"/>
      <c r="BW106" s="430"/>
      <c r="BX106" s="430"/>
      <c r="BY106" s="430"/>
      <c r="BZ106" s="430"/>
      <c r="CA106" s="430"/>
      <c r="CB106" s="430"/>
      <c r="CC106" s="430"/>
      <c r="CD106" s="430"/>
      <c r="CE106" s="430"/>
      <c r="CF106" s="430"/>
      <c r="CG106" s="430"/>
      <c r="CH106" s="430"/>
      <c r="CI106" s="430"/>
      <c r="CJ106" s="430"/>
      <c r="CK106" s="430"/>
      <c r="CL106" s="430"/>
    </row>
    <row r="107" spans="63:90" ht="14.25" customHeight="1">
      <c r="BK107" s="581"/>
      <c r="BL107" s="581"/>
      <c r="BM107" s="582"/>
      <c r="BN107" s="581"/>
      <c r="BO107" s="581"/>
      <c r="BP107" s="430"/>
      <c r="BQ107" s="430"/>
      <c r="BR107" s="430"/>
      <c r="BS107" s="581"/>
      <c r="BT107" s="581"/>
      <c r="BU107" s="430"/>
      <c r="BV107" s="430"/>
      <c r="BW107" s="430"/>
      <c r="BX107" s="430"/>
      <c r="BY107" s="430"/>
      <c r="BZ107" s="430"/>
      <c r="CA107" s="430"/>
      <c r="CB107" s="430"/>
      <c r="CC107" s="430"/>
      <c r="CD107" s="430"/>
      <c r="CE107" s="430"/>
      <c r="CF107" s="430"/>
      <c r="CG107" s="430"/>
      <c r="CH107" s="430"/>
      <c r="CI107" s="430"/>
      <c r="CJ107" s="430"/>
      <c r="CK107" s="430"/>
      <c r="CL107" s="430"/>
    </row>
    <row r="108" spans="63:90" ht="14.25" customHeight="1">
      <c r="BK108" s="581"/>
      <c r="BL108" s="581"/>
      <c r="BM108" s="582"/>
      <c r="BN108" s="581"/>
      <c r="BO108" s="581"/>
      <c r="BP108" s="430"/>
      <c r="BQ108" s="430"/>
      <c r="BR108" s="430"/>
      <c r="BS108" s="581"/>
      <c r="BT108" s="581"/>
      <c r="BU108" s="430"/>
      <c r="BV108" s="430"/>
      <c r="BW108" s="430"/>
      <c r="BX108" s="430"/>
      <c r="BY108" s="430"/>
      <c r="BZ108" s="430"/>
      <c r="CA108" s="430"/>
      <c r="CB108" s="430"/>
      <c r="CC108" s="430"/>
      <c r="CD108" s="430"/>
      <c r="CE108" s="430"/>
      <c r="CF108" s="430"/>
      <c r="CG108" s="430"/>
      <c r="CH108" s="430"/>
      <c r="CI108" s="430"/>
      <c r="CJ108" s="430"/>
      <c r="CK108" s="430"/>
      <c r="CL108" s="430"/>
    </row>
    <row r="109" spans="63:90" ht="14.25" customHeight="1">
      <c r="BK109" s="581"/>
      <c r="BL109" s="581"/>
      <c r="BM109" s="582"/>
      <c r="BN109" s="581"/>
      <c r="BO109" s="581"/>
      <c r="BP109" s="430"/>
      <c r="BQ109" s="430"/>
      <c r="BR109" s="430"/>
      <c r="BS109" s="581"/>
      <c r="BT109" s="581"/>
      <c r="BU109" s="430"/>
      <c r="BV109" s="430"/>
      <c r="BW109" s="430"/>
      <c r="BX109" s="430"/>
      <c r="BY109" s="430"/>
      <c r="BZ109" s="430"/>
      <c r="CA109" s="430"/>
      <c r="CB109" s="430"/>
      <c r="CC109" s="430"/>
      <c r="CD109" s="430"/>
      <c r="CE109" s="430"/>
      <c r="CF109" s="430"/>
      <c r="CG109" s="430"/>
      <c r="CH109" s="430"/>
      <c r="CI109" s="430"/>
      <c r="CJ109" s="430"/>
      <c r="CK109" s="430"/>
      <c r="CL109" s="430"/>
    </row>
    <row r="110" spans="63:90" ht="14.25" customHeight="1">
      <c r="BK110" s="581"/>
      <c r="BL110" s="581"/>
      <c r="BM110" s="582"/>
      <c r="BN110" s="581"/>
      <c r="BO110" s="581"/>
      <c r="BP110" s="430"/>
      <c r="BQ110" s="430"/>
      <c r="BR110" s="430"/>
      <c r="BS110" s="581"/>
      <c r="BT110" s="581"/>
      <c r="BU110" s="430"/>
      <c r="BV110" s="430"/>
      <c r="BW110" s="430"/>
      <c r="BX110" s="430"/>
      <c r="BY110" s="430"/>
      <c r="BZ110" s="430"/>
      <c r="CA110" s="430"/>
      <c r="CB110" s="430"/>
      <c r="CC110" s="430"/>
      <c r="CD110" s="430"/>
      <c r="CE110" s="430"/>
      <c r="CF110" s="430"/>
      <c r="CG110" s="430"/>
      <c r="CH110" s="430"/>
      <c r="CI110" s="430"/>
      <c r="CJ110" s="430"/>
      <c r="CK110" s="430"/>
      <c r="CL110" s="430"/>
    </row>
    <row r="111" spans="63:90" ht="14.25" customHeight="1">
      <c r="BK111" s="581"/>
      <c r="BL111" s="581"/>
      <c r="BM111" s="582"/>
      <c r="BN111" s="581"/>
      <c r="BO111" s="581"/>
      <c r="BP111" s="430"/>
      <c r="BQ111" s="430"/>
      <c r="BR111" s="430"/>
      <c r="BS111" s="581"/>
      <c r="BT111" s="581"/>
      <c r="BU111" s="430"/>
      <c r="BV111" s="430"/>
      <c r="BW111" s="430"/>
      <c r="BX111" s="430"/>
      <c r="BY111" s="430"/>
      <c r="BZ111" s="430"/>
      <c r="CA111" s="430"/>
      <c r="CB111" s="430"/>
      <c r="CC111" s="430"/>
      <c r="CD111" s="430"/>
      <c r="CE111" s="430"/>
      <c r="CF111" s="430"/>
      <c r="CG111" s="430"/>
      <c r="CH111" s="430"/>
      <c r="CI111" s="430"/>
      <c r="CJ111" s="430"/>
      <c r="CK111" s="430"/>
      <c r="CL111" s="430"/>
    </row>
    <row r="112" spans="63:90" ht="14.25" customHeight="1">
      <c r="BK112" s="581"/>
      <c r="BL112" s="581"/>
      <c r="BM112" s="582"/>
      <c r="BN112" s="581"/>
      <c r="BO112" s="581"/>
      <c r="BP112" s="430"/>
      <c r="BQ112" s="430"/>
      <c r="BR112" s="430"/>
      <c r="BS112" s="581"/>
      <c r="BT112" s="581"/>
      <c r="BU112" s="430"/>
      <c r="BV112" s="430"/>
      <c r="BW112" s="430"/>
      <c r="BX112" s="430"/>
      <c r="BY112" s="430"/>
      <c r="BZ112" s="430"/>
      <c r="CA112" s="430"/>
      <c r="CB112" s="430"/>
      <c r="CC112" s="430"/>
      <c r="CD112" s="430"/>
      <c r="CE112" s="430"/>
      <c r="CF112" s="430"/>
      <c r="CG112" s="430"/>
      <c r="CH112" s="430"/>
      <c r="CI112" s="430"/>
      <c r="CJ112" s="430"/>
      <c r="CK112" s="430"/>
      <c r="CL112" s="430"/>
    </row>
    <row r="113" spans="63:90" ht="14.25" customHeight="1">
      <c r="BK113" s="581"/>
      <c r="BL113" s="581"/>
      <c r="BM113" s="582"/>
      <c r="BN113" s="581"/>
      <c r="BO113" s="581"/>
      <c r="BP113" s="430"/>
      <c r="BQ113" s="430"/>
      <c r="BR113" s="430"/>
      <c r="BS113" s="581"/>
      <c r="BT113" s="581"/>
      <c r="BU113" s="430"/>
      <c r="BV113" s="430"/>
      <c r="BW113" s="430"/>
      <c r="BX113" s="430"/>
      <c r="BY113" s="430"/>
      <c r="BZ113" s="430"/>
      <c r="CA113" s="430"/>
      <c r="CB113" s="430"/>
      <c r="CC113" s="430"/>
      <c r="CD113" s="430"/>
      <c r="CE113" s="430"/>
      <c r="CF113" s="430"/>
      <c r="CG113" s="430"/>
      <c r="CH113" s="430"/>
      <c r="CI113" s="430"/>
      <c r="CJ113" s="430"/>
      <c r="CK113" s="430"/>
      <c r="CL113" s="430"/>
    </row>
    <row r="114" spans="63:90" ht="14.25" customHeight="1">
      <c r="BK114" s="581"/>
      <c r="BL114" s="581"/>
      <c r="BM114" s="582"/>
      <c r="BN114" s="581"/>
      <c r="BO114" s="581"/>
      <c r="BP114" s="430"/>
      <c r="BQ114" s="430"/>
      <c r="BR114" s="430"/>
      <c r="BS114" s="581"/>
      <c r="BT114" s="581"/>
      <c r="BU114" s="430"/>
      <c r="BV114" s="430"/>
      <c r="BW114" s="430"/>
      <c r="BX114" s="430"/>
      <c r="BY114" s="430"/>
      <c r="BZ114" s="430"/>
      <c r="CA114" s="430"/>
      <c r="CB114" s="430"/>
      <c r="CC114" s="430"/>
      <c r="CD114" s="430"/>
      <c r="CE114" s="430"/>
      <c r="CF114" s="430"/>
      <c r="CG114" s="430"/>
      <c r="CH114" s="430"/>
      <c r="CI114" s="430"/>
      <c r="CJ114" s="430"/>
      <c r="CK114" s="430"/>
      <c r="CL114" s="430"/>
    </row>
    <row r="115" spans="63:90" ht="14.25" customHeight="1">
      <c r="BK115" s="581"/>
      <c r="BL115" s="581"/>
      <c r="BM115" s="582"/>
      <c r="BN115" s="581"/>
      <c r="BO115" s="581"/>
      <c r="BP115" s="430"/>
      <c r="BQ115" s="430"/>
      <c r="BR115" s="430"/>
      <c r="BS115" s="581"/>
      <c r="BT115" s="581"/>
      <c r="BU115" s="430"/>
      <c r="BV115" s="430"/>
      <c r="BW115" s="430"/>
      <c r="BX115" s="430"/>
      <c r="BY115" s="430"/>
      <c r="BZ115" s="430"/>
      <c r="CA115" s="430"/>
      <c r="CB115" s="430"/>
      <c r="CC115" s="430"/>
      <c r="CD115" s="430"/>
      <c r="CE115" s="430"/>
      <c r="CF115" s="430"/>
      <c r="CG115" s="430"/>
      <c r="CH115" s="430"/>
      <c r="CI115" s="430"/>
      <c r="CJ115" s="430"/>
      <c r="CK115" s="430"/>
      <c r="CL115" s="430"/>
    </row>
    <row r="116" spans="63:90" ht="14.25" customHeight="1">
      <c r="BK116" s="581"/>
      <c r="BL116" s="581"/>
      <c r="BM116" s="582"/>
      <c r="BN116" s="581"/>
      <c r="BO116" s="581"/>
      <c r="BP116" s="430"/>
      <c r="BQ116" s="430"/>
      <c r="BR116" s="430"/>
      <c r="BS116" s="581"/>
      <c r="BT116" s="581"/>
      <c r="BU116" s="430"/>
      <c r="BV116" s="430"/>
      <c r="BW116" s="430"/>
      <c r="BX116" s="430"/>
      <c r="BY116" s="430"/>
      <c r="BZ116" s="430"/>
      <c r="CA116" s="430"/>
      <c r="CB116" s="430"/>
      <c r="CC116" s="430"/>
      <c r="CD116" s="430"/>
      <c r="CE116" s="430"/>
      <c r="CF116" s="430"/>
      <c r="CG116" s="430"/>
      <c r="CH116" s="430"/>
      <c r="CI116" s="430"/>
      <c r="CJ116" s="430"/>
      <c r="CK116" s="430"/>
      <c r="CL116" s="430"/>
    </row>
    <row r="117" spans="63:90" ht="14.25" customHeight="1">
      <c r="BK117" s="581"/>
      <c r="BL117" s="581"/>
      <c r="BM117" s="582"/>
      <c r="BN117" s="581"/>
      <c r="BO117" s="581"/>
      <c r="BP117" s="430"/>
      <c r="BQ117" s="430"/>
      <c r="BR117" s="430"/>
      <c r="BS117" s="581"/>
      <c r="BT117" s="581"/>
      <c r="BU117" s="430"/>
      <c r="BV117" s="430"/>
      <c r="BW117" s="430"/>
      <c r="BX117" s="430"/>
      <c r="BY117" s="430"/>
      <c r="BZ117" s="430"/>
      <c r="CA117" s="430"/>
      <c r="CB117" s="430"/>
      <c r="CC117" s="430"/>
      <c r="CD117" s="430"/>
      <c r="CE117" s="430"/>
      <c r="CF117" s="430"/>
      <c r="CG117" s="430"/>
      <c r="CH117" s="430"/>
      <c r="CI117" s="430"/>
      <c r="CJ117" s="430"/>
      <c r="CK117" s="430"/>
      <c r="CL117" s="430"/>
    </row>
    <row r="118" spans="63:90" ht="14.25" customHeight="1">
      <c r="BK118" s="581"/>
      <c r="BL118" s="581"/>
      <c r="BM118" s="582"/>
      <c r="BN118" s="581"/>
      <c r="BO118" s="581"/>
      <c r="BP118" s="430"/>
      <c r="BQ118" s="430"/>
      <c r="BR118" s="430"/>
      <c r="BS118" s="581"/>
      <c r="BT118" s="581"/>
      <c r="BU118" s="430"/>
      <c r="BV118" s="430"/>
      <c r="BW118" s="430"/>
      <c r="BX118" s="430"/>
      <c r="BY118" s="430"/>
      <c r="BZ118" s="430"/>
      <c r="CA118" s="430"/>
      <c r="CB118" s="430"/>
      <c r="CC118" s="430"/>
      <c r="CD118" s="430"/>
      <c r="CE118" s="430"/>
      <c r="CF118" s="430"/>
      <c r="CG118" s="430"/>
      <c r="CH118" s="430"/>
      <c r="CI118" s="430"/>
      <c r="CJ118" s="430"/>
      <c r="CK118" s="430"/>
      <c r="CL118" s="430"/>
    </row>
    <row r="119" spans="63:90" ht="14.25" customHeight="1">
      <c r="BK119" s="581"/>
      <c r="BL119" s="581"/>
      <c r="BM119" s="582"/>
      <c r="BN119" s="581"/>
      <c r="BO119" s="581"/>
      <c r="BP119" s="430"/>
      <c r="BQ119" s="430"/>
      <c r="BR119" s="430"/>
      <c r="BS119" s="581"/>
      <c r="BT119" s="581"/>
      <c r="BU119" s="430"/>
      <c r="BV119" s="430"/>
      <c r="BW119" s="430"/>
      <c r="BX119" s="430"/>
      <c r="BY119" s="430"/>
      <c r="BZ119" s="430"/>
      <c r="CA119" s="430"/>
      <c r="CB119" s="430"/>
      <c r="CC119" s="430"/>
      <c r="CD119" s="430"/>
      <c r="CE119" s="430"/>
      <c r="CF119" s="430"/>
      <c r="CG119" s="430"/>
      <c r="CH119" s="430"/>
      <c r="CI119" s="430"/>
      <c r="CJ119" s="430"/>
      <c r="CK119" s="430"/>
      <c r="CL119" s="430"/>
    </row>
    <row r="120" spans="63:90" ht="14.25" customHeight="1">
      <c r="BK120" s="581"/>
      <c r="BL120" s="581"/>
      <c r="BM120" s="582"/>
      <c r="BN120" s="581"/>
      <c r="BO120" s="581"/>
      <c r="BP120" s="430"/>
      <c r="BQ120" s="430"/>
      <c r="BR120" s="430"/>
      <c r="BS120" s="581"/>
      <c r="BT120" s="581"/>
      <c r="BU120" s="430"/>
      <c r="BV120" s="430"/>
      <c r="BW120" s="430"/>
      <c r="BX120" s="430"/>
      <c r="BY120" s="430"/>
      <c r="BZ120" s="430"/>
      <c r="CA120" s="430"/>
      <c r="CB120" s="430"/>
      <c r="CC120" s="430"/>
      <c r="CD120" s="430"/>
      <c r="CE120" s="430"/>
      <c r="CF120" s="430"/>
      <c r="CG120" s="430"/>
      <c r="CH120" s="430"/>
      <c r="CI120" s="430"/>
      <c r="CJ120" s="430"/>
      <c r="CK120" s="430"/>
      <c r="CL120" s="430"/>
    </row>
    <row r="121" spans="63:90" ht="14.25" customHeight="1">
      <c r="BK121" s="581"/>
      <c r="BL121" s="581"/>
      <c r="BM121" s="582"/>
      <c r="BN121" s="581"/>
      <c r="BO121" s="581"/>
      <c r="BP121" s="430"/>
      <c r="BQ121" s="430"/>
      <c r="BR121" s="430"/>
      <c r="BS121" s="581"/>
      <c r="BT121" s="581"/>
      <c r="BU121" s="430"/>
      <c r="BV121" s="430"/>
      <c r="BW121" s="430"/>
      <c r="BX121" s="430"/>
      <c r="BY121" s="430"/>
      <c r="BZ121" s="430"/>
      <c r="CA121" s="430"/>
      <c r="CB121" s="430"/>
      <c r="CC121" s="430"/>
      <c r="CD121" s="430"/>
      <c r="CE121" s="430"/>
      <c r="CF121" s="430"/>
      <c r="CG121" s="430"/>
      <c r="CH121" s="430"/>
      <c r="CI121" s="430"/>
      <c r="CJ121" s="430"/>
      <c r="CK121" s="430"/>
      <c r="CL121" s="430"/>
    </row>
    <row r="122" spans="63:90" ht="14.25" customHeight="1">
      <c r="BK122" s="581"/>
      <c r="BL122" s="581"/>
      <c r="BM122" s="582"/>
      <c r="BN122" s="581"/>
      <c r="BO122" s="581"/>
      <c r="BP122" s="430"/>
      <c r="BQ122" s="430"/>
      <c r="BR122" s="430"/>
      <c r="BS122" s="581"/>
      <c r="BT122" s="581"/>
      <c r="BU122" s="430"/>
      <c r="BV122" s="430"/>
      <c r="BW122" s="430"/>
      <c r="BX122" s="430"/>
      <c r="BY122" s="430"/>
      <c r="BZ122" s="430"/>
      <c r="CA122" s="430"/>
      <c r="CB122" s="430"/>
      <c r="CC122" s="430"/>
      <c r="CD122" s="430"/>
      <c r="CE122" s="430"/>
      <c r="CF122" s="430"/>
      <c r="CG122" s="430"/>
      <c r="CH122" s="430"/>
      <c r="CI122" s="430"/>
      <c r="CJ122" s="430"/>
      <c r="CK122" s="430"/>
      <c r="CL122" s="430"/>
    </row>
    <row r="123" spans="63:90" ht="14.25" customHeight="1">
      <c r="BK123" s="581"/>
      <c r="BL123" s="581"/>
      <c r="BM123" s="582"/>
      <c r="BN123" s="581"/>
      <c r="BO123" s="581"/>
      <c r="BP123" s="430"/>
      <c r="BQ123" s="430"/>
      <c r="BR123" s="430"/>
      <c r="BS123" s="581"/>
      <c r="BT123" s="581"/>
      <c r="BU123" s="430"/>
      <c r="BV123" s="430"/>
      <c r="BW123" s="430"/>
      <c r="BX123" s="430"/>
      <c r="BY123" s="430"/>
      <c r="BZ123" s="430"/>
      <c r="CA123" s="430"/>
      <c r="CB123" s="430"/>
      <c r="CC123" s="430"/>
      <c r="CD123" s="430"/>
      <c r="CE123" s="430"/>
      <c r="CF123" s="430"/>
      <c r="CG123" s="430"/>
      <c r="CH123" s="430"/>
      <c r="CI123" s="430"/>
      <c r="CJ123" s="430"/>
      <c r="CK123" s="430"/>
      <c r="CL123" s="430"/>
    </row>
    <row r="124" spans="63:90" ht="14.25" customHeight="1">
      <c r="BK124" s="581"/>
      <c r="BL124" s="581"/>
      <c r="BM124" s="582"/>
      <c r="BN124" s="581"/>
      <c r="BO124" s="581"/>
      <c r="BP124" s="430"/>
      <c r="BQ124" s="430"/>
      <c r="BR124" s="430"/>
      <c r="BS124" s="581"/>
      <c r="BT124" s="581"/>
      <c r="BU124" s="430"/>
      <c r="BV124" s="430"/>
      <c r="BW124" s="430"/>
      <c r="BX124" s="430"/>
      <c r="BY124" s="430"/>
      <c r="BZ124" s="430"/>
      <c r="CA124" s="430"/>
      <c r="CB124" s="430"/>
      <c r="CC124" s="430"/>
      <c r="CD124" s="430"/>
      <c r="CE124" s="430"/>
      <c r="CF124" s="430"/>
      <c r="CG124" s="430"/>
      <c r="CH124" s="430"/>
      <c r="CI124" s="430"/>
      <c r="CJ124" s="430"/>
      <c r="CK124" s="430"/>
      <c r="CL124" s="430"/>
    </row>
    <row r="125" spans="63:90" ht="14.25" customHeight="1">
      <c r="BK125" s="581"/>
      <c r="BL125" s="581"/>
      <c r="BM125" s="582"/>
      <c r="BN125" s="581"/>
      <c r="BO125" s="581"/>
      <c r="BP125" s="430"/>
      <c r="BQ125" s="430"/>
      <c r="BR125" s="430"/>
      <c r="BS125" s="581"/>
      <c r="BT125" s="581"/>
      <c r="BU125" s="430"/>
      <c r="BV125" s="430"/>
      <c r="BW125" s="430"/>
      <c r="BX125" s="430"/>
      <c r="BY125" s="430"/>
      <c r="BZ125" s="430"/>
      <c r="CA125" s="430"/>
      <c r="CB125" s="430"/>
      <c r="CC125" s="430"/>
      <c r="CD125" s="430"/>
      <c r="CE125" s="430"/>
      <c r="CF125" s="430"/>
      <c r="CG125" s="430"/>
      <c r="CH125" s="430"/>
      <c r="CI125" s="430"/>
      <c r="CJ125" s="430"/>
      <c r="CK125" s="430"/>
      <c r="CL125" s="430"/>
    </row>
    <row r="126" spans="63:90" ht="14.25" customHeight="1">
      <c r="BK126" s="581"/>
      <c r="BL126" s="581"/>
      <c r="BM126" s="582"/>
      <c r="BN126" s="581"/>
      <c r="BO126" s="581"/>
      <c r="BP126" s="430"/>
      <c r="BQ126" s="430"/>
      <c r="BR126" s="430"/>
      <c r="BS126" s="581"/>
      <c r="BT126" s="581"/>
      <c r="BU126" s="430"/>
      <c r="BV126" s="430"/>
      <c r="BW126" s="430"/>
      <c r="BX126" s="430"/>
      <c r="BY126" s="430"/>
      <c r="BZ126" s="430"/>
      <c r="CA126" s="430"/>
      <c r="CB126" s="430"/>
      <c r="CC126" s="430"/>
      <c r="CD126" s="430"/>
      <c r="CE126" s="430"/>
      <c r="CF126" s="430"/>
      <c r="CG126" s="430"/>
      <c r="CH126" s="430"/>
      <c r="CI126" s="430"/>
      <c r="CJ126" s="430"/>
      <c r="CK126" s="430"/>
      <c r="CL126" s="430"/>
    </row>
    <row r="127" spans="63:90" ht="14.25" customHeight="1">
      <c r="BK127" s="581"/>
      <c r="BL127" s="581"/>
      <c r="BM127" s="582"/>
      <c r="BN127" s="581"/>
      <c r="BO127" s="581"/>
      <c r="BP127" s="430"/>
      <c r="BQ127" s="430"/>
      <c r="BR127" s="430"/>
      <c r="BS127" s="581"/>
      <c r="BT127" s="581"/>
      <c r="BU127" s="430"/>
      <c r="BV127" s="430"/>
      <c r="BW127" s="430"/>
      <c r="BX127" s="430"/>
      <c r="BY127" s="430"/>
      <c r="BZ127" s="430"/>
      <c r="CA127" s="430"/>
      <c r="CB127" s="430"/>
      <c r="CC127" s="430"/>
      <c r="CD127" s="430"/>
      <c r="CE127" s="430"/>
      <c r="CF127" s="430"/>
      <c r="CG127" s="430"/>
      <c r="CH127" s="430"/>
      <c r="CI127" s="430"/>
      <c r="CJ127" s="430"/>
      <c r="CK127" s="430"/>
      <c r="CL127" s="430"/>
    </row>
    <row r="128" spans="63:90" ht="14.25" customHeight="1">
      <c r="BK128" s="581"/>
      <c r="BL128" s="581"/>
      <c r="BM128" s="582"/>
      <c r="BN128" s="581"/>
      <c r="BO128" s="581"/>
      <c r="BP128" s="430"/>
      <c r="BQ128" s="430"/>
      <c r="BR128" s="430"/>
      <c r="BS128" s="581"/>
      <c r="BT128" s="581"/>
      <c r="BU128" s="430"/>
      <c r="BV128" s="430"/>
      <c r="BW128" s="430"/>
      <c r="BX128" s="430"/>
      <c r="BY128" s="430"/>
      <c r="BZ128" s="430"/>
      <c r="CA128" s="430"/>
      <c r="CB128" s="430"/>
      <c r="CC128" s="430"/>
      <c r="CD128" s="430"/>
      <c r="CE128" s="430"/>
      <c r="CF128" s="430"/>
      <c r="CG128" s="430"/>
      <c r="CH128" s="430"/>
      <c r="CI128" s="430"/>
      <c r="CJ128" s="430"/>
      <c r="CK128" s="430"/>
      <c r="CL128" s="430"/>
    </row>
    <row r="129" spans="63:90" ht="14.25" customHeight="1">
      <c r="BK129" s="581"/>
      <c r="BL129" s="581"/>
      <c r="BM129" s="582"/>
      <c r="BN129" s="581"/>
      <c r="BO129" s="581"/>
      <c r="BP129" s="430"/>
      <c r="BQ129" s="430"/>
      <c r="BR129" s="430"/>
      <c r="BS129" s="581"/>
      <c r="BT129" s="581"/>
      <c r="BU129" s="430"/>
      <c r="BV129" s="430"/>
      <c r="BW129" s="430"/>
      <c r="BX129" s="430"/>
      <c r="BY129" s="430"/>
      <c r="BZ129" s="430"/>
      <c r="CA129" s="430"/>
      <c r="CB129" s="430"/>
      <c r="CC129" s="430"/>
      <c r="CD129" s="430"/>
      <c r="CE129" s="430"/>
      <c r="CF129" s="430"/>
      <c r="CG129" s="430"/>
      <c r="CH129" s="430"/>
      <c r="CI129" s="430"/>
      <c r="CJ129" s="430"/>
      <c r="CK129" s="430"/>
      <c r="CL129" s="430"/>
    </row>
    <row r="130" spans="63:90" ht="14.25" customHeight="1">
      <c r="BK130" s="581"/>
      <c r="BL130" s="581"/>
      <c r="BM130" s="582"/>
      <c r="BN130" s="581"/>
      <c r="BO130" s="581"/>
      <c r="BP130" s="430"/>
      <c r="BQ130" s="430"/>
      <c r="BR130" s="430"/>
      <c r="BS130" s="581"/>
      <c r="BT130" s="581"/>
      <c r="BU130" s="430"/>
      <c r="BV130" s="430"/>
      <c r="BW130" s="430"/>
      <c r="BX130" s="430"/>
      <c r="BY130" s="430"/>
      <c r="BZ130" s="430"/>
      <c r="CA130" s="430"/>
      <c r="CB130" s="430"/>
      <c r="CC130" s="430"/>
      <c r="CD130" s="430"/>
      <c r="CE130" s="430"/>
      <c r="CF130" s="430"/>
      <c r="CG130" s="430"/>
      <c r="CH130" s="430"/>
      <c r="CI130" s="430"/>
      <c r="CJ130" s="430"/>
      <c r="CK130" s="430"/>
      <c r="CL130" s="430"/>
    </row>
    <row r="131" spans="63:90" ht="14.25" customHeight="1">
      <c r="BK131" s="581"/>
      <c r="BL131" s="581"/>
      <c r="BM131" s="582"/>
      <c r="BN131" s="581"/>
      <c r="BO131" s="581"/>
      <c r="BP131" s="430"/>
      <c r="BQ131" s="430"/>
      <c r="BR131" s="430"/>
      <c r="BS131" s="581"/>
      <c r="BT131" s="581"/>
      <c r="BU131" s="430"/>
      <c r="BV131" s="430"/>
      <c r="BW131" s="430"/>
      <c r="BX131" s="430"/>
      <c r="BY131" s="430"/>
      <c r="BZ131" s="430"/>
      <c r="CA131" s="430"/>
      <c r="CB131" s="430"/>
      <c r="CC131" s="430"/>
      <c r="CD131" s="430"/>
      <c r="CE131" s="430"/>
      <c r="CF131" s="430"/>
      <c r="CG131" s="430"/>
      <c r="CH131" s="430"/>
      <c r="CI131" s="430"/>
      <c r="CJ131" s="430"/>
      <c r="CK131" s="430"/>
      <c r="CL131" s="430"/>
    </row>
    <row r="132" spans="63:90" ht="14.25" customHeight="1">
      <c r="BK132" s="581"/>
      <c r="BL132" s="581"/>
      <c r="BM132" s="582"/>
      <c r="BN132" s="581"/>
      <c r="BO132" s="581"/>
      <c r="BP132" s="430"/>
      <c r="BQ132" s="430"/>
      <c r="BR132" s="430"/>
      <c r="BS132" s="581"/>
      <c r="BT132" s="581"/>
      <c r="BU132" s="430"/>
      <c r="BV132" s="430"/>
      <c r="BW132" s="430"/>
      <c r="BX132" s="430"/>
      <c r="BY132" s="430"/>
      <c r="BZ132" s="430"/>
      <c r="CA132" s="430"/>
      <c r="CB132" s="430"/>
      <c r="CC132" s="430"/>
      <c r="CD132" s="430"/>
      <c r="CE132" s="430"/>
      <c r="CF132" s="430"/>
      <c r="CG132" s="430"/>
      <c r="CH132" s="430"/>
      <c r="CI132" s="430"/>
      <c r="CJ132" s="430"/>
      <c r="CK132" s="430"/>
      <c r="CL132" s="430"/>
    </row>
    <row r="133" spans="63:90" ht="14.25" customHeight="1">
      <c r="BK133" s="581"/>
      <c r="BL133" s="581"/>
      <c r="BM133" s="582"/>
      <c r="BN133" s="581"/>
      <c r="BO133" s="581"/>
      <c r="BP133" s="430"/>
      <c r="BQ133" s="430"/>
      <c r="BR133" s="430"/>
      <c r="BS133" s="581"/>
      <c r="BT133" s="581"/>
      <c r="BU133" s="430"/>
      <c r="BV133" s="430"/>
      <c r="BW133" s="430"/>
      <c r="BX133" s="430"/>
      <c r="BY133" s="430"/>
      <c r="BZ133" s="430"/>
      <c r="CA133" s="430"/>
      <c r="CB133" s="430"/>
      <c r="CC133" s="430"/>
      <c r="CD133" s="430"/>
      <c r="CE133" s="430"/>
      <c r="CF133" s="430"/>
      <c r="CG133" s="430"/>
      <c r="CH133" s="430"/>
      <c r="CI133" s="430"/>
      <c r="CJ133" s="430"/>
      <c r="CK133" s="430"/>
      <c r="CL133" s="430"/>
    </row>
    <row r="134" spans="63:90" ht="14.25" customHeight="1">
      <c r="BK134" s="581"/>
      <c r="BL134" s="581"/>
      <c r="BM134" s="582"/>
      <c r="BN134" s="581"/>
      <c r="BO134" s="581"/>
      <c r="BP134" s="430"/>
      <c r="BQ134" s="430"/>
      <c r="BR134" s="430"/>
      <c r="BS134" s="581"/>
      <c r="BT134" s="581"/>
      <c r="BU134" s="430"/>
      <c r="BV134" s="430"/>
      <c r="BW134" s="430"/>
      <c r="BX134" s="430"/>
      <c r="BY134" s="430"/>
      <c r="BZ134" s="430"/>
      <c r="CA134" s="430"/>
      <c r="CB134" s="430"/>
      <c r="CC134" s="430"/>
      <c r="CD134" s="430"/>
      <c r="CE134" s="430"/>
      <c r="CF134" s="430"/>
      <c r="CG134" s="430"/>
      <c r="CH134" s="430"/>
      <c r="CI134" s="430"/>
      <c r="CJ134" s="430"/>
      <c r="CK134" s="430"/>
      <c r="CL134" s="430"/>
    </row>
    <row r="135" spans="63:90" ht="14.25" customHeight="1">
      <c r="BK135" s="581"/>
      <c r="BL135" s="581"/>
      <c r="BM135" s="582"/>
      <c r="BN135" s="581"/>
      <c r="BO135" s="581"/>
      <c r="BP135" s="430"/>
      <c r="BQ135" s="430"/>
      <c r="BR135" s="430"/>
      <c r="BS135" s="581"/>
      <c r="BT135" s="581"/>
      <c r="BU135" s="430"/>
      <c r="BV135" s="430"/>
      <c r="BW135" s="430"/>
      <c r="BX135" s="430"/>
      <c r="BY135" s="430"/>
      <c r="BZ135" s="430"/>
      <c r="CA135" s="430"/>
      <c r="CB135" s="430"/>
      <c r="CC135" s="430"/>
      <c r="CD135" s="430"/>
      <c r="CE135" s="430"/>
      <c r="CF135" s="430"/>
      <c r="CG135" s="430"/>
      <c r="CH135" s="430"/>
      <c r="CI135" s="430"/>
      <c r="CJ135" s="430"/>
      <c r="CK135" s="430"/>
      <c r="CL135" s="430"/>
    </row>
    <row r="136" spans="63:90" ht="14.25" customHeight="1">
      <c r="BK136" s="581"/>
      <c r="BL136" s="581"/>
      <c r="BM136" s="582"/>
      <c r="BN136" s="581"/>
      <c r="BO136" s="581"/>
      <c r="BP136" s="430"/>
      <c r="BQ136" s="430"/>
      <c r="BR136" s="430"/>
      <c r="BS136" s="581"/>
      <c r="BT136" s="581"/>
      <c r="BU136" s="430"/>
      <c r="BV136" s="430"/>
      <c r="BW136" s="430"/>
      <c r="BX136" s="430"/>
      <c r="BY136" s="430"/>
      <c r="BZ136" s="430"/>
      <c r="CA136" s="430"/>
      <c r="CB136" s="430"/>
      <c r="CC136" s="430"/>
      <c r="CD136" s="430"/>
      <c r="CE136" s="430"/>
      <c r="CF136" s="430"/>
      <c r="CG136" s="430"/>
      <c r="CH136" s="430"/>
      <c r="CI136" s="430"/>
      <c r="CJ136" s="430"/>
      <c r="CK136" s="430"/>
      <c r="CL136" s="430"/>
    </row>
    <row r="137" spans="63:90" ht="14.25" customHeight="1">
      <c r="BK137" s="581"/>
      <c r="BL137" s="581"/>
      <c r="BM137" s="582"/>
      <c r="BN137" s="581"/>
      <c r="BO137" s="581"/>
      <c r="BP137" s="430"/>
      <c r="BQ137" s="430"/>
      <c r="BR137" s="430"/>
      <c r="BS137" s="581"/>
      <c r="BT137" s="581"/>
      <c r="BU137" s="430"/>
      <c r="BV137" s="430"/>
      <c r="BW137" s="430"/>
      <c r="BX137" s="430"/>
      <c r="BY137" s="430"/>
      <c r="BZ137" s="430"/>
      <c r="CA137" s="430"/>
      <c r="CB137" s="430"/>
      <c r="CC137" s="430"/>
      <c r="CD137" s="430"/>
      <c r="CE137" s="430"/>
      <c r="CF137" s="430"/>
      <c r="CG137" s="430"/>
      <c r="CH137" s="430"/>
      <c r="CI137" s="430"/>
      <c r="CJ137" s="430"/>
      <c r="CK137" s="430"/>
      <c r="CL137" s="430"/>
    </row>
    <row r="138" spans="63:90" ht="14.25" customHeight="1">
      <c r="BK138" s="581"/>
      <c r="BL138" s="581"/>
      <c r="BM138" s="582"/>
      <c r="BN138" s="581"/>
      <c r="BO138" s="581"/>
      <c r="BP138" s="430"/>
      <c r="BQ138" s="430"/>
      <c r="BR138" s="430"/>
      <c r="BS138" s="581"/>
      <c r="BT138" s="581"/>
      <c r="BU138" s="430"/>
      <c r="BV138" s="430"/>
      <c r="BW138" s="430"/>
      <c r="BX138" s="430"/>
      <c r="BY138" s="430"/>
      <c r="BZ138" s="430"/>
      <c r="CA138" s="430"/>
      <c r="CB138" s="430"/>
      <c r="CC138" s="430"/>
      <c r="CD138" s="430"/>
      <c r="CE138" s="430"/>
      <c r="CF138" s="430"/>
      <c r="CG138" s="430"/>
      <c r="CH138" s="430"/>
      <c r="CI138" s="430"/>
      <c r="CJ138" s="430"/>
      <c r="CK138" s="430"/>
      <c r="CL138" s="430"/>
    </row>
    <row r="139" spans="63:90" ht="14.25" customHeight="1">
      <c r="BK139" s="581"/>
      <c r="BL139" s="581"/>
      <c r="BM139" s="582"/>
      <c r="BN139" s="581"/>
      <c r="BO139" s="581"/>
      <c r="BP139" s="430"/>
      <c r="BQ139" s="430"/>
      <c r="BR139" s="430"/>
      <c r="BS139" s="581"/>
      <c r="BT139" s="581"/>
      <c r="BU139" s="430"/>
      <c r="BV139" s="430"/>
      <c r="BW139" s="430"/>
      <c r="BX139" s="430"/>
      <c r="BY139" s="430"/>
      <c r="BZ139" s="430"/>
      <c r="CA139" s="430"/>
      <c r="CB139" s="430"/>
      <c r="CC139" s="430"/>
      <c r="CD139" s="430"/>
      <c r="CE139" s="430"/>
      <c r="CF139" s="430"/>
      <c r="CG139" s="430"/>
      <c r="CH139" s="430"/>
      <c r="CI139" s="430"/>
      <c r="CJ139" s="430"/>
      <c r="CK139" s="430"/>
      <c r="CL139" s="430"/>
    </row>
    <row r="140" spans="63:90" ht="14.25" customHeight="1">
      <c r="BK140" s="581"/>
      <c r="BL140" s="581"/>
      <c r="BM140" s="582"/>
      <c r="BN140" s="581"/>
      <c r="BO140" s="581"/>
      <c r="BP140" s="430"/>
      <c r="BQ140" s="430"/>
      <c r="BR140" s="430"/>
      <c r="BS140" s="581"/>
      <c r="BT140" s="581"/>
      <c r="BU140" s="430"/>
      <c r="BV140" s="430"/>
      <c r="BW140" s="430"/>
      <c r="BX140" s="430"/>
      <c r="BY140" s="430"/>
      <c r="BZ140" s="430"/>
      <c r="CA140" s="430"/>
      <c r="CB140" s="430"/>
      <c r="CC140" s="430"/>
      <c r="CD140" s="430"/>
      <c r="CE140" s="430"/>
      <c r="CF140" s="430"/>
      <c r="CG140" s="430"/>
      <c r="CH140" s="430"/>
      <c r="CI140" s="430"/>
      <c r="CJ140" s="430"/>
      <c r="CK140" s="430"/>
      <c r="CL140" s="430"/>
    </row>
    <row r="141" spans="63:90" ht="14.25" customHeight="1">
      <c r="BK141" s="581"/>
      <c r="BL141" s="581"/>
      <c r="BM141" s="582"/>
      <c r="BN141" s="581"/>
      <c r="BO141" s="581"/>
      <c r="BP141" s="430"/>
      <c r="BQ141" s="430"/>
      <c r="BR141" s="430"/>
      <c r="BS141" s="581"/>
      <c r="BT141" s="581"/>
      <c r="BU141" s="430"/>
      <c r="BV141" s="430"/>
      <c r="BW141" s="430"/>
      <c r="BX141" s="430"/>
      <c r="BY141" s="430"/>
      <c r="BZ141" s="430"/>
      <c r="CA141" s="430"/>
      <c r="CB141" s="430"/>
      <c r="CC141" s="430"/>
      <c r="CD141" s="430"/>
      <c r="CE141" s="430"/>
      <c r="CF141" s="430"/>
      <c r="CG141" s="430"/>
      <c r="CH141" s="430"/>
      <c r="CI141" s="430"/>
      <c r="CJ141" s="430"/>
      <c r="CK141" s="430"/>
      <c r="CL141" s="430"/>
    </row>
    <row r="142" spans="63:90" ht="14.25" customHeight="1">
      <c r="BK142" s="581"/>
      <c r="BL142" s="581"/>
      <c r="BM142" s="582"/>
      <c r="BN142" s="581"/>
      <c r="BO142" s="581"/>
      <c r="BP142" s="430"/>
      <c r="BQ142" s="430"/>
      <c r="BR142" s="430"/>
      <c r="BS142" s="581"/>
      <c r="BT142" s="581"/>
      <c r="BU142" s="430"/>
      <c r="BV142" s="430"/>
      <c r="BW142" s="430"/>
      <c r="BX142" s="430"/>
      <c r="BY142" s="430"/>
      <c r="BZ142" s="430"/>
      <c r="CA142" s="430"/>
      <c r="CB142" s="430"/>
      <c r="CC142" s="430"/>
      <c r="CD142" s="430"/>
      <c r="CE142" s="430"/>
      <c r="CF142" s="430"/>
      <c r="CG142" s="430"/>
      <c r="CH142" s="430"/>
      <c r="CI142" s="430"/>
      <c r="CJ142" s="430"/>
      <c r="CK142" s="430"/>
      <c r="CL142" s="430"/>
    </row>
    <row r="143" spans="63:90" ht="14.25" customHeight="1">
      <c r="BK143" s="581"/>
      <c r="BL143" s="581"/>
      <c r="BM143" s="582"/>
      <c r="BN143" s="581"/>
      <c r="BO143" s="581"/>
      <c r="BP143" s="430"/>
      <c r="BQ143" s="430"/>
      <c r="BR143" s="430"/>
      <c r="BS143" s="581"/>
      <c r="BT143" s="581"/>
      <c r="BU143" s="430"/>
      <c r="BV143" s="430"/>
      <c r="BW143" s="430"/>
      <c r="BX143" s="430"/>
      <c r="BY143" s="430"/>
      <c r="BZ143" s="430"/>
      <c r="CA143" s="430"/>
      <c r="CB143" s="430"/>
      <c r="CC143" s="430"/>
      <c r="CD143" s="430"/>
      <c r="CE143" s="430"/>
      <c r="CF143" s="430"/>
      <c r="CG143" s="430"/>
      <c r="CH143" s="430"/>
      <c r="CI143" s="430"/>
      <c r="CJ143" s="430"/>
      <c r="CK143" s="430"/>
      <c r="CL143" s="430"/>
    </row>
    <row r="144" spans="63:90" ht="14.25" customHeight="1">
      <c r="BK144" s="581"/>
      <c r="BL144" s="581"/>
      <c r="BM144" s="582"/>
      <c r="BN144" s="581"/>
      <c r="BO144" s="581"/>
      <c r="BP144" s="430"/>
      <c r="BQ144" s="430"/>
      <c r="BR144" s="430"/>
      <c r="BS144" s="581"/>
      <c r="BT144" s="581"/>
      <c r="BU144" s="430"/>
      <c r="BV144" s="430"/>
      <c r="BW144" s="430"/>
      <c r="BX144" s="430"/>
      <c r="BY144" s="430"/>
      <c r="BZ144" s="430"/>
      <c r="CA144" s="430"/>
      <c r="CB144" s="430"/>
      <c r="CC144" s="430"/>
      <c r="CD144" s="430"/>
      <c r="CE144" s="430"/>
      <c r="CF144" s="430"/>
      <c r="CG144" s="430"/>
      <c r="CH144" s="430"/>
      <c r="CI144" s="430"/>
      <c r="CJ144" s="430"/>
      <c r="CK144" s="430"/>
      <c r="CL144" s="430"/>
    </row>
    <row r="145" spans="63:90" ht="14.25" customHeight="1">
      <c r="BK145" s="581"/>
      <c r="BL145" s="581"/>
      <c r="BM145" s="582"/>
      <c r="BN145" s="581"/>
      <c r="BO145" s="581"/>
      <c r="BP145" s="430"/>
      <c r="BQ145" s="430"/>
      <c r="BR145" s="430"/>
      <c r="BS145" s="581"/>
      <c r="BT145" s="581"/>
      <c r="BU145" s="430"/>
      <c r="BV145" s="430"/>
      <c r="BW145" s="430"/>
      <c r="BX145" s="430"/>
      <c r="BY145" s="430"/>
      <c r="BZ145" s="430"/>
      <c r="CA145" s="430"/>
      <c r="CB145" s="430"/>
      <c r="CC145" s="430"/>
      <c r="CD145" s="430"/>
      <c r="CE145" s="430"/>
      <c r="CF145" s="430"/>
      <c r="CG145" s="430"/>
      <c r="CH145" s="430"/>
      <c r="CI145" s="430"/>
      <c r="CJ145" s="430"/>
      <c r="CK145" s="430"/>
      <c r="CL145" s="430"/>
    </row>
    <row r="146" spans="63:90" ht="14.25" customHeight="1">
      <c r="BK146" s="581"/>
      <c r="BL146" s="581"/>
      <c r="BM146" s="582"/>
      <c r="BN146" s="581"/>
      <c r="BO146" s="581"/>
      <c r="BP146" s="430"/>
      <c r="BQ146" s="430"/>
      <c r="BR146" s="430"/>
      <c r="BS146" s="581"/>
      <c r="BT146" s="581"/>
      <c r="BU146" s="430"/>
      <c r="BV146" s="430"/>
      <c r="BW146" s="430"/>
      <c r="BX146" s="430"/>
      <c r="BY146" s="430"/>
      <c r="BZ146" s="430"/>
      <c r="CA146" s="430"/>
      <c r="CB146" s="430"/>
      <c r="CC146" s="430"/>
      <c r="CD146" s="430"/>
      <c r="CE146" s="430"/>
      <c r="CF146" s="430"/>
      <c r="CG146" s="430"/>
      <c r="CH146" s="430"/>
      <c r="CI146" s="430"/>
      <c r="CJ146" s="430"/>
      <c r="CK146" s="430"/>
      <c r="CL146" s="430"/>
    </row>
    <row r="147" spans="63:90" ht="14.25" customHeight="1">
      <c r="BK147" s="581"/>
      <c r="BL147" s="581"/>
      <c r="BM147" s="582"/>
      <c r="BN147" s="581"/>
      <c r="BO147" s="581"/>
      <c r="BP147" s="430"/>
      <c r="BQ147" s="430"/>
      <c r="BR147" s="430"/>
      <c r="BS147" s="581"/>
      <c r="BT147" s="581"/>
      <c r="BU147" s="430"/>
      <c r="BV147" s="430"/>
      <c r="BW147" s="430"/>
      <c r="BX147" s="430"/>
      <c r="BY147" s="430"/>
      <c r="BZ147" s="430"/>
      <c r="CA147" s="430"/>
      <c r="CB147" s="430"/>
      <c r="CC147" s="430"/>
      <c r="CD147" s="430"/>
      <c r="CE147" s="430"/>
      <c r="CF147" s="430"/>
      <c r="CG147" s="430"/>
      <c r="CH147" s="430"/>
      <c r="CI147" s="430"/>
      <c r="CJ147" s="430"/>
      <c r="CK147" s="430"/>
      <c r="CL147" s="430"/>
    </row>
    <row r="148" spans="63:90" ht="14.25" customHeight="1">
      <c r="BK148" s="581"/>
      <c r="BL148" s="581"/>
      <c r="BM148" s="582"/>
      <c r="BN148" s="581"/>
      <c r="BO148" s="581"/>
      <c r="BP148" s="430"/>
      <c r="BQ148" s="430"/>
      <c r="BR148" s="430"/>
      <c r="BS148" s="581"/>
      <c r="BT148" s="581"/>
      <c r="BU148" s="430"/>
      <c r="BV148" s="430"/>
      <c r="BW148" s="430"/>
      <c r="BX148" s="430"/>
      <c r="BY148" s="430"/>
      <c r="BZ148" s="430"/>
      <c r="CA148" s="430"/>
      <c r="CB148" s="430"/>
      <c r="CC148" s="430"/>
      <c r="CD148" s="430"/>
      <c r="CE148" s="430"/>
      <c r="CF148" s="430"/>
      <c r="CG148" s="430"/>
      <c r="CH148" s="430"/>
      <c r="CI148" s="430"/>
      <c r="CJ148" s="430"/>
      <c r="CK148" s="430"/>
      <c r="CL148" s="430"/>
    </row>
    <row r="149" spans="63:90" ht="14.25" customHeight="1">
      <c r="BK149" s="581"/>
      <c r="BL149" s="581"/>
      <c r="BM149" s="582"/>
      <c r="BN149" s="581"/>
      <c r="BO149" s="581"/>
      <c r="BP149" s="430"/>
      <c r="BQ149" s="430"/>
      <c r="BR149" s="430"/>
      <c r="BS149" s="581"/>
      <c r="BT149" s="581"/>
      <c r="BU149" s="430"/>
      <c r="BV149" s="430"/>
      <c r="BW149" s="430"/>
      <c r="BX149" s="430"/>
      <c r="BY149" s="430"/>
      <c r="BZ149" s="430"/>
      <c r="CA149" s="430"/>
      <c r="CB149" s="430"/>
      <c r="CC149" s="430"/>
      <c r="CD149" s="430"/>
      <c r="CE149" s="430"/>
      <c r="CF149" s="430"/>
      <c r="CG149" s="430"/>
      <c r="CH149" s="430"/>
      <c r="CI149" s="430"/>
      <c r="CJ149" s="430"/>
      <c r="CK149" s="430"/>
      <c r="CL149" s="430"/>
    </row>
    <row r="150" spans="63:90" ht="14.25" customHeight="1">
      <c r="BK150" s="581"/>
      <c r="BL150" s="581"/>
      <c r="BM150" s="582"/>
      <c r="BN150" s="581"/>
      <c r="BO150" s="581"/>
      <c r="BP150" s="430"/>
      <c r="BQ150" s="430"/>
      <c r="BR150" s="430"/>
      <c r="BS150" s="581"/>
      <c r="BT150" s="581"/>
      <c r="BU150" s="430"/>
      <c r="BV150" s="430"/>
      <c r="BW150" s="430"/>
      <c r="BX150" s="430"/>
      <c r="BY150" s="430"/>
      <c r="BZ150" s="430"/>
      <c r="CA150" s="430"/>
      <c r="CB150" s="430"/>
      <c r="CC150" s="430"/>
      <c r="CD150" s="430"/>
      <c r="CE150" s="430"/>
      <c r="CF150" s="430"/>
      <c r="CG150" s="430"/>
      <c r="CH150" s="430"/>
      <c r="CI150" s="430"/>
      <c r="CJ150" s="430"/>
      <c r="CK150" s="430"/>
      <c r="CL150" s="430"/>
    </row>
    <row r="151" spans="63:90" ht="14.25" customHeight="1">
      <c r="BK151" s="581"/>
      <c r="BL151" s="581"/>
      <c r="BM151" s="582"/>
      <c r="BN151" s="581"/>
      <c r="BO151" s="581"/>
      <c r="BP151" s="430"/>
      <c r="BQ151" s="430"/>
      <c r="BR151" s="430"/>
      <c r="BS151" s="581"/>
      <c r="BT151" s="581"/>
      <c r="BU151" s="430"/>
      <c r="BV151" s="430"/>
      <c r="BW151" s="430"/>
      <c r="BX151" s="430"/>
      <c r="BY151" s="430"/>
      <c r="BZ151" s="430"/>
      <c r="CA151" s="430"/>
      <c r="CB151" s="430"/>
      <c r="CC151" s="430"/>
      <c r="CD151" s="430"/>
      <c r="CE151" s="430"/>
      <c r="CF151" s="430"/>
      <c r="CG151" s="430"/>
      <c r="CH151" s="430"/>
      <c r="CI151" s="430"/>
      <c r="CJ151" s="430"/>
      <c r="CK151" s="430"/>
      <c r="CL151" s="430"/>
    </row>
    <row r="152" spans="63:90" ht="14.25" customHeight="1">
      <c r="BK152" s="581"/>
      <c r="BL152" s="581"/>
      <c r="BM152" s="582"/>
      <c r="BN152" s="581"/>
      <c r="BO152" s="581"/>
      <c r="BP152" s="430"/>
      <c r="BQ152" s="430"/>
      <c r="BR152" s="430"/>
      <c r="BS152" s="581"/>
      <c r="BT152" s="581"/>
      <c r="BU152" s="430"/>
      <c r="BV152" s="430"/>
      <c r="BW152" s="430"/>
      <c r="BX152" s="430"/>
      <c r="BY152" s="430"/>
      <c r="BZ152" s="430"/>
      <c r="CA152" s="430"/>
      <c r="CB152" s="430"/>
      <c r="CC152" s="430"/>
      <c r="CD152" s="430"/>
      <c r="CE152" s="430"/>
      <c r="CF152" s="430"/>
      <c r="CG152" s="430"/>
      <c r="CH152" s="430"/>
      <c r="CI152" s="430"/>
      <c r="CJ152" s="430"/>
      <c r="CK152" s="430"/>
      <c r="CL152" s="430"/>
    </row>
    <row r="153" spans="63:90" ht="14.25" customHeight="1">
      <c r="BK153" s="581"/>
      <c r="BL153" s="581"/>
      <c r="BM153" s="582"/>
      <c r="BN153" s="581"/>
      <c r="BO153" s="581"/>
      <c r="BP153" s="430"/>
      <c r="BQ153" s="430"/>
      <c r="BR153" s="430"/>
      <c r="BS153" s="581"/>
      <c r="BT153" s="581"/>
      <c r="BU153" s="430"/>
      <c r="BV153" s="430"/>
      <c r="BW153" s="430"/>
      <c r="BX153" s="430"/>
      <c r="BY153" s="430"/>
      <c r="BZ153" s="430"/>
      <c r="CA153" s="430"/>
      <c r="CB153" s="430"/>
      <c r="CC153" s="430"/>
      <c r="CD153" s="430"/>
      <c r="CE153" s="430"/>
      <c r="CF153" s="430"/>
      <c r="CG153" s="430"/>
      <c r="CH153" s="430"/>
      <c r="CI153" s="430"/>
      <c r="CJ153" s="430"/>
      <c r="CK153" s="430"/>
      <c r="CL153" s="430"/>
    </row>
    <row r="154" spans="63:90" ht="14.25" customHeight="1">
      <c r="BK154" s="581"/>
      <c r="BL154" s="581"/>
      <c r="BM154" s="582"/>
      <c r="BN154" s="581"/>
      <c r="BO154" s="581"/>
      <c r="BP154" s="430"/>
      <c r="BQ154" s="430"/>
      <c r="BR154" s="430"/>
      <c r="BS154" s="581"/>
      <c r="BT154" s="581"/>
      <c r="BU154" s="430"/>
      <c r="BV154" s="430"/>
      <c r="BW154" s="430"/>
      <c r="BX154" s="430"/>
      <c r="BY154" s="430"/>
      <c r="BZ154" s="430"/>
      <c r="CA154" s="430"/>
      <c r="CB154" s="430"/>
      <c r="CC154" s="430"/>
      <c r="CD154" s="430"/>
      <c r="CE154" s="430"/>
      <c r="CF154" s="430"/>
      <c r="CG154" s="430"/>
      <c r="CH154" s="430"/>
      <c r="CI154" s="430"/>
      <c r="CJ154" s="430"/>
      <c r="CK154" s="430"/>
      <c r="CL154" s="430"/>
    </row>
    <row r="155" spans="63:90" ht="14.25" customHeight="1">
      <c r="BK155" s="581"/>
      <c r="BL155" s="581"/>
      <c r="BM155" s="582"/>
      <c r="BN155" s="581"/>
      <c r="BO155" s="581"/>
      <c r="BP155" s="430"/>
      <c r="BQ155" s="430"/>
      <c r="BR155" s="430"/>
      <c r="BS155" s="581"/>
      <c r="BT155" s="581"/>
      <c r="BU155" s="430"/>
      <c r="BV155" s="430"/>
      <c r="BW155" s="430"/>
      <c r="BX155" s="430"/>
      <c r="BY155" s="430"/>
      <c r="BZ155" s="430"/>
      <c r="CA155" s="430"/>
      <c r="CB155" s="430"/>
      <c r="CC155" s="430"/>
      <c r="CD155" s="430"/>
      <c r="CE155" s="430"/>
      <c r="CF155" s="430"/>
      <c r="CG155" s="430"/>
      <c r="CH155" s="430"/>
      <c r="CI155" s="430"/>
      <c r="CJ155" s="430"/>
      <c r="CK155" s="430"/>
      <c r="CL155" s="430"/>
    </row>
    <row r="156" spans="63:90" ht="14.25" customHeight="1">
      <c r="BK156" s="581"/>
      <c r="BL156" s="581"/>
      <c r="BM156" s="582"/>
      <c r="BN156" s="581"/>
      <c r="BO156" s="581"/>
      <c r="BP156" s="430"/>
      <c r="BQ156" s="430"/>
      <c r="BR156" s="430"/>
      <c r="BS156" s="581"/>
      <c r="BT156" s="581"/>
      <c r="BU156" s="430"/>
      <c r="BV156" s="430"/>
      <c r="BW156" s="430"/>
      <c r="BX156" s="430"/>
      <c r="BY156" s="430"/>
      <c r="BZ156" s="430"/>
      <c r="CA156" s="430"/>
      <c r="CB156" s="430"/>
      <c r="CC156" s="430"/>
      <c r="CD156" s="430"/>
      <c r="CE156" s="430"/>
      <c r="CF156" s="430"/>
      <c r="CG156" s="430"/>
      <c r="CH156" s="430"/>
      <c r="CI156" s="430"/>
      <c r="CJ156" s="430"/>
      <c r="CK156" s="430"/>
      <c r="CL156" s="430"/>
    </row>
    <row r="157" spans="63:90" ht="14.25" customHeight="1">
      <c r="BK157" s="581"/>
      <c r="BL157" s="581"/>
      <c r="BM157" s="582"/>
      <c r="BN157" s="581"/>
      <c r="BO157" s="581"/>
      <c r="BP157" s="430"/>
      <c r="BQ157" s="430"/>
      <c r="BR157" s="430"/>
      <c r="BS157" s="581"/>
      <c r="BT157" s="581"/>
      <c r="BU157" s="430"/>
      <c r="BV157" s="430"/>
      <c r="BW157" s="430"/>
      <c r="BX157" s="430"/>
      <c r="BY157" s="430"/>
      <c r="BZ157" s="430"/>
      <c r="CA157" s="430"/>
      <c r="CB157" s="430"/>
      <c r="CC157" s="430"/>
      <c r="CD157" s="430"/>
      <c r="CE157" s="430"/>
      <c r="CF157" s="430"/>
      <c r="CG157" s="430"/>
      <c r="CH157" s="430"/>
      <c r="CI157" s="430"/>
      <c r="CJ157" s="430"/>
      <c r="CK157" s="430"/>
      <c r="CL157" s="430"/>
    </row>
    <row r="158" spans="63:90" ht="14.25" customHeight="1">
      <c r="BK158" s="581"/>
      <c r="BL158" s="581"/>
      <c r="BM158" s="582"/>
      <c r="BN158" s="581"/>
      <c r="BO158" s="581"/>
      <c r="BP158" s="430"/>
      <c r="BQ158" s="430"/>
      <c r="BR158" s="430"/>
      <c r="BS158" s="581"/>
      <c r="BT158" s="581"/>
      <c r="BU158" s="430"/>
      <c r="BV158" s="430"/>
      <c r="BW158" s="430"/>
      <c r="BX158" s="430"/>
      <c r="BY158" s="430"/>
      <c r="BZ158" s="430"/>
      <c r="CA158" s="430"/>
      <c r="CB158" s="430"/>
      <c r="CC158" s="430"/>
      <c r="CD158" s="430"/>
      <c r="CE158" s="430"/>
      <c r="CF158" s="430"/>
      <c r="CG158" s="430"/>
      <c r="CH158" s="430"/>
      <c r="CI158" s="430"/>
      <c r="CJ158" s="430"/>
      <c r="CK158" s="430"/>
      <c r="CL158" s="430"/>
    </row>
    <row r="159" spans="63:90" ht="14.25" customHeight="1">
      <c r="BK159" s="581"/>
      <c r="BL159" s="581"/>
      <c r="BM159" s="582"/>
      <c r="BN159" s="581"/>
      <c r="BO159" s="581"/>
      <c r="BP159" s="430"/>
      <c r="BQ159" s="430"/>
      <c r="BR159" s="430"/>
      <c r="BS159" s="581"/>
      <c r="BT159" s="581"/>
      <c r="BU159" s="430"/>
      <c r="BV159" s="430"/>
      <c r="BW159" s="430"/>
      <c r="BX159" s="430"/>
      <c r="BY159" s="430"/>
      <c r="BZ159" s="430"/>
      <c r="CA159" s="430"/>
      <c r="CB159" s="430"/>
      <c r="CC159" s="430"/>
      <c r="CD159" s="430"/>
      <c r="CE159" s="430"/>
      <c r="CF159" s="430"/>
      <c r="CG159" s="430"/>
      <c r="CH159" s="430"/>
      <c r="CI159" s="430"/>
      <c r="CJ159" s="430"/>
      <c r="CK159" s="430"/>
      <c r="CL159" s="430"/>
    </row>
    <row r="160" spans="63:90" ht="14.25" customHeight="1">
      <c r="BK160" s="581"/>
      <c r="BL160" s="581"/>
      <c r="BM160" s="582"/>
      <c r="BN160" s="581"/>
      <c r="BO160" s="581"/>
      <c r="BP160" s="430"/>
      <c r="BQ160" s="430"/>
      <c r="BR160" s="430"/>
      <c r="BS160" s="581"/>
      <c r="BT160" s="581"/>
      <c r="BU160" s="430"/>
      <c r="BV160" s="430"/>
      <c r="BW160" s="430"/>
      <c r="BX160" s="430"/>
      <c r="BY160" s="430"/>
      <c r="BZ160" s="430"/>
      <c r="CA160" s="430"/>
      <c r="CB160" s="430"/>
      <c r="CC160" s="430"/>
      <c r="CD160" s="430"/>
      <c r="CE160" s="430"/>
      <c r="CF160" s="430"/>
      <c r="CG160" s="430"/>
      <c r="CH160" s="430"/>
      <c r="CI160" s="430"/>
      <c r="CJ160" s="430"/>
      <c r="CK160" s="430"/>
      <c r="CL160" s="430"/>
    </row>
    <row r="161" spans="63:90" ht="14.25" customHeight="1">
      <c r="BK161" s="581"/>
      <c r="BL161" s="581"/>
      <c r="BM161" s="582"/>
      <c r="BN161" s="581"/>
      <c r="BO161" s="581"/>
      <c r="BP161" s="430"/>
      <c r="BQ161" s="430"/>
      <c r="BR161" s="430"/>
      <c r="BS161" s="581"/>
      <c r="BT161" s="581"/>
      <c r="BU161" s="430"/>
      <c r="BV161" s="430"/>
      <c r="BW161" s="430"/>
      <c r="BX161" s="430"/>
      <c r="BY161" s="430"/>
      <c r="BZ161" s="430"/>
      <c r="CA161" s="430"/>
      <c r="CB161" s="430"/>
      <c r="CC161" s="430"/>
      <c r="CD161" s="430"/>
      <c r="CE161" s="430"/>
      <c r="CF161" s="430"/>
      <c r="CG161" s="430"/>
      <c r="CH161" s="430"/>
      <c r="CI161" s="430"/>
      <c r="CJ161" s="430"/>
      <c r="CK161" s="430"/>
      <c r="CL161" s="430"/>
    </row>
    <row r="162" spans="63:90" ht="14.25" customHeight="1">
      <c r="BK162" s="581"/>
      <c r="BL162" s="581"/>
      <c r="BM162" s="582"/>
      <c r="BN162" s="581"/>
      <c r="BO162" s="581"/>
      <c r="BP162" s="430"/>
      <c r="BQ162" s="430"/>
      <c r="BR162" s="430"/>
      <c r="BS162" s="581"/>
      <c r="BT162" s="581"/>
      <c r="BU162" s="430"/>
      <c r="BV162" s="430"/>
      <c r="BW162" s="430"/>
      <c r="BX162" s="430"/>
      <c r="BY162" s="430"/>
      <c r="BZ162" s="430"/>
      <c r="CA162" s="430"/>
      <c r="CB162" s="430"/>
      <c r="CC162" s="430"/>
      <c r="CD162" s="430"/>
      <c r="CE162" s="430"/>
      <c r="CF162" s="430"/>
      <c r="CG162" s="430"/>
      <c r="CH162" s="430"/>
      <c r="CI162" s="430"/>
      <c r="CJ162" s="430"/>
      <c r="CK162" s="430"/>
      <c r="CL162" s="430"/>
    </row>
    <row r="163" spans="63:90" ht="14.25" customHeight="1">
      <c r="BK163" s="581"/>
      <c r="BL163" s="581"/>
      <c r="BM163" s="582"/>
      <c r="BN163" s="581"/>
      <c r="BO163" s="581"/>
      <c r="BP163" s="430"/>
      <c r="BQ163" s="430"/>
      <c r="BR163" s="430"/>
      <c r="BS163" s="581"/>
      <c r="BT163" s="581"/>
      <c r="BU163" s="430"/>
      <c r="BV163" s="430"/>
      <c r="BW163" s="430"/>
      <c r="BX163" s="430"/>
      <c r="BY163" s="430"/>
      <c r="BZ163" s="430"/>
      <c r="CA163" s="430"/>
      <c r="CB163" s="430"/>
      <c r="CC163" s="430"/>
      <c r="CD163" s="430"/>
      <c r="CE163" s="430"/>
      <c r="CF163" s="430"/>
      <c r="CG163" s="430"/>
      <c r="CH163" s="430"/>
      <c r="CI163" s="430"/>
      <c r="CJ163" s="430"/>
      <c r="CK163" s="430"/>
      <c r="CL163" s="430"/>
    </row>
    <row r="164" spans="63:90" ht="14.25" customHeight="1">
      <c r="BK164" s="581"/>
      <c r="BL164" s="581"/>
      <c r="BM164" s="582"/>
      <c r="BN164" s="581"/>
      <c r="BO164" s="581"/>
      <c r="BP164" s="430"/>
      <c r="BQ164" s="430"/>
      <c r="BR164" s="430"/>
      <c r="BS164" s="581"/>
      <c r="BT164" s="581"/>
      <c r="BU164" s="430"/>
      <c r="BV164" s="430"/>
      <c r="BW164" s="430"/>
      <c r="BX164" s="430"/>
      <c r="BY164" s="430"/>
      <c r="BZ164" s="430"/>
      <c r="CA164" s="430"/>
      <c r="CB164" s="430"/>
      <c r="CC164" s="430"/>
      <c r="CD164" s="430"/>
      <c r="CE164" s="430"/>
      <c r="CF164" s="430"/>
      <c r="CG164" s="430"/>
      <c r="CH164" s="430"/>
      <c r="CI164" s="430"/>
      <c r="CJ164" s="430"/>
      <c r="CK164" s="430"/>
      <c r="CL164" s="430"/>
    </row>
    <row r="165" spans="63:90" ht="14.25" customHeight="1">
      <c r="BK165" s="581"/>
      <c r="BL165" s="581"/>
      <c r="BM165" s="582"/>
      <c r="BN165" s="581"/>
      <c r="BO165" s="581"/>
      <c r="BP165" s="430"/>
      <c r="BQ165" s="430"/>
      <c r="BR165" s="430"/>
      <c r="BS165" s="581"/>
      <c r="BT165" s="581"/>
      <c r="BU165" s="430"/>
      <c r="BV165" s="430"/>
      <c r="BW165" s="430"/>
      <c r="BX165" s="430"/>
      <c r="BY165" s="430"/>
      <c r="BZ165" s="430"/>
      <c r="CA165" s="430"/>
      <c r="CB165" s="430"/>
      <c r="CC165" s="430"/>
      <c r="CD165" s="430"/>
      <c r="CE165" s="430"/>
      <c r="CF165" s="430"/>
      <c r="CG165" s="430"/>
      <c r="CH165" s="430"/>
      <c r="CI165" s="430"/>
      <c r="CJ165" s="430"/>
      <c r="CK165" s="430"/>
      <c r="CL165" s="430"/>
    </row>
    <row r="166" spans="63:90" ht="14.25" customHeight="1">
      <c r="BK166" s="581"/>
      <c r="BL166" s="581"/>
      <c r="BM166" s="582"/>
      <c r="BN166" s="581"/>
      <c r="BO166" s="581"/>
      <c r="BP166" s="430"/>
      <c r="BQ166" s="430"/>
      <c r="BR166" s="430"/>
      <c r="BS166" s="581"/>
      <c r="BT166" s="581"/>
      <c r="BU166" s="430"/>
      <c r="BV166" s="430"/>
      <c r="BW166" s="430"/>
      <c r="BX166" s="430"/>
      <c r="BY166" s="430"/>
      <c r="BZ166" s="430"/>
      <c r="CA166" s="430"/>
      <c r="CB166" s="430"/>
      <c r="CC166" s="430"/>
      <c r="CD166" s="430"/>
      <c r="CE166" s="430"/>
      <c r="CF166" s="430"/>
      <c r="CG166" s="430"/>
      <c r="CH166" s="430"/>
      <c r="CI166" s="430"/>
      <c r="CJ166" s="430"/>
      <c r="CK166" s="430"/>
      <c r="CL166" s="430"/>
    </row>
    <row r="167" spans="63:90" ht="14.25" customHeight="1">
      <c r="BK167" s="581"/>
      <c r="BL167" s="581"/>
      <c r="BM167" s="582"/>
      <c r="BN167" s="581"/>
      <c r="BO167" s="581"/>
      <c r="BP167" s="430"/>
      <c r="BQ167" s="430"/>
      <c r="BR167" s="430"/>
      <c r="BS167" s="581"/>
      <c r="BT167" s="581"/>
      <c r="BU167" s="430"/>
      <c r="BV167" s="430"/>
      <c r="BW167" s="430"/>
      <c r="BX167" s="430"/>
      <c r="BY167" s="430"/>
      <c r="BZ167" s="430"/>
      <c r="CA167" s="430"/>
      <c r="CB167" s="430"/>
      <c r="CC167" s="430"/>
      <c r="CD167" s="430"/>
      <c r="CE167" s="430"/>
      <c r="CF167" s="430"/>
      <c r="CG167" s="430"/>
      <c r="CH167" s="430"/>
      <c r="CI167" s="430"/>
      <c r="CJ167" s="430"/>
      <c r="CK167" s="430"/>
      <c r="CL167" s="430"/>
    </row>
    <row r="168" spans="63:90" ht="14.25" customHeight="1">
      <c r="BK168" s="581"/>
      <c r="BL168" s="581"/>
      <c r="BM168" s="582"/>
      <c r="BN168" s="581"/>
      <c r="BO168" s="581"/>
      <c r="BP168" s="430"/>
      <c r="BQ168" s="430"/>
      <c r="BR168" s="430"/>
      <c r="BS168" s="581"/>
      <c r="BT168" s="581"/>
      <c r="BU168" s="430"/>
      <c r="BV168" s="430"/>
      <c r="BW168" s="430"/>
      <c r="BX168" s="430"/>
      <c r="BY168" s="430"/>
      <c r="BZ168" s="430"/>
      <c r="CA168" s="430"/>
      <c r="CB168" s="430"/>
      <c r="CC168" s="430"/>
      <c r="CD168" s="430"/>
      <c r="CE168" s="430"/>
      <c r="CF168" s="430"/>
      <c r="CG168" s="430"/>
      <c r="CH168" s="430"/>
      <c r="CI168" s="430"/>
      <c r="CJ168" s="430"/>
      <c r="CK168" s="430"/>
      <c r="CL168" s="430"/>
    </row>
    <row r="169" spans="63:90" ht="14.25" customHeight="1">
      <c r="BK169" s="581"/>
      <c r="BL169" s="581"/>
      <c r="BM169" s="582"/>
      <c r="BN169" s="581"/>
      <c r="BO169" s="581"/>
      <c r="BP169" s="430"/>
      <c r="BQ169" s="430"/>
      <c r="BR169" s="430"/>
      <c r="BS169" s="581"/>
      <c r="BT169" s="581"/>
      <c r="BU169" s="430"/>
      <c r="BV169" s="430"/>
      <c r="BW169" s="430"/>
      <c r="BX169" s="430"/>
      <c r="BY169" s="430"/>
      <c r="BZ169" s="430"/>
      <c r="CA169" s="430"/>
      <c r="CB169" s="430"/>
      <c r="CC169" s="430"/>
      <c r="CD169" s="430"/>
      <c r="CE169" s="430"/>
      <c r="CF169" s="430"/>
      <c r="CG169" s="430"/>
      <c r="CH169" s="430"/>
      <c r="CI169" s="430"/>
      <c r="CJ169" s="430"/>
      <c r="CK169" s="430"/>
      <c r="CL169" s="430"/>
    </row>
    <row r="170" spans="63:90" ht="14.25" customHeight="1">
      <c r="BK170" s="581"/>
      <c r="BL170" s="581"/>
      <c r="BM170" s="582"/>
      <c r="BN170" s="581"/>
      <c r="BO170" s="581"/>
      <c r="BP170" s="430"/>
      <c r="BQ170" s="430"/>
      <c r="BR170" s="430"/>
      <c r="BS170" s="581"/>
      <c r="BT170" s="581"/>
      <c r="BU170" s="430"/>
      <c r="BV170" s="430"/>
      <c r="BW170" s="430"/>
      <c r="BX170" s="430"/>
      <c r="BY170" s="430"/>
      <c r="BZ170" s="430"/>
      <c r="CA170" s="430"/>
      <c r="CB170" s="430"/>
      <c r="CC170" s="430"/>
      <c r="CD170" s="430"/>
      <c r="CE170" s="430"/>
      <c r="CF170" s="430"/>
      <c r="CG170" s="430"/>
      <c r="CH170" s="430"/>
      <c r="CI170" s="430"/>
      <c r="CJ170" s="430"/>
      <c r="CK170" s="430"/>
      <c r="CL170" s="430"/>
    </row>
    <row r="171" spans="63:90" ht="14.25" customHeight="1">
      <c r="BK171" s="581"/>
      <c r="BL171" s="581"/>
      <c r="BM171" s="582"/>
      <c r="BN171" s="581"/>
      <c r="BO171" s="581"/>
      <c r="BP171" s="430"/>
      <c r="BQ171" s="430"/>
      <c r="BR171" s="430"/>
      <c r="BS171" s="581"/>
      <c r="BT171" s="581"/>
      <c r="BU171" s="430"/>
      <c r="BV171" s="430"/>
      <c r="BW171" s="430"/>
      <c r="BX171" s="430"/>
      <c r="BY171" s="430"/>
      <c r="BZ171" s="430"/>
      <c r="CA171" s="430"/>
      <c r="CB171" s="430"/>
      <c r="CC171" s="430"/>
      <c r="CD171" s="430"/>
      <c r="CE171" s="430"/>
      <c r="CF171" s="430"/>
      <c r="CG171" s="430"/>
      <c r="CH171" s="430"/>
      <c r="CI171" s="430"/>
      <c r="CJ171" s="430"/>
      <c r="CK171" s="430"/>
      <c r="CL171" s="430"/>
    </row>
    <row r="172" spans="63:90" ht="14.25" customHeight="1">
      <c r="BK172" s="581"/>
      <c r="BL172" s="581"/>
      <c r="BM172" s="582"/>
      <c r="BN172" s="581"/>
      <c r="BO172" s="581"/>
      <c r="BP172" s="430"/>
      <c r="BQ172" s="430"/>
      <c r="BR172" s="430"/>
      <c r="BS172" s="581"/>
      <c r="BT172" s="581"/>
      <c r="BU172" s="430"/>
      <c r="BV172" s="430"/>
      <c r="BW172" s="430"/>
      <c r="BX172" s="430"/>
      <c r="BY172" s="430"/>
      <c r="BZ172" s="430"/>
      <c r="CA172" s="430"/>
      <c r="CB172" s="430"/>
      <c r="CC172" s="430"/>
      <c r="CD172" s="430"/>
      <c r="CE172" s="430"/>
      <c r="CF172" s="430"/>
      <c r="CG172" s="430"/>
      <c r="CH172" s="430"/>
      <c r="CI172" s="430"/>
      <c r="CJ172" s="430"/>
      <c r="CK172" s="430"/>
      <c r="CL172" s="430"/>
    </row>
    <row r="173" spans="63:90" ht="14.25" customHeight="1">
      <c r="BK173" s="581"/>
      <c r="BL173" s="581"/>
      <c r="BM173" s="582"/>
      <c r="BN173" s="581"/>
      <c r="BO173" s="581"/>
      <c r="BP173" s="430"/>
      <c r="BQ173" s="430"/>
      <c r="BR173" s="430"/>
      <c r="BS173" s="581"/>
      <c r="BT173" s="581"/>
      <c r="BU173" s="430"/>
      <c r="BV173" s="430"/>
      <c r="BW173" s="430"/>
      <c r="BX173" s="430"/>
      <c r="BY173" s="430"/>
      <c r="BZ173" s="430"/>
      <c r="CA173" s="430"/>
      <c r="CB173" s="430"/>
      <c r="CC173" s="430"/>
      <c r="CD173" s="430"/>
      <c r="CE173" s="430"/>
      <c r="CF173" s="430"/>
      <c r="CG173" s="430"/>
      <c r="CH173" s="430"/>
      <c r="CI173" s="430"/>
      <c r="CJ173" s="430"/>
      <c r="CK173" s="430"/>
      <c r="CL173" s="430"/>
    </row>
    <row r="174" spans="63:90" ht="14.25" customHeight="1">
      <c r="BK174" s="581"/>
      <c r="BL174" s="581"/>
      <c r="BM174" s="582"/>
      <c r="BN174" s="581"/>
      <c r="BO174" s="581"/>
      <c r="BP174" s="430"/>
      <c r="BQ174" s="430"/>
      <c r="BR174" s="430"/>
      <c r="BS174" s="581"/>
      <c r="BT174" s="581"/>
      <c r="BU174" s="430"/>
      <c r="BV174" s="430"/>
      <c r="BW174" s="430"/>
      <c r="BX174" s="430"/>
      <c r="BY174" s="430"/>
      <c r="BZ174" s="430"/>
      <c r="CA174" s="430"/>
      <c r="CB174" s="430"/>
      <c r="CC174" s="430"/>
      <c r="CD174" s="430"/>
      <c r="CE174" s="430"/>
      <c r="CF174" s="430"/>
      <c r="CG174" s="430"/>
      <c r="CH174" s="430"/>
      <c r="CI174" s="430"/>
      <c r="CJ174" s="430"/>
      <c r="CK174" s="430"/>
      <c r="CL174" s="430"/>
    </row>
    <row r="175" spans="63:90" ht="14.25" customHeight="1">
      <c r="BK175" s="581"/>
      <c r="BL175" s="581"/>
      <c r="BM175" s="582"/>
      <c r="BN175" s="581"/>
      <c r="BO175" s="581"/>
      <c r="BP175" s="430"/>
      <c r="BQ175" s="430"/>
      <c r="BR175" s="430"/>
      <c r="BS175" s="581"/>
      <c r="BT175" s="581"/>
      <c r="BU175" s="430"/>
      <c r="BV175" s="430"/>
      <c r="BW175" s="430"/>
      <c r="BX175" s="430"/>
      <c r="BY175" s="430"/>
      <c r="BZ175" s="430"/>
      <c r="CA175" s="430"/>
      <c r="CB175" s="430"/>
      <c r="CC175" s="430"/>
      <c r="CD175" s="430"/>
      <c r="CE175" s="430"/>
      <c r="CF175" s="430"/>
      <c r="CG175" s="430"/>
      <c r="CH175" s="430"/>
      <c r="CI175" s="430"/>
      <c r="CJ175" s="430"/>
      <c r="CK175" s="430"/>
      <c r="CL175" s="430"/>
    </row>
    <row r="176" spans="63:90" ht="14.25" customHeight="1">
      <c r="BK176" s="581"/>
      <c r="BL176" s="581"/>
      <c r="BM176" s="582"/>
      <c r="BN176" s="581"/>
      <c r="BO176" s="581"/>
      <c r="BP176" s="430"/>
      <c r="BQ176" s="430"/>
      <c r="BR176" s="430"/>
      <c r="BS176" s="581"/>
      <c r="BT176" s="581"/>
      <c r="BU176" s="430"/>
      <c r="BV176" s="430"/>
      <c r="BW176" s="430"/>
      <c r="BX176" s="430"/>
      <c r="BY176" s="430"/>
      <c r="BZ176" s="430"/>
      <c r="CA176" s="430"/>
      <c r="CB176" s="430"/>
      <c r="CC176" s="430"/>
      <c r="CD176" s="430"/>
      <c r="CE176" s="430"/>
      <c r="CF176" s="430"/>
      <c r="CG176" s="430"/>
      <c r="CH176" s="430"/>
      <c r="CI176" s="430"/>
      <c r="CJ176" s="430"/>
      <c r="CK176" s="430"/>
      <c r="CL176" s="430"/>
    </row>
    <row r="177" spans="63:90" ht="14.25" customHeight="1">
      <c r="BK177" s="581"/>
      <c r="BL177" s="581"/>
      <c r="BM177" s="582"/>
      <c r="BN177" s="581"/>
      <c r="BO177" s="581"/>
      <c r="BP177" s="430"/>
      <c r="BQ177" s="430"/>
      <c r="BR177" s="430"/>
      <c r="BS177" s="581"/>
      <c r="BT177" s="581"/>
      <c r="BU177" s="430"/>
      <c r="BV177" s="430"/>
      <c r="BW177" s="430"/>
      <c r="BX177" s="430"/>
      <c r="BY177" s="430"/>
      <c r="BZ177" s="430"/>
      <c r="CA177" s="430"/>
      <c r="CB177" s="430"/>
      <c r="CC177" s="430"/>
      <c r="CD177" s="430"/>
      <c r="CE177" s="430"/>
      <c r="CF177" s="430"/>
      <c r="CG177" s="430"/>
      <c r="CH177" s="430"/>
      <c r="CI177" s="430"/>
      <c r="CJ177" s="430"/>
      <c r="CK177" s="430"/>
      <c r="CL177" s="430"/>
    </row>
    <row r="178" spans="63:90" ht="14.25" customHeight="1">
      <c r="BK178" s="581"/>
      <c r="BL178" s="581"/>
      <c r="BM178" s="582"/>
      <c r="BN178" s="581"/>
      <c r="BO178" s="581"/>
      <c r="BP178" s="430"/>
      <c r="BQ178" s="430"/>
      <c r="BR178" s="430"/>
      <c r="BS178" s="581"/>
      <c r="BT178" s="581"/>
      <c r="BU178" s="430"/>
      <c r="BV178" s="430"/>
      <c r="BW178" s="430"/>
      <c r="BX178" s="430"/>
      <c r="BY178" s="430"/>
      <c r="BZ178" s="430"/>
      <c r="CA178" s="430"/>
      <c r="CB178" s="430"/>
      <c r="CC178" s="430"/>
      <c r="CD178" s="430"/>
      <c r="CE178" s="430"/>
      <c r="CF178" s="430"/>
      <c r="CG178" s="430"/>
      <c r="CH178" s="430"/>
      <c r="CI178" s="430"/>
      <c r="CJ178" s="430"/>
      <c r="CK178" s="430"/>
      <c r="CL178" s="430"/>
    </row>
    <row r="179" spans="63:90" ht="14.25" customHeight="1">
      <c r="BK179" s="581"/>
      <c r="BL179" s="581"/>
      <c r="BM179" s="582"/>
      <c r="BN179" s="581"/>
      <c r="BO179" s="581"/>
      <c r="BP179" s="430"/>
      <c r="BQ179" s="430"/>
      <c r="BR179" s="430"/>
      <c r="BS179" s="581"/>
      <c r="BT179" s="581"/>
      <c r="BU179" s="430"/>
      <c r="BV179" s="430"/>
      <c r="BW179" s="430"/>
      <c r="BX179" s="430"/>
      <c r="BY179" s="430"/>
      <c r="BZ179" s="430"/>
      <c r="CA179" s="430"/>
      <c r="CB179" s="430"/>
      <c r="CC179" s="430"/>
      <c r="CD179" s="430"/>
      <c r="CE179" s="430"/>
      <c r="CF179" s="430"/>
      <c r="CG179" s="430"/>
      <c r="CH179" s="430"/>
      <c r="CI179" s="430"/>
      <c r="CJ179" s="430"/>
      <c r="CK179" s="430"/>
      <c r="CL179" s="430"/>
    </row>
    <row r="180" spans="63:90" ht="14.25" customHeight="1">
      <c r="BK180" s="581"/>
      <c r="BL180" s="581"/>
      <c r="BM180" s="582"/>
      <c r="BN180" s="581"/>
      <c r="BO180" s="581"/>
      <c r="BP180" s="430"/>
      <c r="BQ180" s="430"/>
      <c r="BR180" s="430"/>
      <c r="BS180" s="581"/>
      <c r="BT180" s="581"/>
      <c r="BU180" s="430"/>
      <c r="BV180" s="430"/>
      <c r="BW180" s="430"/>
      <c r="BX180" s="430"/>
      <c r="BY180" s="430"/>
      <c r="BZ180" s="430"/>
      <c r="CA180" s="430"/>
      <c r="CB180" s="430"/>
      <c r="CC180" s="430"/>
      <c r="CD180" s="430"/>
      <c r="CE180" s="430"/>
      <c r="CF180" s="430"/>
      <c r="CG180" s="430"/>
      <c r="CH180" s="430"/>
      <c r="CI180" s="430"/>
      <c r="CJ180" s="430"/>
      <c r="CK180" s="430"/>
      <c r="CL180" s="430"/>
    </row>
    <row r="181" spans="63:90" ht="14.25" customHeight="1">
      <c r="BK181" s="581"/>
      <c r="BL181" s="581"/>
      <c r="BM181" s="582"/>
      <c r="BN181" s="581"/>
      <c r="BO181" s="581"/>
      <c r="BP181" s="430"/>
      <c r="BQ181" s="430"/>
      <c r="BR181" s="430"/>
      <c r="BS181" s="581"/>
      <c r="BT181" s="581"/>
      <c r="BU181" s="430"/>
      <c r="BV181" s="430"/>
      <c r="BW181" s="430"/>
      <c r="BX181" s="430"/>
      <c r="BY181" s="430"/>
      <c r="BZ181" s="430"/>
      <c r="CA181" s="430"/>
      <c r="CB181" s="430"/>
      <c r="CC181" s="430"/>
      <c r="CD181" s="430"/>
      <c r="CE181" s="430"/>
      <c r="CF181" s="430"/>
      <c r="CG181" s="430"/>
      <c r="CH181" s="430"/>
      <c r="CI181" s="430"/>
      <c r="CJ181" s="430"/>
      <c r="CK181" s="430"/>
      <c r="CL181" s="430"/>
    </row>
    <row r="182" spans="63:90" ht="14.25" customHeight="1">
      <c r="BK182" s="581"/>
      <c r="BL182" s="581"/>
      <c r="BM182" s="582"/>
      <c r="BN182" s="581"/>
      <c r="BO182" s="581"/>
      <c r="BP182" s="430"/>
      <c r="BQ182" s="430"/>
      <c r="BR182" s="430"/>
      <c r="BS182" s="581"/>
      <c r="BT182" s="581"/>
      <c r="BU182" s="430"/>
      <c r="BV182" s="430"/>
      <c r="BW182" s="430"/>
      <c r="BX182" s="430"/>
      <c r="BY182" s="430"/>
      <c r="BZ182" s="430"/>
      <c r="CA182" s="430"/>
      <c r="CB182" s="430"/>
      <c r="CC182" s="430"/>
      <c r="CD182" s="430"/>
      <c r="CE182" s="430"/>
      <c r="CF182" s="430"/>
      <c r="CG182" s="430"/>
      <c r="CH182" s="430"/>
      <c r="CI182" s="430"/>
      <c r="CJ182" s="430"/>
      <c r="CK182" s="430"/>
      <c r="CL182" s="430"/>
    </row>
    <row r="183" spans="63:90" ht="14.25" customHeight="1">
      <c r="BK183" s="581"/>
      <c r="BL183" s="581"/>
      <c r="BM183" s="582"/>
      <c r="BN183" s="581"/>
      <c r="BO183" s="581"/>
      <c r="BP183" s="430"/>
      <c r="BQ183" s="430"/>
      <c r="BR183" s="430"/>
      <c r="BS183" s="581"/>
      <c r="BT183" s="581"/>
      <c r="BU183" s="430"/>
      <c r="BV183" s="430"/>
      <c r="BW183" s="430"/>
      <c r="BX183" s="430"/>
      <c r="BY183" s="430"/>
      <c r="BZ183" s="430"/>
      <c r="CA183" s="430"/>
      <c r="CB183" s="430"/>
      <c r="CC183" s="430"/>
      <c r="CD183" s="430"/>
      <c r="CE183" s="430"/>
      <c r="CF183" s="430"/>
      <c r="CG183" s="430"/>
      <c r="CH183" s="430"/>
      <c r="CI183" s="430"/>
      <c r="CJ183" s="430"/>
      <c r="CK183" s="430"/>
      <c r="CL183" s="430"/>
    </row>
    <row r="184" spans="63:90" ht="14.25" customHeight="1">
      <c r="BK184" s="581"/>
      <c r="BL184" s="581"/>
      <c r="BM184" s="582"/>
      <c r="BN184" s="581"/>
      <c r="BO184" s="581"/>
      <c r="BP184" s="430"/>
      <c r="BQ184" s="430"/>
      <c r="BR184" s="430"/>
      <c r="BS184" s="581"/>
      <c r="BT184" s="581"/>
      <c r="BU184" s="430"/>
      <c r="BV184" s="430"/>
      <c r="BW184" s="430"/>
      <c r="BX184" s="430"/>
      <c r="BY184" s="430"/>
      <c r="BZ184" s="430"/>
      <c r="CA184" s="430"/>
      <c r="CB184" s="430"/>
      <c r="CC184" s="430"/>
      <c r="CD184" s="430"/>
      <c r="CE184" s="430"/>
      <c r="CF184" s="430"/>
      <c r="CG184" s="430"/>
      <c r="CH184" s="430"/>
      <c r="CI184" s="430"/>
      <c r="CJ184" s="430"/>
      <c r="CK184" s="430"/>
      <c r="CL184" s="430"/>
    </row>
    <row r="185" spans="63:90" ht="14.25" customHeight="1">
      <c r="BK185" s="581"/>
      <c r="BL185" s="581"/>
      <c r="BM185" s="582"/>
      <c r="BN185" s="581"/>
      <c r="BO185" s="581"/>
      <c r="BP185" s="430"/>
      <c r="BQ185" s="430"/>
      <c r="BR185" s="430"/>
      <c r="BS185" s="581"/>
      <c r="BT185" s="581"/>
      <c r="BU185" s="430"/>
      <c r="BV185" s="430"/>
      <c r="BW185" s="430"/>
      <c r="BX185" s="430"/>
      <c r="BY185" s="430"/>
      <c r="BZ185" s="430"/>
      <c r="CA185" s="430"/>
      <c r="CB185" s="430"/>
      <c r="CC185" s="430"/>
      <c r="CD185" s="430"/>
      <c r="CE185" s="430"/>
      <c r="CF185" s="430"/>
      <c r="CG185" s="430"/>
      <c r="CH185" s="430"/>
      <c r="CI185" s="430"/>
      <c r="CJ185" s="430"/>
      <c r="CK185" s="430"/>
      <c r="CL185" s="430"/>
    </row>
    <row r="186" spans="63:90" ht="14.25" customHeight="1">
      <c r="BK186" s="581"/>
      <c r="BL186" s="581"/>
      <c r="BM186" s="582"/>
      <c r="BN186" s="581"/>
      <c r="BO186" s="581"/>
      <c r="BP186" s="430"/>
      <c r="BQ186" s="430"/>
      <c r="BR186" s="430"/>
      <c r="BS186" s="581"/>
      <c r="BT186" s="581"/>
      <c r="BU186" s="430"/>
      <c r="BV186" s="430"/>
      <c r="BW186" s="430"/>
      <c r="BX186" s="430"/>
      <c r="BY186" s="430"/>
      <c r="BZ186" s="430"/>
      <c r="CA186" s="430"/>
      <c r="CB186" s="430"/>
      <c r="CC186" s="430"/>
      <c r="CD186" s="430"/>
      <c r="CE186" s="430"/>
      <c r="CF186" s="430"/>
      <c r="CG186" s="430"/>
      <c r="CH186" s="430"/>
      <c r="CI186" s="430"/>
      <c r="CJ186" s="430"/>
      <c r="CK186" s="430"/>
      <c r="CL186" s="430"/>
    </row>
    <row r="187" spans="63:90" ht="14.25" customHeight="1">
      <c r="BK187" s="581"/>
      <c r="BL187" s="581"/>
      <c r="BM187" s="582"/>
      <c r="BN187" s="581"/>
      <c r="BO187" s="581"/>
      <c r="BP187" s="430"/>
      <c r="BQ187" s="430"/>
      <c r="BR187" s="430"/>
      <c r="BS187" s="581"/>
      <c r="BT187" s="581"/>
      <c r="BU187" s="430"/>
      <c r="BV187" s="430"/>
      <c r="BW187" s="430"/>
      <c r="BX187" s="430"/>
      <c r="BY187" s="430"/>
      <c r="BZ187" s="430"/>
      <c r="CA187" s="430"/>
      <c r="CB187" s="430"/>
      <c r="CC187" s="430"/>
      <c r="CD187" s="430"/>
      <c r="CE187" s="430"/>
      <c r="CF187" s="430"/>
      <c r="CG187" s="430"/>
      <c r="CH187" s="430"/>
      <c r="CI187" s="430"/>
      <c r="CJ187" s="430"/>
      <c r="CK187" s="430"/>
      <c r="CL187" s="430"/>
    </row>
    <row r="188" spans="63:90" ht="14.25" customHeight="1">
      <c r="BK188" s="581"/>
      <c r="BL188" s="581"/>
      <c r="BM188" s="582"/>
      <c r="BN188" s="581"/>
      <c r="BO188" s="581"/>
      <c r="BP188" s="430"/>
      <c r="BQ188" s="430"/>
      <c r="BR188" s="430"/>
      <c r="BS188" s="581"/>
      <c r="BT188" s="581"/>
      <c r="BU188" s="430"/>
      <c r="BV188" s="430"/>
      <c r="BW188" s="430"/>
      <c r="BX188" s="430"/>
      <c r="BY188" s="430"/>
      <c r="BZ188" s="430"/>
      <c r="CA188" s="430"/>
      <c r="CB188" s="430"/>
      <c r="CC188" s="430"/>
      <c r="CD188" s="430"/>
      <c r="CE188" s="430"/>
      <c r="CF188" s="430"/>
      <c r="CG188" s="430"/>
      <c r="CH188" s="430"/>
      <c r="CI188" s="430"/>
      <c r="CJ188" s="430"/>
      <c r="CK188" s="430"/>
      <c r="CL188" s="430"/>
    </row>
    <row r="189" spans="63:90" ht="14.25" customHeight="1">
      <c r="BK189" s="581"/>
      <c r="BL189" s="581"/>
      <c r="BM189" s="582"/>
      <c r="BN189" s="581"/>
      <c r="BO189" s="581"/>
      <c r="BP189" s="430"/>
      <c r="BQ189" s="430"/>
      <c r="BR189" s="430"/>
      <c r="BS189" s="581"/>
      <c r="BT189" s="581"/>
      <c r="BU189" s="430"/>
      <c r="BV189" s="430"/>
      <c r="BW189" s="430"/>
      <c r="BX189" s="430"/>
      <c r="BY189" s="430"/>
      <c r="BZ189" s="430"/>
      <c r="CA189" s="430"/>
      <c r="CB189" s="430"/>
      <c r="CC189" s="430"/>
      <c r="CD189" s="430"/>
      <c r="CE189" s="430"/>
      <c r="CF189" s="430"/>
      <c r="CG189" s="430"/>
      <c r="CH189" s="430"/>
      <c r="CI189" s="430"/>
      <c r="CJ189" s="430"/>
      <c r="CK189" s="430"/>
      <c r="CL189" s="430"/>
    </row>
    <row r="190" spans="63:90" ht="14.25" customHeight="1">
      <c r="BK190" s="581"/>
      <c r="BL190" s="581"/>
      <c r="BM190" s="582"/>
      <c r="BN190" s="581"/>
      <c r="BO190" s="581"/>
      <c r="BP190" s="430"/>
      <c r="BQ190" s="430"/>
      <c r="BR190" s="430"/>
      <c r="BS190" s="581"/>
      <c r="BT190" s="581"/>
      <c r="BU190" s="430"/>
      <c r="BV190" s="430"/>
      <c r="BW190" s="430"/>
      <c r="BX190" s="430"/>
      <c r="BY190" s="430"/>
      <c r="BZ190" s="430"/>
      <c r="CA190" s="430"/>
      <c r="CB190" s="430"/>
      <c r="CC190" s="430"/>
      <c r="CD190" s="430"/>
      <c r="CE190" s="430"/>
      <c r="CF190" s="430"/>
      <c r="CG190" s="430"/>
      <c r="CH190" s="430"/>
      <c r="CI190" s="430"/>
      <c r="CJ190" s="430"/>
      <c r="CK190" s="430"/>
      <c r="CL190" s="430"/>
    </row>
    <row r="191" spans="63:90" ht="14.25" customHeight="1">
      <c r="BK191" s="581"/>
      <c r="BL191" s="581"/>
      <c r="BM191" s="582"/>
      <c r="BN191" s="581"/>
      <c r="BO191" s="581"/>
      <c r="BP191" s="430"/>
      <c r="BQ191" s="430"/>
      <c r="BR191" s="430"/>
      <c r="BS191" s="581"/>
      <c r="BT191" s="581"/>
      <c r="BU191" s="430"/>
      <c r="BV191" s="430"/>
      <c r="BW191" s="430"/>
      <c r="BX191" s="430"/>
      <c r="BY191" s="430"/>
      <c r="BZ191" s="430"/>
      <c r="CA191" s="430"/>
      <c r="CB191" s="430"/>
      <c r="CC191" s="430"/>
      <c r="CD191" s="430"/>
      <c r="CE191" s="430"/>
      <c r="CF191" s="430"/>
      <c r="CG191" s="430"/>
      <c r="CH191" s="430"/>
      <c r="CI191" s="430"/>
      <c r="CJ191" s="430"/>
      <c r="CK191" s="430"/>
      <c r="CL191" s="430"/>
    </row>
    <row r="192" spans="63:90" ht="14.25" customHeight="1">
      <c r="BK192" s="581"/>
      <c r="BL192" s="581"/>
      <c r="BM192" s="582"/>
      <c r="BN192" s="581"/>
      <c r="BO192" s="581"/>
      <c r="BP192" s="430"/>
      <c r="BQ192" s="430"/>
      <c r="BR192" s="430"/>
      <c r="BS192" s="581"/>
      <c r="BT192" s="581"/>
      <c r="BU192" s="430"/>
      <c r="BV192" s="430"/>
      <c r="BW192" s="430"/>
      <c r="BX192" s="430"/>
      <c r="BY192" s="430"/>
      <c r="BZ192" s="430"/>
      <c r="CA192" s="430"/>
      <c r="CB192" s="430"/>
      <c r="CC192" s="430"/>
      <c r="CD192" s="430"/>
      <c r="CE192" s="430"/>
      <c r="CF192" s="430"/>
      <c r="CG192" s="430"/>
      <c r="CH192" s="430"/>
      <c r="CI192" s="430"/>
      <c r="CJ192" s="430"/>
      <c r="CK192" s="430"/>
      <c r="CL192" s="430"/>
    </row>
    <row r="193" spans="63:90" ht="14.25" customHeight="1">
      <c r="BK193" s="581"/>
      <c r="BL193" s="581"/>
      <c r="BM193" s="582"/>
      <c r="BN193" s="581"/>
      <c r="BO193" s="581"/>
      <c r="BP193" s="430"/>
      <c r="BQ193" s="430"/>
      <c r="BR193" s="430"/>
      <c r="BS193" s="581"/>
      <c r="BT193" s="581"/>
      <c r="BU193" s="430"/>
      <c r="BV193" s="430"/>
      <c r="BW193" s="430"/>
      <c r="BX193" s="430"/>
      <c r="BY193" s="430"/>
      <c r="BZ193" s="430"/>
      <c r="CA193" s="430"/>
      <c r="CB193" s="430"/>
      <c r="CC193" s="430"/>
      <c r="CD193" s="430"/>
      <c r="CE193" s="430"/>
      <c r="CF193" s="430"/>
      <c r="CG193" s="430"/>
      <c r="CH193" s="430"/>
      <c r="CI193" s="430"/>
      <c r="CJ193" s="430"/>
      <c r="CK193" s="430"/>
      <c r="CL193" s="430"/>
    </row>
    <row r="194" spans="63:90" ht="14.25" customHeight="1">
      <c r="BK194" s="581"/>
      <c r="BL194" s="581"/>
      <c r="BM194" s="582"/>
      <c r="BN194" s="581"/>
      <c r="BO194" s="581"/>
      <c r="BP194" s="430"/>
      <c r="BQ194" s="430"/>
      <c r="BR194" s="430"/>
      <c r="BS194" s="581"/>
      <c r="BT194" s="581"/>
      <c r="BU194" s="430"/>
      <c r="BV194" s="430"/>
      <c r="BW194" s="430"/>
      <c r="BX194" s="430"/>
      <c r="BY194" s="430"/>
      <c r="BZ194" s="430"/>
      <c r="CA194" s="430"/>
      <c r="CB194" s="430"/>
      <c r="CC194" s="430"/>
      <c r="CD194" s="430"/>
      <c r="CE194" s="430"/>
      <c r="CF194" s="430"/>
      <c r="CG194" s="430"/>
      <c r="CH194" s="430"/>
      <c r="CI194" s="430"/>
      <c r="CJ194" s="430"/>
      <c r="CK194" s="430"/>
      <c r="CL194" s="430"/>
    </row>
    <row r="195" spans="63:90" ht="14.25" customHeight="1">
      <c r="BK195" s="581"/>
      <c r="BL195" s="581"/>
      <c r="BM195" s="582"/>
      <c r="BN195" s="581"/>
      <c r="BO195" s="581"/>
      <c r="BP195" s="430"/>
      <c r="BQ195" s="430"/>
      <c r="BR195" s="430"/>
      <c r="BS195" s="581"/>
      <c r="BT195" s="581"/>
      <c r="BU195" s="430"/>
      <c r="BV195" s="430"/>
      <c r="BW195" s="430"/>
      <c r="BX195" s="430"/>
      <c r="BY195" s="430"/>
      <c r="BZ195" s="430"/>
      <c r="CA195" s="430"/>
      <c r="CB195" s="430"/>
      <c r="CC195" s="430"/>
      <c r="CD195" s="430"/>
      <c r="CE195" s="430"/>
      <c r="CF195" s="430"/>
      <c r="CG195" s="430"/>
      <c r="CH195" s="430"/>
      <c r="CI195" s="430"/>
      <c r="CJ195" s="430"/>
      <c r="CK195" s="430"/>
      <c r="CL195" s="430"/>
    </row>
    <row r="196" spans="63:90" ht="14.25" customHeight="1">
      <c r="BK196" s="581"/>
      <c r="BL196" s="581"/>
      <c r="BM196" s="582"/>
      <c r="BN196" s="581"/>
      <c r="BO196" s="581"/>
      <c r="BP196" s="430"/>
      <c r="BQ196" s="430"/>
      <c r="BR196" s="430"/>
      <c r="BS196" s="581"/>
      <c r="BT196" s="581"/>
      <c r="BU196" s="430"/>
      <c r="BV196" s="430"/>
      <c r="BW196" s="430"/>
      <c r="BX196" s="430"/>
      <c r="BY196" s="430"/>
      <c r="BZ196" s="430"/>
      <c r="CA196" s="430"/>
      <c r="CB196" s="430"/>
      <c r="CC196" s="430"/>
      <c r="CD196" s="430"/>
      <c r="CE196" s="430"/>
      <c r="CF196" s="430"/>
      <c r="CG196" s="430"/>
      <c r="CH196" s="430"/>
      <c r="CI196" s="430"/>
      <c r="CJ196" s="430"/>
      <c r="CK196" s="430"/>
      <c r="CL196" s="430"/>
    </row>
    <row r="197" spans="63:90" ht="14.25" customHeight="1">
      <c r="BK197" s="581"/>
      <c r="BL197" s="581"/>
      <c r="BM197" s="582"/>
      <c r="BN197" s="581"/>
      <c r="BO197" s="581"/>
      <c r="BP197" s="430"/>
      <c r="BQ197" s="430"/>
      <c r="BR197" s="430"/>
      <c r="BS197" s="581"/>
      <c r="BT197" s="581"/>
      <c r="BU197" s="430"/>
      <c r="BV197" s="430"/>
      <c r="BW197" s="430"/>
      <c r="BX197" s="430"/>
      <c r="BY197" s="430"/>
      <c r="BZ197" s="430"/>
      <c r="CA197" s="430"/>
      <c r="CB197" s="430"/>
      <c r="CC197" s="430"/>
      <c r="CD197" s="430"/>
      <c r="CE197" s="430"/>
      <c r="CF197" s="430"/>
      <c r="CG197" s="430"/>
      <c r="CH197" s="430"/>
      <c r="CI197" s="430"/>
      <c r="CJ197" s="430"/>
      <c r="CK197" s="430"/>
      <c r="CL197" s="430"/>
    </row>
    <row r="198" spans="63:90" ht="14.25" customHeight="1">
      <c r="BK198" s="581"/>
      <c r="BL198" s="581"/>
      <c r="BM198" s="582"/>
      <c r="BN198" s="581"/>
      <c r="BO198" s="581"/>
      <c r="BP198" s="430"/>
      <c r="BQ198" s="430"/>
      <c r="BR198" s="430"/>
      <c r="BS198" s="581"/>
      <c r="BT198" s="581"/>
      <c r="BU198" s="430"/>
      <c r="BV198" s="430"/>
      <c r="BW198" s="430"/>
      <c r="BX198" s="430"/>
      <c r="BY198" s="430"/>
      <c r="BZ198" s="430"/>
      <c r="CA198" s="430"/>
      <c r="CB198" s="430"/>
      <c r="CC198" s="430"/>
      <c r="CD198" s="430"/>
      <c r="CE198" s="430"/>
      <c r="CF198" s="430"/>
      <c r="CG198" s="430"/>
      <c r="CH198" s="430"/>
      <c r="CI198" s="430"/>
      <c r="CJ198" s="430"/>
      <c r="CK198" s="430"/>
      <c r="CL198" s="430"/>
    </row>
    <row r="199" spans="63:90" ht="14.25" customHeight="1">
      <c r="BK199" s="581"/>
      <c r="BL199" s="581"/>
      <c r="BM199" s="582"/>
      <c r="BN199" s="581"/>
      <c r="BO199" s="581"/>
      <c r="BP199" s="430"/>
      <c r="BQ199" s="430"/>
      <c r="BR199" s="430"/>
      <c r="BS199" s="581"/>
      <c r="BT199" s="581"/>
      <c r="BU199" s="430"/>
      <c r="BV199" s="430"/>
      <c r="BW199" s="430"/>
      <c r="BX199" s="430"/>
      <c r="BY199" s="430"/>
      <c r="BZ199" s="430"/>
      <c r="CA199" s="430"/>
      <c r="CB199" s="430"/>
      <c r="CC199" s="430"/>
      <c r="CD199" s="430"/>
      <c r="CE199" s="430"/>
      <c r="CF199" s="430"/>
      <c r="CG199" s="430"/>
      <c r="CH199" s="430"/>
      <c r="CI199" s="430"/>
      <c r="CJ199" s="430"/>
      <c r="CK199" s="430"/>
      <c r="CL199" s="430"/>
    </row>
    <row r="200" spans="63:90" ht="14.25" customHeight="1">
      <c r="BK200" s="581"/>
      <c r="BL200" s="581"/>
      <c r="BM200" s="582"/>
      <c r="BN200" s="581"/>
      <c r="BO200" s="581"/>
      <c r="BP200" s="430"/>
      <c r="BQ200" s="430"/>
      <c r="BR200" s="430"/>
      <c r="BS200" s="581"/>
      <c r="BT200" s="581"/>
      <c r="BU200" s="430"/>
      <c r="BV200" s="430"/>
      <c r="BW200" s="430"/>
      <c r="BX200" s="430"/>
      <c r="BY200" s="430"/>
      <c r="BZ200" s="430"/>
      <c r="CA200" s="430"/>
      <c r="CB200" s="430"/>
      <c r="CC200" s="430"/>
      <c r="CD200" s="430"/>
      <c r="CE200" s="430"/>
      <c r="CF200" s="430"/>
      <c r="CG200" s="430"/>
      <c r="CH200" s="430"/>
      <c r="CI200" s="430"/>
      <c r="CJ200" s="430"/>
      <c r="CK200" s="430"/>
      <c r="CL200" s="430"/>
    </row>
    <row r="201" spans="63:90" ht="14.25" customHeight="1">
      <c r="BK201" s="581"/>
      <c r="BL201" s="581"/>
      <c r="BM201" s="582"/>
      <c r="BN201" s="581"/>
      <c r="BO201" s="581"/>
      <c r="BP201" s="430"/>
      <c r="BQ201" s="430"/>
      <c r="BR201" s="430"/>
      <c r="BS201" s="581"/>
      <c r="BT201" s="581"/>
      <c r="BU201" s="430"/>
      <c r="BV201" s="430"/>
      <c r="BW201" s="430"/>
      <c r="BX201" s="430"/>
      <c r="BY201" s="430"/>
      <c r="BZ201" s="430"/>
      <c r="CA201" s="430"/>
      <c r="CB201" s="430"/>
      <c r="CC201" s="430"/>
      <c r="CD201" s="430"/>
      <c r="CE201" s="430"/>
      <c r="CF201" s="430"/>
      <c r="CG201" s="430"/>
      <c r="CH201" s="430"/>
      <c r="CI201" s="430"/>
      <c r="CJ201" s="430"/>
      <c r="CK201" s="430"/>
      <c r="CL201" s="430"/>
    </row>
    <row r="202" spans="63:90" ht="14.25" customHeight="1">
      <c r="BK202" s="581"/>
      <c r="BL202" s="581"/>
      <c r="BM202" s="582"/>
      <c r="BN202" s="581"/>
      <c r="BO202" s="581"/>
      <c r="BP202" s="430"/>
      <c r="BQ202" s="430"/>
      <c r="BR202" s="430"/>
      <c r="BS202" s="581"/>
      <c r="BT202" s="581"/>
      <c r="BU202" s="430"/>
      <c r="BV202" s="430"/>
      <c r="BW202" s="430"/>
      <c r="BX202" s="430"/>
      <c r="BY202" s="430"/>
      <c r="BZ202" s="430"/>
      <c r="CA202" s="430"/>
      <c r="CB202" s="430"/>
      <c r="CC202" s="430"/>
      <c r="CD202" s="430"/>
      <c r="CE202" s="430"/>
      <c r="CF202" s="430"/>
      <c r="CG202" s="430"/>
      <c r="CH202" s="430"/>
      <c r="CI202" s="430"/>
      <c r="CJ202" s="430"/>
      <c r="CK202" s="430"/>
      <c r="CL202" s="430"/>
    </row>
    <row r="203" spans="63:90" ht="14.25" customHeight="1">
      <c r="BK203" s="581"/>
      <c r="BL203" s="581"/>
      <c r="BM203" s="582"/>
      <c r="BN203" s="581"/>
      <c r="BO203" s="581"/>
      <c r="BP203" s="430"/>
      <c r="BQ203" s="430"/>
      <c r="BR203" s="430"/>
      <c r="BS203" s="581"/>
      <c r="BT203" s="581"/>
      <c r="BU203" s="430"/>
      <c r="BV203" s="430"/>
      <c r="BW203" s="430"/>
      <c r="BX203" s="430"/>
      <c r="BY203" s="430"/>
      <c r="BZ203" s="430"/>
      <c r="CA203" s="430"/>
      <c r="CB203" s="430"/>
      <c r="CC203" s="430"/>
      <c r="CD203" s="430"/>
      <c r="CE203" s="430"/>
      <c r="CF203" s="430"/>
      <c r="CG203" s="430"/>
      <c r="CH203" s="430"/>
      <c r="CI203" s="430"/>
      <c r="CJ203" s="430"/>
      <c r="CK203" s="430"/>
      <c r="CL203" s="430"/>
    </row>
    <row r="204" spans="63:90" ht="14.25" customHeight="1">
      <c r="BK204" s="581"/>
      <c r="BL204" s="581"/>
      <c r="BM204" s="582"/>
      <c r="BN204" s="581"/>
      <c r="BO204" s="581"/>
      <c r="BP204" s="430"/>
      <c r="BQ204" s="430"/>
      <c r="BR204" s="430"/>
      <c r="BS204" s="581"/>
      <c r="BT204" s="581"/>
      <c r="BU204" s="430"/>
      <c r="BV204" s="430"/>
      <c r="BW204" s="430"/>
      <c r="BX204" s="430"/>
      <c r="BY204" s="430"/>
      <c r="BZ204" s="430"/>
      <c r="CA204" s="430"/>
      <c r="CB204" s="430"/>
      <c r="CC204" s="430"/>
      <c r="CD204" s="430"/>
      <c r="CE204" s="430"/>
      <c r="CF204" s="430"/>
      <c r="CG204" s="430"/>
      <c r="CH204" s="430"/>
      <c r="CI204" s="430"/>
      <c r="CJ204" s="430"/>
      <c r="CK204" s="430"/>
      <c r="CL204" s="430"/>
    </row>
    <row r="205" spans="63:90" ht="14.25" customHeight="1">
      <c r="BK205" s="581"/>
      <c r="BL205" s="581"/>
      <c r="BM205" s="582"/>
      <c r="BN205" s="581"/>
      <c r="BO205" s="581"/>
      <c r="BP205" s="430"/>
      <c r="BQ205" s="430"/>
      <c r="BR205" s="430"/>
      <c r="BS205" s="581"/>
      <c r="BT205" s="581"/>
      <c r="BU205" s="430"/>
      <c r="BV205" s="430"/>
      <c r="BW205" s="430"/>
      <c r="BX205" s="430"/>
      <c r="BY205" s="430"/>
      <c r="BZ205" s="430"/>
      <c r="CA205" s="430"/>
      <c r="CB205" s="430"/>
      <c r="CC205" s="430"/>
      <c r="CD205" s="430"/>
      <c r="CE205" s="430"/>
      <c r="CF205" s="430"/>
      <c r="CG205" s="430"/>
      <c r="CH205" s="430"/>
      <c r="CI205" s="430"/>
      <c r="CJ205" s="430"/>
      <c r="CK205" s="430"/>
      <c r="CL205" s="430"/>
    </row>
    <row r="206" spans="63:90" ht="14.25" customHeight="1">
      <c r="BK206" s="581"/>
      <c r="BL206" s="581"/>
      <c r="BM206" s="582"/>
      <c r="BN206" s="581"/>
      <c r="BO206" s="581"/>
      <c r="BP206" s="430"/>
      <c r="BQ206" s="430"/>
      <c r="BR206" s="430"/>
      <c r="BS206" s="581"/>
      <c r="BT206" s="581"/>
      <c r="BU206" s="430"/>
      <c r="BV206" s="430"/>
      <c r="BW206" s="430"/>
      <c r="BX206" s="430"/>
      <c r="BY206" s="430"/>
      <c r="BZ206" s="430"/>
      <c r="CA206" s="430"/>
      <c r="CB206" s="430"/>
      <c r="CC206" s="430"/>
      <c r="CD206" s="430"/>
      <c r="CE206" s="430"/>
      <c r="CF206" s="430"/>
      <c r="CG206" s="430"/>
      <c r="CH206" s="430"/>
      <c r="CI206" s="430"/>
      <c r="CJ206" s="430"/>
      <c r="CK206" s="430"/>
      <c r="CL206" s="430"/>
    </row>
    <row r="207" spans="63:90" ht="14.25" customHeight="1">
      <c r="BK207" s="581"/>
      <c r="BL207" s="581"/>
      <c r="BM207" s="582"/>
      <c r="BN207" s="581"/>
      <c r="BO207" s="581"/>
      <c r="BP207" s="430"/>
      <c r="BQ207" s="430"/>
      <c r="BR207" s="430"/>
      <c r="BS207" s="581"/>
      <c r="BT207" s="581"/>
      <c r="BU207" s="430"/>
      <c r="BV207" s="430"/>
      <c r="BW207" s="430"/>
      <c r="BX207" s="430"/>
      <c r="BY207" s="430"/>
      <c r="BZ207" s="430"/>
      <c r="CA207" s="430"/>
      <c r="CB207" s="430"/>
      <c r="CC207" s="430"/>
      <c r="CD207" s="430"/>
      <c r="CE207" s="430"/>
      <c r="CF207" s="430"/>
      <c r="CG207" s="430"/>
      <c r="CH207" s="430"/>
      <c r="CI207" s="430"/>
      <c r="CJ207" s="430"/>
      <c r="CK207" s="430"/>
      <c r="CL207" s="430"/>
    </row>
    <row r="208" spans="63:90" ht="14.25" customHeight="1">
      <c r="BK208" s="581"/>
      <c r="BL208" s="581"/>
      <c r="BM208" s="582"/>
      <c r="BN208" s="581"/>
      <c r="BO208" s="581"/>
      <c r="BP208" s="430"/>
      <c r="BQ208" s="430"/>
      <c r="BR208" s="430"/>
      <c r="BS208" s="581"/>
      <c r="BT208" s="581"/>
      <c r="BU208" s="430"/>
      <c r="BV208" s="430"/>
      <c r="BW208" s="430"/>
      <c r="BX208" s="430"/>
      <c r="BY208" s="430"/>
      <c r="BZ208" s="430"/>
      <c r="CA208" s="430"/>
      <c r="CB208" s="430"/>
      <c r="CC208" s="430"/>
      <c r="CD208" s="430"/>
      <c r="CE208" s="430"/>
      <c r="CF208" s="430"/>
      <c r="CG208" s="430"/>
      <c r="CH208" s="430"/>
      <c r="CI208" s="430"/>
      <c r="CJ208" s="430"/>
      <c r="CK208" s="430"/>
      <c r="CL208" s="430"/>
    </row>
    <row r="209" spans="63:90" ht="14.25" customHeight="1">
      <c r="BK209" s="581"/>
      <c r="BL209" s="581"/>
      <c r="BM209" s="582"/>
      <c r="BN209" s="581"/>
      <c r="BO209" s="581"/>
      <c r="BP209" s="430"/>
      <c r="BQ209" s="430"/>
      <c r="BR209" s="430"/>
      <c r="BS209" s="581"/>
      <c r="BT209" s="581"/>
      <c r="BU209" s="430"/>
      <c r="BV209" s="430"/>
      <c r="BW209" s="430"/>
      <c r="BX209" s="430"/>
      <c r="BY209" s="430"/>
      <c r="BZ209" s="430"/>
      <c r="CA209" s="430"/>
      <c r="CB209" s="430"/>
      <c r="CC209" s="430"/>
      <c r="CD209" s="430"/>
      <c r="CE209" s="430"/>
      <c r="CF209" s="430"/>
      <c r="CG209" s="430"/>
      <c r="CH209" s="430"/>
      <c r="CI209" s="430"/>
      <c r="CJ209" s="430"/>
      <c r="CK209" s="430"/>
      <c r="CL209" s="430"/>
    </row>
    <row r="210" spans="63:90" ht="14.25" customHeight="1">
      <c r="BK210" s="581"/>
      <c r="BL210" s="581"/>
      <c r="BM210" s="582"/>
      <c r="BN210" s="581"/>
      <c r="BO210" s="581"/>
      <c r="BP210" s="430"/>
      <c r="BQ210" s="430"/>
      <c r="BR210" s="430"/>
      <c r="BS210" s="581"/>
      <c r="BT210" s="581"/>
      <c r="BU210" s="430"/>
      <c r="BV210" s="430"/>
      <c r="BW210" s="430"/>
      <c r="BX210" s="430"/>
      <c r="BY210" s="430"/>
      <c r="BZ210" s="430"/>
      <c r="CA210" s="430"/>
      <c r="CB210" s="430"/>
      <c r="CC210" s="430"/>
      <c r="CD210" s="430"/>
      <c r="CE210" s="430"/>
      <c r="CF210" s="430"/>
      <c r="CG210" s="430"/>
      <c r="CH210" s="430"/>
      <c r="CI210" s="430"/>
      <c r="CJ210" s="430"/>
      <c r="CK210" s="430"/>
      <c r="CL210" s="430"/>
    </row>
    <row r="211" spans="63:90" ht="14.25" customHeight="1">
      <c r="BK211" s="581"/>
      <c r="BL211" s="581"/>
      <c r="BM211" s="582"/>
      <c r="BN211" s="581"/>
      <c r="BO211" s="581"/>
      <c r="BP211" s="430"/>
      <c r="BQ211" s="430"/>
      <c r="BR211" s="430"/>
      <c r="BS211" s="581"/>
      <c r="BT211" s="581"/>
      <c r="BU211" s="430"/>
      <c r="BV211" s="430"/>
      <c r="BW211" s="430"/>
      <c r="BX211" s="430"/>
      <c r="BY211" s="430"/>
      <c r="BZ211" s="430"/>
      <c r="CA211" s="430"/>
      <c r="CB211" s="430"/>
      <c r="CC211" s="430"/>
      <c r="CD211" s="430"/>
      <c r="CE211" s="430"/>
      <c r="CF211" s="430"/>
      <c r="CG211" s="430"/>
      <c r="CH211" s="430"/>
      <c r="CI211" s="430"/>
      <c r="CJ211" s="430"/>
      <c r="CK211" s="430"/>
      <c r="CL211" s="430"/>
    </row>
    <row r="212" spans="63:90" ht="14.25" customHeight="1">
      <c r="BK212" s="581"/>
      <c r="BL212" s="581"/>
      <c r="BM212" s="582"/>
      <c r="BN212" s="581"/>
      <c r="BO212" s="581"/>
      <c r="BP212" s="430"/>
      <c r="BQ212" s="430"/>
      <c r="BR212" s="430"/>
      <c r="BS212" s="581"/>
      <c r="BT212" s="581"/>
      <c r="BU212" s="430"/>
      <c r="BV212" s="430"/>
      <c r="BW212" s="430"/>
      <c r="BX212" s="430"/>
      <c r="BY212" s="430"/>
      <c r="BZ212" s="430"/>
      <c r="CA212" s="430"/>
      <c r="CB212" s="430"/>
      <c r="CC212" s="430"/>
      <c r="CD212" s="430"/>
      <c r="CE212" s="430"/>
      <c r="CF212" s="430"/>
      <c r="CG212" s="430"/>
      <c r="CH212" s="430"/>
      <c r="CI212" s="430"/>
      <c r="CJ212" s="430"/>
      <c r="CK212" s="430"/>
      <c r="CL212" s="430"/>
    </row>
    <row r="213" spans="63:90" ht="14.25" customHeight="1">
      <c r="BK213" s="581"/>
      <c r="BL213" s="581"/>
      <c r="BM213" s="582"/>
      <c r="BN213" s="581"/>
      <c r="BO213" s="581"/>
      <c r="BP213" s="430"/>
      <c r="BQ213" s="430"/>
      <c r="BR213" s="430"/>
      <c r="BS213" s="581"/>
      <c r="BT213" s="581"/>
      <c r="BU213" s="430"/>
      <c r="BV213" s="430"/>
      <c r="BW213" s="430"/>
      <c r="BX213" s="430"/>
      <c r="BY213" s="430"/>
      <c r="BZ213" s="430"/>
      <c r="CA213" s="430"/>
      <c r="CB213" s="430"/>
      <c r="CC213" s="430"/>
      <c r="CD213" s="430"/>
      <c r="CE213" s="430"/>
      <c r="CF213" s="430"/>
      <c r="CG213" s="430"/>
      <c r="CH213" s="430"/>
      <c r="CI213" s="430"/>
      <c r="CJ213" s="430"/>
      <c r="CK213" s="430"/>
      <c r="CL213" s="430"/>
    </row>
    <row r="214" spans="63:90" ht="14.25" customHeight="1">
      <c r="BK214" s="581"/>
      <c r="BL214" s="581"/>
      <c r="BM214" s="582"/>
      <c r="BN214" s="581"/>
      <c r="BO214" s="581"/>
      <c r="BP214" s="430"/>
      <c r="BQ214" s="430"/>
      <c r="BR214" s="430"/>
      <c r="BS214" s="581"/>
      <c r="BT214" s="581"/>
      <c r="BU214" s="430"/>
      <c r="BV214" s="430"/>
      <c r="BW214" s="430"/>
      <c r="BX214" s="430"/>
      <c r="BY214" s="430"/>
      <c r="BZ214" s="430"/>
      <c r="CA214" s="430"/>
      <c r="CB214" s="430"/>
      <c r="CC214" s="430"/>
      <c r="CD214" s="430"/>
      <c r="CE214" s="430"/>
      <c r="CF214" s="430"/>
      <c r="CG214" s="430"/>
      <c r="CH214" s="430"/>
      <c r="CI214" s="430"/>
      <c r="CJ214" s="430"/>
      <c r="CK214" s="430"/>
      <c r="CL214" s="430"/>
    </row>
    <row r="215" spans="63:90" ht="14.25" customHeight="1">
      <c r="BK215" s="581"/>
      <c r="BL215" s="581"/>
      <c r="BM215" s="582"/>
      <c r="BN215" s="581"/>
      <c r="BO215" s="581"/>
      <c r="BP215" s="430"/>
      <c r="BQ215" s="430"/>
      <c r="BR215" s="430"/>
      <c r="BS215" s="581"/>
      <c r="BT215" s="581"/>
      <c r="BU215" s="430"/>
      <c r="BV215" s="430"/>
      <c r="BW215" s="430"/>
      <c r="BX215" s="430"/>
      <c r="BY215" s="430"/>
      <c r="BZ215" s="430"/>
      <c r="CA215" s="430"/>
      <c r="CB215" s="430"/>
      <c r="CC215" s="430"/>
      <c r="CD215" s="430"/>
      <c r="CE215" s="430"/>
      <c r="CF215" s="430"/>
      <c r="CG215" s="430"/>
      <c r="CH215" s="430"/>
      <c r="CI215" s="430"/>
      <c r="CJ215" s="430"/>
      <c r="CK215" s="430"/>
      <c r="CL215" s="430"/>
    </row>
    <row r="216" spans="63:90" ht="14.25" customHeight="1">
      <c r="BK216" s="581"/>
      <c r="BL216" s="581"/>
      <c r="BM216" s="582"/>
      <c r="BN216" s="581"/>
      <c r="BO216" s="581"/>
      <c r="BP216" s="430"/>
      <c r="BQ216" s="430"/>
      <c r="BR216" s="430"/>
      <c r="BS216" s="581"/>
      <c r="BT216" s="581"/>
      <c r="BU216" s="430"/>
      <c r="BV216" s="430"/>
      <c r="BW216" s="430"/>
      <c r="BX216" s="430"/>
      <c r="BY216" s="430"/>
      <c r="BZ216" s="430"/>
      <c r="CA216" s="430"/>
      <c r="CB216" s="430"/>
      <c r="CC216" s="430"/>
      <c r="CD216" s="430"/>
      <c r="CE216" s="430"/>
      <c r="CF216" s="430"/>
      <c r="CG216" s="430"/>
      <c r="CH216" s="430"/>
      <c r="CI216" s="430"/>
      <c r="CJ216" s="430"/>
      <c r="CK216" s="430"/>
      <c r="CL216" s="430"/>
    </row>
    <row r="217" spans="63:90" ht="14.25" customHeight="1">
      <c r="BK217" s="581"/>
      <c r="BL217" s="581"/>
      <c r="BM217" s="582"/>
      <c r="BN217" s="581"/>
      <c r="BO217" s="581"/>
      <c r="BP217" s="430"/>
      <c r="BQ217" s="430"/>
      <c r="BR217" s="430"/>
      <c r="BS217" s="581"/>
      <c r="BT217" s="581"/>
      <c r="BU217" s="430"/>
      <c r="BV217" s="430"/>
      <c r="BW217" s="430"/>
      <c r="BX217" s="430"/>
      <c r="BY217" s="430"/>
      <c r="BZ217" s="430"/>
      <c r="CA217" s="430"/>
      <c r="CB217" s="430"/>
      <c r="CC217" s="430"/>
      <c r="CD217" s="430"/>
      <c r="CE217" s="430"/>
      <c r="CF217" s="430"/>
      <c r="CG217" s="430"/>
      <c r="CH217" s="430"/>
      <c r="CI217" s="430"/>
      <c r="CJ217" s="430"/>
      <c r="CK217" s="430"/>
      <c r="CL217" s="430"/>
    </row>
    <row r="218" spans="63:90" ht="14.25" customHeight="1">
      <c r="BK218" s="581"/>
      <c r="BL218" s="581"/>
      <c r="BM218" s="582"/>
      <c r="BN218" s="581"/>
      <c r="BO218" s="581"/>
      <c r="BP218" s="430"/>
      <c r="BQ218" s="430"/>
      <c r="BR218" s="430"/>
      <c r="BS218" s="581"/>
      <c r="BT218" s="581"/>
      <c r="BU218" s="430"/>
      <c r="BV218" s="430"/>
      <c r="BW218" s="430"/>
      <c r="BX218" s="430"/>
      <c r="BY218" s="430"/>
      <c r="BZ218" s="430"/>
      <c r="CA218" s="430"/>
      <c r="CB218" s="430"/>
      <c r="CC218" s="430"/>
      <c r="CD218" s="430"/>
      <c r="CE218" s="430"/>
      <c r="CF218" s="430"/>
      <c r="CG218" s="430"/>
      <c r="CH218" s="430"/>
      <c r="CI218" s="430"/>
      <c r="CJ218" s="430"/>
      <c r="CK218" s="430"/>
      <c r="CL218" s="430"/>
    </row>
    <row r="219" spans="63:90" ht="14.25" customHeight="1">
      <c r="BK219" s="581"/>
      <c r="BL219" s="581"/>
      <c r="BM219" s="582"/>
      <c r="BN219" s="581"/>
      <c r="BO219" s="581"/>
      <c r="BP219" s="430"/>
      <c r="BQ219" s="430"/>
      <c r="BR219" s="430"/>
      <c r="BS219" s="581"/>
      <c r="BT219" s="581"/>
      <c r="BU219" s="430"/>
      <c r="BV219" s="430"/>
      <c r="BW219" s="430"/>
      <c r="BX219" s="430"/>
      <c r="BY219" s="430"/>
      <c r="BZ219" s="430"/>
      <c r="CA219" s="430"/>
      <c r="CB219" s="430"/>
      <c r="CC219" s="430"/>
      <c r="CD219" s="430"/>
      <c r="CE219" s="430"/>
      <c r="CF219" s="430"/>
      <c r="CG219" s="430"/>
      <c r="CH219" s="430"/>
      <c r="CI219" s="430"/>
      <c r="CJ219" s="430"/>
      <c r="CK219" s="430"/>
      <c r="CL219" s="430"/>
    </row>
    <row r="220" spans="63:90" ht="14.25" customHeight="1">
      <c r="BK220" s="581"/>
      <c r="BL220" s="581"/>
      <c r="BM220" s="582"/>
      <c r="BN220" s="581"/>
      <c r="BO220" s="581"/>
      <c r="BP220" s="430"/>
      <c r="BQ220" s="430"/>
      <c r="BR220" s="430"/>
      <c r="BS220" s="581"/>
      <c r="BT220" s="581"/>
      <c r="BU220" s="430"/>
      <c r="BV220" s="430"/>
      <c r="BW220" s="430"/>
      <c r="BX220" s="430"/>
      <c r="BY220" s="430"/>
      <c r="BZ220" s="430"/>
      <c r="CA220" s="430"/>
      <c r="CB220" s="430"/>
      <c r="CC220" s="430"/>
      <c r="CD220" s="430"/>
      <c r="CE220" s="430"/>
      <c r="CF220" s="430"/>
      <c r="CG220" s="430"/>
      <c r="CH220" s="430"/>
      <c r="CI220" s="430"/>
      <c r="CJ220" s="430"/>
      <c r="CK220" s="430"/>
      <c r="CL220" s="430"/>
    </row>
    <row r="221" spans="63:90" ht="14.25" customHeight="1">
      <c r="BK221" s="581"/>
      <c r="BL221" s="581"/>
      <c r="BM221" s="582"/>
      <c r="BN221" s="581"/>
      <c r="BO221" s="581"/>
      <c r="BP221" s="430"/>
      <c r="BQ221" s="430"/>
      <c r="BR221" s="430"/>
      <c r="BS221" s="581"/>
      <c r="BT221" s="581"/>
      <c r="BU221" s="430"/>
      <c r="BV221" s="430"/>
      <c r="BW221" s="430"/>
      <c r="BX221" s="430"/>
      <c r="BY221" s="430"/>
      <c r="BZ221" s="430"/>
      <c r="CA221" s="430"/>
      <c r="CB221" s="430"/>
      <c r="CC221" s="430"/>
      <c r="CD221" s="430"/>
      <c r="CE221" s="430"/>
      <c r="CF221" s="430"/>
      <c r="CG221" s="430"/>
      <c r="CH221" s="430"/>
      <c r="CI221" s="430"/>
      <c r="CJ221" s="430"/>
      <c r="CK221" s="430"/>
      <c r="CL221" s="430"/>
    </row>
    <row r="222" spans="63:90" ht="14.25" customHeight="1">
      <c r="BK222" s="581"/>
      <c r="BL222" s="581"/>
      <c r="BM222" s="582"/>
      <c r="BN222" s="581"/>
      <c r="BO222" s="581"/>
      <c r="BP222" s="430"/>
      <c r="BQ222" s="430"/>
      <c r="BR222" s="430"/>
      <c r="BS222" s="581"/>
      <c r="BT222" s="581"/>
      <c r="BU222" s="430"/>
      <c r="BV222" s="430"/>
      <c r="BW222" s="430"/>
      <c r="BX222" s="430"/>
      <c r="BY222" s="430"/>
      <c r="BZ222" s="430"/>
      <c r="CA222" s="430"/>
      <c r="CB222" s="430"/>
      <c r="CC222" s="430"/>
      <c r="CD222" s="430"/>
      <c r="CE222" s="430"/>
      <c r="CF222" s="430"/>
      <c r="CG222" s="430"/>
      <c r="CH222" s="430"/>
      <c r="CI222" s="430"/>
      <c r="CJ222" s="430"/>
      <c r="CK222" s="430"/>
      <c r="CL222" s="430"/>
    </row>
    <row r="223" spans="63:90" ht="14.25" customHeight="1">
      <c r="BK223" s="581"/>
      <c r="BL223" s="581"/>
      <c r="BM223" s="582"/>
      <c r="BN223" s="581"/>
      <c r="BO223" s="581"/>
      <c r="BP223" s="430"/>
      <c r="BQ223" s="430"/>
      <c r="BR223" s="430"/>
      <c r="BS223" s="581"/>
      <c r="BT223" s="581"/>
      <c r="BU223" s="430"/>
      <c r="BV223" s="430"/>
      <c r="BW223" s="430"/>
      <c r="BX223" s="430"/>
      <c r="BY223" s="430"/>
      <c r="BZ223" s="430"/>
      <c r="CA223" s="430"/>
      <c r="CB223" s="430"/>
      <c r="CC223" s="430"/>
      <c r="CD223" s="430"/>
      <c r="CE223" s="430"/>
      <c r="CF223" s="430"/>
      <c r="CG223" s="430"/>
      <c r="CH223" s="430"/>
      <c r="CI223" s="430"/>
      <c r="CJ223" s="430"/>
      <c r="CK223" s="430"/>
      <c r="CL223" s="430"/>
    </row>
    <row r="224" spans="63:90" ht="14.25" customHeight="1">
      <c r="BK224" s="581"/>
      <c r="BL224" s="581"/>
      <c r="BM224" s="582"/>
      <c r="BN224" s="581"/>
      <c r="BO224" s="581"/>
      <c r="BP224" s="430"/>
      <c r="BQ224" s="430"/>
      <c r="BR224" s="430"/>
      <c r="BS224" s="581"/>
      <c r="BT224" s="581"/>
      <c r="BU224" s="430"/>
      <c r="BV224" s="430"/>
      <c r="BW224" s="430"/>
      <c r="BX224" s="430"/>
      <c r="BY224" s="430"/>
      <c r="BZ224" s="430"/>
      <c r="CA224" s="430"/>
      <c r="CB224" s="430"/>
      <c r="CC224" s="430"/>
      <c r="CD224" s="430"/>
      <c r="CE224" s="430"/>
      <c r="CF224" s="430"/>
      <c r="CG224" s="430"/>
      <c r="CH224" s="430"/>
      <c r="CI224" s="430"/>
      <c r="CJ224" s="430"/>
      <c r="CK224" s="430"/>
      <c r="CL224" s="430"/>
    </row>
    <row r="225" spans="63:90" ht="14.25" customHeight="1">
      <c r="BK225" s="581"/>
      <c r="BL225" s="581"/>
      <c r="BM225" s="582"/>
      <c r="BN225" s="581"/>
      <c r="BO225" s="581"/>
      <c r="BP225" s="430"/>
      <c r="BQ225" s="430"/>
      <c r="BR225" s="430"/>
      <c r="BS225" s="581"/>
      <c r="BT225" s="581"/>
      <c r="BU225" s="430"/>
      <c r="BV225" s="430"/>
      <c r="BW225" s="430"/>
      <c r="BX225" s="430"/>
      <c r="BY225" s="430"/>
      <c r="BZ225" s="430"/>
      <c r="CA225" s="430"/>
      <c r="CB225" s="430"/>
      <c r="CC225" s="430"/>
      <c r="CD225" s="430"/>
      <c r="CE225" s="430"/>
      <c r="CF225" s="430"/>
      <c r="CG225" s="430"/>
      <c r="CH225" s="430"/>
      <c r="CI225" s="430"/>
      <c r="CJ225" s="430"/>
      <c r="CK225" s="430"/>
      <c r="CL225" s="430"/>
    </row>
    <row r="226" spans="63:90" ht="14.25" customHeight="1">
      <c r="BK226" s="581"/>
      <c r="BL226" s="581"/>
      <c r="BM226" s="582"/>
      <c r="BN226" s="581"/>
      <c r="BO226" s="581"/>
      <c r="BP226" s="430"/>
      <c r="BQ226" s="430"/>
      <c r="BR226" s="430"/>
      <c r="BS226" s="581"/>
      <c r="BT226" s="581"/>
      <c r="BU226" s="430"/>
      <c r="BV226" s="430"/>
      <c r="BW226" s="430"/>
      <c r="BX226" s="430"/>
      <c r="BY226" s="430"/>
      <c r="BZ226" s="430"/>
      <c r="CA226" s="430"/>
      <c r="CB226" s="430"/>
      <c r="CC226" s="430"/>
      <c r="CD226" s="430"/>
      <c r="CE226" s="430"/>
      <c r="CF226" s="430"/>
      <c r="CG226" s="430"/>
      <c r="CH226" s="430"/>
      <c r="CI226" s="430"/>
      <c r="CJ226" s="430"/>
      <c r="CK226" s="430"/>
      <c r="CL226" s="430"/>
    </row>
    <row r="227" spans="63:90" ht="14.25" customHeight="1">
      <c r="BK227" s="581"/>
      <c r="BL227" s="581"/>
      <c r="BM227" s="582"/>
      <c r="BN227" s="581"/>
      <c r="BO227" s="581"/>
      <c r="BP227" s="430"/>
      <c r="BQ227" s="430"/>
      <c r="BR227" s="430"/>
      <c r="BS227" s="581"/>
      <c r="BT227" s="581"/>
      <c r="BU227" s="430"/>
      <c r="BV227" s="430"/>
      <c r="BW227" s="430"/>
      <c r="BX227" s="430"/>
      <c r="BY227" s="430"/>
      <c r="BZ227" s="430"/>
      <c r="CA227" s="430"/>
      <c r="CB227" s="430"/>
      <c r="CC227" s="430"/>
      <c r="CD227" s="430"/>
      <c r="CE227" s="430"/>
      <c r="CF227" s="430"/>
      <c r="CG227" s="430"/>
      <c r="CH227" s="430"/>
      <c r="CI227" s="430"/>
      <c r="CJ227" s="430"/>
      <c r="CK227" s="430"/>
      <c r="CL227" s="430"/>
    </row>
    <row r="228" spans="63:90" ht="14.25" customHeight="1">
      <c r="BK228" s="581"/>
      <c r="BL228" s="581"/>
      <c r="BM228" s="582"/>
      <c r="BN228" s="581"/>
      <c r="BO228" s="581"/>
      <c r="BP228" s="430"/>
      <c r="BQ228" s="430"/>
      <c r="BR228" s="430"/>
      <c r="BS228" s="581"/>
      <c r="BT228" s="581"/>
      <c r="BU228" s="430"/>
      <c r="BV228" s="430"/>
      <c r="BW228" s="430"/>
      <c r="BX228" s="430"/>
      <c r="BY228" s="430"/>
      <c r="BZ228" s="430"/>
      <c r="CA228" s="430"/>
      <c r="CB228" s="430"/>
      <c r="CC228" s="430"/>
      <c r="CD228" s="430"/>
      <c r="CE228" s="430"/>
      <c r="CF228" s="430"/>
      <c r="CG228" s="430"/>
      <c r="CH228" s="430"/>
      <c r="CI228" s="430"/>
      <c r="CJ228" s="430"/>
      <c r="CK228" s="430"/>
      <c r="CL228" s="430"/>
    </row>
    <row r="229" spans="63:90" ht="14.25" customHeight="1">
      <c r="BK229" s="581"/>
      <c r="BL229" s="581"/>
      <c r="BM229" s="582"/>
      <c r="BN229" s="581"/>
      <c r="BO229" s="581"/>
      <c r="BP229" s="430"/>
      <c r="BQ229" s="430"/>
      <c r="BR229" s="430"/>
      <c r="BS229" s="581"/>
      <c r="BT229" s="581"/>
      <c r="BU229" s="430"/>
      <c r="BV229" s="430"/>
      <c r="BW229" s="430"/>
      <c r="BX229" s="430"/>
      <c r="BY229" s="430"/>
      <c r="BZ229" s="430"/>
      <c r="CA229" s="430"/>
      <c r="CB229" s="430"/>
      <c r="CC229" s="430"/>
      <c r="CD229" s="430"/>
      <c r="CE229" s="430"/>
      <c r="CF229" s="430"/>
      <c r="CG229" s="430"/>
      <c r="CH229" s="430"/>
      <c r="CI229" s="430"/>
      <c r="CJ229" s="430"/>
      <c r="CK229" s="430"/>
      <c r="CL229" s="430"/>
    </row>
    <row r="230" spans="63:90" ht="14.25" customHeight="1">
      <c r="BK230" s="581"/>
      <c r="BL230" s="581"/>
      <c r="BM230" s="582"/>
      <c r="BN230" s="581"/>
      <c r="BO230" s="581"/>
      <c r="BP230" s="430"/>
      <c r="BQ230" s="430"/>
      <c r="BR230" s="430"/>
      <c r="BS230" s="581"/>
      <c r="BT230" s="581"/>
      <c r="BU230" s="430"/>
      <c r="BV230" s="430"/>
      <c r="BW230" s="430"/>
      <c r="BX230" s="430"/>
      <c r="BY230" s="430"/>
      <c r="BZ230" s="430"/>
      <c r="CA230" s="430"/>
      <c r="CB230" s="430"/>
      <c r="CC230" s="430"/>
      <c r="CD230" s="430"/>
      <c r="CE230" s="430"/>
      <c r="CF230" s="430"/>
      <c r="CG230" s="430"/>
      <c r="CH230" s="430"/>
      <c r="CI230" s="430"/>
      <c r="CJ230" s="430"/>
      <c r="CK230" s="430"/>
      <c r="CL230" s="430"/>
    </row>
    <row r="231" spans="63:90" ht="14.25" customHeight="1">
      <c r="BK231" s="581"/>
      <c r="BL231" s="581"/>
      <c r="BM231" s="582"/>
      <c r="BN231" s="581"/>
      <c r="BO231" s="581"/>
      <c r="BP231" s="430"/>
      <c r="BQ231" s="430"/>
      <c r="BR231" s="430"/>
      <c r="BS231" s="581"/>
      <c r="BT231" s="581"/>
      <c r="BU231" s="430"/>
      <c r="BV231" s="430"/>
      <c r="BW231" s="430"/>
      <c r="BX231" s="430"/>
      <c r="BY231" s="430"/>
      <c r="BZ231" s="430"/>
      <c r="CA231" s="430"/>
      <c r="CB231" s="430"/>
      <c r="CC231" s="430"/>
      <c r="CD231" s="430"/>
      <c r="CE231" s="430"/>
      <c r="CF231" s="430"/>
      <c r="CG231" s="430"/>
      <c r="CH231" s="430"/>
      <c r="CI231" s="430"/>
      <c r="CJ231" s="430"/>
      <c r="CK231" s="430"/>
      <c r="CL231" s="430"/>
    </row>
    <row r="232" spans="63:90" ht="14.25" customHeight="1">
      <c r="BK232" s="581"/>
      <c r="BL232" s="581"/>
      <c r="BM232" s="582"/>
      <c r="BN232" s="581"/>
      <c r="BO232" s="581"/>
      <c r="BP232" s="430"/>
      <c r="BQ232" s="430"/>
      <c r="BR232" s="430"/>
      <c r="BS232" s="581"/>
      <c r="BT232" s="581"/>
      <c r="BU232" s="430"/>
      <c r="BV232" s="430"/>
      <c r="BW232" s="430"/>
      <c r="BX232" s="430"/>
      <c r="BY232" s="430"/>
      <c r="BZ232" s="430"/>
      <c r="CA232" s="430"/>
      <c r="CB232" s="430"/>
      <c r="CC232" s="430"/>
      <c r="CD232" s="430"/>
      <c r="CE232" s="430"/>
      <c r="CF232" s="430"/>
      <c r="CG232" s="430"/>
      <c r="CH232" s="430"/>
      <c r="CI232" s="430"/>
      <c r="CJ232" s="430"/>
      <c r="CK232" s="430"/>
      <c r="CL232" s="430"/>
    </row>
    <row r="233" spans="63:90" ht="14.25" customHeight="1">
      <c r="BK233" s="581"/>
      <c r="BL233" s="581"/>
      <c r="BM233" s="582"/>
      <c r="BN233" s="581"/>
      <c r="BO233" s="581"/>
      <c r="BP233" s="430"/>
      <c r="BQ233" s="430"/>
      <c r="BR233" s="430"/>
      <c r="BS233" s="581"/>
      <c r="BT233" s="581"/>
      <c r="BU233" s="430"/>
      <c r="BV233" s="430"/>
      <c r="BW233" s="430"/>
      <c r="BX233" s="430"/>
      <c r="BY233" s="430"/>
      <c r="BZ233" s="430"/>
      <c r="CA233" s="430"/>
      <c r="CB233" s="430"/>
      <c r="CC233" s="430"/>
      <c r="CD233" s="430"/>
      <c r="CE233" s="430"/>
      <c r="CF233" s="430"/>
      <c r="CG233" s="430"/>
      <c r="CH233" s="430"/>
      <c r="CI233" s="430"/>
      <c r="CJ233" s="430"/>
      <c r="CK233" s="430"/>
      <c r="CL233" s="430"/>
    </row>
    <row r="234" spans="63:90" ht="14.25" customHeight="1">
      <c r="BK234" s="581"/>
      <c r="BL234" s="581"/>
      <c r="BM234" s="582"/>
      <c r="BN234" s="581"/>
      <c r="BO234" s="581"/>
      <c r="BP234" s="430"/>
      <c r="BQ234" s="430"/>
      <c r="BR234" s="430"/>
      <c r="BS234" s="581"/>
      <c r="BT234" s="581"/>
      <c r="BU234" s="430"/>
      <c r="BV234" s="430"/>
      <c r="BW234" s="430"/>
      <c r="BX234" s="430"/>
      <c r="BY234" s="430"/>
      <c r="BZ234" s="430"/>
      <c r="CA234" s="430"/>
      <c r="CB234" s="430"/>
      <c r="CC234" s="430"/>
      <c r="CD234" s="430"/>
      <c r="CE234" s="430"/>
      <c r="CF234" s="430"/>
      <c r="CG234" s="430"/>
      <c r="CH234" s="430"/>
      <c r="CI234" s="430"/>
      <c r="CJ234" s="430"/>
      <c r="CK234" s="430"/>
      <c r="CL234" s="430"/>
    </row>
    <row r="235" spans="63:90" ht="14.25" customHeight="1">
      <c r="BK235" s="581"/>
      <c r="BL235" s="581"/>
      <c r="BM235" s="582"/>
      <c r="BN235" s="581"/>
      <c r="BO235" s="581"/>
      <c r="BP235" s="430"/>
      <c r="BQ235" s="430"/>
      <c r="BR235" s="430"/>
      <c r="BS235" s="581"/>
      <c r="BT235" s="581"/>
      <c r="BU235" s="430"/>
      <c r="BV235" s="430"/>
      <c r="BW235" s="430"/>
      <c r="BX235" s="430"/>
      <c r="BY235" s="430"/>
      <c r="BZ235" s="430"/>
      <c r="CA235" s="430"/>
      <c r="CB235" s="430"/>
      <c r="CC235" s="430"/>
      <c r="CD235" s="430"/>
      <c r="CE235" s="430"/>
      <c r="CF235" s="430"/>
      <c r="CG235" s="430"/>
      <c r="CH235" s="430"/>
      <c r="CI235" s="430"/>
      <c r="CJ235" s="430"/>
      <c r="CK235" s="430"/>
      <c r="CL235" s="430"/>
    </row>
    <row r="236" spans="63:90" ht="14.25" customHeight="1">
      <c r="BK236" s="581"/>
      <c r="BL236" s="581"/>
      <c r="BM236" s="582"/>
      <c r="BN236" s="581"/>
      <c r="BO236" s="581"/>
      <c r="BP236" s="430"/>
      <c r="BQ236" s="430"/>
      <c r="BR236" s="430"/>
      <c r="BS236" s="581"/>
      <c r="BT236" s="581"/>
      <c r="BU236" s="430"/>
      <c r="BV236" s="430"/>
      <c r="BW236" s="430"/>
      <c r="BX236" s="430"/>
      <c r="BY236" s="430"/>
      <c r="BZ236" s="430"/>
      <c r="CA236" s="430"/>
      <c r="CB236" s="430"/>
      <c r="CC236" s="430"/>
      <c r="CD236" s="430"/>
      <c r="CE236" s="430"/>
      <c r="CF236" s="430"/>
      <c r="CG236" s="430"/>
      <c r="CH236" s="430"/>
      <c r="CI236" s="430"/>
      <c r="CJ236" s="430"/>
      <c r="CK236" s="430"/>
      <c r="CL236" s="430"/>
    </row>
    <row r="237" spans="63:90" ht="14.25" customHeight="1">
      <c r="BK237" s="581"/>
      <c r="BL237" s="581"/>
      <c r="BM237" s="582"/>
      <c r="BN237" s="581"/>
      <c r="BO237" s="581"/>
      <c r="BP237" s="430"/>
      <c r="BQ237" s="430"/>
      <c r="BR237" s="430"/>
      <c r="BS237" s="581"/>
      <c r="BT237" s="581"/>
      <c r="BU237" s="430"/>
      <c r="BV237" s="430"/>
      <c r="BW237" s="430"/>
      <c r="BX237" s="430"/>
      <c r="BY237" s="430"/>
      <c r="BZ237" s="430"/>
      <c r="CA237" s="430"/>
      <c r="CB237" s="430"/>
      <c r="CC237" s="430"/>
      <c r="CD237" s="430"/>
      <c r="CE237" s="430"/>
      <c r="CF237" s="430"/>
      <c r="CG237" s="430"/>
      <c r="CH237" s="430"/>
      <c r="CI237" s="430"/>
      <c r="CJ237" s="430"/>
      <c r="CK237" s="430"/>
      <c r="CL237" s="430"/>
    </row>
    <row r="238" spans="63:90" ht="14.25" customHeight="1">
      <c r="BK238" s="581"/>
      <c r="BL238" s="581"/>
      <c r="BM238" s="582"/>
      <c r="BN238" s="581"/>
      <c r="BO238" s="581"/>
      <c r="BP238" s="430"/>
      <c r="BQ238" s="430"/>
      <c r="BR238" s="430"/>
      <c r="BS238" s="581"/>
      <c r="BT238" s="581"/>
      <c r="BU238" s="430"/>
      <c r="BV238" s="430"/>
      <c r="BW238" s="430"/>
      <c r="BX238" s="430"/>
      <c r="BY238" s="430"/>
      <c r="BZ238" s="430"/>
      <c r="CA238" s="430"/>
      <c r="CB238" s="430"/>
      <c r="CC238" s="430"/>
      <c r="CD238" s="430"/>
      <c r="CE238" s="430"/>
      <c r="CF238" s="430"/>
      <c r="CG238" s="430"/>
      <c r="CH238" s="430"/>
      <c r="CI238" s="430"/>
      <c r="CJ238" s="430"/>
      <c r="CK238" s="430"/>
      <c r="CL238" s="430"/>
    </row>
    <row r="239" spans="63:90" ht="14.25" customHeight="1">
      <c r="BK239" s="581"/>
      <c r="BL239" s="581"/>
      <c r="BM239" s="582"/>
      <c r="BN239" s="581"/>
      <c r="BO239" s="581"/>
      <c r="BP239" s="430"/>
      <c r="BQ239" s="430"/>
      <c r="BR239" s="430"/>
      <c r="BS239" s="581"/>
      <c r="BT239" s="581"/>
      <c r="BU239" s="430"/>
      <c r="BV239" s="430"/>
      <c r="BW239" s="430"/>
      <c r="BX239" s="430"/>
      <c r="BY239" s="430"/>
      <c r="BZ239" s="430"/>
      <c r="CA239" s="430"/>
      <c r="CB239" s="430"/>
      <c r="CC239" s="430"/>
      <c r="CD239" s="430"/>
      <c r="CE239" s="430"/>
      <c r="CF239" s="430"/>
      <c r="CG239" s="430"/>
      <c r="CH239" s="430"/>
      <c r="CI239" s="430"/>
      <c r="CJ239" s="430"/>
      <c r="CK239" s="430"/>
      <c r="CL239" s="430"/>
    </row>
    <row r="240" spans="63:90" ht="14.25" customHeight="1">
      <c r="BK240" s="581"/>
      <c r="BL240" s="581"/>
      <c r="BM240" s="582"/>
      <c r="BN240" s="581"/>
      <c r="BO240" s="581"/>
      <c r="BP240" s="430"/>
      <c r="BQ240" s="430"/>
      <c r="BR240" s="430"/>
      <c r="BS240" s="581"/>
      <c r="BT240" s="581"/>
      <c r="BU240" s="430"/>
      <c r="BV240" s="430"/>
      <c r="BW240" s="430"/>
      <c r="BX240" s="430"/>
      <c r="BY240" s="430"/>
      <c r="BZ240" s="430"/>
      <c r="CA240" s="430"/>
      <c r="CB240" s="430"/>
      <c r="CC240" s="430"/>
      <c r="CD240" s="430"/>
      <c r="CE240" s="430"/>
      <c r="CF240" s="430"/>
      <c r="CG240" s="430"/>
      <c r="CH240" s="430"/>
      <c r="CI240" s="430"/>
      <c r="CJ240" s="430"/>
      <c r="CK240" s="430"/>
      <c r="CL240" s="430"/>
    </row>
    <row r="241" spans="63:90" ht="14.25" customHeight="1">
      <c r="BK241" s="581"/>
      <c r="BL241" s="581"/>
      <c r="BM241" s="582"/>
      <c r="BN241" s="581"/>
      <c r="BO241" s="581"/>
      <c r="BP241" s="430"/>
      <c r="BQ241" s="430"/>
      <c r="BR241" s="430"/>
      <c r="BS241" s="581"/>
      <c r="BT241" s="581"/>
      <c r="BU241" s="430"/>
      <c r="BV241" s="430"/>
      <c r="BW241" s="430"/>
      <c r="BX241" s="430"/>
      <c r="BY241" s="430"/>
      <c r="BZ241" s="430"/>
      <c r="CA241" s="430"/>
      <c r="CB241" s="430"/>
      <c r="CC241" s="430"/>
      <c r="CD241" s="430"/>
      <c r="CE241" s="430"/>
      <c r="CF241" s="430"/>
      <c r="CG241" s="430"/>
      <c r="CH241" s="430"/>
      <c r="CI241" s="430"/>
      <c r="CJ241" s="430"/>
      <c r="CK241" s="430"/>
      <c r="CL241" s="430"/>
    </row>
    <row r="242" spans="63:90" ht="14.25" customHeight="1">
      <c r="BK242" s="581"/>
      <c r="BL242" s="581"/>
      <c r="BM242" s="582"/>
      <c r="BN242" s="581"/>
      <c r="BO242" s="581"/>
      <c r="BP242" s="430"/>
      <c r="BQ242" s="430"/>
      <c r="BR242" s="430"/>
      <c r="BS242" s="581"/>
      <c r="BT242" s="581"/>
      <c r="BU242" s="430"/>
      <c r="BV242" s="430"/>
      <c r="BW242" s="430"/>
      <c r="BX242" s="430"/>
      <c r="BY242" s="430"/>
      <c r="BZ242" s="430"/>
      <c r="CA242" s="430"/>
      <c r="CB242" s="430"/>
      <c r="CC242" s="430"/>
      <c r="CD242" s="430"/>
      <c r="CE242" s="430"/>
      <c r="CF242" s="430"/>
      <c r="CG242" s="430"/>
      <c r="CH242" s="430"/>
      <c r="CI242" s="430"/>
      <c r="CJ242" s="430"/>
      <c r="CK242" s="430"/>
      <c r="CL242" s="430"/>
    </row>
    <row r="243" spans="63:90" ht="14.25" customHeight="1">
      <c r="BK243" s="581"/>
      <c r="BL243" s="581"/>
      <c r="BM243" s="582"/>
      <c r="BN243" s="581"/>
      <c r="BO243" s="581"/>
      <c r="BP243" s="430"/>
      <c r="BQ243" s="430"/>
      <c r="BR243" s="430"/>
      <c r="BS243" s="581"/>
      <c r="BT243" s="581"/>
      <c r="BU243" s="430"/>
      <c r="BV243" s="430"/>
      <c r="BW243" s="430"/>
      <c r="BX243" s="430"/>
      <c r="BY243" s="430"/>
      <c r="BZ243" s="430"/>
      <c r="CA243" s="430"/>
      <c r="CB243" s="430"/>
      <c r="CC243" s="430"/>
      <c r="CD243" s="430"/>
      <c r="CE243" s="430"/>
      <c r="CF243" s="430"/>
      <c r="CG243" s="430"/>
      <c r="CH243" s="430"/>
      <c r="CI243" s="430"/>
      <c r="CJ243" s="430"/>
      <c r="CK243" s="430"/>
      <c r="CL243" s="430"/>
    </row>
    <row r="244" spans="63:90" ht="14.25" customHeight="1">
      <c r="BK244" s="581"/>
      <c r="BL244" s="581"/>
      <c r="BM244" s="582"/>
      <c r="BN244" s="581"/>
      <c r="BO244" s="581"/>
      <c r="BP244" s="430"/>
      <c r="BQ244" s="430"/>
      <c r="BR244" s="430"/>
      <c r="BS244" s="581"/>
      <c r="BT244" s="581"/>
      <c r="BU244" s="430"/>
      <c r="BV244" s="430"/>
      <c r="BW244" s="430"/>
      <c r="BX244" s="430"/>
      <c r="BY244" s="430"/>
      <c r="BZ244" s="430"/>
      <c r="CA244" s="430"/>
      <c r="CB244" s="430"/>
      <c r="CC244" s="430"/>
      <c r="CD244" s="430"/>
      <c r="CE244" s="430"/>
      <c r="CF244" s="430"/>
      <c r="CG244" s="430"/>
      <c r="CH244" s="430"/>
      <c r="CI244" s="430"/>
      <c r="CJ244" s="430"/>
      <c r="CK244" s="430"/>
      <c r="CL244" s="430"/>
    </row>
    <row r="245" spans="63:90" ht="14.25" customHeight="1">
      <c r="BK245" s="581"/>
      <c r="BL245" s="581"/>
      <c r="BM245" s="582"/>
      <c r="BN245" s="581"/>
      <c r="BO245" s="581"/>
      <c r="BP245" s="430"/>
      <c r="BQ245" s="430"/>
      <c r="BR245" s="430"/>
      <c r="BS245" s="581"/>
      <c r="BT245" s="581"/>
      <c r="BU245" s="430"/>
      <c r="BV245" s="430"/>
      <c r="BW245" s="430"/>
      <c r="BX245" s="430"/>
      <c r="BY245" s="430"/>
      <c r="BZ245" s="430"/>
      <c r="CA245" s="430"/>
      <c r="CB245" s="430"/>
      <c r="CC245" s="430"/>
      <c r="CD245" s="430"/>
      <c r="CE245" s="430"/>
      <c r="CF245" s="430"/>
      <c r="CG245" s="430"/>
      <c r="CH245" s="430"/>
      <c r="CI245" s="430"/>
      <c r="CJ245" s="430"/>
      <c r="CK245" s="430"/>
      <c r="CL245" s="430"/>
    </row>
    <row r="246" spans="63:90" ht="14.25" customHeight="1">
      <c r="BK246" s="581"/>
      <c r="BL246" s="581"/>
      <c r="BM246" s="582"/>
      <c r="BN246" s="581"/>
      <c r="BO246" s="581"/>
      <c r="BP246" s="430"/>
      <c r="BQ246" s="430"/>
      <c r="BR246" s="430"/>
      <c r="BS246" s="581"/>
      <c r="BT246" s="581"/>
      <c r="BU246" s="430"/>
      <c r="BV246" s="430"/>
      <c r="BW246" s="430"/>
      <c r="BX246" s="430"/>
      <c r="BY246" s="430"/>
      <c r="BZ246" s="430"/>
      <c r="CA246" s="430"/>
      <c r="CB246" s="430"/>
      <c r="CC246" s="430"/>
      <c r="CD246" s="430"/>
      <c r="CE246" s="430"/>
      <c r="CF246" s="430"/>
      <c r="CG246" s="430"/>
      <c r="CH246" s="430"/>
      <c r="CI246" s="430"/>
      <c r="CJ246" s="430"/>
      <c r="CK246" s="430"/>
      <c r="CL246" s="430"/>
    </row>
    <row r="247" spans="63:90" ht="14.25" customHeight="1">
      <c r="BK247" s="430"/>
      <c r="BL247" s="430"/>
      <c r="BM247" s="430"/>
      <c r="BN247" s="430"/>
      <c r="BO247" s="430"/>
      <c r="BP247" s="430"/>
      <c r="BQ247" s="430"/>
      <c r="BR247" s="430"/>
      <c r="BS247" s="430"/>
      <c r="BT247" s="430"/>
      <c r="BU247" s="430"/>
      <c r="BV247" s="430"/>
      <c r="BW247" s="430"/>
      <c r="BX247" s="430"/>
      <c r="BY247" s="430"/>
      <c r="BZ247" s="430"/>
      <c r="CA247" s="430"/>
      <c r="CB247" s="430"/>
      <c r="CC247" s="430"/>
      <c r="CD247" s="430"/>
      <c r="CE247" s="430"/>
      <c r="CF247" s="430"/>
      <c r="CG247" s="430"/>
      <c r="CH247" s="430"/>
      <c r="CI247" s="430"/>
      <c r="CJ247" s="430"/>
      <c r="CK247" s="430"/>
      <c r="CL247" s="430"/>
    </row>
    <row r="248" spans="63:90" ht="14.25" customHeight="1">
      <c r="BK248" s="430"/>
      <c r="BL248" s="430"/>
      <c r="BM248" s="430"/>
      <c r="BN248" s="430"/>
      <c r="BO248" s="430"/>
      <c r="BP248" s="430"/>
      <c r="BQ248" s="430"/>
      <c r="BR248" s="430"/>
      <c r="BS248" s="430"/>
      <c r="BT248" s="430"/>
      <c r="BU248" s="430"/>
      <c r="BV248" s="430"/>
      <c r="BW248" s="430"/>
      <c r="BX248" s="430"/>
      <c r="BY248" s="430"/>
      <c r="BZ248" s="430"/>
      <c r="CA248" s="430"/>
      <c r="CB248" s="430"/>
      <c r="CC248" s="430"/>
      <c r="CD248" s="430"/>
      <c r="CE248" s="430"/>
      <c r="CF248" s="430"/>
      <c r="CG248" s="430"/>
      <c r="CH248" s="430"/>
      <c r="CI248" s="430"/>
      <c r="CJ248" s="430"/>
      <c r="CK248" s="430"/>
      <c r="CL248" s="430"/>
    </row>
    <row r="249" spans="63:90" ht="14.25" customHeight="1">
      <c r="BK249" s="430"/>
      <c r="BL249" s="430"/>
      <c r="BM249" s="430"/>
      <c r="BN249" s="430"/>
      <c r="BO249" s="430"/>
      <c r="BP249" s="430"/>
      <c r="BQ249" s="430"/>
      <c r="BR249" s="430"/>
      <c r="BS249" s="430"/>
      <c r="BT249" s="430"/>
      <c r="BU249" s="430"/>
      <c r="BV249" s="430"/>
      <c r="BW249" s="430"/>
      <c r="BX249" s="430"/>
      <c r="BY249" s="430"/>
      <c r="BZ249" s="430"/>
      <c r="CA249" s="430"/>
      <c r="CB249" s="430"/>
      <c r="CC249" s="430"/>
      <c r="CD249" s="430"/>
      <c r="CE249" s="430"/>
      <c r="CF249" s="430"/>
      <c r="CG249" s="430"/>
      <c r="CH249" s="430"/>
      <c r="CI249" s="430"/>
      <c r="CJ249" s="430"/>
      <c r="CK249" s="430"/>
      <c r="CL249" s="430"/>
    </row>
    <row r="250" spans="63:90" ht="14.25" customHeight="1">
      <c r="BK250" s="430"/>
      <c r="BL250" s="430"/>
      <c r="BM250" s="430"/>
      <c r="BN250" s="430"/>
      <c r="BO250" s="430"/>
      <c r="BP250" s="430"/>
      <c r="BQ250" s="430"/>
      <c r="BR250" s="430"/>
      <c r="BS250" s="430"/>
      <c r="BT250" s="430"/>
      <c r="BU250" s="430"/>
      <c r="BV250" s="430"/>
      <c r="BW250" s="430"/>
      <c r="BX250" s="430"/>
      <c r="BY250" s="430"/>
      <c r="BZ250" s="430"/>
      <c r="CA250" s="430"/>
      <c r="CB250" s="430"/>
      <c r="CC250" s="430"/>
      <c r="CD250" s="430"/>
      <c r="CE250" s="430"/>
      <c r="CF250" s="430"/>
      <c r="CG250" s="430"/>
      <c r="CH250" s="430"/>
      <c r="CI250" s="430"/>
      <c r="CJ250" s="430"/>
      <c r="CK250" s="430"/>
      <c r="CL250" s="430"/>
    </row>
    <row r="251" spans="63:90" ht="14.25" customHeight="1">
      <c r="BK251" s="430"/>
      <c r="BL251" s="430"/>
      <c r="BM251" s="430"/>
      <c r="BN251" s="430"/>
      <c r="BO251" s="430"/>
      <c r="BP251" s="430"/>
      <c r="BQ251" s="430"/>
      <c r="BR251" s="430"/>
      <c r="BS251" s="430"/>
      <c r="BT251" s="430"/>
      <c r="BU251" s="430"/>
      <c r="BV251" s="430"/>
      <c r="BW251" s="430"/>
      <c r="BX251" s="430"/>
      <c r="BY251" s="430"/>
      <c r="BZ251" s="430"/>
      <c r="CA251" s="430"/>
      <c r="CB251" s="430"/>
      <c r="CC251" s="430"/>
      <c r="CD251" s="430"/>
      <c r="CE251" s="430"/>
      <c r="CF251" s="430"/>
      <c r="CG251" s="430"/>
      <c r="CH251" s="430"/>
      <c r="CI251" s="430"/>
      <c r="CJ251" s="430"/>
      <c r="CK251" s="430"/>
      <c r="CL251" s="430"/>
    </row>
    <row r="252" spans="63:90" ht="14.25" customHeight="1">
      <c r="BK252" s="430"/>
      <c r="BL252" s="430"/>
      <c r="BM252" s="430"/>
      <c r="BN252" s="430"/>
      <c r="BO252" s="430"/>
      <c r="BP252" s="430"/>
      <c r="BQ252" s="430"/>
      <c r="BR252" s="430"/>
      <c r="BS252" s="430"/>
      <c r="BT252" s="430"/>
      <c r="BU252" s="430"/>
      <c r="BV252" s="430"/>
      <c r="BW252" s="430"/>
      <c r="BX252" s="430"/>
      <c r="BY252" s="430"/>
      <c r="BZ252" s="430"/>
      <c r="CA252" s="430"/>
      <c r="CB252" s="430"/>
      <c r="CC252" s="430"/>
      <c r="CD252" s="430"/>
      <c r="CE252" s="430"/>
      <c r="CF252" s="430"/>
      <c r="CG252" s="430"/>
      <c r="CH252" s="430"/>
      <c r="CI252" s="430"/>
      <c r="CJ252" s="430"/>
      <c r="CK252" s="430"/>
      <c r="CL252" s="430"/>
    </row>
    <row r="253" spans="63:90" ht="14.25" customHeight="1">
      <c r="BK253" s="430"/>
      <c r="BL253" s="430"/>
      <c r="BM253" s="430"/>
      <c r="BN253" s="430"/>
      <c r="BO253" s="430"/>
      <c r="BP253" s="430"/>
      <c r="BQ253" s="430"/>
      <c r="BR253" s="430"/>
      <c r="BS253" s="430"/>
      <c r="BT253" s="430"/>
      <c r="BU253" s="430"/>
      <c r="BV253" s="430"/>
      <c r="BW253" s="430"/>
      <c r="BX253" s="430"/>
      <c r="BY253" s="430"/>
      <c r="BZ253" s="430"/>
      <c r="CA253" s="430"/>
      <c r="CB253" s="430"/>
      <c r="CC253" s="430"/>
      <c r="CD253" s="430"/>
      <c r="CE253" s="430"/>
      <c r="CF253" s="430"/>
      <c r="CG253" s="430"/>
      <c r="CH253" s="430"/>
      <c r="CI253" s="430"/>
      <c r="CJ253" s="430"/>
      <c r="CK253" s="430"/>
      <c r="CL253" s="430"/>
    </row>
    <row r="254" spans="63:90" ht="14.25" customHeight="1">
      <c r="BK254" s="430"/>
      <c r="BL254" s="430"/>
      <c r="BM254" s="430"/>
      <c r="BN254" s="430"/>
      <c r="BO254" s="430"/>
      <c r="BP254" s="430"/>
      <c r="BQ254" s="430"/>
      <c r="BR254" s="430"/>
      <c r="BS254" s="430"/>
      <c r="BT254" s="430"/>
      <c r="BU254" s="430"/>
      <c r="BV254" s="430"/>
      <c r="BW254" s="430"/>
      <c r="BX254" s="430"/>
      <c r="BY254" s="430"/>
      <c r="BZ254" s="430"/>
      <c r="CA254" s="430"/>
      <c r="CB254" s="430"/>
      <c r="CC254" s="430"/>
      <c r="CD254" s="430"/>
      <c r="CE254" s="430"/>
      <c r="CF254" s="430"/>
      <c r="CG254" s="430"/>
      <c r="CH254" s="430"/>
      <c r="CI254" s="430"/>
      <c r="CJ254" s="430"/>
      <c r="CK254" s="430"/>
      <c r="CL254" s="430"/>
    </row>
    <row r="255" spans="63:90" ht="14.25" customHeight="1">
      <c r="BK255" s="430"/>
      <c r="BL255" s="430"/>
      <c r="BM255" s="430"/>
      <c r="BN255" s="430"/>
      <c r="BO255" s="430"/>
      <c r="BP255" s="430"/>
      <c r="BQ255" s="430"/>
      <c r="BR255" s="430"/>
      <c r="BS255" s="430"/>
      <c r="BT255" s="430"/>
      <c r="BU255" s="430"/>
      <c r="BV255" s="430"/>
      <c r="BW255" s="430"/>
      <c r="BX255" s="430"/>
      <c r="BY255" s="430"/>
      <c r="BZ255" s="430"/>
      <c r="CA255" s="430"/>
      <c r="CB255" s="430"/>
      <c r="CC255" s="430"/>
      <c r="CD255" s="430"/>
      <c r="CE255" s="430"/>
      <c r="CF255" s="430"/>
      <c r="CG255" s="430"/>
      <c r="CH255" s="430"/>
      <c r="CI255" s="430"/>
      <c r="CJ255" s="430"/>
      <c r="CK255" s="430"/>
      <c r="CL255" s="430"/>
    </row>
    <row r="256" spans="63:90" ht="14.25" customHeight="1">
      <c r="BK256" s="430"/>
      <c r="BL256" s="430"/>
      <c r="BM256" s="430"/>
      <c r="BN256" s="430"/>
      <c r="BO256" s="430"/>
      <c r="BP256" s="430"/>
      <c r="BQ256" s="430"/>
      <c r="BR256" s="430"/>
      <c r="BS256" s="430"/>
      <c r="BT256" s="430"/>
      <c r="BU256" s="430"/>
      <c r="BV256" s="430"/>
      <c r="BW256" s="430"/>
      <c r="BX256" s="430"/>
      <c r="BY256" s="430"/>
      <c r="BZ256" s="430"/>
      <c r="CA256" s="430"/>
      <c r="CB256" s="430"/>
      <c r="CC256" s="430"/>
      <c r="CD256" s="430"/>
      <c r="CE256" s="430"/>
      <c r="CF256" s="430"/>
      <c r="CG256" s="430"/>
      <c r="CH256" s="430"/>
      <c r="CI256" s="430"/>
      <c r="CJ256" s="430"/>
      <c r="CK256" s="430"/>
      <c r="CL256" s="430"/>
    </row>
    <row r="257" spans="63:90" ht="14.25" customHeight="1">
      <c r="BK257" s="430"/>
      <c r="BL257" s="430"/>
      <c r="BM257" s="430"/>
      <c r="BN257" s="430"/>
      <c r="BO257" s="430"/>
      <c r="BP257" s="430"/>
      <c r="BQ257" s="430"/>
      <c r="BR257" s="430"/>
      <c r="BS257" s="430"/>
      <c r="BT257" s="430"/>
      <c r="BU257" s="430"/>
      <c r="BV257" s="430"/>
      <c r="BW257" s="430"/>
      <c r="BX257" s="430"/>
      <c r="BY257" s="430"/>
      <c r="BZ257" s="430"/>
      <c r="CA257" s="430"/>
      <c r="CB257" s="430"/>
      <c r="CC257" s="430"/>
      <c r="CD257" s="430"/>
      <c r="CE257" s="430"/>
      <c r="CF257" s="430"/>
      <c r="CG257" s="430"/>
      <c r="CH257" s="430"/>
      <c r="CI257" s="430"/>
      <c r="CJ257" s="430"/>
      <c r="CK257" s="430"/>
      <c r="CL257" s="430"/>
    </row>
    <row r="258" spans="63:90" ht="14.25" customHeight="1">
      <c r="BK258" s="430"/>
      <c r="BL258" s="430"/>
      <c r="BM258" s="430"/>
      <c r="BN258" s="430"/>
      <c r="BO258" s="430"/>
      <c r="BP258" s="430"/>
      <c r="BQ258" s="430"/>
      <c r="BR258" s="430"/>
      <c r="BS258" s="430"/>
      <c r="BT258" s="430"/>
      <c r="BU258" s="430"/>
      <c r="BV258" s="430"/>
      <c r="BW258" s="430"/>
      <c r="BX258" s="430"/>
      <c r="BY258" s="430"/>
      <c r="BZ258" s="430"/>
      <c r="CA258" s="430"/>
      <c r="CB258" s="430"/>
      <c r="CC258" s="430"/>
      <c r="CD258" s="430"/>
      <c r="CE258" s="430"/>
      <c r="CF258" s="430"/>
      <c r="CG258" s="430"/>
      <c r="CH258" s="430"/>
      <c r="CI258" s="430"/>
      <c r="CJ258" s="430"/>
      <c r="CK258" s="430"/>
      <c r="CL258" s="430"/>
    </row>
    <row r="259" spans="63:90" ht="14.25" customHeight="1">
      <c r="BK259" s="430"/>
      <c r="BL259" s="430"/>
      <c r="BM259" s="430"/>
      <c r="BN259" s="430"/>
      <c r="BO259" s="430"/>
      <c r="BP259" s="430"/>
      <c r="BQ259" s="430"/>
      <c r="BR259" s="430"/>
      <c r="BS259" s="430"/>
      <c r="BT259" s="430"/>
      <c r="BU259" s="430"/>
      <c r="BV259" s="430"/>
      <c r="BW259" s="430"/>
      <c r="BX259" s="430"/>
      <c r="BY259" s="430"/>
      <c r="BZ259" s="430"/>
      <c r="CA259" s="430"/>
      <c r="CB259" s="430"/>
      <c r="CC259" s="430"/>
      <c r="CD259" s="430"/>
      <c r="CE259" s="430"/>
      <c r="CF259" s="430"/>
      <c r="CG259" s="430"/>
      <c r="CH259" s="430"/>
      <c r="CI259" s="430"/>
      <c r="CJ259" s="430"/>
      <c r="CK259" s="430"/>
      <c r="CL259" s="430"/>
    </row>
    <row r="260" spans="63:90" ht="14.25" customHeight="1">
      <c r="BK260" s="430"/>
      <c r="BL260" s="430"/>
      <c r="BM260" s="430"/>
      <c r="BN260" s="430"/>
      <c r="BO260" s="430"/>
      <c r="BP260" s="430"/>
      <c r="BQ260" s="430"/>
      <c r="BR260" s="430"/>
      <c r="BS260" s="430"/>
      <c r="BT260" s="430"/>
      <c r="BU260" s="430"/>
      <c r="BV260" s="430"/>
      <c r="BW260" s="430"/>
      <c r="BX260" s="430"/>
      <c r="BY260" s="430"/>
      <c r="BZ260" s="430"/>
      <c r="CA260" s="430"/>
      <c r="CB260" s="430"/>
      <c r="CC260" s="430"/>
      <c r="CD260" s="430"/>
      <c r="CE260" s="430"/>
      <c r="CF260" s="430"/>
      <c r="CG260" s="430"/>
      <c r="CH260" s="430"/>
      <c r="CI260" s="430"/>
      <c r="CJ260" s="430"/>
      <c r="CK260" s="430"/>
      <c r="CL260" s="430"/>
    </row>
    <row r="261" spans="63:90" ht="14.25" customHeight="1">
      <c r="BK261" s="430"/>
      <c r="BL261" s="430"/>
      <c r="BM261" s="430"/>
      <c r="BN261" s="430"/>
      <c r="BO261" s="430"/>
      <c r="BP261" s="430"/>
      <c r="BQ261" s="430"/>
      <c r="BR261" s="430"/>
      <c r="BS261" s="430"/>
      <c r="BT261" s="430"/>
      <c r="BU261" s="430"/>
      <c r="BV261" s="430"/>
      <c r="BW261" s="430"/>
      <c r="BX261" s="430"/>
      <c r="BY261" s="430"/>
      <c r="BZ261" s="430"/>
      <c r="CA261" s="430"/>
      <c r="CB261" s="430"/>
      <c r="CC261" s="430"/>
      <c r="CD261" s="430"/>
      <c r="CE261" s="430"/>
      <c r="CF261" s="430"/>
      <c r="CG261" s="430"/>
      <c r="CH261" s="430"/>
      <c r="CI261" s="430"/>
      <c r="CJ261" s="430"/>
      <c r="CK261" s="430"/>
      <c r="CL261" s="430"/>
    </row>
    <row r="262" spans="63:90" ht="14.25" customHeight="1">
      <c r="BK262" s="430"/>
      <c r="BL262" s="430"/>
      <c r="BM262" s="430"/>
      <c r="BN262" s="430"/>
      <c r="BO262" s="430"/>
      <c r="BP262" s="430"/>
      <c r="BQ262" s="430"/>
      <c r="BR262" s="430"/>
      <c r="BS262" s="430"/>
      <c r="BT262" s="430"/>
      <c r="BU262" s="430"/>
      <c r="BV262" s="430"/>
      <c r="BW262" s="430"/>
      <c r="BX262" s="430"/>
      <c r="BY262" s="430"/>
      <c r="BZ262" s="430"/>
      <c r="CA262" s="430"/>
      <c r="CB262" s="430"/>
      <c r="CC262" s="430"/>
      <c r="CD262" s="430"/>
      <c r="CE262" s="430"/>
      <c r="CF262" s="430"/>
      <c r="CG262" s="430"/>
      <c r="CH262" s="430"/>
      <c r="CI262" s="430"/>
      <c r="CJ262" s="430"/>
      <c r="CK262" s="430"/>
      <c r="CL262" s="430"/>
    </row>
    <row r="263" spans="63:90" ht="14.25" customHeight="1">
      <c r="BK263" s="430"/>
      <c r="BL263" s="430"/>
      <c r="BM263" s="430"/>
      <c r="BN263" s="430"/>
      <c r="BO263" s="430"/>
      <c r="BP263" s="430"/>
      <c r="BQ263" s="430"/>
      <c r="BR263" s="430"/>
      <c r="BS263" s="430"/>
      <c r="BT263" s="430"/>
      <c r="BU263" s="430"/>
      <c r="BV263" s="430"/>
      <c r="BW263" s="430"/>
      <c r="BX263" s="430"/>
      <c r="BY263" s="430"/>
      <c r="BZ263" s="430"/>
      <c r="CA263" s="430"/>
      <c r="CB263" s="430"/>
      <c r="CC263" s="430"/>
      <c r="CD263" s="430"/>
      <c r="CE263" s="430"/>
      <c r="CF263" s="430"/>
      <c r="CG263" s="430"/>
      <c r="CH263" s="430"/>
      <c r="CI263" s="430"/>
      <c r="CJ263" s="430"/>
      <c r="CK263" s="430"/>
      <c r="CL263" s="430"/>
    </row>
    <row r="264" spans="63:90" ht="14.25" customHeight="1">
      <c r="BK264" s="430"/>
      <c r="BL264" s="430"/>
      <c r="BM264" s="430"/>
      <c r="BN264" s="430"/>
      <c r="BO264" s="430"/>
      <c r="BP264" s="430"/>
      <c r="BQ264" s="430"/>
      <c r="BR264" s="430"/>
      <c r="BS264" s="430"/>
      <c r="BT264" s="430"/>
      <c r="BU264" s="430"/>
      <c r="BV264" s="430"/>
      <c r="BW264" s="430"/>
      <c r="BX264" s="430"/>
      <c r="BY264" s="430"/>
      <c r="BZ264" s="430"/>
      <c r="CA264" s="430"/>
      <c r="CB264" s="430"/>
      <c r="CC264" s="430"/>
      <c r="CD264" s="430"/>
      <c r="CE264" s="430"/>
      <c r="CF264" s="430"/>
      <c r="CG264" s="430"/>
      <c r="CH264" s="430"/>
      <c r="CI264" s="430"/>
      <c r="CJ264" s="430"/>
      <c r="CK264" s="430"/>
      <c r="CL264" s="430"/>
    </row>
    <row r="265" spans="63:90" ht="14.25" customHeight="1">
      <c r="BK265" s="430"/>
      <c r="BL265" s="430"/>
      <c r="BM265" s="430"/>
      <c r="BN265" s="430"/>
      <c r="BO265" s="430"/>
      <c r="BP265" s="430"/>
      <c r="BQ265" s="430"/>
      <c r="BR265" s="430"/>
      <c r="BS265" s="430"/>
      <c r="BT265" s="430"/>
      <c r="BU265" s="430"/>
      <c r="BV265" s="430"/>
      <c r="BW265" s="430"/>
      <c r="BX265" s="430"/>
      <c r="BY265" s="430"/>
      <c r="BZ265" s="430"/>
      <c r="CA265" s="430"/>
      <c r="CB265" s="430"/>
      <c r="CC265" s="430"/>
      <c r="CD265" s="430"/>
      <c r="CE265" s="430"/>
      <c r="CF265" s="430"/>
      <c r="CG265" s="430"/>
      <c r="CH265" s="430"/>
      <c r="CI265" s="430"/>
      <c r="CJ265" s="430"/>
      <c r="CK265" s="430"/>
      <c r="CL265" s="430"/>
    </row>
    <row r="266" spans="63:90" ht="14.25" customHeight="1">
      <c r="BK266" s="430"/>
      <c r="BL266" s="430"/>
      <c r="BM266" s="430"/>
      <c r="BN266" s="430"/>
      <c r="BO266" s="430"/>
      <c r="BP266" s="430"/>
      <c r="BQ266" s="430"/>
      <c r="BR266" s="430"/>
      <c r="BS266" s="430"/>
      <c r="BT266" s="430"/>
      <c r="BU266" s="430"/>
      <c r="BV266" s="430"/>
      <c r="BW266" s="430"/>
      <c r="BX266" s="430"/>
      <c r="BY266" s="430"/>
      <c r="BZ266" s="430"/>
      <c r="CA266" s="430"/>
      <c r="CB266" s="430"/>
      <c r="CC266" s="430"/>
      <c r="CD266" s="430"/>
      <c r="CE266" s="430"/>
      <c r="CF266" s="430"/>
      <c r="CG266" s="430"/>
      <c r="CH266" s="430"/>
      <c r="CI266" s="430"/>
      <c r="CJ266" s="430"/>
      <c r="CK266" s="430"/>
      <c r="CL266" s="430"/>
    </row>
    <row r="267" spans="63:90" ht="14.25" customHeight="1">
      <c r="BK267" s="430"/>
      <c r="BL267" s="430"/>
      <c r="BM267" s="430"/>
      <c r="BN267" s="430"/>
      <c r="BO267" s="430"/>
      <c r="BP267" s="430"/>
      <c r="BQ267" s="430"/>
      <c r="BR267" s="430"/>
      <c r="BS267" s="430"/>
      <c r="BT267" s="430"/>
      <c r="BU267" s="430"/>
      <c r="BV267" s="430"/>
      <c r="BW267" s="430"/>
      <c r="BX267" s="430"/>
      <c r="BY267" s="430"/>
      <c r="BZ267" s="430"/>
      <c r="CA267" s="430"/>
      <c r="CB267" s="430"/>
      <c r="CC267" s="430"/>
      <c r="CD267" s="430"/>
      <c r="CE267" s="430"/>
      <c r="CF267" s="430"/>
      <c r="CG267" s="430"/>
      <c r="CH267" s="430"/>
      <c r="CI267" s="430"/>
      <c r="CJ267" s="430"/>
      <c r="CK267" s="430"/>
      <c r="CL267" s="430"/>
    </row>
    <row r="268" spans="63:90" ht="14.25" customHeight="1">
      <c r="BK268" s="430"/>
      <c r="BL268" s="430"/>
      <c r="BM268" s="430"/>
      <c r="BN268" s="430"/>
      <c r="BO268" s="430"/>
      <c r="BP268" s="430"/>
      <c r="BQ268" s="430"/>
      <c r="BR268" s="430"/>
      <c r="BS268" s="430"/>
      <c r="BT268" s="430"/>
      <c r="BU268" s="430"/>
      <c r="BV268" s="430"/>
      <c r="BW268" s="430"/>
      <c r="BX268" s="430"/>
      <c r="BY268" s="430"/>
      <c r="BZ268" s="430"/>
      <c r="CA268" s="430"/>
      <c r="CB268" s="430"/>
      <c r="CC268" s="430"/>
      <c r="CD268" s="430"/>
      <c r="CE268" s="430"/>
      <c r="CF268" s="430"/>
      <c r="CG268" s="430"/>
      <c r="CH268" s="430"/>
      <c r="CI268" s="430"/>
      <c r="CJ268" s="430"/>
      <c r="CK268" s="430"/>
      <c r="CL268" s="430"/>
    </row>
    <row r="269" spans="63:90" ht="14.25" customHeight="1">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c r="CE269" s="430"/>
      <c r="CF269" s="430"/>
      <c r="CG269" s="430"/>
      <c r="CH269" s="430"/>
      <c r="CI269" s="430"/>
      <c r="CJ269" s="430"/>
      <c r="CK269" s="430"/>
      <c r="CL269" s="430"/>
    </row>
    <row r="270" spans="63:90" ht="14.25" customHeight="1">
      <c r="BK270" s="430"/>
      <c r="BL270" s="430"/>
      <c r="BM270" s="430"/>
      <c r="BN270" s="430"/>
      <c r="BO270" s="430"/>
      <c r="BP270" s="430"/>
      <c r="BQ270" s="430"/>
      <c r="BR270" s="430"/>
      <c r="BS270" s="430"/>
      <c r="BT270" s="430"/>
      <c r="BU270" s="430"/>
      <c r="BV270" s="430"/>
      <c r="BW270" s="430"/>
      <c r="BX270" s="430"/>
      <c r="BY270" s="430"/>
      <c r="BZ270" s="430"/>
      <c r="CA270" s="430"/>
      <c r="CB270" s="430"/>
      <c r="CC270" s="430"/>
      <c r="CD270" s="430"/>
      <c r="CE270" s="430"/>
      <c r="CF270" s="430"/>
      <c r="CG270" s="430"/>
      <c r="CH270" s="430"/>
      <c r="CI270" s="430"/>
      <c r="CJ270" s="430"/>
      <c r="CK270" s="430"/>
      <c r="CL270" s="430"/>
    </row>
    <row r="271" spans="63:90" ht="14.25" customHeight="1">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c r="CE271" s="430"/>
      <c r="CF271" s="430"/>
      <c r="CG271" s="430"/>
      <c r="CH271" s="430"/>
      <c r="CI271" s="430"/>
      <c r="CJ271" s="430"/>
      <c r="CK271" s="430"/>
      <c r="CL271" s="430"/>
    </row>
    <row r="272" spans="63:90" ht="14.25" customHeight="1">
      <c r="BK272" s="430"/>
      <c r="BL272" s="430"/>
      <c r="BM272" s="430"/>
      <c r="BN272" s="430"/>
      <c r="BO272" s="430"/>
      <c r="BP272" s="430"/>
      <c r="BQ272" s="430"/>
      <c r="BR272" s="430"/>
      <c r="BS272" s="430"/>
      <c r="BT272" s="430"/>
      <c r="BU272" s="430"/>
      <c r="BV272" s="430"/>
      <c r="BW272" s="430"/>
      <c r="BX272" s="430"/>
      <c r="BY272" s="430"/>
      <c r="BZ272" s="430"/>
      <c r="CA272" s="430"/>
      <c r="CB272" s="430"/>
      <c r="CC272" s="430"/>
      <c r="CD272" s="430"/>
      <c r="CE272" s="430"/>
      <c r="CF272" s="430"/>
      <c r="CG272" s="430"/>
      <c r="CH272" s="430"/>
      <c r="CI272" s="430"/>
      <c r="CJ272" s="430"/>
      <c r="CK272" s="430"/>
      <c r="CL272" s="430"/>
    </row>
    <row r="273" spans="63:90" ht="14.25" customHeight="1">
      <c r="BK273" s="430"/>
      <c r="BL273" s="430"/>
      <c r="BM273" s="430"/>
      <c r="BN273" s="430"/>
      <c r="BO273" s="430"/>
      <c r="BP273" s="430"/>
      <c r="BQ273" s="430"/>
      <c r="BR273" s="430"/>
      <c r="BS273" s="430"/>
      <c r="BT273" s="430"/>
      <c r="BU273" s="430"/>
      <c r="BV273" s="430"/>
      <c r="BW273" s="430"/>
      <c r="BX273" s="430"/>
      <c r="BY273" s="430"/>
      <c r="BZ273" s="430"/>
      <c r="CA273" s="430"/>
      <c r="CB273" s="430"/>
      <c r="CC273" s="430"/>
      <c r="CD273" s="430"/>
      <c r="CE273" s="430"/>
      <c r="CF273" s="430"/>
      <c r="CG273" s="430"/>
      <c r="CH273" s="430"/>
      <c r="CI273" s="430"/>
      <c r="CJ273" s="430"/>
      <c r="CK273" s="430"/>
      <c r="CL273" s="430"/>
    </row>
    <row r="274" spans="63:90" ht="14.25" customHeight="1">
      <c r="BK274" s="430"/>
      <c r="BL274" s="430"/>
      <c r="BM274" s="430"/>
      <c r="BN274" s="430"/>
      <c r="BO274" s="430"/>
      <c r="BP274" s="430"/>
      <c r="BQ274" s="430"/>
      <c r="BR274" s="430"/>
      <c r="BS274" s="430"/>
      <c r="BT274" s="430"/>
      <c r="BU274" s="430"/>
      <c r="BV274" s="430"/>
      <c r="BW274" s="430"/>
      <c r="BX274" s="430"/>
      <c r="BY274" s="430"/>
      <c r="BZ274" s="430"/>
      <c r="CA274" s="430"/>
      <c r="CB274" s="430"/>
      <c r="CC274" s="430"/>
      <c r="CD274" s="430"/>
      <c r="CE274" s="430"/>
      <c r="CF274" s="430"/>
      <c r="CG274" s="430"/>
      <c r="CH274" s="430"/>
      <c r="CI274" s="430"/>
      <c r="CJ274" s="430"/>
      <c r="CK274" s="430"/>
      <c r="CL274" s="430"/>
    </row>
    <row r="275" spans="63:90" ht="14.25" customHeight="1">
      <c r="BK275" s="430"/>
      <c r="BL275" s="430"/>
      <c r="BM275" s="430"/>
      <c r="BN275" s="430"/>
      <c r="BO275" s="430"/>
      <c r="BP275" s="430"/>
      <c r="BQ275" s="430"/>
      <c r="BR275" s="430"/>
      <c r="BS275" s="430"/>
      <c r="BT275" s="430"/>
      <c r="BU275" s="430"/>
      <c r="BV275" s="430"/>
      <c r="BW275" s="430"/>
      <c r="BX275" s="430"/>
      <c r="BY275" s="430"/>
      <c r="BZ275" s="430"/>
      <c r="CA275" s="430"/>
      <c r="CB275" s="430"/>
      <c r="CC275" s="430"/>
      <c r="CD275" s="430"/>
      <c r="CE275" s="430"/>
      <c r="CF275" s="430"/>
      <c r="CG275" s="430"/>
      <c r="CH275" s="430"/>
      <c r="CI275" s="430"/>
      <c r="CJ275" s="430"/>
      <c r="CK275" s="430"/>
      <c r="CL275" s="430"/>
    </row>
    <row r="276" spans="63:90" ht="14.25" customHeight="1">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c r="CE276" s="430"/>
      <c r="CF276" s="430"/>
      <c r="CG276" s="430"/>
      <c r="CH276" s="430"/>
      <c r="CI276" s="430"/>
      <c r="CJ276" s="430"/>
      <c r="CK276" s="430"/>
      <c r="CL276" s="430"/>
    </row>
    <row r="277" spans="63:90" ht="14.25" customHeight="1">
      <c r="BK277" s="430"/>
      <c r="BL277" s="430"/>
      <c r="BM277" s="430"/>
      <c r="BN277" s="430"/>
      <c r="BO277" s="430"/>
      <c r="BP277" s="430"/>
      <c r="BQ277" s="430"/>
      <c r="BR277" s="430"/>
      <c r="BS277" s="430"/>
      <c r="BT277" s="430"/>
      <c r="BU277" s="430"/>
      <c r="BV277" s="430"/>
      <c r="BW277" s="430"/>
      <c r="BX277" s="430"/>
      <c r="BY277" s="430"/>
      <c r="BZ277" s="430"/>
      <c r="CA277" s="430"/>
      <c r="CB277" s="430"/>
      <c r="CC277" s="430"/>
      <c r="CD277" s="430"/>
      <c r="CE277" s="430"/>
      <c r="CF277" s="430"/>
      <c r="CG277" s="430"/>
      <c r="CH277" s="430"/>
      <c r="CI277" s="430"/>
      <c r="CJ277" s="430"/>
      <c r="CK277" s="430"/>
      <c r="CL277" s="430"/>
    </row>
    <row r="278" spans="63:90" ht="14.25" customHeight="1">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c r="CE278" s="430"/>
      <c r="CF278" s="430"/>
      <c r="CG278" s="430"/>
      <c r="CH278" s="430"/>
      <c r="CI278" s="430"/>
      <c r="CJ278" s="430"/>
      <c r="CK278" s="430"/>
      <c r="CL278" s="430"/>
    </row>
    <row r="279" spans="63:90" ht="14.25" customHeight="1">
      <c r="BK279" s="430"/>
      <c r="BL279" s="430"/>
      <c r="BM279" s="430"/>
      <c r="BN279" s="430"/>
      <c r="BO279" s="430"/>
      <c r="BP279" s="430"/>
      <c r="BQ279" s="430"/>
      <c r="BR279" s="430"/>
      <c r="BS279" s="430"/>
      <c r="BT279" s="430"/>
      <c r="BU279" s="430"/>
      <c r="BV279" s="430"/>
      <c r="BW279" s="430"/>
      <c r="BX279" s="430"/>
      <c r="BY279" s="430"/>
      <c r="BZ279" s="430"/>
      <c r="CA279" s="430"/>
      <c r="CB279" s="430"/>
      <c r="CC279" s="430"/>
      <c r="CD279" s="430"/>
      <c r="CE279" s="430"/>
      <c r="CF279" s="430"/>
      <c r="CG279" s="430"/>
      <c r="CH279" s="430"/>
      <c r="CI279" s="430"/>
      <c r="CJ279" s="430"/>
      <c r="CK279" s="430"/>
      <c r="CL279" s="430"/>
    </row>
    <row r="280" spans="63:90" ht="14.25" customHeight="1">
      <c r="BK280" s="430"/>
      <c r="BL280" s="430"/>
      <c r="BM280" s="430"/>
      <c r="BN280" s="430"/>
      <c r="BO280" s="430"/>
      <c r="BP280" s="430"/>
      <c r="BQ280" s="430"/>
      <c r="BR280" s="430"/>
      <c r="BS280" s="430"/>
      <c r="BT280" s="430"/>
      <c r="BU280" s="430"/>
      <c r="BV280" s="430"/>
      <c r="BW280" s="430"/>
      <c r="BX280" s="430"/>
      <c r="BY280" s="430"/>
      <c r="BZ280" s="430"/>
      <c r="CA280" s="430"/>
      <c r="CB280" s="430"/>
      <c r="CC280" s="430"/>
      <c r="CD280" s="430"/>
      <c r="CE280" s="430"/>
      <c r="CF280" s="430"/>
      <c r="CG280" s="430"/>
      <c r="CH280" s="430"/>
      <c r="CI280" s="430"/>
      <c r="CJ280" s="430"/>
      <c r="CK280" s="430"/>
      <c r="CL280" s="430"/>
    </row>
    <row r="281" spans="63:90" ht="14.25" customHeight="1">
      <c r="BK281" s="430"/>
      <c r="BL281" s="430"/>
      <c r="BM281" s="430"/>
      <c r="BN281" s="430"/>
      <c r="BO281" s="430"/>
      <c r="BP281" s="430"/>
      <c r="BQ281" s="430"/>
      <c r="BR281" s="430"/>
      <c r="BS281" s="430"/>
      <c r="BT281" s="430"/>
      <c r="BU281" s="430"/>
      <c r="BV281" s="430"/>
      <c r="BW281" s="430"/>
      <c r="BX281" s="430"/>
      <c r="BY281" s="430"/>
      <c r="BZ281" s="430"/>
      <c r="CA281" s="430"/>
      <c r="CB281" s="430"/>
      <c r="CC281" s="430"/>
      <c r="CD281" s="430"/>
      <c r="CE281" s="430"/>
      <c r="CF281" s="430"/>
      <c r="CG281" s="430"/>
      <c r="CH281" s="430"/>
      <c r="CI281" s="430"/>
      <c r="CJ281" s="430"/>
      <c r="CK281" s="430"/>
      <c r="CL281" s="430"/>
    </row>
    <row r="282" spans="63:90" ht="14.25" customHeight="1">
      <c r="BK282" s="430"/>
      <c r="BL282" s="430"/>
      <c r="BM282" s="430"/>
      <c r="BN282" s="430"/>
      <c r="BO282" s="430"/>
      <c r="BP282" s="430"/>
      <c r="BQ282" s="430"/>
      <c r="BR282" s="430"/>
      <c r="BS282" s="430"/>
      <c r="BT282" s="430"/>
      <c r="BU282" s="430"/>
      <c r="BV282" s="430"/>
      <c r="BW282" s="430"/>
      <c r="BX282" s="430"/>
      <c r="BY282" s="430"/>
      <c r="BZ282" s="430"/>
      <c r="CA282" s="430"/>
      <c r="CB282" s="430"/>
      <c r="CC282" s="430"/>
      <c r="CD282" s="430"/>
      <c r="CE282" s="430"/>
      <c r="CF282" s="430"/>
      <c r="CG282" s="430"/>
      <c r="CH282" s="430"/>
      <c r="CI282" s="430"/>
      <c r="CJ282" s="430"/>
      <c r="CK282" s="430"/>
      <c r="CL282" s="430"/>
    </row>
    <row r="283" spans="63:90" ht="14.25" customHeight="1">
      <c r="BK283" s="430"/>
      <c r="BL283" s="430"/>
      <c r="BM283" s="430"/>
      <c r="BN283" s="430"/>
      <c r="BO283" s="430"/>
      <c r="BP283" s="430"/>
      <c r="BQ283" s="430"/>
      <c r="BR283" s="430"/>
      <c r="BS283" s="430"/>
      <c r="BT283" s="430"/>
      <c r="BU283" s="430"/>
      <c r="BV283" s="430"/>
      <c r="BW283" s="430"/>
      <c r="BX283" s="430"/>
      <c r="BY283" s="430"/>
      <c r="BZ283" s="430"/>
      <c r="CA283" s="430"/>
      <c r="CB283" s="430"/>
      <c r="CC283" s="430"/>
      <c r="CD283" s="430"/>
      <c r="CE283" s="430"/>
      <c r="CF283" s="430"/>
      <c r="CG283" s="430"/>
      <c r="CH283" s="430"/>
      <c r="CI283" s="430"/>
      <c r="CJ283" s="430"/>
      <c r="CK283" s="430"/>
      <c r="CL283" s="430"/>
    </row>
    <row r="284" spans="63:90" ht="14.25" customHeight="1">
      <c r="BK284" s="430"/>
      <c r="BL284" s="430"/>
      <c r="BM284" s="430"/>
      <c r="BN284" s="430"/>
      <c r="BO284" s="430"/>
      <c r="BP284" s="430"/>
      <c r="BQ284" s="430"/>
      <c r="BR284" s="430"/>
      <c r="BS284" s="430"/>
      <c r="BT284" s="430"/>
      <c r="BU284" s="430"/>
      <c r="BV284" s="430"/>
      <c r="BW284" s="430"/>
      <c r="BX284" s="430"/>
      <c r="BY284" s="430"/>
      <c r="BZ284" s="430"/>
      <c r="CA284" s="430"/>
      <c r="CB284" s="430"/>
      <c r="CC284" s="430"/>
      <c r="CD284" s="430"/>
      <c r="CE284" s="430"/>
      <c r="CF284" s="430"/>
      <c r="CG284" s="430"/>
      <c r="CH284" s="430"/>
      <c r="CI284" s="430"/>
      <c r="CJ284" s="430"/>
      <c r="CK284" s="430"/>
      <c r="CL284" s="430"/>
    </row>
    <row r="285" spans="63:90" ht="14.25" customHeight="1">
      <c r="BK285" s="430"/>
      <c r="BL285" s="430"/>
      <c r="BM285" s="430"/>
      <c r="BN285" s="430"/>
      <c r="BO285" s="430"/>
      <c r="BP285" s="430"/>
      <c r="BQ285" s="430"/>
      <c r="BR285" s="430"/>
      <c r="BS285" s="430"/>
      <c r="BT285" s="430"/>
      <c r="BU285" s="430"/>
      <c r="BV285" s="430"/>
      <c r="BW285" s="430"/>
      <c r="BX285" s="430"/>
      <c r="BY285" s="430"/>
      <c r="BZ285" s="430"/>
      <c r="CA285" s="430"/>
      <c r="CB285" s="430"/>
      <c r="CC285" s="430"/>
      <c r="CD285" s="430"/>
      <c r="CE285" s="430"/>
      <c r="CF285" s="430"/>
      <c r="CG285" s="430"/>
      <c r="CH285" s="430"/>
      <c r="CI285" s="430"/>
      <c r="CJ285" s="430"/>
      <c r="CK285" s="430"/>
      <c r="CL285" s="430"/>
    </row>
    <row r="286" spans="63:90" ht="14.25" customHeight="1">
      <c r="BK286" s="430"/>
      <c r="BL286" s="430"/>
      <c r="BM286" s="430"/>
      <c r="BN286" s="430"/>
      <c r="BO286" s="430"/>
      <c r="BP286" s="430"/>
      <c r="BQ286" s="430"/>
      <c r="BR286" s="430"/>
      <c r="BS286" s="430"/>
      <c r="BT286" s="430"/>
      <c r="BU286" s="430"/>
      <c r="BV286" s="430"/>
      <c r="BW286" s="430"/>
      <c r="BX286" s="430"/>
      <c r="BY286" s="430"/>
      <c r="BZ286" s="430"/>
      <c r="CA286" s="430"/>
      <c r="CB286" s="430"/>
      <c r="CC286" s="430"/>
      <c r="CD286" s="430"/>
      <c r="CE286" s="430"/>
      <c r="CF286" s="430"/>
      <c r="CG286" s="430"/>
      <c r="CH286" s="430"/>
      <c r="CI286" s="430"/>
      <c r="CJ286" s="430"/>
      <c r="CK286" s="430"/>
      <c r="CL286" s="430"/>
    </row>
    <row r="287" spans="63:90" ht="14.25" customHeight="1">
      <c r="BK287" s="430"/>
      <c r="BL287" s="430"/>
      <c r="BM287" s="430"/>
      <c r="BN287" s="430"/>
      <c r="BO287" s="430"/>
      <c r="BP287" s="430"/>
      <c r="BQ287" s="430"/>
      <c r="BR287" s="430"/>
      <c r="BS287" s="430"/>
      <c r="BT287" s="430"/>
      <c r="BU287" s="430"/>
      <c r="BV287" s="430"/>
      <c r="BW287" s="430"/>
      <c r="BX287" s="430"/>
      <c r="BY287" s="430"/>
      <c r="BZ287" s="430"/>
      <c r="CA287" s="430"/>
      <c r="CB287" s="430"/>
      <c r="CC287" s="430"/>
      <c r="CD287" s="430"/>
      <c r="CE287" s="430"/>
      <c r="CF287" s="430"/>
      <c r="CG287" s="430"/>
      <c r="CH287" s="430"/>
      <c r="CI287" s="430"/>
      <c r="CJ287" s="430"/>
      <c r="CK287" s="430"/>
      <c r="CL287" s="430"/>
    </row>
    <row r="288" spans="63:90" ht="14.25" customHeight="1">
      <c r="BK288" s="430"/>
      <c r="BL288" s="430"/>
      <c r="BM288" s="430"/>
      <c r="BN288" s="430"/>
      <c r="BO288" s="430"/>
      <c r="BP288" s="430"/>
      <c r="BQ288" s="430"/>
      <c r="BR288" s="430"/>
      <c r="BS288" s="430"/>
      <c r="BT288" s="430"/>
      <c r="BU288" s="430"/>
      <c r="BV288" s="430"/>
      <c r="BW288" s="430"/>
      <c r="BX288" s="430"/>
      <c r="BY288" s="430"/>
      <c r="BZ288" s="430"/>
      <c r="CA288" s="430"/>
      <c r="CB288" s="430"/>
      <c r="CC288" s="430"/>
      <c r="CD288" s="430"/>
      <c r="CE288" s="430"/>
      <c r="CF288" s="430"/>
      <c r="CG288" s="430"/>
      <c r="CH288" s="430"/>
      <c r="CI288" s="430"/>
      <c r="CJ288" s="430"/>
      <c r="CK288" s="430"/>
      <c r="CL288" s="430"/>
    </row>
    <row r="289" spans="63:90" ht="14.25" customHeight="1">
      <c r="BK289" s="430"/>
      <c r="BL289" s="430"/>
      <c r="BM289" s="430"/>
      <c r="BN289" s="430"/>
      <c r="BO289" s="430"/>
      <c r="BP289" s="430"/>
      <c r="BQ289" s="430"/>
      <c r="BR289" s="430"/>
      <c r="BS289" s="430"/>
      <c r="BT289" s="430"/>
      <c r="BU289" s="430"/>
      <c r="BV289" s="430"/>
      <c r="BW289" s="430"/>
      <c r="BX289" s="430"/>
      <c r="BY289" s="430"/>
      <c r="BZ289" s="430"/>
      <c r="CA289" s="430"/>
      <c r="CB289" s="430"/>
      <c r="CC289" s="430"/>
      <c r="CD289" s="430"/>
      <c r="CE289" s="430"/>
      <c r="CF289" s="430"/>
      <c r="CG289" s="430"/>
      <c r="CH289" s="430"/>
      <c r="CI289" s="430"/>
      <c r="CJ289" s="430"/>
      <c r="CK289" s="430"/>
      <c r="CL289" s="430"/>
    </row>
    <row r="290" spans="63:90" ht="14.25" customHeight="1">
      <c r="BK290" s="430"/>
      <c r="BL290" s="430"/>
      <c r="BM290" s="430"/>
      <c r="BN290" s="430"/>
      <c r="BO290" s="430"/>
      <c r="BP290" s="430"/>
      <c r="BQ290" s="430"/>
      <c r="BR290" s="430"/>
      <c r="BS290" s="430"/>
      <c r="BT290" s="430"/>
      <c r="BU290" s="430"/>
      <c r="BV290" s="430"/>
      <c r="BW290" s="430"/>
      <c r="BX290" s="430"/>
      <c r="BY290" s="430"/>
      <c r="BZ290" s="430"/>
      <c r="CA290" s="430"/>
      <c r="CB290" s="430"/>
      <c r="CC290" s="430"/>
      <c r="CD290" s="430"/>
      <c r="CE290" s="430"/>
      <c r="CF290" s="430"/>
      <c r="CG290" s="430"/>
      <c r="CH290" s="430"/>
      <c r="CI290" s="430"/>
      <c r="CJ290" s="430"/>
      <c r="CK290" s="430"/>
      <c r="CL290" s="430"/>
    </row>
    <row r="291" spans="63:90" ht="14.25" customHeight="1">
      <c r="BK291" s="430"/>
      <c r="BL291" s="430"/>
      <c r="BM291" s="430"/>
      <c r="BN291" s="430"/>
      <c r="BO291" s="430"/>
      <c r="BP291" s="430"/>
      <c r="BQ291" s="430"/>
      <c r="BR291" s="430"/>
      <c r="BS291" s="430"/>
      <c r="BT291" s="430"/>
      <c r="BU291" s="430"/>
      <c r="BV291" s="430"/>
      <c r="BW291" s="430"/>
      <c r="BX291" s="430"/>
      <c r="BY291" s="430"/>
      <c r="BZ291" s="430"/>
      <c r="CA291" s="430"/>
      <c r="CB291" s="430"/>
      <c r="CC291" s="430"/>
      <c r="CD291" s="430"/>
      <c r="CE291" s="430"/>
      <c r="CF291" s="430"/>
      <c r="CG291" s="430"/>
      <c r="CH291" s="430"/>
      <c r="CI291" s="430"/>
      <c r="CJ291" s="430"/>
      <c r="CK291" s="430"/>
      <c r="CL291" s="430"/>
    </row>
    <row r="292" spans="63:90" ht="14.25" customHeight="1">
      <c r="BK292" s="430"/>
      <c r="BL292" s="430"/>
      <c r="BM292" s="430"/>
      <c r="BN292" s="430"/>
      <c r="BO292" s="430"/>
      <c r="BP292" s="430"/>
      <c r="BQ292" s="430"/>
      <c r="BR292" s="430"/>
      <c r="BS292" s="430"/>
      <c r="BT292" s="430"/>
      <c r="BU292" s="430"/>
      <c r="BV292" s="430"/>
      <c r="BW292" s="430"/>
      <c r="BX292" s="430"/>
      <c r="BY292" s="430"/>
      <c r="BZ292" s="430"/>
      <c r="CA292" s="430"/>
      <c r="CB292" s="430"/>
      <c r="CC292" s="430"/>
      <c r="CD292" s="430"/>
      <c r="CE292" s="430"/>
      <c r="CF292" s="430"/>
      <c r="CG292" s="430"/>
      <c r="CH292" s="430"/>
      <c r="CI292" s="430"/>
      <c r="CJ292" s="430"/>
      <c r="CK292" s="430"/>
      <c r="CL292" s="430"/>
    </row>
    <row r="293" spans="63:90" ht="14.25" customHeight="1">
      <c r="BK293" s="430"/>
      <c r="BL293" s="430"/>
      <c r="BM293" s="430"/>
      <c r="BN293" s="430"/>
      <c r="BO293" s="430"/>
      <c r="BP293" s="430"/>
      <c r="BQ293" s="430"/>
      <c r="BR293" s="430"/>
      <c r="BS293" s="430"/>
      <c r="BT293" s="430"/>
      <c r="BU293" s="430"/>
      <c r="BV293" s="430"/>
      <c r="BW293" s="430"/>
      <c r="BX293" s="430"/>
      <c r="BY293" s="430"/>
      <c r="BZ293" s="430"/>
      <c r="CA293" s="430"/>
      <c r="CB293" s="430"/>
      <c r="CC293" s="430"/>
      <c r="CD293" s="430"/>
      <c r="CE293" s="430"/>
      <c r="CF293" s="430"/>
      <c r="CG293" s="430"/>
      <c r="CH293" s="430"/>
      <c r="CI293" s="430"/>
      <c r="CJ293" s="430"/>
      <c r="CK293" s="430"/>
      <c r="CL293" s="430"/>
    </row>
    <row r="294" spans="63:90" ht="14.25" customHeight="1">
      <c r="BK294" s="430"/>
      <c r="BL294" s="430"/>
      <c r="BM294" s="430"/>
      <c r="BN294" s="430"/>
      <c r="BO294" s="430"/>
      <c r="BP294" s="430"/>
      <c r="BQ294" s="430"/>
      <c r="BR294" s="430"/>
      <c r="BS294" s="430"/>
      <c r="BT294" s="430"/>
      <c r="BU294" s="430"/>
      <c r="BV294" s="430"/>
      <c r="BW294" s="430"/>
      <c r="BX294" s="430"/>
      <c r="BY294" s="430"/>
      <c r="BZ294" s="430"/>
      <c r="CA294" s="430"/>
      <c r="CB294" s="430"/>
      <c r="CC294" s="430"/>
      <c r="CD294" s="430"/>
      <c r="CE294" s="430"/>
      <c r="CF294" s="430"/>
      <c r="CG294" s="430"/>
      <c r="CH294" s="430"/>
      <c r="CI294" s="430"/>
      <c r="CJ294" s="430"/>
      <c r="CK294" s="430"/>
      <c r="CL294" s="430"/>
    </row>
    <row r="295" spans="63:90" ht="14.25" customHeight="1">
      <c r="BK295" s="430"/>
      <c r="BL295" s="430"/>
      <c r="BM295" s="430"/>
      <c r="BN295" s="430"/>
      <c r="BO295" s="430"/>
      <c r="BP295" s="430"/>
      <c r="BQ295" s="430"/>
      <c r="BR295" s="430"/>
      <c r="BS295" s="430"/>
      <c r="BT295" s="430"/>
      <c r="BU295" s="430"/>
      <c r="BV295" s="430"/>
      <c r="BW295" s="430"/>
      <c r="BX295" s="430"/>
      <c r="BY295" s="430"/>
      <c r="BZ295" s="430"/>
      <c r="CA295" s="430"/>
      <c r="CB295" s="430"/>
      <c r="CC295" s="430"/>
      <c r="CD295" s="430"/>
      <c r="CE295" s="430"/>
      <c r="CF295" s="430"/>
      <c r="CG295" s="430"/>
      <c r="CH295" s="430"/>
      <c r="CI295" s="430"/>
      <c r="CJ295" s="430"/>
      <c r="CK295" s="430"/>
      <c r="CL295" s="430"/>
    </row>
    <row r="296" spans="63:90" ht="14.25" customHeight="1">
      <c r="BK296" s="430"/>
      <c r="BL296" s="430"/>
      <c r="BM296" s="430"/>
      <c r="BN296" s="430"/>
      <c r="BO296" s="430"/>
      <c r="BP296" s="430"/>
      <c r="BQ296" s="430"/>
      <c r="BR296" s="430"/>
      <c r="BS296" s="430"/>
      <c r="BT296" s="430"/>
      <c r="BU296" s="430"/>
      <c r="BV296" s="430"/>
      <c r="BW296" s="430"/>
      <c r="BX296" s="430"/>
      <c r="BY296" s="430"/>
      <c r="BZ296" s="430"/>
      <c r="CA296" s="430"/>
      <c r="CB296" s="430"/>
      <c r="CC296" s="430"/>
      <c r="CD296" s="430"/>
      <c r="CE296" s="430"/>
      <c r="CF296" s="430"/>
      <c r="CG296" s="430"/>
      <c r="CH296" s="430"/>
      <c r="CI296" s="430"/>
      <c r="CJ296" s="430"/>
      <c r="CK296" s="430"/>
      <c r="CL296" s="430"/>
    </row>
    <row r="297" spans="63:90" ht="14.25" customHeight="1">
      <c r="BK297" s="430"/>
      <c r="BL297" s="430"/>
      <c r="BM297" s="430"/>
      <c r="BN297" s="430"/>
      <c r="BO297" s="430"/>
      <c r="BP297" s="430"/>
      <c r="BQ297" s="430"/>
      <c r="BR297" s="430"/>
      <c r="BS297" s="430"/>
      <c r="BT297" s="430"/>
      <c r="BU297" s="430"/>
      <c r="BV297" s="430"/>
      <c r="BW297" s="430"/>
      <c r="BX297" s="430"/>
      <c r="BY297" s="430"/>
      <c r="BZ297" s="430"/>
      <c r="CA297" s="430"/>
      <c r="CB297" s="430"/>
      <c r="CC297" s="430"/>
      <c r="CD297" s="430"/>
      <c r="CE297" s="430"/>
      <c r="CF297" s="430"/>
      <c r="CG297" s="430"/>
      <c r="CH297" s="430"/>
      <c r="CI297" s="430"/>
      <c r="CJ297" s="430"/>
      <c r="CK297" s="430"/>
      <c r="CL297" s="430"/>
    </row>
    <row r="298" spans="63:90" ht="14.25" customHeight="1">
      <c r="BK298" s="430"/>
      <c r="BL298" s="430"/>
      <c r="BM298" s="430"/>
      <c r="BN298" s="430"/>
      <c r="BO298" s="430"/>
      <c r="BP298" s="430"/>
      <c r="BQ298" s="430"/>
      <c r="BR298" s="430"/>
      <c r="BS298" s="430"/>
      <c r="BT298" s="430"/>
      <c r="BU298" s="430"/>
      <c r="BV298" s="430"/>
      <c r="BW298" s="430"/>
      <c r="BX298" s="430"/>
      <c r="BY298" s="430"/>
      <c r="BZ298" s="430"/>
      <c r="CA298" s="430"/>
      <c r="CB298" s="430"/>
      <c r="CC298" s="430"/>
      <c r="CD298" s="430"/>
      <c r="CE298" s="430"/>
      <c r="CF298" s="430"/>
      <c r="CG298" s="430"/>
      <c r="CH298" s="430"/>
      <c r="CI298" s="430"/>
      <c r="CJ298" s="430"/>
      <c r="CK298" s="430"/>
      <c r="CL298" s="430"/>
    </row>
    <row r="299" spans="63:90" ht="14.25" customHeight="1">
      <c r="BK299" s="430"/>
      <c r="BL299" s="430"/>
      <c r="BM299" s="430"/>
      <c r="BN299" s="430"/>
      <c r="BO299" s="430"/>
      <c r="BP299" s="430"/>
      <c r="BQ299" s="430"/>
      <c r="BR299" s="430"/>
      <c r="BS299" s="430"/>
      <c r="BT299" s="430"/>
      <c r="BU299" s="430"/>
      <c r="BV299" s="430"/>
      <c r="BW299" s="430"/>
      <c r="BX299" s="430"/>
      <c r="BY299" s="430"/>
      <c r="BZ299" s="430"/>
      <c r="CA299" s="430"/>
      <c r="CB299" s="430"/>
      <c r="CC299" s="430"/>
      <c r="CD299" s="430"/>
      <c r="CE299" s="430"/>
      <c r="CF299" s="430"/>
      <c r="CG299" s="430"/>
      <c r="CH299" s="430"/>
      <c r="CI299" s="430"/>
      <c r="CJ299" s="430"/>
      <c r="CK299" s="430"/>
      <c r="CL299" s="430"/>
    </row>
    <row r="300" spans="63:90" ht="14.25" customHeight="1">
      <c r="BK300" s="430"/>
      <c r="BL300" s="430"/>
      <c r="BM300" s="430"/>
      <c r="BN300" s="430"/>
      <c r="BO300" s="430"/>
      <c r="BP300" s="430"/>
      <c r="BQ300" s="430"/>
      <c r="BR300" s="430"/>
      <c r="BS300" s="430"/>
      <c r="BT300" s="430"/>
      <c r="BU300" s="430"/>
      <c r="BV300" s="430"/>
      <c r="BW300" s="430"/>
      <c r="BX300" s="430"/>
      <c r="BY300" s="430"/>
      <c r="BZ300" s="430"/>
      <c r="CA300" s="430"/>
      <c r="CB300" s="430"/>
      <c r="CC300" s="430"/>
      <c r="CD300" s="430"/>
      <c r="CE300" s="430"/>
      <c r="CF300" s="430"/>
      <c r="CG300" s="430"/>
      <c r="CH300" s="430"/>
      <c r="CI300" s="430"/>
      <c r="CJ300" s="430"/>
      <c r="CK300" s="430"/>
      <c r="CL300" s="430"/>
    </row>
    <row r="301" spans="63:90" ht="14.25" customHeight="1">
      <c r="BK301" s="430"/>
      <c r="BL301" s="430"/>
      <c r="BM301" s="430"/>
      <c r="BN301" s="430"/>
      <c r="BO301" s="430"/>
      <c r="BP301" s="430"/>
      <c r="BQ301" s="430"/>
      <c r="BR301" s="430"/>
      <c r="BS301" s="430"/>
      <c r="BT301" s="430"/>
      <c r="BU301" s="430"/>
      <c r="BV301" s="430"/>
      <c r="BW301" s="430"/>
      <c r="BX301" s="430"/>
      <c r="BY301" s="430"/>
      <c r="BZ301" s="430"/>
      <c r="CA301" s="430"/>
      <c r="CB301" s="430"/>
      <c r="CC301" s="430"/>
      <c r="CD301" s="430"/>
      <c r="CE301" s="430"/>
      <c r="CF301" s="430"/>
      <c r="CG301" s="430"/>
      <c r="CH301" s="430"/>
      <c r="CI301" s="430"/>
      <c r="CJ301" s="430"/>
      <c r="CK301" s="430"/>
      <c r="CL301" s="430"/>
    </row>
    <row r="302" spans="63:90" ht="14.25" customHeight="1">
      <c r="BK302" s="430"/>
      <c r="BL302" s="430"/>
      <c r="BM302" s="430"/>
      <c r="BN302" s="430"/>
      <c r="BO302" s="430"/>
      <c r="BP302" s="430"/>
      <c r="BQ302" s="430"/>
      <c r="BR302" s="430"/>
      <c r="BS302" s="430"/>
      <c r="BT302" s="430"/>
      <c r="BU302" s="430"/>
      <c r="BV302" s="430"/>
      <c r="BW302" s="430"/>
      <c r="BX302" s="430"/>
      <c r="BY302" s="430"/>
      <c r="BZ302" s="430"/>
      <c r="CA302" s="430"/>
      <c r="CB302" s="430"/>
      <c r="CC302" s="430"/>
      <c r="CD302" s="430"/>
      <c r="CE302" s="430"/>
      <c r="CF302" s="430"/>
      <c r="CG302" s="430"/>
      <c r="CH302" s="430"/>
      <c r="CI302" s="430"/>
      <c r="CJ302" s="430"/>
      <c r="CK302" s="430"/>
      <c r="CL302" s="430"/>
    </row>
    <row r="303" spans="63:90" ht="14.25" customHeight="1">
      <c r="BK303" s="430"/>
      <c r="BL303" s="430"/>
      <c r="BM303" s="430"/>
      <c r="BN303" s="430"/>
      <c r="BO303" s="430"/>
      <c r="BP303" s="430"/>
      <c r="BQ303" s="430"/>
      <c r="BR303" s="430"/>
      <c r="BS303" s="430"/>
      <c r="BT303" s="430"/>
      <c r="BU303" s="430"/>
      <c r="BV303" s="430"/>
      <c r="BW303" s="430"/>
      <c r="BX303" s="430"/>
      <c r="BY303" s="430"/>
      <c r="BZ303" s="430"/>
      <c r="CA303" s="430"/>
      <c r="CB303" s="430"/>
      <c r="CC303" s="430"/>
      <c r="CD303" s="430"/>
      <c r="CE303" s="430"/>
      <c r="CF303" s="430"/>
      <c r="CG303" s="430"/>
      <c r="CH303" s="430"/>
      <c r="CI303" s="430"/>
      <c r="CJ303" s="430"/>
      <c r="CK303" s="430"/>
      <c r="CL303" s="430"/>
    </row>
    <row r="304" spans="63:90" ht="14.25" customHeight="1">
      <c r="BK304" s="430"/>
      <c r="BL304" s="430"/>
      <c r="BM304" s="430"/>
      <c r="BN304" s="430"/>
      <c r="BO304" s="430"/>
      <c r="BP304" s="430"/>
      <c r="BQ304" s="430"/>
      <c r="BR304" s="430"/>
      <c r="BS304" s="430"/>
      <c r="BT304" s="430"/>
      <c r="BU304" s="430"/>
      <c r="BV304" s="430"/>
      <c r="BW304" s="430"/>
      <c r="BX304" s="430"/>
      <c r="BY304" s="430"/>
      <c r="BZ304" s="430"/>
      <c r="CA304" s="430"/>
      <c r="CB304" s="430"/>
      <c r="CC304" s="430"/>
      <c r="CD304" s="430"/>
      <c r="CE304" s="430"/>
      <c r="CF304" s="430"/>
      <c r="CG304" s="430"/>
      <c r="CH304" s="430"/>
      <c r="CI304" s="430"/>
      <c r="CJ304" s="430"/>
      <c r="CK304" s="430"/>
      <c r="CL304" s="430"/>
    </row>
    <row r="305" spans="63:90" ht="14.25" customHeight="1">
      <c r="BK305" s="430"/>
      <c r="BL305" s="430"/>
      <c r="BM305" s="430"/>
      <c r="BN305" s="430"/>
      <c r="BO305" s="430"/>
      <c r="BP305" s="430"/>
      <c r="BQ305" s="430"/>
      <c r="BR305" s="430"/>
      <c r="BS305" s="430"/>
      <c r="BT305" s="430"/>
      <c r="BU305" s="430"/>
      <c r="BV305" s="430"/>
      <c r="BW305" s="430"/>
      <c r="BX305" s="430"/>
      <c r="BY305" s="430"/>
      <c r="BZ305" s="430"/>
      <c r="CA305" s="430"/>
      <c r="CB305" s="430"/>
      <c r="CC305" s="430"/>
      <c r="CD305" s="430"/>
      <c r="CE305" s="430"/>
      <c r="CF305" s="430"/>
      <c r="CG305" s="430"/>
      <c r="CH305" s="430"/>
      <c r="CI305" s="430"/>
      <c r="CJ305" s="430"/>
      <c r="CK305" s="430"/>
      <c r="CL305" s="430"/>
    </row>
    <row r="306" spans="63:90" ht="14.25" customHeight="1">
      <c r="BK306" s="430"/>
      <c r="BL306" s="430"/>
      <c r="BM306" s="430"/>
      <c r="BN306" s="430"/>
      <c r="BO306" s="430"/>
      <c r="BP306" s="430"/>
      <c r="BQ306" s="430"/>
      <c r="BR306" s="430"/>
      <c r="BS306" s="430"/>
      <c r="BT306" s="430"/>
      <c r="BU306" s="430"/>
      <c r="BV306" s="430"/>
      <c r="BW306" s="430"/>
      <c r="BX306" s="430"/>
      <c r="BY306" s="430"/>
      <c r="BZ306" s="430"/>
      <c r="CA306" s="430"/>
      <c r="CB306" s="430"/>
      <c r="CC306" s="430"/>
      <c r="CD306" s="430"/>
      <c r="CE306" s="430"/>
      <c r="CF306" s="430"/>
      <c r="CG306" s="430"/>
      <c r="CH306" s="430"/>
      <c r="CI306" s="430"/>
      <c r="CJ306" s="430"/>
      <c r="CK306" s="430"/>
      <c r="CL306" s="430"/>
    </row>
    <row r="307" spans="63:90" ht="14.25" customHeight="1">
      <c r="BK307" s="430"/>
      <c r="BL307" s="430"/>
      <c r="BM307" s="430"/>
      <c r="BN307" s="430"/>
      <c r="BO307" s="430"/>
      <c r="BP307" s="430"/>
      <c r="BQ307" s="430"/>
      <c r="BR307" s="430"/>
      <c r="BS307" s="430"/>
      <c r="BT307" s="430"/>
      <c r="BU307" s="430"/>
      <c r="BV307" s="430"/>
      <c r="BW307" s="430"/>
      <c r="BX307" s="430"/>
      <c r="BY307" s="430"/>
      <c r="BZ307" s="430"/>
      <c r="CA307" s="430"/>
      <c r="CB307" s="430"/>
      <c r="CC307" s="430"/>
      <c r="CD307" s="430"/>
      <c r="CE307" s="430"/>
      <c r="CF307" s="430"/>
      <c r="CG307" s="430"/>
      <c r="CH307" s="430"/>
      <c r="CI307" s="430"/>
      <c r="CJ307" s="430"/>
      <c r="CK307" s="430"/>
      <c r="CL307" s="430"/>
    </row>
    <row r="308" spans="63:90" ht="14.25" customHeight="1">
      <c r="BK308" s="430"/>
      <c r="BL308" s="430"/>
      <c r="BM308" s="430"/>
      <c r="BN308" s="430"/>
      <c r="BO308" s="430"/>
      <c r="BP308" s="430"/>
      <c r="BQ308" s="430"/>
      <c r="BR308" s="430"/>
      <c r="BS308" s="430"/>
      <c r="BT308" s="430"/>
      <c r="BU308" s="430"/>
      <c r="BV308" s="430"/>
      <c r="BW308" s="430"/>
      <c r="BX308" s="430"/>
      <c r="BY308" s="430"/>
      <c r="BZ308" s="430"/>
      <c r="CA308" s="430"/>
      <c r="CB308" s="430"/>
      <c r="CC308" s="430"/>
      <c r="CD308" s="430"/>
      <c r="CE308" s="430"/>
      <c r="CF308" s="430"/>
      <c r="CG308" s="430"/>
      <c r="CH308" s="430"/>
      <c r="CI308" s="430"/>
      <c r="CJ308" s="430"/>
      <c r="CK308" s="430"/>
      <c r="CL308" s="430"/>
    </row>
    <row r="309" spans="63:90" ht="14.25" customHeight="1">
      <c r="BK309" s="430"/>
      <c r="BL309" s="430"/>
      <c r="BM309" s="430"/>
      <c r="BN309" s="430"/>
      <c r="BO309" s="430"/>
      <c r="BP309" s="430"/>
      <c r="BQ309" s="430"/>
      <c r="BR309" s="430"/>
      <c r="BS309" s="430"/>
      <c r="BT309" s="430"/>
      <c r="BU309" s="430"/>
      <c r="BV309" s="430"/>
      <c r="BW309" s="430"/>
      <c r="BX309" s="430"/>
      <c r="BY309" s="430"/>
      <c r="BZ309" s="430"/>
      <c r="CA309" s="430"/>
      <c r="CB309" s="430"/>
      <c r="CC309" s="430"/>
      <c r="CD309" s="430"/>
      <c r="CE309" s="430"/>
      <c r="CF309" s="430"/>
      <c r="CG309" s="430"/>
      <c r="CH309" s="430"/>
      <c r="CI309" s="430"/>
      <c r="CJ309" s="430"/>
      <c r="CK309" s="430"/>
      <c r="CL309" s="430"/>
    </row>
    <row r="310" spans="63:90" ht="14.25" customHeight="1">
      <c r="BK310" s="430"/>
      <c r="BL310" s="430"/>
      <c r="BM310" s="430"/>
      <c r="BN310" s="430"/>
      <c r="BO310" s="430"/>
      <c r="BP310" s="430"/>
      <c r="BQ310" s="430"/>
      <c r="BR310" s="430"/>
      <c r="BS310" s="430"/>
      <c r="BT310" s="430"/>
      <c r="BU310" s="430"/>
      <c r="BV310" s="430"/>
      <c r="BW310" s="430"/>
      <c r="BX310" s="430"/>
      <c r="BY310" s="430"/>
      <c r="BZ310" s="430"/>
      <c r="CA310" s="430"/>
      <c r="CB310" s="430"/>
      <c r="CC310" s="430"/>
      <c r="CD310" s="430"/>
      <c r="CE310" s="430"/>
      <c r="CF310" s="430"/>
      <c r="CG310" s="430"/>
      <c r="CH310" s="430"/>
      <c r="CI310" s="430"/>
      <c r="CJ310" s="430"/>
      <c r="CK310" s="430"/>
      <c r="CL310" s="430"/>
    </row>
    <row r="311" spans="63:90" ht="14.25" customHeight="1">
      <c r="BK311" s="430"/>
      <c r="BL311" s="430"/>
      <c r="BM311" s="430"/>
      <c r="BN311" s="430"/>
      <c r="BO311" s="430"/>
      <c r="BP311" s="430"/>
      <c r="BQ311" s="430"/>
      <c r="BR311" s="430"/>
      <c r="BS311" s="430"/>
      <c r="BT311" s="430"/>
      <c r="BU311" s="430"/>
      <c r="BV311" s="430"/>
      <c r="BW311" s="430"/>
      <c r="BX311" s="430"/>
      <c r="BY311" s="430"/>
      <c r="BZ311" s="430"/>
      <c r="CA311" s="430"/>
      <c r="CB311" s="430"/>
      <c r="CC311" s="430"/>
      <c r="CD311" s="430"/>
      <c r="CE311" s="430"/>
      <c r="CF311" s="430"/>
      <c r="CG311" s="430"/>
      <c r="CH311" s="430"/>
      <c r="CI311" s="430"/>
      <c r="CJ311" s="430"/>
      <c r="CK311" s="430"/>
      <c r="CL311" s="430"/>
    </row>
    <row r="312" spans="63:90" ht="14.25" customHeight="1">
      <c r="BK312" s="430"/>
      <c r="BL312" s="430"/>
      <c r="BM312" s="430"/>
      <c r="BN312" s="430"/>
      <c r="BO312" s="430"/>
      <c r="BP312" s="430"/>
      <c r="BQ312" s="430"/>
      <c r="BR312" s="430"/>
      <c r="BS312" s="430"/>
      <c r="BT312" s="430"/>
      <c r="BU312" s="430"/>
      <c r="BV312" s="430"/>
      <c r="BW312" s="430"/>
      <c r="BX312" s="430"/>
      <c r="BY312" s="430"/>
      <c r="BZ312" s="430"/>
      <c r="CA312" s="430"/>
      <c r="CB312" s="430"/>
      <c r="CC312" s="430"/>
      <c r="CD312" s="430"/>
      <c r="CE312" s="430"/>
      <c r="CF312" s="430"/>
      <c r="CG312" s="430"/>
      <c r="CH312" s="430"/>
      <c r="CI312" s="430"/>
      <c r="CJ312" s="430"/>
      <c r="CK312" s="430"/>
      <c r="CL312" s="430"/>
    </row>
    <row r="313" spans="63:90" ht="14.25" customHeight="1">
      <c r="BK313" s="430"/>
      <c r="BL313" s="430"/>
      <c r="BM313" s="430"/>
      <c r="BN313" s="430"/>
      <c r="BO313" s="430"/>
      <c r="BP313" s="430"/>
      <c r="BQ313" s="430"/>
      <c r="BR313" s="430"/>
      <c r="BS313" s="430"/>
      <c r="BT313" s="430"/>
      <c r="BU313" s="430"/>
      <c r="BV313" s="430"/>
      <c r="BW313" s="430"/>
      <c r="BX313" s="430"/>
      <c r="BY313" s="430"/>
      <c r="BZ313" s="430"/>
      <c r="CA313" s="430"/>
      <c r="CB313" s="430"/>
      <c r="CC313" s="430"/>
      <c r="CD313" s="430"/>
      <c r="CE313" s="430"/>
      <c r="CF313" s="430"/>
      <c r="CG313" s="430"/>
      <c r="CH313" s="430"/>
      <c r="CI313" s="430"/>
      <c r="CJ313" s="430"/>
      <c r="CK313" s="430"/>
      <c r="CL313" s="430"/>
    </row>
    <row r="314" spans="63:90" ht="14.25" customHeight="1">
      <c r="BK314" s="430"/>
      <c r="BL314" s="430"/>
      <c r="BM314" s="430"/>
      <c r="BN314" s="430"/>
      <c r="BO314" s="430"/>
      <c r="BP314" s="430"/>
      <c r="BQ314" s="430"/>
      <c r="BR314" s="430"/>
      <c r="BS314" s="430"/>
      <c r="BT314" s="430"/>
      <c r="BU314" s="430"/>
      <c r="BV314" s="430"/>
      <c r="BW314" s="430"/>
      <c r="BX314" s="430"/>
      <c r="BY314" s="430"/>
      <c r="BZ314" s="430"/>
      <c r="CA314" s="430"/>
      <c r="CB314" s="430"/>
      <c r="CC314" s="430"/>
      <c r="CD314" s="430"/>
      <c r="CE314" s="430"/>
      <c r="CF314" s="430"/>
      <c r="CG314" s="430"/>
      <c r="CH314" s="430"/>
      <c r="CI314" s="430"/>
      <c r="CJ314" s="430"/>
      <c r="CK314" s="430"/>
      <c r="CL314" s="430"/>
    </row>
    <row r="315" spans="63:90" ht="14.25" customHeight="1">
      <c r="BK315" s="430"/>
      <c r="BL315" s="430"/>
      <c r="BM315" s="430"/>
      <c r="BN315" s="430"/>
      <c r="BO315" s="430"/>
      <c r="BP315" s="430"/>
      <c r="BQ315" s="430"/>
      <c r="BR315" s="430"/>
      <c r="BS315" s="430"/>
      <c r="BT315" s="430"/>
      <c r="BU315" s="430"/>
      <c r="BV315" s="430"/>
      <c r="BW315" s="430"/>
      <c r="BX315" s="430"/>
      <c r="BY315" s="430"/>
      <c r="BZ315" s="430"/>
      <c r="CA315" s="430"/>
      <c r="CB315" s="430"/>
      <c r="CC315" s="430"/>
      <c r="CD315" s="430"/>
      <c r="CE315" s="430"/>
      <c r="CF315" s="430"/>
      <c r="CG315" s="430"/>
      <c r="CH315" s="430"/>
      <c r="CI315" s="430"/>
      <c r="CJ315" s="430"/>
      <c r="CK315" s="430"/>
      <c r="CL315" s="430"/>
    </row>
    <row r="316" spans="63:90" ht="14.25" customHeight="1">
      <c r="BK316" s="430"/>
      <c r="BL316" s="430"/>
      <c r="BM316" s="430"/>
      <c r="BN316" s="430"/>
      <c r="BO316" s="430"/>
      <c r="BP316" s="430"/>
      <c r="BQ316" s="430"/>
      <c r="BR316" s="430"/>
      <c r="BS316" s="430"/>
      <c r="BT316" s="430"/>
      <c r="BU316" s="430"/>
      <c r="BV316" s="430"/>
      <c r="BW316" s="430"/>
      <c r="BX316" s="430"/>
      <c r="BY316" s="430"/>
      <c r="BZ316" s="430"/>
      <c r="CA316" s="430"/>
      <c r="CB316" s="430"/>
      <c r="CC316" s="430"/>
      <c r="CD316" s="430"/>
      <c r="CE316" s="430"/>
      <c r="CF316" s="430"/>
      <c r="CG316" s="430"/>
      <c r="CH316" s="430"/>
      <c r="CI316" s="430"/>
      <c r="CJ316" s="430"/>
      <c r="CK316" s="430"/>
      <c r="CL316" s="430"/>
    </row>
    <row r="317" spans="63:90" ht="14.25" customHeight="1">
      <c r="BK317" s="430"/>
      <c r="BL317" s="430"/>
      <c r="BM317" s="430"/>
      <c r="BN317" s="430"/>
      <c r="BO317" s="430"/>
      <c r="BP317" s="430"/>
      <c r="BQ317" s="430"/>
      <c r="BR317" s="430"/>
      <c r="BS317" s="430"/>
      <c r="BT317" s="430"/>
      <c r="BU317" s="430"/>
      <c r="BV317" s="430"/>
      <c r="BW317" s="430"/>
      <c r="BX317" s="430"/>
      <c r="BY317" s="430"/>
      <c r="BZ317" s="430"/>
      <c r="CA317" s="430"/>
      <c r="CB317" s="430"/>
      <c r="CC317" s="430"/>
      <c r="CD317" s="430"/>
      <c r="CE317" s="430"/>
      <c r="CF317" s="430"/>
      <c r="CG317" s="430"/>
      <c r="CH317" s="430"/>
      <c r="CI317" s="430"/>
      <c r="CJ317" s="430"/>
      <c r="CK317" s="430"/>
      <c r="CL317" s="430"/>
    </row>
    <row r="318" spans="63:90" ht="14.25" customHeight="1">
      <c r="BK318" s="430"/>
      <c r="BL318" s="430"/>
      <c r="BM318" s="430"/>
      <c r="BN318" s="430"/>
      <c r="BO318" s="430"/>
      <c r="BP318" s="430"/>
      <c r="BQ318" s="430"/>
      <c r="BR318" s="430"/>
      <c r="BS318" s="430"/>
      <c r="BT318" s="430"/>
      <c r="BU318" s="430"/>
      <c r="BV318" s="430"/>
      <c r="BW318" s="430"/>
      <c r="BX318" s="430"/>
      <c r="BY318" s="430"/>
      <c r="BZ318" s="430"/>
      <c r="CA318" s="430"/>
      <c r="CB318" s="430"/>
      <c r="CC318" s="430"/>
      <c r="CD318" s="430"/>
      <c r="CE318" s="430"/>
      <c r="CF318" s="430"/>
      <c r="CG318" s="430"/>
      <c r="CH318" s="430"/>
      <c r="CI318" s="430"/>
      <c r="CJ318" s="430"/>
      <c r="CK318" s="430"/>
      <c r="CL318" s="430"/>
    </row>
    <row r="319" spans="63:90" ht="14.25" customHeight="1">
      <c r="BK319" s="430"/>
      <c r="BL319" s="430"/>
      <c r="BM319" s="430"/>
      <c r="BN319" s="430"/>
      <c r="BO319" s="430"/>
      <c r="BP319" s="430"/>
      <c r="BQ319" s="430"/>
      <c r="BR319" s="430"/>
      <c r="BS319" s="430"/>
      <c r="BT319" s="430"/>
      <c r="BU319" s="430"/>
      <c r="BV319" s="430"/>
      <c r="BW319" s="430"/>
      <c r="BX319" s="430"/>
      <c r="BY319" s="430"/>
      <c r="BZ319" s="430"/>
      <c r="CA319" s="430"/>
      <c r="CB319" s="430"/>
      <c r="CC319" s="430"/>
      <c r="CD319" s="430"/>
      <c r="CE319" s="430"/>
      <c r="CF319" s="430"/>
      <c r="CG319" s="430"/>
      <c r="CH319" s="430"/>
      <c r="CI319" s="430"/>
      <c r="CJ319" s="430"/>
      <c r="CK319" s="430"/>
      <c r="CL319" s="430"/>
    </row>
    <row r="320" spans="63:90" ht="14.25" customHeight="1">
      <c r="BK320" s="430"/>
      <c r="BL320" s="430"/>
      <c r="BM320" s="430"/>
      <c r="BN320" s="430"/>
      <c r="BO320" s="430"/>
      <c r="BP320" s="430"/>
      <c r="BQ320" s="430"/>
      <c r="BR320" s="430"/>
      <c r="BS320" s="430"/>
      <c r="BT320" s="430"/>
      <c r="BU320" s="430"/>
      <c r="BV320" s="430"/>
      <c r="BW320" s="430"/>
      <c r="BX320" s="430"/>
      <c r="BY320" s="430"/>
      <c r="BZ320" s="430"/>
      <c r="CA320" s="430"/>
      <c r="CB320" s="430"/>
      <c r="CC320" s="430"/>
      <c r="CD320" s="430"/>
      <c r="CE320" s="430"/>
      <c r="CF320" s="430"/>
      <c r="CG320" s="430"/>
      <c r="CH320" s="430"/>
      <c r="CI320" s="430"/>
      <c r="CJ320" s="430"/>
      <c r="CK320" s="430"/>
      <c r="CL320" s="430"/>
    </row>
    <row r="321" spans="63:90" ht="14.25" customHeight="1">
      <c r="BK321" s="430"/>
      <c r="BL321" s="430"/>
      <c r="BM321" s="430"/>
      <c r="BN321" s="430"/>
      <c r="BO321" s="430"/>
      <c r="BP321" s="430"/>
      <c r="BQ321" s="430"/>
      <c r="BR321" s="430"/>
      <c r="BS321" s="430"/>
      <c r="BT321" s="430"/>
      <c r="BU321" s="430"/>
      <c r="BV321" s="430"/>
      <c r="BW321" s="430"/>
      <c r="BX321" s="430"/>
      <c r="BY321" s="430"/>
      <c r="BZ321" s="430"/>
      <c r="CA321" s="430"/>
      <c r="CB321" s="430"/>
      <c r="CC321" s="430"/>
      <c r="CD321" s="430"/>
      <c r="CE321" s="430"/>
      <c r="CF321" s="430"/>
      <c r="CG321" s="430"/>
      <c r="CH321" s="430"/>
      <c r="CI321" s="430"/>
      <c r="CJ321" s="430"/>
      <c r="CK321" s="430"/>
      <c r="CL321" s="430"/>
    </row>
    <row r="322" spans="63:90" ht="14.25" customHeight="1">
      <c r="BK322" s="430"/>
      <c r="BL322" s="430"/>
      <c r="BM322" s="430"/>
      <c r="BN322" s="430"/>
      <c r="BO322" s="430"/>
      <c r="BP322" s="430"/>
      <c r="BQ322" s="430"/>
      <c r="BR322" s="430"/>
      <c r="BS322" s="430"/>
      <c r="BT322" s="430"/>
      <c r="BU322" s="430"/>
      <c r="BV322" s="430"/>
      <c r="BW322" s="430"/>
      <c r="BX322" s="430"/>
      <c r="BY322" s="430"/>
      <c r="BZ322" s="430"/>
      <c r="CA322" s="430"/>
      <c r="CB322" s="430"/>
      <c r="CC322" s="430"/>
      <c r="CD322" s="430"/>
      <c r="CE322" s="430"/>
      <c r="CF322" s="430"/>
      <c r="CG322" s="430"/>
      <c r="CH322" s="430"/>
      <c r="CI322" s="430"/>
      <c r="CJ322" s="430"/>
      <c r="CK322" s="430"/>
      <c r="CL322" s="430"/>
    </row>
    <row r="323" spans="63:90" ht="14.25" customHeight="1">
      <c r="BK323" s="430"/>
      <c r="BL323" s="430"/>
      <c r="BM323" s="430"/>
      <c r="BN323" s="430"/>
      <c r="BO323" s="430"/>
      <c r="BP323" s="430"/>
      <c r="BQ323" s="430"/>
      <c r="BR323" s="430"/>
      <c r="BS323" s="430"/>
      <c r="BT323" s="430"/>
      <c r="BU323" s="430"/>
      <c r="BV323" s="430"/>
      <c r="BW323" s="430"/>
      <c r="BX323" s="430"/>
      <c r="BY323" s="430"/>
      <c r="BZ323" s="430"/>
      <c r="CA323" s="430"/>
      <c r="CB323" s="430"/>
      <c r="CC323" s="430"/>
      <c r="CD323" s="430"/>
      <c r="CE323" s="430"/>
      <c r="CF323" s="430"/>
      <c r="CG323" s="430"/>
      <c r="CH323" s="430"/>
      <c r="CI323" s="430"/>
      <c r="CJ323" s="430"/>
      <c r="CK323" s="430"/>
      <c r="CL323" s="430"/>
    </row>
    <row r="324" spans="63:90" ht="14.25" customHeight="1">
      <c r="BK324" s="430"/>
      <c r="BL324" s="430"/>
      <c r="BM324" s="430"/>
      <c r="BN324" s="430"/>
      <c r="BO324" s="430"/>
      <c r="BP324" s="430"/>
      <c r="BQ324" s="430"/>
      <c r="BR324" s="430"/>
      <c r="BS324" s="430"/>
      <c r="BT324" s="430"/>
      <c r="BU324" s="430"/>
      <c r="BV324" s="430"/>
      <c r="BW324" s="430"/>
      <c r="BX324" s="430"/>
      <c r="BY324" s="430"/>
      <c r="BZ324" s="430"/>
      <c r="CA324" s="430"/>
      <c r="CB324" s="430"/>
      <c r="CC324" s="430"/>
      <c r="CD324" s="430"/>
      <c r="CE324" s="430"/>
      <c r="CF324" s="430"/>
      <c r="CG324" s="430"/>
      <c r="CH324" s="430"/>
      <c r="CI324" s="430"/>
      <c r="CJ324" s="430"/>
      <c r="CK324" s="430"/>
      <c r="CL324" s="430"/>
    </row>
    <row r="325" spans="63:90" ht="14.25" customHeight="1">
      <c r="BK325" s="430"/>
      <c r="BL325" s="430"/>
      <c r="BM325" s="430"/>
      <c r="BN325" s="430"/>
      <c r="BO325" s="430"/>
      <c r="BP325" s="430"/>
      <c r="BQ325" s="430"/>
      <c r="BR325" s="430"/>
      <c r="BS325" s="430"/>
      <c r="BT325" s="430"/>
      <c r="BU325" s="430"/>
      <c r="BV325" s="430"/>
      <c r="BW325" s="430"/>
      <c r="BX325" s="430"/>
      <c r="BY325" s="430"/>
      <c r="BZ325" s="430"/>
      <c r="CA325" s="430"/>
      <c r="CB325" s="430"/>
      <c r="CC325" s="430"/>
      <c r="CD325" s="430"/>
      <c r="CE325" s="430"/>
      <c r="CF325" s="430"/>
      <c r="CG325" s="430"/>
      <c r="CH325" s="430"/>
      <c r="CI325" s="430"/>
      <c r="CJ325" s="430"/>
      <c r="CK325" s="430"/>
      <c r="CL325" s="430"/>
    </row>
    <row r="326" spans="63:90" ht="14.25" customHeight="1">
      <c r="BK326" s="430"/>
      <c r="BL326" s="430"/>
      <c r="BM326" s="430"/>
      <c r="BN326" s="430"/>
      <c r="BO326" s="430"/>
      <c r="BP326" s="430"/>
      <c r="BQ326" s="430"/>
      <c r="BR326" s="430"/>
      <c r="BS326" s="430"/>
      <c r="BT326" s="430"/>
      <c r="BU326" s="430"/>
      <c r="BV326" s="430"/>
      <c r="BW326" s="430"/>
      <c r="BX326" s="430"/>
      <c r="BY326" s="430"/>
      <c r="BZ326" s="430"/>
      <c r="CA326" s="430"/>
      <c r="CB326" s="430"/>
      <c r="CC326" s="430"/>
      <c r="CD326" s="430"/>
      <c r="CE326" s="430"/>
      <c r="CF326" s="430"/>
      <c r="CG326" s="430"/>
      <c r="CH326" s="430"/>
      <c r="CI326" s="430"/>
      <c r="CJ326" s="430"/>
      <c r="CK326" s="430"/>
      <c r="CL326" s="430"/>
    </row>
    <row r="327" spans="63:90" ht="14.25" customHeight="1">
      <c r="BK327" s="430"/>
      <c r="BL327" s="430"/>
      <c r="BM327" s="430"/>
      <c r="BN327" s="430"/>
      <c r="BO327" s="430"/>
      <c r="BP327" s="430"/>
      <c r="BQ327" s="430"/>
      <c r="BR327" s="430"/>
      <c r="BS327" s="430"/>
      <c r="BT327" s="430"/>
      <c r="BU327" s="430"/>
      <c r="BV327" s="430"/>
      <c r="BW327" s="430"/>
      <c r="BX327" s="430"/>
      <c r="BY327" s="430"/>
      <c r="BZ327" s="430"/>
      <c r="CA327" s="430"/>
      <c r="CB327" s="430"/>
      <c r="CC327" s="430"/>
      <c r="CD327" s="430"/>
      <c r="CE327" s="430"/>
      <c r="CF327" s="430"/>
      <c r="CG327" s="430"/>
      <c r="CH327" s="430"/>
      <c r="CI327" s="430"/>
      <c r="CJ327" s="430"/>
      <c r="CK327" s="430"/>
      <c r="CL327" s="430"/>
    </row>
    <row r="328" spans="63:90" ht="14.25" customHeight="1">
      <c r="BK328" s="430"/>
      <c r="BL328" s="430"/>
      <c r="BM328" s="430"/>
      <c r="BN328" s="430"/>
      <c r="BO328" s="430"/>
      <c r="BP328" s="430"/>
      <c r="BQ328" s="430"/>
      <c r="BR328" s="430"/>
      <c r="BS328" s="430"/>
      <c r="BT328" s="430"/>
      <c r="BU328" s="430"/>
      <c r="BV328" s="430"/>
      <c r="BW328" s="430"/>
      <c r="BX328" s="430"/>
      <c r="BY328" s="430"/>
      <c r="BZ328" s="430"/>
      <c r="CA328" s="430"/>
      <c r="CB328" s="430"/>
      <c r="CC328" s="430"/>
      <c r="CD328" s="430"/>
      <c r="CE328" s="430"/>
      <c r="CF328" s="430"/>
      <c r="CG328" s="430"/>
      <c r="CH328" s="430"/>
      <c r="CI328" s="430"/>
      <c r="CJ328" s="430"/>
      <c r="CK328" s="430"/>
      <c r="CL328" s="430"/>
    </row>
    <row r="329" spans="63:90" ht="14.25" customHeight="1">
      <c r="BK329" s="430"/>
      <c r="BL329" s="430"/>
      <c r="BM329" s="430"/>
      <c r="BN329" s="430"/>
      <c r="BO329" s="430"/>
      <c r="BP329" s="430"/>
      <c r="BQ329" s="430"/>
      <c r="BR329" s="430"/>
      <c r="BS329" s="430"/>
      <c r="BT329" s="430"/>
      <c r="BU329" s="430"/>
      <c r="BV329" s="430"/>
      <c r="BW329" s="430"/>
      <c r="BX329" s="430"/>
      <c r="BY329" s="430"/>
      <c r="BZ329" s="430"/>
      <c r="CA329" s="430"/>
      <c r="CB329" s="430"/>
      <c r="CC329" s="430"/>
      <c r="CD329" s="430"/>
      <c r="CE329" s="430"/>
      <c r="CF329" s="430"/>
      <c r="CG329" s="430"/>
      <c r="CH329" s="430"/>
      <c r="CI329" s="430"/>
      <c r="CJ329" s="430"/>
      <c r="CK329" s="430"/>
      <c r="CL329" s="430"/>
    </row>
    <row r="330" spans="63:90" ht="14.25" customHeight="1">
      <c r="BK330" s="430"/>
      <c r="BL330" s="430"/>
      <c r="BM330" s="430"/>
      <c r="BN330" s="430"/>
      <c r="BO330" s="430"/>
      <c r="BP330" s="430"/>
      <c r="BQ330" s="430"/>
      <c r="BR330" s="430"/>
      <c r="BS330" s="430"/>
      <c r="BT330" s="430"/>
      <c r="BU330" s="430"/>
      <c r="BV330" s="430"/>
      <c r="BW330" s="430"/>
      <c r="BX330" s="430"/>
      <c r="BY330" s="430"/>
      <c r="BZ330" s="430"/>
      <c r="CA330" s="430"/>
      <c r="CB330" s="430"/>
      <c r="CC330" s="430"/>
      <c r="CD330" s="430"/>
      <c r="CE330" s="430"/>
      <c r="CF330" s="430"/>
      <c r="CG330" s="430"/>
      <c r="CH330" s="430"/>
      <c r="CI330" s="430"/>
      <c r="CJ330" s="430"/>
      <c r="CK330" s="430"/>
      <c r="CL330" s="430"/>
    </row>
    <row r="331" spans="63:90" ht="14.25" customHeight="1">
      <c r="BK331" s="430"/>
      <c r="BL331" s="430"/>
      <c r="BM331" s="430"/>
      <c r="BN331" s="430"/>
      <c r="BO331" s="430"/>
      <c r="BP331" s="430"/>
      <c r="BQ331" s="430"/>
      <c r="BR331" s="430"/>
      <c r="BS331" s="430"/>
      <c r="BT331" s="430"/>
      <c r="BU331" s="430"/>
      <c r="BV331" s="430"/>
      <c r="BW331" s="430"/>
      <c r="BX331" s="430"/>
      <c r="BY331" s="430"/>
      <c r="BZ331" s="430"/>
      <c r="CA331" s="430"/>
      <c r="CB331" s="430"/>
      <c r="CC331" s="430"/>
      <c r="CD331" s="430"/>
      <c r="CE331" s="430"/>
      <c r="CF331" s="430"/>
      <c r="CG331" s="430"/>
      <c r="CH331" s="430"/>
      <c r="CI331" s="430"/>
      <c r="CJ331" s="430"/>
      <c r="CK331" s="430"/>
      <c r="CL331" s="430"/>
    </row>
    <row r="332" spans="63:90" ht="14.25" customHeight="1">
      <c r="BK332" s="430"/>
      <c r="BL332" s="430"/>
      <c r="BM332" s="430"/>
      <c r="BN332" s="430"/>
      <c r="BO332" s="430"/>
      <c r="BP332" s="430"/>
      <c r="BQ332" s="430"/>
      <c r="BR332" s="430"/>
      <c r="BS332" s="430"/>
      <c r="BT332" s="430"/>
      <c r="BU332" s="430"/>
      <c r="BV332" s="430"/>
      <c r="BW332" s="430"/>
      <c r="BX332" s="430"/>
      <c r="BY332" s="430"/>
      <c r="BZ332" s="430"/>
      <c r="CA332" s="430"/>
      <c r="CB332" s="430"/>
      <c r="CC332" s="430"/>
      <c r="CD332" s="430"/>
      <c r="CE332" s="430"/>
      <c r="CF332" s="430"/>
      <c r="CG332" s="430"/>
      <c r="CH332" s="430"/>
      <c r="CI332" s="430"/>
      <c r="CJ332" s="430"/>
      <c r="CK332" s="430"/>
      <c r="CL332" s="430"/>
    </row>
    <row r="333" spans="63:90" ht="14.25" customHeight="1">
      <c r="BK333" s="430"/>
      <c r="BL333" s="430"/>
      <c r="BM333" s="430"/>
      <c r="BN333" s="430"/>
      <c r="BO333" s="430"/>
      <c r="BP333" s="430"/>
      <c r="BQ333" s="430"/>
      <c r="BR333" s="430"/>
      <c r="BS333" s="430"/>
      <c r="BT333" s="430"/>
      <c r="BU333" s="430"/>
      <c r="BV333" s="430"/>
      <c r="BW333" s="430"/>
      <c r="BX333" s="430"/>
      <c r="BY333" s="430"/>
      <c r="BZ333" s="430"/>
      <c r="CA333" s="430"/>
      <c r="CB333" s="430"/>
      <c r="CC333" s="430"/>
      <c r="CD333" s="430"/>
      <c r="CE333" s="430"/>
      <c r="CF333" s="430"/>
      <c r="CG333" s="430"/>
      <c r="CH333" s="430"/>
      <c r="CI333" s="430"/>
      <c r="CJ333" s="430"/>
      <c r="CK333" s="430"/>
      <c r="CL333" s="430"/>
    </row>
    <row r="334" spans="63:90" ht="14.25" customHeight="1">
      <c r="BK334" s="430"/>
      <c r="BL334" s="430"/>
      <c r="BM334" s="430"/>
      <c r="BN334" s="430"/>
      <c r="BO334" s="430"/>
      <c r="BP334" s="430"/>
      <c r="BQ334" s="430"/>
      <c r="BR334" s="430"/>
      <c r="BS334" s="430"/>
      <c r="BT334" s="430"/>
      <c r="BU334" s="430"/>
      <c r="BV334" s="430"/>
      <c r="BW334" s="430"/>
      <c r="BX334" s="430"/>
      <c r="BY334" s="430"/>
      <c r="BZ334" s="430"/>
      <c r="CA334" s="430"/>
      <c r="CB334" s="430"/>
      <c r="CC334" s="430"/>
      <c r="CD334" s="430"/>
      <c r="CE334" s="430"/>
      <c r="CF334" s="430"/>
      <c r="CG334" s="430"/>
      <c r="CH334" s="430"/>
      <c r="CI334" s="430"/>
      <c r="CJ334" s="430"/>
      <c r="CK334" s="430"/>
      <c r="CL334" s="430"/>
    </row>
    <row r="335" spans="63:90" ht="14.25" customHeight="1">
      <c r="BK335" s="430"/>
      <c r="BL335" s="430"/>
      <c r="BM335" s="430"/>
      <c r="BN335" s="430"/>
      <c r="BO335" s="430"/>
      <c r="BP335" s="430"/>
      <c r="BQ335" s="430"/>
      <c r="BR335" s="430"/>
      <c r="BS335" s="430"/>
      <c r="BT335" s="430"/>
      <c r="BU335" s="430"/>
      <c r="BV335" s="430"/>
      <c r="BW335" s="430"/>
      <c r="BX335" s="430"/>
      <c r="BY335" s="430"/>
      <c r="BZ335" s="430"/>
      <c r="CA335" s="430"/>
      <c r="CB335" s="430"/>
      <c r="CC335" s="430"/>
      <c r="CD335" s="430"/>
      <c r="CE335" s="430"/>
      <c r="CF335" s="430"/>
      <c r="CG335" s="430"/>
      <c r="CH335" s="430"/>
      <c r="CI335" s="430"/>
      <c r="CJ335" s="430"/>
      <c r="CK335" s="430"/>
      <c r="CL335" s="430"/>
    </row>
    <row r="336" spans="63:90" ht="14.25" customHeight="1">
      <c r="BK336" s="430"/>
      <c r="BL336" s="430"/>
      <c r="BM336" s="430"/>
      <c r="BN336" s="430"/>
      <c r="BO336" s="430"/>
      <c r="BP336" s="430"/>
      <c r="BQ336" s="430"/>
      <c r="BR336" s="430"/>
      <c r="BS336" s="430"/>
      <c r="BT336" s="430"/>
      <c r="BU336" s="430"/>
      <c r="BV336" s="430"/>
      <c r="BW336" s="430"/>
      <c r="BX336" s="430"/>
      <c r="BY336" s="430"/>
      <c r="BZ336" s="430"/>
      <c r="CA336" s="430"/>
      <c r="CB336" s="430"/>
      <c r="CC336" s="430"/>
      <c r="CD336" s="430"/>
      <c r="CE336" s="430"/>
      <c r="CF336" s="430"/>
      <c r="CG336" s="430"/>
      <c r="CH336" s="430"/>
      <c r="CI336" s="430"/>
      <c r="CJ336" s="430"/>
      <c r="CK336" s="430"/>
      <c r="CL336" s="430"/>
    </row>
    <row r="337" spans="63:90" ht="14.25" customHeight="1">
      <c r="BK337" s="430"/>
      <c r="BL337" s="430"/>
      <c r="BM337" s="430"/>
      <c r="BN337" s="430"/>
      <c r="BO337" s="430"/>
      <c r="BP337" s="430"/>
      <c r="BQ337" s="430"/>
      <c r="BR337" s="430"/>
      <c r="BS337" s="430"/>
      <c r="BT337" s="430"/>
      <c r="BU337" s="430"/>
      <c r="BV337" s="430"/>
      <c r="BW337" s="430"/>
      <c r="BX337" s="430"/>
      <c r="BY337" s="430"/>
      <c r="BZ337" s="430"/>
      <c r="CA337" s="430"/>
      <c r="CB337" s="430"/>
      <c r="CC337" s="430"/>
      <c r="CD337" s="430"/>
      <c r="CE337" s="430"/>
      <c r="CF337" s="430"/>
      <c r="CG337" s="430"/>
      <c r="CH337" s="430"/>
      <c r="CI337" s="430"/>
      <c r="CJ337" s="430"/>
      <c r="CK337" s="430"/>
      <c r="CL337" s="430"/>
    </row>
    <row r="338" spans="63:90" ht="14.25" customHeight="1">
      <c r="BK338" s="430"/>
      <c r="BL338" s="430"/>
      <c r="BM338" s="430"/>
      <c r="BN338" s="430"/>
      <c r="BO338" s="430"/>
      <c r="BP338" s="430"/>
      <c r="BQ338" s="430"/>
      <c r="BR338" s="430"/>
      <c r="BS338" s="430"/>
      <c r="BT338" s="430"/>
      <c r="BU338" s="430"/>
      <c r="BV338" s="430"/>
      <c r="BW338" s="430"/>
      <c r="BX338" s="430"/>
      <c r="BY338" s="430"/>
      <c r="BZ338" s="430"/>
      <c r="CA338" s="430"/>
      <c r="CB338" s="430"/>
      <c r="CC338" s="430"/>
      <c r="CD338" s="430"/>
      <c r="CE338" s="430"/>
      <c r="CF338" s="430"/>
      <c r="CG338" s="430"/>
      <c r="CH338" s="430"/>
      <c r="CI338" s="430"/>
      <c r="CJ338" s="430"/>
      <c r="CK338" s="430"/>
      <c r="CL338" s="430"/>
    </row>
    <row r="339" spans="63:90" ht="14.25" customHeight="1">
      <c r="BK339" s="430"/>
      <c r="BL339" s="430"/>
      <c r="BM339" s="430"/>
      <c r="BN339" s="430"/>
      <c r="BO339" s="430"/>
      <c r="BP339" s="430"/>
      <c r="BQ339" s="430"/>
      <c r="BR339" s="430"/>
      <c r="BS339" s="430"/>
      <c r="BT339" s="430"/>
      <c r="BU339" s="430"/>
      <c r="BV339" s="430"/>
      <c r="BW339" s="430"/>
      <c r="BX339" s="430"/>
      <c r="BY339" s="430"/>
      <c r="BZ339" s="430"/>
      <c r="CA339" s="430"/>
      <c r="CB339" s="430"/>
      <c r="CC339" s="430"/>
      <c r="CD339" s="430"/>
      <c r="CE339" s="430"/>
      <c r="CF339" s="430"/>
      <c r="CG339" s="430"/>
      <c r="CH339" s="430"/>
      <c r="CI339" s="430"/>
      <c r="CJ339" s="430"/>
      <c r="CK339" s="430"/>
      <c r="CL339" s="430"/>
    </row>
    <row r="340" spans="63:90" ht="14.25" customHeight="1">
      <c r="BK340" s="430"/>
      <c r="BL340" s="430"/>
      <c r="BM340" s="430"/>
      <c r="BN340" s="430"/>
      <c r="BO340" s="430"/>
      <c r="BP340" s="430"/>
      <c r="BQ340" s="430"/>
      <c r="BR340" s="430"/>
      <c r="BS340" s="430"/>
      <c r="BT340" s="430"/>
      <c r="BU340" s="430"/>
      <c r="BV340" s="430"/>
      <c r="BW340" s="430"/>
      <c r="BX340" s="430"/>
      <c r="BY340" s="430"/>
      <c r="BZ340" s="430"/>
      <c r="CA340" s="430"/>
      <c r="CB340" s="430"/>
      <c r="CC340" s="430"/>
      <c r="CD340" s="430"/>
      <c r="CE340" s="430"/>
      <c r="CF340" s="430"/>
      <c r="CG340" s="430"/>
      <c r="CH340" s="430"/>
      <c r="CI340" s="430"/>
      <c r="CJ340" s="430"/>
      <c r="CK340" s="430"/>
      <c r="CL340" s="430"/>
    </row>
    <row r="341" spans="63:90" ht="14.25" customHeight="1">
      <c r="BK341" s="430"/>
      <c r="BL341" s="430"/>
      <c r="BM341" s="430"/>
      <c r="BN341" s="430"/>
      <c r="BO341" s="430"/>
      <c r="BP341" s="430"/>
      <c r="BQ341" s="430"/>
      <c r="BR341" s="430"/>
      <c r="BS341" s="430"/>
      <c r="BT341" s="430"/>
      <c r="BU341" s="430"/>
      <c r="BV341" s="430"/>
      <c r="BW341" s="430"/>
      <c r="BX341" s="430"/>
      <c r="BY341" s="430"/>
      <c r="BZ341" s="430"/>
      <c r="CA341" s="430"/>
      <c r="CB341" s="430"/>
      <c r="CC341" s="430"/>
      <c r="CD341" s="430"/>
      <c r="CE341" s="430"/>
      <c r="CF341" s="430"/>
      <c r="CG341" s="430"/>
      <c r="CH341" s="430"/>
      <c r="CI341" s="430"/>
      <c r="CJ341" s="430"/>
      <c r="CK341" s="430"/>
      <c r="CL341" s="430"/>
    </row>
    <row r="342" spans="63:90" ht="14.25" customHeight="1">
      <c r="BK342" s="430"/>
      <c r="BL342" s="430"/>
      <c r="BM342" s="430"/>
      <c r="BN342" s="430"/>
      <c r="BO342" s="430"/>
      <c r="BP342" s="430"/>
      <c r="BQ342" s="430"/>
      <c r="BR342" s="430"/>
      <c r="BS342" s="430"/>
      <c r="BT342" s="430"/>
      <c r="BU342" s="430"/>
      <c r="BV342" s="430"/>
      <c r="BW342" s="430"/>
      <c r="BX342" s="430"/>
      <c r="BY342" s="430"/>
      <c r="BZ342" s="430"/>
      <c r="CA342" s="430"/>
      <c r="CB342" s="430"/>
      <c r="CC342" s="430"/>
      <c r="CD342" s="430"/>
      <c r="CE342" s="430"/>
      <c r="CF342" s="430"/>
      <c r="CG342" s="430"/>
      <c r="CH342" s="430"/>
      <c r="CI342" s="430"/>
      <c r="CJ342" s="430"/>
      <c r="CK342" s="430"/>
      <c r="CL342" s="430"/>
    </row>
    <row r="343" spans="63:90" ht="14.25" customHeight="1">
      <c r="BK343" s="430"/>
      <c r="BL343" s="430"/>
      <c r="BM343" s="430"/>
      <c r="BN343" s="430"/>
      <c r="BO343" s="430"/>
      <c r="BP343" s="430"/>
      <c r="BQ343" s="430"/>
      <c r="BR343" s="430"/>
      <c r="BS343" s="430"/>
      <c r="BT343" s="430"/>
      <c r="BU343" s="430"/>
      <c r="BV343" s="430"/>
      <c r="BW343" s="430"/>
      <c r="BX343" s="430"/>
      <c r="BY343" s="430"/>
      <c r="BZ343" s="430"/>
      <c r="CA343" s="430"/>
      <c r="CB343" s="430"/>
      <c r="CC343" s="430"/>
      <c r="CD343" s="430"/>
      <c r="CE343" s="430"/>
      <c r="CF343" s="430"/>
      <c r="CG343" s="430"/>
      <c r="CH343" s="430"/>
      <c r="CI343" s="430"/>
      <c r="CJ343" s="430"/>
      <c r="CK343" s="430"/>
      <c r="CL343" s="430"/>
    </row>
    <row r="344" spans="63:90" ht="14.25" customHeight="1">
      <c r="BK344" s="430"/>
      <c r="BL344" s="430"/>
      <c r="BM344" s="430"/>
      <c r="BN344" s="430"/>
      <c r="BO344" s="430"/>
      <c r="BP344" s="430"/>
      <c r="BQ344" s="430"/>
      <c r="BR344" s="430"/>
      <c r="BS344" s="430"/>
      <c r="BT344" s="430"/>
      <c r="BU344" s="430"/>
      <c r="BV344" s="430"/>
      <c r="BW344" s="430"/>
      <c r="BX344" s="430"/>
      <c r="BY344" s="430"/>
      <c r="BZ344" s="430"/>
      <c r="CA344" s="430"/>
      <c r="CB344" s="430"/>
      <c r="CC344" s="430"/>
      <c r="CD344" s="430"/>
      <c r="CE344" s="430"/>
      <c r="CF344" s="430"/>
      <c r="CG344" s="430"/>
      <c r="CH344" s="430"/>
      <c r="CI344" s="430"/>
      <c r="CJ344" s="430"/>
      <c r="CK344" s="430"/>
      <c r="CL344" s="430"/>
    </row>
    <row r="345" spans="63:90" ht="14.25" customHeight="1">
      <c r="BK345" s="430"/>
      <c r="BL345" s="430"/>
      <c r="BM345" s="430"/>
      <c r="BN345" s="430"/>
      <c r="BO345" s="430"/>
      <c r="BP345" s="430"/>
      <c r="BQ345" s="430"/>
      <c r="BR345" s="430"/>
      <c r="BS345" s="430"/>
      <c r="BT345" s="430"/>
      <c r="BU345" s="430"/>
      <c r="BV345" s="430"/>
      <c r="BW345" s="430"/>
      <c r="BX345" s="430"/>
      <c r="BY345" s="430"/>
      <c r="BZ345" s="430"/>
      <c r="CA345" s="430"/>
      <c r="CB345" s="430"/>
      <c r="CC345" s="430"/>
      <c r="CD345" s="430"/>
      <c r="CE345" s="430"/>
      <c r="CF345" s="430"/>
      <c r="CG345" s="430"/>
      <c r="CH345" s="430"/>
      <c r="CI345" s="430"/>
      <c r="CJ345" s="430"/>
      <c r="CK345" s="430"/>
      <c r="CL345" s="430"/>
    </row>
    <row r="346" spans="63:90" ht="14.25" customHeight="1">
      <c r="BK346" s="430"/>
      <c r="BL346" s="430"/>
      <c r="BM346" s="430"/>
      <c r="BN346" s="430"/>
      <c r="BO346" s="430"/>
      <c r="BP346" s="430"/>
      <c r="BQ346" s="430"/>
      <c r="BR346" s="430"/>
      <c r="BS346" s="430"/>
      <c r="BT346" s="430"/>
      <c r="BU346" s="430"/>
      <c r="BV346" s="430"/>
      <c r="BW346" s="430"/>
      <c r="BX346" s="430"/>
      <c r="BY346" s="430"/>
      <c r="BZ346" s="430"/>
      <c r="CA346" s="430"/>
      <c r="CB346" s="430"/>
      <c r="CC346" s="430"/>
      <c r="CD346" s="430"/>
      <c r="CE346" s="430"/>
      <c r="CF346" s="430"/>
      <c r="CG346" s="430"/>
      <c r="CH346" s="430"/>
      <c r="CI346" s="430"/>
      <c r="CJ346" s="430"/>
      <c r="CK346" s="430"/>
      <c r="CL346" s="430"/>
    </row>
    <row r="347" spans="63:90" ht="14.25" customHeight="1">
      <c r="BK347" s="430"/>
      <c r="BL347" s="430"/>
      <c r="BM347" s="430"/>
      <c r="BN347" s="430"/>
      <c r="BO347" s="430"/>
      <c r="BP347" s="430"/>
      <c r="BQ347" s="430"/>
      <c r="BR347" s="430"/>
      <c r="BS347" s="430"/>
      <c r="BT347" s="430"/>
      <c r="BU347" s="430"/>
      <c r="BV347" s="430"/>
      <c r="BW347" s="430"/>
      <c r="BX347" s="430"/>
      <c r="BY347" s="430"/>
      <c r="BZ347" s="430"/>
      <c r="CA347" s="430"/>
      <c r="CB347" s="430"/>
      <c r="CC347" s="430"/>
      <c r="CD347" s="430"/>
      <c r="CE347" s="430"/>
      <c r="CF347" s="430"/>
      <c r="CG347" s="430"/>
      <c r="CH347" s="430"/>
      <c r="CI347" s="430"/>
      <c r="CJ347" s="430"/>
      <c r="CK347" s="430"/>
      <c r="CL347" s="430"/>
    </row>
    <row r="348" spans="63:90" ht="14.25" customHeight="1">
      <c r="BK348" s="430"/>
      <c r="BL348" s="430"/>
      <c r="BM348" s="430"/>
      <c r="BN348" s="430"/>
      <c r="BO348" s="430"/>
      <c r="BP348" s="430"/>
      <c r="BQ348" s="430"/>
      <c r="BR348" s="430"/>
      <c r="BS348" s="430"/>
      <c r="BT348" s="430"/>
      <c r="BU348" s="430"/>
      <c r="BV348" s="430"/>
      <c r="BW348" s="430"/>
      <c r="BX348" s="430"/>
      <c r="BY348" s="430"/>
      <c r="BZ348" s="430"/>
      <c r="CA348" s="430"/>
      <c r="CB348" s="430"/>
      <c r="CC348" s="430"/>
      <c r="CD348" s="430"/>
      <c r="CE348" s="430"/>
      <c r="CF348" s="430"/>
      <c r="CG348" s="430"/>
      <c r="CH348" s="430"/>
      <c r="CI348" s="430"/>
      <c r="CJ348" s="430"/>
      <c r="CK348" s="430"/>
      <c r="CL348" s="430"/>
    </row>
    <row r="349" spans="63:90" ht="14.25" customHeight="1">
      <c r="BK349" s="430"/>
      <c r="BL349" s="430"/>
      <c r="BM349" s="430"/>
      <c r="BN349" s="430"/>
      <c r="BO349" s="430"/>
      <c r="BP349" s="430"/>
      <c r="BQ349" s="430"/>
      <c r="BR349" s="430"/>
      <c r="BS349" s="430"/>
      <c r="BT349" s="430"/>
      <c r="BU349" s="430"/>
      <c r="BV349" s="430"/>
      <c r="BW349" s="430"/>
      <c r="BX349" s="430"/>
      <c r="BY349" s="430"/>
      <c r="BZ349" s="430"/>
      <c r="CA349" s="430"/>
      <c r="CB349" s="430"/>
      <c r="CC349" s="430"/>
      <c r="CD349" s="430"/>
      <c r="CE349" s="430"/>
      <c r="CF349" s="430"/>
      <c r="CG349" s="430"/>
      <c r="CH349" s="430"/>
      <c r="CI349" s="430"/>
      <c r="CJ349" s="430"/>
      <c r="CK349" s="430"/>
      <c r="CL349" s="430"/>
    </row>
    <row r="350" spans="63:90" ht="14.25" customHeight="1">
      <c r="BK350" s="430"/>
      <c r="BL350" s="430"/>
      <c r="BM350" s="430"/>
      <c r="BN350" s="430"/>
      <c r="BO350" s="430"/>
      <c r="BP350" s="430"/>
      <c r="BQ350" s="430"/>
      <c r="BR350" s="430"/>
      <c r="BS350" s="430"/>
      <c r="BT350" s="430"/>
      <c r="BU350" s="430"/>
      <c r="BV350" s="430"/>
      <c r="BW350" s="430"/>
      <c r="BX350" s="430"/>
      <c r="BY350" s="430"/>
      <c r="BZ350" s="430"/>
      <c r="CA350" s="430"/>
      <c r="CB350" s="430"/>
      <c r="CC350" s="430"/>
      <c r="CD350" s="430"/>
      <c r="CE350" s="430"/>
      <c r="CF350" s="430"/>
      <c r="CG350" s="430"/>
      <c r="CH350" s="430"/>
      <c r="CI350" s="430"/>
      <c r="CJ350" s="430"/>
      <c r="CK350" s="430"/>
      <c r="CL350" s="430"/>
    </row>
    <row r="351" spans="63:90" ht="14.25" customHeight="1">
      <c r="BK351" s="430"/>
      <c r="BL351" s="430"/>
      <c r="BM351" s="430"/>
      <c r="BN351" s="430"/>
      <c r="BO351" s="430"/>
      <c r="BP351" s="430"/>
      <c r="BQ351" s="430"/>
      <c r="BR351" s="430"/>
      <c r="BS351" s="430"/>
      <c r="BT351" s="430"/>
      <c r="BU351" s="430"/>
      <c r="BV351" s="430"/>
      <c r="BW351" s="430"/>
      <c r="BX351" s="430"/>
      <c r="BY351" s="430"/>
      <c r="BZ351" s="430"/>
      <c r="CA351" s="430"/>
      <c r="CB351" s="430"/>
      <c r="CC351" s="430"/>
      <c r="CD351" s="430"/>
      <c r="CE351" s="430"/>
      <c r="CF351" s="430"/>
      <c r="CG351" s="430"/>
      <c r="CH351" s="430"/>
      <c r="CI351" s="430"/>
      <c r="CJ351" s="430"/>
      <c r="CK351" s="430"/>
      <c r="CL351" s="430"/>
    </row>
    <row r="352" spans="63:90" ht="14.25" customHeight="1">
      <c r="BK352" s="430"/>
      <c r="BL352" s="430"/>
      <c r="BM352" s="430"/>
      <c r="BN352" s="430"/>
      <c r="BO352" s="430"/>
      <c r="BP352" s="430"/>
      <c r="BQ352" s="430"/>
      <c r="BR352" s="430"/>
      <c r="BS352" s="430"/>
      <c r="BT352" s="430"/>
      <c r="BU352" s="430"/>
      <c r="BV352" s="430"/>
      <c r="BW352" s="430"/>
      <c r="BX352" s="430"/>
      <c r="BY352" s="430"/>
      <c r="BZ352" s="430"/>
      <c r="CA352" s="430"/>
      <c r="CB352" s="430"/>
      <c r="CC352" s="430"/>
      <c r="CD352" s="430"/>
      <c r="CE352" s="430"/>
      <c r="CF352" s="430"/>
      <c r="CG352" s="430"/>
      <c r="CH352" s="430"/>
      <c r="CI352" s="430"/>
      <c r="CJ352" s="430"/>
      <c r="CK352" s="430"/>
      <c r="CL352" s="430"/>
    </row>
    <row r="353" spans="63:90" ht="14.25" customHeight="1">
      <c r="BK353" s="430"/>
      <c r="BL353" s="430"/>
      <c r="BM353" s="430"/>
      <c r="BN353" s="430"/>
      <c r="BO353" s="430"/>
      <c r="BP353" s="430"/>
      <c r="BQ353" s="430"/>
      <c r="BR353" s="430"/>
      <c r="BS353" s="430"/>
      <c r="BT353" s="430"/>
      <c r="BU353" s="430"/>
      <c r="BV353" s="430"/>
      <c r="BW353" s="430"/>
      <c r="BX353" s="430"/>
      <c r="BY353" s="430"/>
      <c r="BZ353" s="430"/>
      <c r="CA353" s="430"/>
      <c r="CB353" s="430"/>
      <c r="CC353" s="430"/>
      <c r="CD353" s="430"/>
      <c r="CE353" s="430"/>
      <c r="CF353" s="430"/>
      <c r="CG353" s="430"/>
      <c r="CH353" s="430"/>
      <c r="CI353" s="430"/>
      <c r="CJ353" s="430"/>
      <c r="CK353" s="430"/>
      <c r="CL353" s="430"/>
    </row>
    <row r="354" spans="63:90" ht="14.25" customHeight="1">
      <c r="BK354" s="430"/>
      <c r="BL354" s="430"/>
      <c r="BM354" s="430"/>
      <c r="BN354" s="430"/>
      <c r="BO354" s="430"/>
      <c r="BP354" s="430"/>
      <c r="BQ354" s="430"/>
      <c r="BR354" s="430"/>
      <c r="BS354" s="430"/>
      <c r="BT354" s="430"/>
      <c r="BU354" s="430"/>
      <c r="BV354" s="430"/>
      <c r="BW354" s="430"/>
      <c r="BX354" s="430"/>
      <c r="BY354" s="430"/>
      <c r="BZ354" s="430"/>
      <c r="CA354" s="430"/>
      <c r="CB354" s="430"/>
      <c r="CC354" s="430"/>
      <c r="CD354" s="430"/>
      <c r="CE354" s="430"/>
      <c r="CF354" s="430"/>
      <c r="CG354" s="430"/>
      <c r="CH354" s="430"/>
      <c r="CI354" s="430"/>
      <c r="CJ354" s="430"/>
      <c r="CK354" s="430"/>
      <c r="CL354" s="430"/>
    </row>
    <row r="355" spans="63:90" ht="14.25" customHeight="1">
      <c r="BK355" s="430"/>
      <c r="BL355" s="430"/>
      <c r="BM355" s="430"/>
      <c r="BN355" s="430"/>
      <c r="BO355" s="430"/>
      <c r="BP355" s="430"/>
      <c r="BQ355" s="430"/>
      <c r="BR355" s="430"/>
      <c r="BS355" s="430"/>
      <c r="BT355" s="430"/>
      <c r="BU355" s="430"/>
      <c r="BV355" s="430"/>
      <c r="BW355" s="430"/>
      <c r="BX355" s="430"/>
      <c r="BY355" s="430"/>
      <c r="BZ355" s="430"/>
      <c r="CA355" s="430"/>
      <c r="CB355" s="430"/>
      <c r="CC355" s="430"/>
      <c r="CD355" s="430"/>
      <c r="CE355" s="430"/>
      <c r="CF355" s="430"/>
      <c r="CG355" s="430"/>
      <c r="CH355" s="430"/>
      <c r="CI355" s="430"/>
      <c r="CJ355" s="430"/>
      <c r="CK355" s="430"/>
      <c r="CL355" s="430"/>
    </row>
    <row r="356" spans="63:90" ht="14.25" customHeight="1">
      <c r="BK356" s="430"/>
      <c r="BL356" s="430"/>
      <c r="BM356" s="430"/>
      <c r="BN356" s="430"/>
      <c r="BO356" s="430"/>
      <c r="BP356" s="430"/>
      <c r="BQ356" s="430"/>
      <c r="BR356" s="430"/>
      <c r="BS356" s="430"/>
      <c r="BT356" s="430"/>
      <c r="BU356" s="430"/>
      <c r="BV356" s="430"/>
      <c r="BW356" s="430"/>
      <c r="BX356" s="430"/>
      <c r="BY356" s="430"/>
      <c r="BZ356" s="430"/>
      <c r="CA356" s="430"/>
      <c r="CB356" s="430"/>
      <c r="CC356" s="430"/>
      <c r="CD356" s="430"/>
      <c r="CE356" s="430"/>
      <c r="CF356" s="430"/>
      <c r="CG356" s="430"/>
      <c r="CH356" s="430"/>
      <c r="CI356" s="430"/>
      <c r="CJ356" s="430"/>
      <c r="CK356" s="430"/>
      <c r="CL356" s="430"/>
    </row>
    <row r="357" spans="63:90" ht="14.25" customHeight="1">
      <c r="BK357" s="430"/>
      <c r="BL357" s="430"/>
      <c r="BM357" s="430"/>
      <c r="BN357" s="430"/>
      <c r="BO357" s="430"/>
      <c r="BP357" s="430"/>
      <c r="BQ357" s="430"/>
      <c r="BR357" s="430"/>
      <c r="BS357" s="430"/>
      <c r="BT357" s="430"/>
      <c r="BU357" s="430"/>
      <c r="BV357" s="430"/>
      <c r="BW357" s="430"/>
      <c r="BX357" s="430"/>
      <c r="BY357" s="430"/>
      <c r="BZ357" s="430"/>
      <c r="CA357" s="430"/>
      <c r="CB357" s="430"/>
      <c r="CC357" s="430"/>
      <c r="CD357" s="430"/>
      <c r="CE357" s="430"/>
      <c r="CF357" s="430"/>
      <c r="CG357" s="430"/>
      <c r="CH357" s="430"/>
      <c r="CI357" s="430"/>
      <c r="CJ357" s="430"/>
      <c r="CK357" s="430"/>
      <c r="CL357" s="430"/>
    </row>
    <row r="358" spans="63:90" ht="14.25" customHeight="1">
      <c r="BK358" s="430"/>
      <c r="BL358" s="430"/>
      <c r="BM358" s="430"/>
      <c r="BN358" s="430"/>
      <c r="BO358" s="430"/>
      <c r="BP358" s="430"/>
      <c r="BQ358" s="430"/>
      <c r="BR358" s="430"/>
      <c r="BS358" s="430"/>
      <c r="BT358" s="430"/>
      <c r="BU358" s="430"/>
      <c r="BV358" s="430"/>
      <c r="BW358" s="430"/>
      <c r="BX358" s="430"/>
      <c r="BY358" s="430"/>
      <c r="BZ358" s="430"/>
      <c r="CA358" s="430"/>
      <c r="CB358" s="430"/>
      <c r="CC358" s="430"/>
      <c r="CD358" s="430"/>
      <c r="CE358" s="430"/>
      <c r="CF358" s="430"/>
      <c r="CG358" s="430"/>
      <c r="CH358" s="430"/>
      <c r="CI358" s="430"/>
      <c r="CJ358" s="430"/>
      <c r="CK358" s="430"/>
      <c r="CL358" s="430"/>
    </row>
    <row r="359" spans="63:90" ht="14.25" customHeight="1">
      <c r="BK359" s="430"/>
      <c r="BL359" s="430"/>
      <c r="BM359" s="430"/>
      <c r="BN359" s="430"/>
      <c r="BO359" s="430"/>
      <c r="BP359" s="430"/>
      <c r="BQ359" s="430"/>
      <c r="BR359" s="430"/>
      <c r="BS359" s="430"/>
      <c r="BT359" s="430"/>
      <c r="BU359" s="430"/>
      <c r="BV359" s="430"/>
      <c r="BW359" s="430"/>
      <c r="BX359" s="430"/>
      <c r="BY359" s="430"/>
      <c r="BZ359" s="430"/>
      <c r="CA359" s="430"/>
      <c r="CB359" s="430"/>
      <c r="CC359" s="430"/>
      <c r="CD359" s="430"/>
      <c r="CE359" s="430"/>
      <c r="CF359" s="430"/>
      <c r="CG359" s="430"/>
      <c r="CH359" s="430"/>
      <c r="CI359" s="430"/>
      <c r="CJ359" s="430"/>
      <c r="CK359" s="430"/>
      <c r="CL359" s="430"/>
    </row>
    <row r="360" spans="63:90" ht="14.25" customHeight="1">
      <c r="BK360" s="430"/>
      <c r="BL360" s="430"/>
      <c r="BM360" s="430"/>
      <c r="BN360" s="430"/>
      <c r="BO360" s="430"/>
      <c r="BP360" s="430"/>
      <c r="BQ360" s="430"/>
      <c r="BR360" s="430"/>
      <c r="BS360" s="430"/>
      <c r="BT360" s="430"/>
      <c r="BU360" s="430"/>
      <c r="BV360" s="430"/>
      <c r="BW360" s="430"/>
      <c r="BX360" s="430"/>
      <c r="BY360" s="430"/>
      <c r="BZ360" s="430"/>
      <c r="CA360" s="430"/>
      <c r="CB360" s="430"/>
      <c r="CC360" s="430"/>
      <c r="CD360" s="430"/>
      <c r="CE360" s="430"/>
      <c r="CF360" s="430"/>
      <c r="CG360" s="430"/>
      <c r="CH360" s="430"/>
      <c r="CI360" s="430"/>
      <c r="CJ360" s="430"/>
      <c r="CK360" s="430"/>
      <c r="CL360" s="430"/>
    </row>
    <row r="361" spans="63:90" ht="14.25" customHeight="1">
      <c r="BK361" s="430"/>
      <c r="BL361" s="430"/>
      <c r="BM361" s="430"/>
      <c r="BN361" s="430"/>
      <c r="BO361" s="430"/>
      <c r="BP361" s="430"/>
      <c r="BQ361" s="430"/>
      <c r="BR361" s="430"/>
      <c r="BS361" s="430"/>
      <c r="BT361" s="430"/>
      <c r="BU361" s="430"/>
      <c r="BV361" s="430"/>
      <c r="BW361" s="430"/>
      <c r="BX361" s="430"/>
      <c r="BY361" s="430"/>
      <c r="BZ361" s="430"/>
      <c r="CA361" s="430"/>
      <c r="CB361" s="430"/>
      <c r="CC361" s="430"/>
      <c r="CD361" s="430"/>
      <c r="CE361" s="430"/>
      <c r="CF361" s="430"/>
      <c r="CG361" s="430"/>
      <c r="CH361" s="430"/>
      <c r="CI361" s="430"/>
      <c r="CJ361" s="430"/>
      <c r="CK361" s="430"/>
      <c r="CL361" s="430"/>
    </row>
    <row r="362" spans="63:90" ht="14.25" customHeight="1">
      <c r="BK362" s="430"/>
      <c r="BL362" s="430"/>
      <c r="BM362" s="430"/>
      <c r="BN362" s="430"/>
      <c r="BO362" s="430"/>
      <c r="BP362" s="430"/>
      <c r="BQ362" s="430"/>
      <c r="BR362" s="430"/>
      <c r="BS362" s="430"/>
      <c r="BT362" s="430"/>
      <c r="BU362" s="430"/>
      <c r="BV362" s="430"/>
      <c r="BW362" s="430"/>
      <c r="BX362" s="430"/>
      <c r="BY362" s="430"/>
      <c r="BZ362" s="430"/>
      <c r="CA362" s="430"/>
      <c r="CB362" s="430"/>
      <c r="CC362" s="430"/>
      <c r="CD362" s="430"/>
      <c r="CE362" s="430"/>
      <c r="CF362" s="430"/>
      <c r="CG362" s="430"/>
      <c r="CH362" s="430"/>
      <c r="CI362" s="430"/>
      <c r="CJ362" s="430"/>
      <c r="CK362" s="430"/>
      <c r="CL362" s="430"/>
    </row>
    <row r="363" spans="63:90" ht="14.25" customHeight="1">
      <c r="BK363" s="430"/>
      <c r="BL363" s="430"/>
      <c r="BM363" s="430"/>
      <c r="BN363" s="430"/>
      <c r="BO363" s="430"/>
      <c r="BP363" s="430"/>
      <c r="BQ363" s="430"/>
      <c r="BR363" s="430"/>
      <c r="BS363" s="430"/>
      <c r="BT363" s="430"/>
      <c r="BU363" s="430"/>
      <c r="BV363" s="430"/>
      <c r="BW363" s="430"/>
      <c r="BX363" s="430"/>
      <c r="BY363" s="430"/>
      <c r="BZ363" s="430"/>
      <c r="CA363" s="430"/>
      <c r="CB363" s="430"/>
      <c r="CC363" s="430"/>
      <c r="CD363" s="430"/>
      <c r="CE363" s="430"/>
      <c r="CF363" s="430"/>
      <c r="CG363" s="430"/>
      <c r="CH363" s="430"/>
      <c r="CI363" s="430"/>
      <c r="CJ363" s="430"/>
      <c r="CK363" s="430"/>
      <c r="CL363" s="430"/>
    </row>
    <row r="364" spans="63:90" ht="14.25" customHeight="1">
      <c r="BK364" s="430"/>
      <c r="BL364" s="430"/>
      <c r="BM364" s="430"/>
      <c r="BN364" s="430"/>
      <c r="BO364" s="430"/>
      <c r="BP364" s="430"/>
      <c r="BQ364" s="430"/>
      <c r="BR364" s="430"/>
      <c r="BS364" s="430"/>
      <c r="BT364" s="430"/>
      <c r="BU364" s="430"/>
      <c r="BV364" s="430"/>
      <c r="BW364" s="430"/>
      <c r="BX364" s="430"/>
      <c r="BY364" s="430"/>
      <c r="BZ364" s="430"/>
      <c r="CA364" s="430"/>
      <c r="CB364" s="430"/>
      <c r="CC364" s="430"/>
      <c r="CD364" s="430"/>
      <c r="CE364" s="430"/>
      <c r="CF364" s="430"/>
      <c r="CG364" s="430"/>
      <c r="CH364" s="430"/>
      <c r="CI364" s="430"/>
      <c r="CJ364" s="430"/>
      <c r="CK364" s="430"/>
      <c r="CL364" s="430"/>
    </row>
    <row r="365" spans="63:90" ht="14.25" customHeight="1">
      <c r="BK365" s="430"/>
      <c r="BL365" s="430"/>
      <c r="BM365" s="430"/>
      <c r="BN365" s="430"/>
      <c r="BO365" s="430"/>
      <c r="BP365" s="430"/>
      <c r="BQ365" s="430"/>
      <c r="BR365" s="430"/>
      <c r="BS365" s="430"/>
      <c r="BT365" s="430"/>
      <c r="BU365" s="430"/>
      <c r="BV365" s="430"/>
      <c r="BW365" s="430"/>
      <c r="BX365" s="430"/>
      <c r="BY365" s="430"/>
      <c r="BZ365" s="430"/>
      <c r="CA365" s="430"/>
      <c r="CB365" s="430"/>
      <c r="CC365" s="430"/>
      <c r="CD365" s="430"/>
      <c r="CE365" s="430"/>
      <c r="CF365" s="430"/>
      <c r="CG365" s="430"/>
      <c r="CH365" s="430"/>
      <c r="CI365" s="430"/>
      <c r="CJ365" s="430"/>
      <c r="CK365" s="430"/>
      <c r="CL365" s="430"/>
    </row>
    <row r="366" spans="63:90" ht="14.25" customHeight="1">
      <c r="BK366" s="430"/>
      <c r="BL366" s="430"/>
      <c r="BM366" s="430"/>
      <c r="BN366" s="430"/>
      <c r="BO366" s="430"/>
      <c r="BP366" s="430"/>
      <c r="BQ366" s="430"/>
      <c r="BR366" s="430"/>
      <c r="BS366" s="430"/>
      <c r="BT366" s="430"/>
      <c r="BU366" s="430"/>
      <c r="BV366" s="430"/>
      <c r="BW366" s="430"/>
      <c r="BX366" s="430"/>
      <c r="BY366" s="430"/>
      <c r="BZ366" s="430"/>
      <c r="CA366" s="430"/>
      <c r="CB366" s="430"/>
      <c r="CC366" s="430"/>
      <c r="CD366" s="430"/>
      <c r="CE366" s="430"/>
      <c r="CF366" s="430"/>
      <c r="CG366" s="430"/>
      <c r="CH366" s="430"/>
      <c r="CI366" s="430"/>
      <c r="CJ366" s="430"/>
      <c r="CK366" s="430"/>
      <c r="CL366" s="430"/>
    </row>
    <row r="367" spans="63:90" ht="14.25" customHeight="1">
      <c r="BK367" s="430"/>
      <c r="BL367" s="430"/>
      <c r="BM367" s="430"/>
      <c r="BN367" s="430"/>
      <c r="BO367" s="430"/>
      <c r="BP367" s="430"/>
      <c r="BQ367" s="430"/>
      <c r="BR367" s="430"/>
      <c r="BS367" s="430"/>
      <c r="BT367" s="430"/>
      <c r="BU367" s="430"/>
      <c r="BV367" s="430"/>
      <c r="BW367" s="430"/>
      <c r="BX367" s="430"/>
      <c r="BY367" s="430"/>
      <c r="BZ367" s="430"/>
      <c r="CA367" s="430"/>
      <c r="CB367" s="430"/>
      <c r="CC367" s="430"/>
      <c r="CD367" s="430"/>
      <c r="CE367" s="430"/>
      <c r="CF367" s="430"/>
      <c r="CG367" s="430"/>
      <c r="CH367" s="430"/>
      <c r="CI367" s="430"/>
      <c r="CJ367" s="430"/>
      <c r="CK367" s="430"/>
      <c r="CL367" s="430"/>
    </row>
    <row r="368" spans="63:90" ht="14.25" customHeight="1">
      <c r="BK368" s="430"/>
      <c r="BL368" s="430"/>
      <c r="BM368" s="430"/>
      <c r="BN368" s="430"/>
      <c r="BO368" s="430"/>
      <c r="BP368" s="430"/>
      <c r="BQ368" s="430"/>
      <c r="BR368" s="430"/>
      <c r="BS368" s="430"/>
      <c r="BT368" s="430"/>
      <c r="BU368" s="430"/>
      <c r="BV368" s="430"/>
      <c r="BW368" s="430"/>
      <c r="BX368" s="430"/>
      <c r="BY368" s="430"/>
      <c r="BZ368" s="430"/>
      <c r="CA368" s="430"/>
      <c r="CB368" s="430"/>
      <c r="CC368" s="430"/>
      <c r="CD368" s="430"/>
      <c r="CE368" s="430"/>
      <c r="CF368" s="430"/>
      <c r="CG368" s="430"/>
      <c r="CH368" s="430"/>
      <c r="CI368" s="430"/>
      <c r="CJ368" s="430"/>
      <c r="CK368" s="430"/>
      <c r="CL368" s="430"/>
    </row>
    <row r="369" spans="63:90" ht="14.25" customHeight="1">
      <c r="BK369" s="430"/>
      <c r="BL369" s="430"/>
      <c r="BM369" s="430"/>
      <c r="BN369" s="430"/>
      <c r="BO369" s="430"/>
      <c r="BP369" s="430"/>
      <c r="BQ369" s="430"/>
      <c r="BR369" s="430"/>
      <c r="BS369" s="430"/>
      <c r="BT369" s="430"/>
      <c r="BU369" s="430"/>
      <c r="BV369" s="430"/>
      <c r="BW369" s="430"/>
      <c r="BX369" s="430"/>
      <c r="BY369" s="430"/>
      <c r="BZ369" s="430"/>
      <c r="CA369" s="430"/>
      <c r="CB369" s="430"/>
      <c r="CC369" s="430"/>
      <c r="CD369" s="430"/>
      <c r="CE369" s="430"/>
      <c r="CF369" s="430"/>
      <c r="CG369" s="430"/>
      <c r="CH369" s="430"/>
      <c r="CI369" s="430"/>
      <c r="CJ369" s="430"/>
      <c r="CK369" s="430"/>
      <c r="CL369" s="430"/>
    </row>
    <row r="370" spans="63:90" ht="14.25" customHeight="1">
      <c r="BK370" s="430"/>
      <c r="BL370" s="430"/>
      <c r="BM370" s="430"/>
      <c r="BN370" s="430"/>
      <c r="BO370" s="430"/>
      <c r="BP370" s="430"/>
      <c r="BQ370" s="430"/>
      <c r="BR370" s="430"/>
      <c r="BS370" s="430"/>
      <c r="BT370" s="430"/>
      <c r="BU370" s="430"/>
      <c r="BV370" s="430"/>
      <c r="BW370" s="430"/>
      <c r="BX370" s="430"/>
      <c r="BY370" s="430"/>
      <c r="BZ370" s="430"/>
      <c r="CA370" s="430"/>
      <c r="CB370" s="430"/>
      <c r="CC370" s="430"/>
      <c r="CD370" s="430"/>
      <c r="CE370" s="430"/>
      <c r="CF370" s="430"/>
      <c r="CG370" s="430"/>
      <c r="CH370" s="430"/>
      <c r="CI370" s="430"/>
      <c r="CJ370" s="430"/>
      <c r="CK370" s="430"/>
      <c r="CL370" s="430"/>
    </row>
    <row r="371" spans="63:90" ht="14.25" customHeight="1">
      <c r="BK371" s="430"/>
      <c r="BL371" s="430"/>
      <c r="BM371" s="430"/>
      <c r="BN371" s="430"/>
      <c r="BO371" s="430"/>
      <c r="BP371" s="430"/>
      <c r="BQ371" s="430"/>
      <c r="BR371" s="430"/>
      <c r="BS371" s="430"/>
      <c r="BT371" s="430"/>
      <c r="BU371" s="430"/>
      <c r="BV371" s="430"/>
      <c r="BW371" s="430"/>
      <c r="BX371" s="430"/>
      <c r="BY371" s="430"/>
      <c r="BZ371" s="430"/>
      <c r="CA371" s="430"/>
      <c r="CB371" s="430"/>
      <c r="CC371" s="430"/>
      <c r="CD371" s="430"/>
      <c r="CE371" s="430"/>
      <c r="CF371" s="430"/>
      <c r="CG371" s="430"/>
      <c r="CH371" s="430"/>
      <c r="CI371" s="430"/>
      <c r="CJ371" s="430"/>
      <c r="CK371" s="430"/>
      <c r="CL371" s="430"/>
    </row>
    <row r="372" spans="63:90" ht="14.25" customHeight="1">
      <c r="BK372" s="430"/>
      <c r="BL372" s="430"/>
      <c r="BM372" s="430"/>
      <c r="BN372" s="430"/>
      <c r="BO372" s="430"/>
      <c r="BP372" s="430"/>
      <c r="BQ372" s="430"/>
      <c r="BR372" s="430"/>
      <c r="BS372" s="430"/>
      <c r="BT372" s="430"/>
      <c r="BU372" s="430"/>
      <c r="BV372" s="430"/>
      <c r="BW372" s="430"/>
      <c r="BX372" s="430"/>
      <c r="BY372" s="430"/>
      <c r="BZ372" s="430"/>
      <c r="CA372" s="430"/>
      <c r="CB372" s="430"/>
      <c r="CC372" s="430"/>
      <c r="CD372" s="430"/>
      <c r="CE372" s="430"/>
      <c r="CF372" s="430"/>
      <c r="CG372" s="430"/>
      <c r="CH372" s="430"/>
      <c r="CI372" s="430"/>
      <c r="CJ372" s="430"/>
      <c r="CK372" s="430"/>
      <c r="CL372" s="430"/>
    </row>
    <row r="373" spans="63:90" ht="14.25" customHeight="1">
      <c r="BK373" s="430"/>
      <c r="BL373" s="430"/>
      <c r="BM373" s="430"/>
      <c r="BN373" s="430"/>
      <c r="BO373" s="430"/>
      <c r="BP373" s="430"/>
      <c r="BQ373" s="430"/>
      <c r="BR373" s="430"/>
      <c r="BS373" s="430"/>
      <c r="BT373" s="430"/>
      <c r="BU373" s="430"/>
      <c r="BV373" s="430"/>
      <c r="BW373" s="430"/>
      <c r="BX373" s="430"/>
      <c r="BY373" s="430"/>
      <c r="BZ373" s="430"/>
      <c r="CA373" s="430"/>
      <c r="CB373" s="430"/>
      <c r="CC373" s="430"/>
      <c r="CD373" s="430"/>
      <c r="CE373" s="430"/>
      <c r="CF373" s="430"/>
      <c r="CG373" s="430"/>
      <c r="CH373" s="430"/>
      <c r="CI373" s="430"/>
      <c r="CJ373" s="430"/>
      <c r="CK373" s="430"/>
      <c r="CL373" s="430"/>
    </row>
    <row r="374" spans="63:90" ht="14.25" customHeight="1">
      <c r="BK374" s="430"/>
      <c r="BL374" s="430"/>
      <c r="BM374" s="430"/>
      <c r="BN374" s="430"/>
      <c r="BO374" s="430"/>
      <c r="BP374" s="430"/>
      <c r="BQ374" s="430"/>
      <c r="BR374" s="430"/>
      <c r="BS374" s="430"/>
      <c r="BT374" s="430"/>
      <c r="BU374" s="430"/>
      <c r="BV374" s="430"/>
      <c r="BW374" s="430"/>
      <c r="BX374" s="430"/>
      <c r="BY374" s="430"/>
      <c r="BZ374" s="430"/>
      <c r="CA374" s="430"/>
      <c r="CB374" s="430"/>
      <c r="CC374" s="430"/>
      <c r="CD374" s="430"/>
      <c r="CE374" s="430"/>
      <c r="CF374" s="430"/>
      <c r="CG374" s="430"/>
      <c r="CH374" s="430"/>
      <c r="CI374" s="430"/>
      <c r="CJ374" s="430"/>
      <c r="CK374" s="430"/>
      <c r="CL374" s="430"/>
    </row>
    <row r="375" spans="63:90" ht="14.25" customHeight="1">
      <c r="BK375" s="430"/>
      <c r="BL375" s="430"/>
      <c r="BM375" s="430"/>
      <c r="BN375" s="430"/>
      <c r="BO375" s="430"/>
      <c r="BP375" s="430"/>
      <c r="BQ375" s="430"/>
      <c r="BR375" s="430"/>
      <c r="BS375" s="430"/>
      <c r="BT375" s="430"/>
      <c r="BU375" s="430"/>
      <c r="BV375" s="430"/>
      <c r="BW375" s="430"/>
      <c r="BX375" s="430"/>
      <c r="BY375" s="430"/>
      <c r="BZ375" s="430"/>
      <c r="CA375" s="430"/>
      <c r="CB375" s="430"/>
      <c r="CC375" s="430"/>
      <c r="CD375" s="430"/>
      <c r="CE375" s="430"/>
      <c r="CF375" s="430"/>
      <c r="CG375" s="430"/>
      <c r="CH375" s="430"/>
      <c r="CI375" s="430"/>
      <c r="CJ375" s="430"/>
      <c r="CK375" s="430"/>
      <c r="CL375" s="430"/>
    </row>
    <row r="376" spans="63:90" ht="14.25" customHeight="1">
      <c r="BK376" s="430"/>
      <c r="BL376" s="430"/>
      <c r="BM376" s="430"/>
      <c r="BN376" s="430"/>
      <c r="BO376" s="430"/>
      <c r="BP376" s="430"/>
      <c r="BQ376" s="430"/>
      <c r="BR376" s="430"/>
      <c r="BS376" s="430"/>
      <c r="BT376" s="430"/>
      <c r="BU376" s="430"/>
      <c r="BV376" s="430"/>
      <c r="BW376" s="430"/>
      <c r="BX376" s="430"/>
      <c r="BY376" s="430"/>
      <c r="BZ376" s="430"/>
      <c r="CA376" s="430"/>
      <c r="CB376" s="430"/>
      <c r="CC376" s="430"/>
      <c r="CD376" s="430"/>
      <c r="CE376" s="430"/>
      <c r="CF376" s="430"/>
      <c r="CG376" s="430"/>
      <c r="CH376" s="430"/>
      <c r="CI376" s="430"/>
      <c r="CJ376" s="430"/>
      <c r="CK376" s="430"/>
      <c r="CL376" s="430"/>
    </row>
    <row r="377" spans="63:90" ht="14.25" customHeight="1">
      <c r="BK377" s="430"/>
      <c r="BL377" s="430"/>
      <c r="BM377" s="430"/>
      <c r="BN377" s="430"/>
      <c r="BO377" s="430"/>
      <c r="BP377" s="430"/>
      <c r="BQ377" s="430"/>
      <c r="BR377" s="430"/>
      <c r="BS377" s="430"/>
      <c r="BT377" s="430"/>
      <c r="BU377" s="430"/>
      <c r="BV377" s="430"/>
      <c r="BW377" s="430"/>
      <c r="BX377" s="430"/>
      <c r="BY377" s="430"/>
      <c r="BZ377" s="430"/>
      <c r="CA377" s="430"/>
      <c r="CB377" s="430"/>
      <c r="CC377" s="430"/>
      <c r="CD377" s="430"/>
      <c r="CE377" s="430"/>
      <c r="CF377" s="430"/>
      <c r="CG377" s="430"/>
      <c r="CH377" s="430"/>
      <c r="CI377" s="430"/>
      <c r="CJ377" s="430"/>
      <c r="CK377" s="430"/>
      <c r="CL377" s="430"/>
    </row>
    <row r="378" spans="63:90" ht="14.25" customHeight="1">
      <c r="BK378" s="430"/>
      <c r="BL378" s="430"/>
      <c r="BM378" s="430"/>
      <c r="BN378" s="430"/>
      <c r="BO378" s="430"/>
      <c r="BP378" s="430"/>
      <c r="BQ378" s="430"/>
      <c r="BR378" s="430"/>
      <c r="BS378" s="430"/>
      <c r="BT378" s="430"/>
      <c r="BU378" s="430"/>
      <c r="BV378" s="430"/>
      <c r="BW378" s="430"/>
      <c r="BX378" s="430"/>
      <c r="BY378" s="430"/>
      <c r="BZ378" s="430"/>
      <c r="CA378" s="430"/>
      <c r="CB378" s="430"/>
      <c r="CC378" s="430"/>
      <c r="CD378" s="430"/>
      <c r="CE378" s="430"/>
      <c r="CF378" s="430"/>
      <c r="CG378" s="430"/>
      <c r="CH378" s="430"/>
      <c r="CI378" s="430"/>
      <c r="CJ378" s="430"/>
      <c r="CK378" s="430"/>
      <c r="CL378" s="430"/>
    </row>
    <row r="379" spans="63:90" ht="14.25" customHeight="1">
      <c r="BK379" s="430"/>
      <c r="BL379" s="430"/>
      <c r="BM379" s="430"/>
      <c r="BN379" s="430"/>
      <c r="BO379" s="430"/>
      <c r="BP379" s="430"/>
      <c r="BQ379" s="430"/>
      <c r="BR379" s="430"/>
      <c r="BS379" s="430"/>
      <c r="BT379" s="430"/>
      <c r="BU379" s="430"/>
      <c r="BV379" s="430"/>
      <c r="BW379" s="430"/>
      <c r="BX379" s="430"/>
      <c r="BY379" s="430"/>
      <c r="BZ379" s="430"/>
      <c r="CA379" s="430"/>
      <c r="CB379" s="430"/>
      <c r="CC379" s="430"/>
      <c r="CD379" s="430"/>
      <c r="CE379" s="430"/>
      <c r="CF379" s="430"/>
      <c r="CG379" s="430"/>
      <c r="CH379" s="430"/>
      <c r="CI379" s="430"/>
      <c r="CJ379" s="430"/>
      <c r="CK379" s="430"/>
      <c r="CL379" s="430"/>
    </row>
    <row r="380" spans="63:90" ht="14.25" customHeight="1">
      <c r="BK380" s="430"/>
      <c r="BL380" s="430"/>
      <c r="BM380" s="430"/>
      <c r="BN380" s="430"/>
      <c r="BO380" s="430"/>
      <c r="BP380" s="430"/>
      <c r="BQ380" s="430"/>
      <c r="BR380" s="430"/>
      <c r="BS380" s="430"/>
      <c r="BT380" s="430"/>
      <c r="BU380" s="430"/>
      <c r="BV380" s="430"/>
      <c r="BW380" s="430"/>
      <c r="BX380" s="430"/>
      <c r="BY380" s="430"/>
      <c r="BZ380" s="430"/>
      <c r="CA380" s="430"/>
      <c r="CB380" s="430"/>
      <c r="CC380" s="430"/>
      <c r="CD380" s="430"/>
      <c r="CE380" s="430"/>
      <c r="CF380" s="430"/>
      <c r="CG380" s="430"/>
      <c r="CH380" s="430"/>
      <c r="CI380" s="430"/>
      <c r="CJ380" s="430"/>
      <c r="CK380" s="430"/>
      <c r="CL380" s="430"/>
    </row>
    <row r="381" spans="63:90" ht="14.25" customHeight="1">
      <c r="BK381" s="430"/>
      <c r="BL381" s="430"/>
      <c r="BM381" s="430"/>
      <c r="BN381" s="430"/>
      <c r="BO381" s="430"/>
      <c r="BP381" s="430"/>
      <c r="BQ381" s="430"/>
      <c r="BR381" s="430"/>
      <c r="BS381" s="430"/>
      <c r="BT381" s="430"/>
      <c r="BU381" s="430"/>
      <c r="BV381" s="430"/>
      <c r="BW381" s="430"/>
      <c r="BX381" s="430"/>
      <c r="BY381" s="430"/>
      <c r="BZ381" s="430"/>
      <c r="CA381" s="430"/>
      <c r="CB381" s="430"/>
      <c r="CC381" s="430"/>
      <c r="CD381" s="430"/>
      <c r="CE381" s="430"/>
      <c r="CF381" s="430"/>
      <c r="CG381" s="430"/>
      <c r="CH381" s="430"/>
      <c r="CI381" s="430"/>
      <c r="CJ381" s="430"/>
      <c r="CK381" s="430"/>
      <c r="CL381" s="430"/>
    </row>
    <row r="382" spans="63:90" ht="14.25" customHeight="1">
      <c r="BK382" s="430"/>
      <c r="BL382" s="430"/>
      <c r="BM382" s="430"/>
      <c r="BN382" s="430"/>
      <c r="BO382" s="430"/>
      <c r="BP382" s="430"/>
      <c r="BQ382" s="430"/>
      <c r="BR382" s="430"/>
      <c r="BS382" s="430"/>
      <c r="BT382" s="430"/>
      <c r="BU382" s="430"/>
      <c r="BV382" s="430"/>
      <c r="BW382" s="430"/>
      <c r="BX382" s="430"/>
      <c r="BY382" s="430"/>
      <c r="BZ382" s="430"/>
      <c r="CA382" s="430"/>
      <c r="CB382" s="430"/>
      <c r="CC382" s="430"/>
      <c r="CD382" s="430"/>
      <c r="CE382" s="430"/>
      <c r="CF382" s="430"/>
      <c r="CG382" s="430"/>
      <c r="CH382" s="430"/>
      <c r="CI382" s="430"/>
      <c r="CJ382" s="430"/>
      <c r="CK382" s="430"/>
      <c r="CL382" s="430"/>
    </row>
    <row r="383" spans="63:90" ht="14.25" customHeight="1">
      <c r="BK383" s="430"/>
      <c r="BL383" s="430"/>
      <c r="BM383" s="430"/>
      <c r="BN383" s="430"/>
      <c r="BO383" s="430"/>
      <c r="BP383" s="430"/>
      <c r="BQ383" s="430"/>
      <c r="BR383" s="430"/>
      <c r="BS383" s="430"/>
      <c r="BT383" s="430"/>
      <c r="BU383" s="430"/>
      <c r="BV383" s="430"/>
      <c r="BW383" s="430"/>
      <c r="BX383" s="430"/>
      <c r="BY383" s="430"/>
      <c r="BZ383" s="430"/>
      <c r="CA383" s="430"/>
      <c r="CB383" s="430"/>
      <c r="CC383" s="430"/>
      <c r="CD383" s="430"/>
      <c r="CE383" s="430"/>
      <c r="CF383" s="430"/>
      <c r="CG383" s="430"/>
      <c r="CH383" s="430"/>
      <c r="CI383" s="430"/>
      <c r="CJ383" s="430"/>
      <c r="CK383" s="430"/>
      <c r="CL383" s="430"/>
    </row>
    <row r="384" spans="63:90" ht="14.25" customHeight="1">
      <c r="BK384" s="430"/>
      <c r="BL384" s="430"/>
      <c r="BM384" s="430"/>
      <c r="BN384" s="430"/>
      <c r="BO384" s="430"/>
      <c r="BP384" s="430"/>
      <c r="BQ384" s="430"/>
      <c r="BR384" s="430"/>
      <c r="BS384" s="430"/>
      <c r="BT384" s="430"/>
      <c r="BU384" s="430"/>
      <c r="BV384" s="430"/>
      <c r="BW384" s="430"/>
      <c r="BX384" s="430"/>
      <c r="BY384" s="430"/>
      <c r="BZ384" s="430"/>
      <c r="CA384" s="430"/>
      <c r="CB384" s="430"/>
      <c r="CC384" s="430"/>
      <c r="CD384" s="430"/>
      <c r="CE384" s="430"/>
      <c r="CF384" s="430"/>
      <c r="CG384" s="430"/>
      <c r="CH384" s="430"/>
      <c r="CI384" s="430"/>
      <c r="CJ384" s="430"/>
      <c r="CK384" s="430"/>
      <c r="CL384" s="430"/>
    </row>
    <row r="385" spans="63:90" ht="14.25" customHeight="1">
      <c r="BK385" s="430"/>
      <c r="BL385" s="430"/>
      <c r="BM385" s="430"/>
      <c r="BN385" s="430"/>
      <c r="BO385" s="430"/>
      <c r="BP385" s="430"/>
      <c r="BQ385" s="430"/>
      <c r="BR385" s="430"/>
      <c r="BS385" s="430"/>
      <c r="BT385" s="430"/>
      <c r="BU385" s="430"/>
      <c r="BV385" s="430"/>
      <c r="BW385" s="430"/>
      <c r="BX385" s="430"/>
      <c r="BY385" s="430"/>
      <c r="BZ385" s="430"/>
      <c r="CA385" s="430"/>
      <c r="CB385" s="430"/>
      <c r="CC385" s="430"/>
      <c r="CD385" s="430"/>
      <c r="CE385" s="430"/>
      <c r="CF385" s="430"/>
      <c r="CG385" s="430"/>
      <c r="CH385" s="430"/>
      <c r="CI385" s="430"/>
      <c r="CJ385" s="430"/>
      <c r="CK385" s="430"/>
      <c r="CL385" s="430"/>
    </row>
    <row r="386" spans="63:90" ht="14.25" customHeight="1">
      <c r="BK386" s="430"/>
      <c r="BL386" s="430"/>
      <c r="BM386" s="430"/>
      <c r="BN386" s="430"/>
      <c r="BO386" s="430"/>
      <c r="BP386" s="430"/>
      <c r="BQ386" s="430"/>
      <c r="BR386" s="430"/>
      <c r="BS386" s="430"/>
      <c r="BT386" s="430"/>
      <c r="BU386" s="430"/>
      <c r="BV386" s="430"/>
      <c r="BW386" s="430"/>
      <c r="BX386" s="430"/>
      <c r="BY386" s="430"/>
      <c r="BZ386" s="430"/>
      <c r="CA386" s="430"/>
      <c r="CB386" s="430"/>
      <c r="CC386" s="430"/>
      <c r="CD386" s="430"/>
      <c r="CE386" s="430"/>
      <c r="CF386" s="430"/>
      <c r="CG386" s="430"/>
      <c r="CH386" s="430"/>
      <c r="CI386" s="430"/>
      <c r="CJ386" s="430"/>
      <c r="CK386" s="430"/>
      <c r="CL386" s="430"/>
    </row>
    <row r="387" spans="63:90" ht="14.25" customHeight="1">
      <c r="BK387" s="430"/>
      <c r="BL387" s="430"/>
      <c r="BM387" s="430"/>
      <c r="BN387" s="430"/>
      <c r="BO387" s="430"/>
      <c r="BP387" s="430"/>
      <c r="BQ387" s="430"/>
      <c r="BR387" s="430"/>
      <c r="BS387" s="430"/>
      <c r="BT387" s="430"/>
      <c r="BU387" s="430"/>
      <c r="BV387" s="430"/>
      <c r="BW387" s="430"/>
      <c r="BX387" s="430"/>
      <c r="BY387" s="430"/>
      <c r="BZ387" s="430"/>
      <c r="CA387" s="430"/>
      <c r="CB387" s="430"/>
      <c r="CC387" s="430"/>
      <c r="CD387" s="430"/>
      <c r="CE387" s="430"/>
      <c r="CF387" s="430"/>
      <c r="CG387" s="430"/>
      <c r="CH387" s="430"/>
      <c r="CI387" s="430"/>
      <c r="CJ387" s="430"/>
      <c r="CK387" s="430"/>
      <c r="CL387" s="430"/>
    </row>
    <row r="388" spans="63:90" ht="14.25" customHeight="1">
      <c r="BK388" s="430"/>
      <c r="BL388" s="430"/>
      <c r="BM388" s="430"/>
      <c r="BN388" s="430"/>
      <c r="BO388" s="430"/>
      <c r="BP388" s="430"/>
      <c r="BQ388" s="430"/>
      <c r="BR388" s="430"/>
      <c r="BS388" s="430"/>
      <c r="BT388" s="430"/>
      <c r="BU388" s="430"/>
      <c r="BV388" s="430"/>
      <c r="BW388" s="430"/>
      <c r="BX388" s="430"/>
      <c r="BY388" s="430"/>
      <c r="BZ388" s="430"/>
      <c r="CA388" s="430"/>
      <c r="CB388" s="430"/>
      <c r="CC388" s="430"/>
      <c r="CD388" s="430"/>
      <c r="CE388" s="430"/>
      <c r="CF388" s="430"/>
      <c r="CG388" s="430"/>
      <c r="CH388" s="430"/>
      <c r="CI388" s="430"/>
      <c r="CJ388" s="430"/>
      <c r="CK388" s="430"/>
      <c r="CL388" s="430"/>
    </row>
    <row r="389" spans="63:90" ht="14.25" customHeight="1">
      <c r="BK389" s="430"/>
      <c r="BL389" s="430"/>
      <c r="BM389" s="430"/>
      <c r="BN389" s="430"/>
      <c r="BO389" s="430"/>
      <c r="BP389" s="430"/>
      <c r="BQ389" s="430"/>
      <c r="BR389" s="430"/>
      <c r="BS389" s="430"/>
      <c r="BT389" s="430"/>
      <c r="BU389" s="430"/>
      <c r="BV389" s="430"/>
      <c r="BW389" s="430"/>
      <c r="BX389" s="430"/>
      <c r="BY389" s="430"/>
      <c r="BZ389" s="430"/>
      <c r="CA389" s="430"/>
      <c r="CB389" s="430"/>
      <c r="CC389" s="430"/>
      <c r="CD389" s="430"/>
      <c r="CE389" s="430"/>
      <c r="CF389" s="430"/>
      <c r="CG389" s="430"/>
      <c r="CH389" s="430"/>
      <c r="CI389" s="430"/>
      <c r="CJ389" s="430"/>
      <c r="CK389" s="430"/>
      <c r="CL389" s="430"/>
    </row>
    <row r="390" spans="63:90" ht="14.25" customHeight="1">
      <c r="BK390" s="430"/>
      <c r="BL390" s="430"/>
      <c r="BM390" s="430"/>
      <c r="BN390" s="430"/>
      <c r="BO390" s="430"/>
      <c r="BP390" s="430"/>
      <c r="BQ390" s="430"/>
      <c r="BR390" s="430"/>
      <c r="BS390" s="430"/>
      <c r="BT390" s="430"/>
      <c r="BU390" s="430"/>
      <c r="BV390" s="430"/>
      <c r="BW390" s="430"/>
      <c r="BX390" s="430"/>
      <c r="BY390" s="430"/>
      <c r="BZ390" s="430"/>
      <c r="CA390" s="430"/>
      <c r="CB390" s="430"/>
      <c r="CC390" s="430"/>
      <c r="CD390" s="430"/>
      <c r="CE390" s="430"/>
      <c r="CF390" s="430"/>
      <c r="CG390" s="430"/>
      <c r="CH390" s="430"/>
      <c r="CI390" s="430"/>
      <c r="CJ390" s="430"/>
      <c r="CK390" s="430"/>
      <c r="CL390" s="430"/>
    </row>
    <row r="391" spans="63:90" ht="14.25" customHeight="1">
      <c r="BK391" s="430"/>
      <c r="BL391" s="430"/>
      <c r="BM391" s="430"/>
      <c r="BN391" s="430"/>
      <c r="BO391" s="430"/>
      <c r="BP391" s="430"/>
      <c r="BQ391" s="430"/>
      <c r="BR391" s="430"/>
      <c r="BS391" s="430"/>
      <c r="BT391" s="430"/>
      <c r="BU391" s="430"/>
      <c r="BV391" s="430"/>
      <c r="BW391" s="430"/>
      <c r="BX391" s="430"/>
      <c r="BY391" s="430"/>
      <c r="BZ391" s="430"/>
      <c r="CA391" s="430"/>
      <c r="CB391" s="430"/>
      <c r="CC391" s="430"/>
      <c r="CD391" s="430"/>
      <c r="CE391" s="430"/>
      <c r="CF391" s="430"/>
      <c r="CG391" s="430"/>
      <c r="CH391" s="430"/>
      <c r="CI391" s="430"/>
      <c r="CJ391" s="430"/>
      <c r="CK391" s="430"/>
      <c r="CL391" s="430"/>
    </row>
    <row r="392" spans="63:90" ht="14.25" customHeight="1">
      <c r="BK392" s="430"/>
      <c r="BL392" s="430"/>
      <c r="BM392" s="430"/>
      <c r="BN392" s="430"/>
      <c r="BO392" s="430"/>
      <c r="BP392" s="430"/>
      <c r="BQ392" s="430"/>
      <c r="BR392" s="430"/>
      <c r="BS392" s="430"/>
      <c r="BT392" s="430"/>
      <c r="BU392" s="430"/>
      <c r="BV392" s="430"/>
      <c r="BW392" s="430"/>
      <c r="BX392" s="430"/>
      <c r="BY392" s="430"/>
      <c r="BZ392" s="430"/>
      <c r="CA392" s="430"/>
      <c r="CB392" s="430"/>
      <c r="CC392" s="430"/>
      <c r="CD392" s="430"/>
      <c r="CE392" s="430"/>
      <c r="CF392" s="430"/>
      <c r="CG392" s="430"/>
      <c r="CH392" s="430"/>
      <c r="CI392" s="430"/>
      <c r="CJ392" s="430"/>
      <c r="CK392" s="430"/>
      <c r="CL392" s="430"/>
    </row>
    <row r="393" spans="63:90" ht="14.25" customHeight="1">
      <c r="BK393" s="430"/>
      <c r="BL393" s="430"/>
      <c r="BM393" s="430"/>
      <c r="BN393" s="430"/>
      <c r="BO393" s="430"/>
      <c r="BP393" s="430"/>
      <c r="BQ393" s="430"/>
      <c r="BR393" s="430"/>
      <c r="BS393" s="430"/>
      <c r="BT393" s="430"/>
      <c r="BU393" s="430"/>
      <c r="BV393" s="430"/>
      <c r="BW393" s="430"/>
      <c r="BX393" s="430"/>
      <c r="BY393" s="430"/>
      <c r="BZ393" s="430"/>
      <c r="CA393" s="430"/>
      <c r="CB393" s="430"/>
      <c r="CC393" s="430"/>
      <c r="CD393" s="430"/>
      <c r="CE393" s="430"/>
      <c r="CF393" s="430"/>
      <c r="CG393" s="430"/>
      <c r="CH393" s="430"/>
      <c r="CI393" s="430"/>
      <c r="CJ393" s="430"/>
      <c r="CK393" s="430"/>
      <c r="CL393" s="430"/>
    </row>
    <row r="394" spans="63:90" ht="14.25" customHeight="1">
      <c r="BK394" s="430"/>
      <c r="BL394" s="430"/>
      <c r="BM394" s="430"/>
      <c r="BN394" s="430"/>
      <c r="BO394" s="430"/>
      <c r="BP394" s="430"/>
      <c r="BQ394" s="430"/>
      <c r="BR394" s="430"/>
      <c r="BS394" s="430"/>
      <c r="BT394" s="430"/>
      <c r="BU394" s="430"/>
      <c r="BV394" s="430"/>
      <c r="BW394" s="430"/>
      <c r="BX394" s="430"/>
      <c r="BY394" s="430"/>
      <c r="BZ394" s="430"/>
      <c r="CA394" s="430"/>
      <c r="CB394" s="430"/>
      <c r="CC394" s="430"/>
      <c r="CD394" s="430"/>
      <c r="CE394" s="430"/>
      <c r="CF394" s="430"/>
      <c r="CG394" s="430"/>
      <c r="CH394" s="430"/>
      <c r="CI394" s="430"/>
      <c r="CJ394" s="430"/>
      <c r="CK394" s="430"/>
      <c r="CL394" s="430"/>
    </row>
    <row r="395" spans="63:90" ht="14.25" customHeight="1">
      <c r="BK395" s="430"/>
      <c r="BL395" s="430"/>
      <c r="BM395" s="430"/>
      <c r="BN395" s="430"/>
      <c r="BO395" s="430"/>
      <c r="BP395" s="430"/>
      <c r="BQ395" s="430"/>
      <c r="BR395" s="430"/>
      <c r="BS395" s="430"/>
      <c r="BT395" s="430"/>
      <c r="BU395" s="430"/>
      <c r="BV395" s="430"/>
      <c r="BW395" s="430"/>
      <c r="BX395" s="430"/>
      <c r="BY395" s="430"/>
      <c r="BZ395" s="430"/>
      <c r="CA395" s="430"/>
      <c r="CB395" s="430"/>
      <c r="CC395" s="430"/>
      <c r="CD395" s="430"/>
      <c r="CE395" s="430"/>
      <c r="CF395" s="430"/>
      <c r="CG395" s="430"/>
      <c r="CH395" s="430"/>
      <c r="CI395" s="430"/>
      <c r="CJ395" s="430"/>
      <c r="CK395" s="430"/>
      <c r="CL395" s="430"/>
    </row>
    <row r="396" spans="63:90" ht="14.25" customHeight="1">
      <c r="BK396" s="430"/>
      <c r="BL396" s="430"/>
      <c r="BM396" s="430"/>
      <c r="BN396" s="430"/>
      <c r="BO396" s="430"/>
      <c r="BP396" s="430"/>
      <c r="BQ396" s="430"/>
      <c r="BR396" s="430"/>
      <c r="BS396" s="430"/>
      <c r="BT396" s="430"/>
      <c r="BU396" s="430"/>
      <c r="BV396" s="430"/>
      <c r="BW396" s="430"/>
      <c r="BX396" s="430"/>
      <c r="BY396" s="430"/>
      <c r="BZ396" s="430"/>
      <c r="CA396" s="430"/>
      <c r="CB396" s="430"/>
      <c r="CC396" s="430"/>
      <c r="CD396" s="430"/>
      <c r="CE396" s="430"/>
      <c r="CF396" s="430"/>
      <c r="CG396" s="430"/>
      <c r="CH396" s="430"/>
      <c r="CI396" s="430"/>
      <c r="CJ396" s="430"/>
      <c r="CK396" s="430"/>
      <c r="CL396" s="430"/>
    </row>
    <row r="397" spans="63:90" ht="14.25" customHeight="1">
      <c r="BK397" s="430"/>
      <c r="BL397" s="430"/>
      <c r="BM397" s="430"/>
      <c r="BN397" s="430"/>
      <c r="BO397" s="430"/>
      <c r="BP397" s="430"/>
      <c r="BQ397" s="430"/>
      <c r="BR397" s="430"/>
      <c r="BS397" s="430"/>
      <c r="BT397" s="430"/>
      <c r="BU397" s="430"/>
      <c r="BV397" s="430"/>
      <c r="BW397" s="430"/>
      <c r="BX397" s="430"/>
      <c r="BY397" s="430"/>
      <c r="BZ397" s="430"/>
      <c r="CA397" s="430"/>
      <c r="CB397" s="430"/>
      <c r="CC397" s="430"/>
      <c r="CD397" s="430"/>
      <c r="CE397" s="430"/>
      <c r="CF397" s="430"/>
      <c r="CG397" s="430"/>
      <c r="CH397" s="430"/>
      <c r="CI397" s="430"/>
      <c r="CJ397" s="430"/>
      <c r="CK397" s="430"/>
      <c r="CL397" s="430"/>
    </row>
    <row r="398" spans="63:90" ht="14.25" customHeight="1">
      <c r="BK398" s="430"/>
      <c r="BL398" s="430"/>
      <c r="BM398" s="430"/>
      <c r="BN398" s="430"/>
      <c r="BO398" s="430"/>
      <c r="BP398" s="430"/>
      <c r="BQ398" s="430"/>
      <c r="BR398" s="430"/>
      <c r="BS398" s="430"/>
      <c r="BT398" s="430"/>
      <c r="BU398" s="430"/>
      <c r="BV398" s="430"/>
      <c r="BW398" s="430"/>
      <c r="BX398" s="430"/>
      <c r="BY398" s="430"/>
      <c r="BZ398" s="430"/>
      <c r="CA398" s="430"/>
      <c r="CB398" s="430"/>
      <c r="CC398" s="430"/>
      <c r="CD398" s="430"/>
      <c r="CE398" s="430"/>
      <c r="CF398" s="430"/>
      <c r="CG398" s="430"/>
      <c r="CH398" s="430"/>
      <c r="CI398" s="430"/>
      <c r="CJ398" s="430"/>
      <c r="CK398" s="430"/>
      <c r="CL398" s="430"/>
    </row>
    <row r="399" spans="63:90" ht="14.25" customHeight="1">
      <c r="BK399" s="430"/>
      <c r="BL399" s="430"/>
      <c r="BM399" s="430"/>
      <c r="BN399" s="430"/>
      <c r="BO399" s="430"/>
      <c r="BP399" s="430"/>
      <c r="BQ399" s="430"/>
      <c r="BR399" s="430"/>
      <c r="BS399" s="430"/>
      <c r="BT399" s="430"/>
      <c r="BU399" s="430"/>
      <c r="BV399" s="430"/>
      <c r="BW399" s="430"/>
      <c r="BX399" s="430"/>
      <c r="BY399" s="430"/>
      <c r="BZ399" s="430"/>
      <c r="CA399" s="430"/>
      <c r="CB399" s="430"/>
      <c r="CC399" s="430"/>
      <c r="CD399" s="430"/>
      <c r="CE399" s="430"/>
      <c r="CF399" s="430"/>
      <c r="CG399" s="430"/>
      <c r="CH399" s="430"/>
      <c r="CI399" s="430"/>
      <c r="CJ399" s="430"/>
      <c r="CK399" s="430"/>
      <c r="CL399" s="430"/>
    </row>
    <row r="400" spans="63:90" ht="14.25" customHeight="1">
      <c r="BK400" s="430"/>
      <c r="BL400" s="430"/>
      <c r="BM400" s="430"/>
      <c r="BN400" s="430"/>
      <c r="BO400" s="430"/>
      <c r="BP400" s="430"/>
      <c r="BQ400" s="430"/>
      <c r="BR400" s="430"/>
      <c r="BS400" s="430"/>
      <c r="BT400" s="430"/>
      <c r="BU400" s="430"/>
      <c r="BV400" s="430"/>
      <c r="BW400" s="430"/>
      <c r="BX400" s="430"/>
      <c r="BY400" s="430"/>
      <c r="BZ400" s="430"/>
      <c r="CA400" s="430"/>
      <c r="CB400" s="430"/>
      <c r="CC400" s="430"/>
      <c r="CD400" s="430"/>
      <c r="CE400" s="430"/>
      <c r="CF400" s="430"/>
      <c r="CG400" s="430"/>
      <c r="CH400" s="430"/>
      <c r="CI400" s="430"/>
      <c r="CJ400" s="430"/>
      <c r="CK400" s="430"/>
      <c r="CL400" s="430"/>
    </row>
    <row r="401" spans="63:90" ht="14.25" customHeight="1">
      <c r="BK401" s="430"/>
      <c r="BL401" s="430"/>
      <c r="BM401" s="430"/>
      <c r="BN401" s="430"/>
      <c r="BO401" s="430"/>
      <c r="BP401" s="430"/>
      <c r="BQ401" s="430"/>
      <c r="BR401" s="430"/>
      <c r="BS401" s="430"/>
      <c r="BT401" s="430"/>
      <c r="BU401" s="430"/>
      <c r="BV401" s="430"/>
      <c r="BW401" s="430"/>
      <c r="BX401" s="430"/>
      <c r="BY401" s="430"/>
      <c r="BZ401" s="430"/>
      <c r="CA401" s="430"/>
      <c r="CB401" s="430"/>
      <c r="CC401" s="430"/>
      <c r="CD401" s="430"/>
      <c r="CE401" s="430"/>
      <c r="CF401" s="430"/>
      <c r="CG401" s="430"/>
      <c r="CH401" s="430"/>
      <c r="CI401" s="430"/>
      <c r="CJ401" s="430"/>
      <c r="CK401" s="430"/>
      <c r="CL401" s="430"/>
    </row>
    <row r="402" spans="63:90" ht="14.25" customHeight="1">
      <c r="BK402" s="430"/>
      <c r="BL402" s="430"/>
      <c r="BM402" s="430"/>
      <c r="BN402" s="430"/>
      <c r="BO402" s="430"/>
      <c r="BP402" s="430"/>
      <c r="BQ402" s="430"/>
      <c r="BR402" s="430"/>
      <c r="BS402" s="430"/>
      <c r="BT402" s="430"/>
      <c r="BU402" s="430"/>
      <c r="BV402" s="430"/>
      <c r="BW402" s="430"/>
      <c r="BX402" s="430"/>
      <c r="BY402" s="430"/>
      <c r="BZ402" s="430"/>
      <c r="CA402" s="430"/>
      <c r="CB402" s="430"/>
      <c r="CC402" s="430"/>
      <c r="CD402" s="430"/>
      <c r="CE402" s="430"/>
      <c r="CF402" s="430"/>
      <c r="CG402" s="430"/>
      <c r="CH402" s="430"/>
      <c r="CI402" s="430"/>
      <c r="CJ402" s="430"/>
      <c r="CK402" s="430"/>
      <c r="CL402" s="430"/>
    </row>
    <row r="403" spans="63:90" ht="14.25" customHeight="1">
      <c r="BK403" s="430"/>
      <c r="BL403" s="430"/>
      <c r="BM403" s="430"/>
      <c r="BN403" s="430"/>
      <c r="BO403" s="430"/>
      <c r="BP403" s="430"/>
      <c r="BQ403" s="430"/>
      <c r="BR403" s="430"/>
      <c r="BS403" s="430"/>
      <c r="BT403" s="430"/>
      <c r="BU403" s="430"/>
      <c r="BV403" s="430"/>
      <c r="BW403" s="430"/>
      <c r="BX403" s="430"/>
      <c r="BY403" s="430"/>
      <c r="BZ403" s="430"/>
      <c r="CA403" s="430"/>
      <c r="CB403" s="430"/>
      <c r="CC403" s="430"/>
      <c r="CD403" s="430"/>
      <c r="CE403" s="430"/>
      <c r="CF403" s="430"/>
      <c r="CG403" s="430"/>
      <c r="CH403" s="430"/>
      <c r="CI403" s="430"/>
      <c r="CJ403" s="430"/>
      <c r="CK403" s="430"/>
      <c r="CL403" s="430"/>
    </row>
    <row r="404" spans="63:90" ht="14.25" customHeight="1">
      <c r="BK404" s="430"/>
      <c r="BL404" s="430"/>
      <c r="BM404" s="430"/>
      <c r="BN404" s="430"/>
      <c r="BO404" s="430"/>
      <c r="BP404" s="430"/>
      <c r="BQ404" s="430"/>
      <c r="BR404" s="430"/>
      <c r="BS404" s="430"/>
      <c r="BT404" s="430"/>
      <c r="BU404" s="430"/>
      <c r="BV404" s="430"/>
      <c r="BW404" s="430"/>
      <c r="BX404" s="430"/>
      <c r="BY404" s="430"/>
      <c r="BZ404" s="430"/>
      <c r="CA404" s="430"/>
      <c r="CB404" s="430"/>
      <c r="CC404" s="430"/>
      <c r="CD404" s="430"/>
      <c r="CE404" s="430"/>
      <c r="CF404" s="430"/>
      <c r="CG404" s="430"/>
      <c r="CH404" s="430"/>
      <c r="CI404" s="430"/>
      <c r="CJ404" s="430"/>
      <c r="CK404" s="430"/>
      <c r="CL404" s="430"/>
    </row>
    <row r="405" spans="63:90" ht="14.25" customHeight="1">
      <c r="BK405" s="430"/>
      <c r="BL405" s="430"/>
      <c r="BM405" s="430"/>
      <c r="BN405" s="430"/>
      <c r="BO405" s="430"/>
      <c r="BP405" s="430"/>
      <c r="BQ405" s="430"/>
      <c r="BR405" s="430"/>
      <c r="BS405" s="430"/>
      <c r="BT405" s="430"/>
      <c r="BU405" s="430"/>
      <c r="BV405" s="430"/>
      <c r="BW405" s="430"/>
      <c r="BX405" s="430"/>
      <c r="BY405" s="430"/>
      <c r="BZ405" s="430"/>
      <c r="CA405" s="430"/>
      <c r="CB405" s="430"/>
      <c r="CC405" s="430"/>
      <c r="CD405" s="430"/>
      <c r="CE405" s="430"/>
      <c r="CF405" s="430"/>
      <c r="CG405" s="430"/>
      <c r="CH405" s="430"/>
      <c r="CI405" s="430"/>
      <c r="CJ405" s="430"/>
      <c r="CK405" s="430"/>
      <c r="CL405" s="430"/>
    </row>
    <row r="406" spans="63:90" ht="14.25" customHeight="1">
      <c r="BK406" s="430"/>
      <c r="BL406" s="430"/>
      <c r="BM406" s="430"/>
      <c r="BN406" s="430"/>
      <c r="BO406" s="430"/>
      <c r="BP406" s="430"/>
      <c r="BQ406" s="430"/>
      <c r="BR406" s="430"/>
      <c r="BS406" s="430"/>
      <c r="BT406" s="430"/>
      <c r="BU406" s="430"/>
      <c r="BV406" s="430"/>
      <c r="BW406" s="430"/>
      <c r="BX406" s="430"/>
      <c r="BY406" s="430"/>
      <c r="BZ406" s="430"/>
      <c r="CA406" s="430"/>
      <c r="CB406" s="430"/>
      <c r="CC406" s="430"/>
      <c r="CD406" s="430"/>
      <c r="CE406" s="430"/>
      <c r="CF406" s="430"/>
      <c r="CG406" s="430"/>
      <c r="CH406" s="430"/>
      <c r="CI406" s="430"/>
      <c r="CJ406" s="430"/>
      <c r="CK406" s="430"/>
      <c r="CL406" s="430"/>
    </row>
    <row r="407" spans="63:90" ht="14.25" customHeight="1">
      <c r="BK407" s="430"/>
      <c r="BL407" s="430"/>
      <c r="BM407" s="430"/>
      <c r="BN407" s="430"/>
      <c r="BO407" s="430"/>
      <c r="BP407" s="430"/>
      <c r="BQ407" s="430"/>
      <c r="BR407" s="430"/>
      <c r="BS407" s="430"/>
      <c r="BT407" s="430"/>
      <c r="BU407" s="430"/>
      <c r="BV407" s="430"/>
      <c r="BW407" s="430"/>
      <c r="BX407" s="430"/>
      <c r="BY407" s="430"/>
      <c r="BZ407" s="430"/>
      <c r="CA407" s="430"/>
      <c r="CB407" s="430"/>
      <c r="CC407" s="430"/>
      <c r="CD407" s="430"/>
      <c r="CE407" s="430"/>
      <c r="CF407" s="430"/>
      <c r="CG407" s="430"/>
      <c r="CH407" s="430"/>
      <c r="CI407" s="430"/>
      <c r="CJ407" s="430"/>
      <c r="CK407" s="430"/>
      <c r="CL407" s="430"/>
    </row>
    <row r="408" spans="63:90" ht="14.25" customHeight="1">
      <c r="BK408" s="430"/>
      <c r="BL408" s="430"/>
      <c r="BM408" s="430"/>
      <c r="BN408" s="430"/>
      <c r="BO408" s="430"/>
      <c r="BP408" s="430"/>
      <c r="BQ408" s="430"/>
      <c r="BR408" s="430"/>
      <c r="BS408" s="430"/>
      <c r="BT408" s="430"/>
      <c r="BU408" s="430"/>
      <c r="BV408" s="430"/>
      <c r="BW408" s="430"/>
      <c r="BX408" s="430"/>
      <c r="BY408" s="430"/>
      <c r="BZ408" s="430"/>
      <c r="CA408" s="430"/>
      <c r="CB408" s="430"/>
      <c r="CC408" s="430"/>
      <c r="CD408" s="430"/>
      <c r="CE408" s="430"/>
      <c r="CF408" s="430"/>
      <c r="CG408" s="430"/>
      <c r="CH408" s="430"/>
      <c r="CI408" s="430"/>
      <c r="CJ408" s="430"/>
      <c r="CK408" s="430"/>
      <c r="CL408" s="430"/>
    </row>
    <row r="409" spans="63:90" ht="14.25" customHeight="1">
      <c r="BK409" s="430"/>
      <c r="BL409" s="430"/>
      <c r="BM409" s="430"/>
      <c r="BN409" s="430"/>
      <c r="BO409" s="430"/>
      <c r="BP409" s="430"/>
      <c r="BQ409" s="430"/>
      <c r="BR409" s="430"/>
      <c r="BS409" s="430"/>
      <c r="BT409" s="430"/>
      <c r="BU409" s="430"/>
      <c r="BV409" s="430"/>
      <c r="BW409" s="430"/>
      <c r="BX409" s="430"/>
      <c r="BY409" s="430"/>
      <c r="BZ409" s="430"/>
      <c r="CA409" s="430"/>
      <c r="CB409" s="430"/>
      <c r="CC409" s="430"/>
      <c r="CD409" s="430"/>
      <c r="CE409" s="430"/>
      <c r="CF409" s="430"/>
      <c r="CG409" s="430"/>
      <c r="CH409" s="430"/>
      <c r="CI409" s="430"/>
      <c r="CJ409" s="430"/>
      <c r="CK409" s="430"/>
      <c r="CL409" s="430"/>
    </row>
    <row r="410" spans="63:90" ht="14.25" customHeight="1">
      <c r="BK410" s="430"/>
      <c r="BL410" s="430"/>
      <c r="BM410" s="430"/>
      <c r="BN410" s="430"/>
      <c r="BO410" s="430"/>
      <c r="BP410" s="430"/>
      <c r="BQ410" s="430"/>
      <c r="BR410" s="430"/>
      <c r="BS410" s="430"/>
      <c r="BT410" s="430"/>
      <c r="BU410" s="430"/>
      <c r="BV410" s="430"/>
      <c r="BW410" s="430"/>
      <c r="BX410" s="430"/>
      <c r="BY410" s="430"/>
      <c r="BZ410" s="430"/>
      <c r="CA410" s="430"/>
      <c r="CB410" s="430"/>
      <c r="CC410" s="430"/>
      <c r="CD410" s="430"/>
      <c r="CE410" s="430"/>
      <c r="CF410" s="430"/>
      <c r="CG410" s="430"/>
      <c r="CH410" s="430"/>
      <c r="CI410" s="430"/>
      <c r="CJ410" s="430"/>
      <c r="CK410" s="430"/>
      <c r="CL410" s="430"/>
    </row>
    <row r="411" spans="63:90" ht="14.25" customHeight="1">
      <c r="BK411" s="430"/>
      <c r="BL411" s="430"/>
      <c r="BM411" s="430"/>
      <c r="BN411" s="430"/>
      <c r="BO411" s="430"/>
      <c r="BP411" s="430"/>
      <c r="BQ411" s="430"/>
      <c r="BR411" s="430"/>
      <c r="BS411" s="430"/>
      <c r="BT411" s="430"/>
      <c r="BU411" s="430"/>
      <c r="BV411" s="430"/>
      <c r="BW411" s="430"/>
      <c r="BX411" s="430"/>
      <c r="BY411" s="430"/>
      <c r="BZ411" s="430"/>
      <c r="CA411" s="430"/>
      <c r="CB411" s="430"/>
      <c r="CC411" s="430"/>
      <c r="CD411" s="430"/>
      <c r="CE411" s="430"/>
      <c r="CF411" s="430"/>
      <c r="CG411" s="430"/>
      <c r="CH411" s="430"/>
      <c r="CI411" s="430"/>
      <c r="CJ411" s="430"/>
      <c r="CK411" s="430"/>
      <c r="CL411" s="430"/>
    </row>
    <row r="412" spans="63:90" ht="14.25" customHeight="1">
      <c r="BK412" s="430"/>
      <c r="BL412" s="430"/>
      <c r="BM412" s="430"/>
      <c r="BN412" s="430"/>
      <c r="BO412" s="430"/>
      <c r="BP412" s="430"/>
      <c r="BQ412" s="430"/>
      <c r="BR412" s="430"/>
      <c r="BS412" s="430"/>
      <c r="BT412" s="430"/>
      <c r="BU412" s="430"/>
      <c r="BV412" s="430"/>
      <c r="BW412" s="430"/>
      <c r="BX412" s="430"/>
      <c r="BY412" s="430"/>
      <c r="BZ412" s="430"/>
      <c r="CA412" s="430"/>
      <c r="CB412" s="430"/>
      <c r="CC412" s="430"/>
      <c r="CD412" s="430"/>
      <c r="CE412" s="430"/>
      <c r="CF412" s="430"/>
      <c r="CG412" s="430"/>
      <c r="CH412" s="430"/>
      <c r="CI412" s="430"/>
      <c r="CJ412" s="430"/>
      <c r="CK412" s="430"/>
      <c r="CL412" s="430"/>
    </row>
    <row r="413" spans="63:90" ht="14.25" customHeight="1">
      <c r="BK413" s="430"/>
      <c r="BL413" s="430"/>
      <c r="BM413" s="430"/>
      <c r="BN413" s="430"/>
      <c r="BO413" s="430"/>
      <c r="BP413" s="430"/>
      <c r="BQ413" s="430"/>
      <c r="BR413" s="430"/>
      <c r="BS413" s="430"/>
      <c r="BT413" s="430"/>
      <c r="BU413" s="430"/>
      <c r="BV413" s="430"/>
      <c r="BW413" s="430"/>
      <c r="BX413" s="430"/>
      <c r="BY413" s="430"/>
      <c r="BZ413" s="430"/>
      <c r="CA413" s="430"/>
      <c r="CB413" s="430"/>
      <c r="CC413" s="430"/>
      <c r="CD413" s="430"/>
      <c r="CE413" s="430"/>
      <c r="CF413" s="430"/>
      <c r="CG413" s="430"/>
      <c r="CH413" s="430"/>
      <c r="CI413" s="430"/>
      <c r="CJ413" s="430"/>
      <c r="CK413" s="430"/>
      <c r="CL413" s="430"/>
    </row>
    <row r="414" spans="63:90" ht="14.25" customHeight="1">
      <c r="BK414" s="430"/>
      <c r="BL414" s="430"/>
      <c r="BM414" s="430"/>
      <c r="BN414" s="430"/>
      <c r="BO414" s="430"/>
      <c r="BP414" s="430"/>
      <c r="BQ414" s="430"/>
      <c r="BR414" s="430"/>
      <c r="BS414" s="430"/>
      <c r="BT414" s="430"/>
      <c r="BU414" s="430"/>
      <c r="BV414" s="430"/>
      <c r="BW414" s="430"/>
      <c r="BX414" s="430"/>
      <c r="BY414" s="430"/>
      <c r="BZ414" s="430"/>
      <c r="CA414" s="430"/>
      <c r="CB414" s="430"/>
      <c r="CC414" s="430"/>
      <c r="CD414" s="430"/>
      <c r="CE414" s="430"/>
      <c r="CF414" s="430"/>
      <c r="CG414" s="430"/>
      <c r="CH414" s="430"/>
      <c r="CI414" s="430"/>
      <c r="CJ414" s="430"/>
      <c r="CK414" s="430"/>
      <c r="CL414" s="430"/>
    </row>
    <row r="415" spans="63:90" ht="14.25" customHeight="1">
      <c r="BK415" s="430"/>
      <c r="BL415" s="430"/>
      <c r="BM415" s="430"/>
      <c r="BN415" s="430"/>
      <c r="BO415" s="430"/>
      <c r="BP415" s="430"/>
      <c r="BQ415" s="430"/>
      <c r="BR415" s="430"/>
      <c r="BS415" s="430"/>
      <c r="BT415" s="430"/>
      <c r="BU415" s="430"/>
      <c r="BV415" s="430"/>
      <c r="BW415" s="430"/>
      <c r="BX415" s="430"/>
      <c r="BY415" s="430"/>
      <c r="BZ415" s="430"/>
      <c r="CA415" s="430"/>
      <c r="CB415" s="430"/>
      <c r="CC415" s="430"/>
      <c r="CD415" s="430"/>
      <c r="CE415" s="430"/>
      <c r="CF415" s="430"/>
      <c r="CG415" s="430"/>
      <c r="CH415" s="430"/>
      <c r="CI415" s="430"/>
      <c r="CJ415" s="430"/>
      <c r="CK415" s="430"/>
      <c r="CL415" s="430"/>
    </row>
    <row r="416" spans="63:90" ht="14.25" customHeight="1">
      <c r="BK416" s="430"/>
      <c r="BL416" s="430"/>
      <c r="BM416" s="430"/>
      <c r="BN416" s="430"/>
      <c r="BO416" s="430"/>
      <c r="BP416" s="430"/>
      <c r="BQ416" s="430"/>
      <c r="BR416" s="430"/>
      <c r="BS416" s="430"/>
      <c r="BT416" s="430"/>
      <c r="BU416" s="430"/>
      <c r="BV416" s="430"/>
      <c r="BW416" s="430"/>
      <c r="BX416" s="430"/>
      <c r="BY416" s="430"/>
      <c r="BZ416" s="430"/>
      <c r="CA416" s="430"/>
      <c r="CB416" s="430"/>
      <c r="CC416" s="430"/>
      <c r="CD416" s="430"/>
      <c r="CE416" s="430"/>
      <c r="CF416" s="430"/>
      <c r="CG416" s="430"/>
      <c r="CH416" s="430"/>
      <c r="CI416" s="430"/>
      <c r="CJ416" s="430"/>
      <c r="CK416" s="430"/>
      <c r="CL416" s="430"/>
    </row>
    <row r="417" spans="63:90" ht="14.25" customHeight="1">
      <c r="BK417" s="430"/>
      <c r="BL417" s="430"/>
      <c r="BM417" s="430"/>
      <c r="BN417" s="430"/>
      <c r="BO417" s="430"/>
      <c r="BP417" s="430"/>
      <c r="BQ417" s="430"/>
      <c r="BR417" s="430"/>
      <c r="BS417" s="430"/>
      <c r="BT417" s="430"/>
      <c r="BU417" s="430"/>
      <c r="BV417" s="430"/>
      <c r="BW417" s="430"/>
      <c r="BX417" s="430"/>
      <c r="BY417" s="430"/>
      <c r="BZ417" s="430"/>
      <c r="CA417" s="430"/>
      <c r="CB417" s="430"/>
      <c r="CC417" s="430"/>
      <c r="CD417" s="430"/>
      <c r="CE417" s="430"/>
      <c r="CF417" s="430"/>
      <c r="CG417" s="430"/>
      <c r="CH417" s="430"/>
      <c r="CI417" s="430"/>
      <c r="CJ417" s="430"/>
      <c r="CK417" s="430"/>
      <c r="CL417" s="430"/>
    </row>
    <row r="418" spans="63:90" ht="14.25" customHeight="1">
      <c r="BK418" s="430"/>
      <c r="BL418" s="430"/>
      <c r="BM418" s="430"/>
      <c r="BN418" s="430"/>
      <c r="BO418" s="430"/>
      <c r="BP418" s="430"/>
      <c r="BQ418" s="430"/>
      <c r="BR418" s="430"/>
      <c r="BS418" s="430"/>
      <c r="BT418" s="430"/>
      <c r="BU418" s="430"/>
      <c r="BV418" s="430"/>
      <c r="BW418" s="430"/>
      <c r="BX418" s="430"/>
      <c r="BY418" s="430"/>
      <c r="BZ418" s="430"/>
      <c r="CA418" s="430"/>
      <c r="CB418" s="430"/>
      <c r="CC418" s="430"/>
      <c r="CD418" s="430"/>
      <c r="CE418" s="430"/>
      <c r="CF418" s="430"/>
      <c r="CG418" s="430"/>
      <c r="CH418" s="430"/>
      <c r="CI418" s="430"/>
      <c r="CJ418" s="430"/>
      <c r="CK418" s="430"/>
      <c r="CL418" s="430"/>
    </row>
    <row r="419" spans="63:90" ht="14.25" customHeight="1">
      <c r="BK419" s="430"/>
      <c r="BL419" s="430"/>
      <c r="BM419" s="430"/>
      <c r="BN419" s="430"/>
      <c r="BO419" s="430"/>
      <c r="BP419" s="430"/>
      <c r="BQ419" s="430"/>
      <c r="BR419" s="430"/>
      <c r="BS419" s="430"/>
      <c r="BT419" s="430"/>
      <c r="BU419" s="430"/>
      <c r="BV419" s="430"/>
      <c r="BW419" s="430"/>
      <c r="BX419" s="430"/>
      <c r="BY419" s="430"/>
      <c r="BZ419" s="430"/>
      <c r="CA419" s="430"/>
      <c r="CB419" s="430"/>
      <c r="CC419" s="430"/>
      <c r="CD419" s="430"/>
      <c r="CE419" s="430"/>
      <c r="CF419" s="430"/>
      <c r="CG419" s="430"/>
      <c r="CH419" s="430"/>
      <c r="CI419" s="430"/>
      <c r="CJ419" s="430"/>
      <c r="CK419" s="430"/>
      <c r="CL419" s="430"/>
    </row>
    <row r="420" spans="63:90" ht="14.25" customHeight="1">
      <c r="BK420" s="430"/>
      <c r="BL420" s="430"/>
      <c r="BM420" s="430"/>
      <c r="BN420" s="430"/>
      <c r="BO420" s="430"/>
      <c r="BP420" s="430"/>
      <c r="BQ420" s="430"/>
      <c r="BR420" s="430"/>
      <c r="BS420" s="430"/>
      <c r="BT420" s="430"/>
      <c r="BU420" s="430"/>
      <c r="BV420" s="430"/>
      <c r="BW420" s="430"/>
      <c r="BX420" s="430"/>
      <c r="BY420" s="430"/>
      <c r="BZ420" s="430"/>
      <c r="CA420" s="430"/>
      <c r="CB420" s="430"/>
      <c r="CC420" s="430"/>
      <c r="CD420" s="430"/>
      <c r="CE420" s="430"/>
      <c r="CF420" s="430"/>
      <c r="CG420" s="430"/>
      <c r="CH420" s="430"/>
      <c r="CI420" s="430"/>
      <c r="CJ420" s="430"/>
      <c r="CK420" s="430"/>
      <c r="CL420" s="430"/>
    </row>
    <row r="421" spans="63:90" ht="14.25" customHeight="1">
      <c r="BK421" s="430"/>
      <c r="BL421" s="430"/>
      <c r="BM421" s="430"/>
      <c r="BN421" s="430"/>
      <c r="BO421" s="430"/>
      <c r="BP421" s="430"/>
      <c r="BQ421" s="430"/>
      <c r="BR421" s="430"/>
      <c r="BS421" s="430"/>
      <c r="BT421" s="430"/>
      <c r="BU421" s="430"/>
      <c r="BV421" s="430"/>
      <c r="BW421" s="430"/>
      <c r="BX421" s="430"/>
      <c r="BY421" s="430"/>
      <c r="BZ421" s="430"/>
      <c r="CA421" s="430"/>
      <c r="CB421" s="430"/>
      <c r="CC421" s="430"/>
      <c r="CD421" s="430"/>
      <c r="CE421" s="430"/>
      <c r="CF421" s="430"/>
      <c r="CG421" s="430"/>
      <c r="CH421" s="430"/>
      <c r="CI421" s="430"/>
      <c r="CJ421" s="430"/>
      <c r="CK421" s="430"/>
      <c r="CL421" s="430"/>
    </row>
    <row r="422" spans="63:90" ht="14.25" customHeight="1">
      <c r="BK422" s="430"/>
      <c r="BL422" s="430"/>
      <c r="BM422" s="430"/>
      <c r="BN422" s="430"/>
      <c r="BO422" s="430"/>
      <c r="BP422" s="430"/>
      <c r="BQ422" s="430"/>
      <c r="BR422" s="430"/>
      <c r="BS422" s="430"/>
      <c r="BT422" s="430"/>
      <c r="BU422" s="430"/>
      <c r="BV422" s="430"/>
      <c r="BW422" s="430"/>
      <c r="BX422" s="430"/>
      <c r="BY422" s="430"/>
      <c r="BZ422" s="430"/>
      <c r="CA422" s="430"/>
      <c r="CB422" s="430"/>
      <c r="CC422" s="430"/>
      <c r="CD422" s="430"/>
      <c r="CE422" s="430"/>
      <c r="CF422" s="430"/>
      <c r="CG422" s="430"/>
      <c r="CH422" s="430"/>
      <c r="CI422" s="430"/>
      <c r="CJ422" s="430"/>
      <c r="CK422" s="430"/>
      <c r="CL422" s="430"/>
    </row>
    <row r="423" spans="63:90" ht="14.25" customHeight="1">
      <c r="BK423" s="430"/>
      <c r="BL423" s="430"/>
      <c r="BM423" s="430"/>
      <c r="BN423" s="430"/>
      <c r="BO423" s="430"/>
      <c r="BP423" s="430"/>
      <c r="BQ423" s="430"/>
      <c r="BR423" s="430"/>
      <c r="BS423" s="430"/>
      <c r="BT423" s="430"/>
      <c r="BU423" s="430"/>
      <c r="BV423" s="430"/>
      <c r="BW423" s="430"/>
      <c r="BX423" s="430"/>
      <c r="BY423" s="430"/>
      <c r="BZ423" s="430"/>
      <c r="CA423" s="430"/>
      <c r="CB423" s="430"/>
      <c r="CC423" s="430"/>
      <c r="CD423" s="430"/>
      <c r="CE423" s="430"/>
      <c r="CF423" s="430"/>
      <c r="CG423" s="430"/>
      <c r="CH423" s="430"/>
      <c r="CI423" s="430"/>
      <c r="CJ423" s="430"/>
      <c r="CK423" s="430"/>
      <c r="CL423" s="430"/>
    </row>
    <row r="424" spans="63:90" ht="14.25" customHeight="1">
      <c r="BK424" s="430"/>
      <c r="BL424" s="430"/>
      <c r="BM424" s="430"/>
      <c r="BN424" s="430"/>
      <c r="BO424" s="430"/>
      <c r="BP424" s="430"/>
      <c r="BQ424" s="430"/>
      <c r="BR424" s="430"/>
      <c r="BS424" s="430"/>
      <c r="BT424" s="430"/>
      <c r="BU424" s="430"/>
      <c r="BV424" s="430"/>
      <c r="BW424" s="430"/>
      <c r="BX424" s="430"/>
      <c r="BY424" s="430"/>
      <c r="BZ424" s="430"/>
      <c r="CA424" s="430"/>
      <c r="CB424" s="430"/>
      <c r="CC424" s="430"/>
      <c r="CD424" s="430"/>
      <c r="CE424" s="430"/>
      <c r="CF424" s="430"/>
      <c r="CG424" s="430"/>
      <c r="CH424" s="430"/>
      <c r="CI424" s="430"/>
      <c r="CJ424" s="430"/>
      <c r="CK424" s="430"/>
      <c r="CL424" s="430"/>
    </row>
    <row r="425" spans="63:90" ht="14.25" customHeight="1">
      <c r="BK425" s="430"/>
      <c r="BL425" s="430"/>
      <c r="BM425" s="430"/>
      <c r="BN425" s="430"/>
      <c r="BO425" s="430"/>
      <c r="BP425" s="430"/>
      <c r="BQ425" s="430"/>
      <c r="BR425" s="430"/>
      <c r="BS425" s="430"/>
      <c r="BT425" s="430"/>
      <c r="BU425" s="430"/>
      <c r="BV425" s="430"/>
      <c r="BW425" s="430"/>
      <c r="BX425" s="430"/>
      <c r="BY425" s="430"/>
      <c r="BZ425" s="430"/>
      <c r="CA425" s="430"/>
      <c r="CB425" s="430"/>
      <c r="CC425" s="430"/>
      <c r="CD425" s="430"/>
      <c r="CE425" s="430"/>
      <c r="CF425" s="430"/>
      <c r="CG425" s="430"/>
      <c r="CH425" s="430"/>
      <c r="CI425" s="430"/>
      <c r="CJ425" s="430"/>
      <c r="CK425" s="430"/>
      <c r="CL425" s="430"/>
    </row>
    <row r="426" spans="63:90" ht="14.25" customHeight="1">
      <c r="BK426" s="430"/>
      <c r="BL426" s="430"/>
      <c r="BM426" s="430"/>
      <c r="BN426" s="430"/>
      <c r="BO426" s="430"/>
      <c r="BP426" s="430"/>
      <c r="BQ426" s="430"/>
      <c r="BR426" s="430"/>
      <c r="BS426" s="430"/>
      <c r="BT426" s="430"/>
      <c r="BU426" s="430"/>
      <c r="BV426" s="430"/>
      <c r="BW426" s="430"/>
      <c r="BX426" s="430"/>
      <c r="BY426" s="430"/>
      <c r="BZ426" s="430"/>
      <c r="CA426" s="430"/>
      <c r="CB426" s="430"/>
      <c r="CC426" s="430"/>
      <c r="CD426" s="430"/>
      <c r="CE426" s="430"/>
      <c r="CF426" s="430"/>
      <c r="CG426" s="430"/>
      <c r="CH426" s="430"/>
      <c r="CI426" s="430"/>
      <c r="CJ426" s="430"/>
      <c r="CK426" s="430"/>
      <c r="CL426" s="430"/>
    </row>
    <row r="427" spans="63:90" ht="14.25" customHeight="1">
      <c r="BK427" s="430"/>
      <c r="BL427" s="430"/>
      <c r="BM427" s="430"/>
      <c r="BN427" s="430"/>
      <c r="BO427" s="430"/>
      <c r="BP427" s="430"/>
      <c r="BQ427" s="430"/>
      <c r="BR427" s="430"/>
      <c r="BS427" s="430"/>
      <c r="BT427" s="430"/>
      <c r="BU427" s="430"/>
      <c r="BV427" s="430"/>
      <c r="BW427" s="430"/>
      <c r="BX427" s="430"/>
      <c r="BY427" s="430"/>
      <c r="BZ427" s="430"/>
      <c r="CA427" s="430"/>
      <c r="CB427" s="430"/>
      <c r="CC427" s="430"/>
      <c r="CD427" s="430"/>
      <c r="CE427" s="430"/>
      <c r="CF427" s="430"/>
      <c r="CG427" s="430"/>
      <c r="CH427" s="430"/>
      <c r="CI427" s="430"/>
      <c r="CJ427" s="430"/>
      <c r="CK427" s="430"/>
      <c r="CL427" s="430"/>
    </row>
    <row r="428" spans="63:90" ht="14.25" customHeight="1">
      <c r="BK428" s="430"/>
      <c r="BL428" s="430"/>
      <c r="BM428" s="430"/>
      <c r="BN428" s="430"/>
      <c r="BO428" s="430"/>
      <c r="BP428" s="430"/>
      <c r="BQ428" s="430"/>
      <c r="BR428" s="430"/>
      <c r="BS428" s="430"/>
      <c r="BT428" s="430"/>
      <c r="BU428" s="430"/>
      <c r="BV428" s="430"/>
      <c r="BW428" s="430"/>
      <c r="BX428" s="430"/>
      <c r="BY428" s="430"/>
      <c r="BZ428" s="430"/>
      <c r="CA428" s="430"/>
      <c r="CB428" s="430"/>
      <c r="CC428" s="430"/>
      <c r="CD428" s="430"/>
      <c r="CE428" s="430"/>
      <c r="CF428" s="430"/>
      <c r="CG428" s="430"/>
      <c r="CH428" s="430"/>
      <c r="CI428" s="430"/>
      <c r="CJ428" s="430"/>
      <c r="CK428" s="430"/>
      <c r="CL428" s="430"/>
    </row>
    <row r="429" spans="63:90" ht="14.25" customHeight="1">
      <c r="BK429" s="430"/>
      <c r="BL429" s="430"/>
      <c r="BM429" s="430"/>
      <c r="BN429" s="430"/>
      <c r="BO429" s="430"/>
      <c r="BP429" s="430"/>
      <c r="BQ429" s="430"/>
      <c r="BR429" s="430"/>
      <c r="BS429" s="430"/>
      <c r="BT429" s="430"/>
      <c r="BU429" s="430"/>
      <c r="BV429" s="430"/>
      <c r="BW429" s="430"/>
      <c r="BX429" s="430"/>
      <c r="BY429" s="430"/>
      <c r="BZ429" s="430"/>
      <c r="CA429" s="430"/>
      <c r="CB429" s="430"/>
      <c r="CC429" s="430"/>
      <c r="CD429" s="430"/>
      <c r="CE429" s="430"/>
      <c r="CF429" s="430"/>
      <c r="CG429" s="430"/>
      <c r="CH429" s="430"/>
      <c r="CI429" s="430"/>
      <c r="CJ429" s="430"/>
      <c r="CK429" s="430"/>
      <c r="CL429" s="430"/>
    </row>
    <row r="430" spans="63:90" ht="14.25" customHeight="1">
      <c r="BK430" s="430"/>
      <c r="BL430" s="430"/>
      <c r="BM430" s="430"/>
      <c r="BN430" s="430"/>
      <c r="BO430" s="430"/>
      <c r="BP430" s="430"/>
      <c r="BQ430" s="430"/>
      <c r="BR430" s="430"/>
      <c r="BS430" s="430"/>
      <c r="BT430" s="430"/>
      <c r="BU430" s="430"/>
      <c r="BV430" s="430"/>
      <c r="BW430" s="430"/>
      <c r="BX430" s="430"/>
      <c r="BY430" s="430"/>
      <c r="BZ430" s="430"/>
      <c r="CA430" s="430"/>
      <c r="CB430" s="430"/>
      <c r="CC430" s="430"/>
      <c r="CD430" s="430"/>
      <c r="CE430" s="430"/>
      <c r="CF430" s="430"/>
      <c r="CG430" s="430"/>
      <c r="CH430" s="430"/>
      <c r="CI430" s="430"/>
      <c r="CJ430" s="430"/>
      <c r="CK430" s="430"/>
      <c r="CL430" s="430"/>
    </row>
    <row r="431" spans="63:90" ht="14.25" customHeight="1">
      <c r="BK431" s="430"/>
      <c r="BL431" s="430"/>
      <c r="BM431" s="430"/>
      <c r="BN431" s="430"/>
      <c r="BO431" s="430"/>
      <c r="BP431" s="430"/>
      <c r="BQ431" s="430"/>
      <c r="BR431" s="430"/>
      <c r="BS431" s="430"/>
      <c r="BT431" s="430"/>
      <c r="BU431" s="430"/>
      <c r="BV431" s="430"/>
      <c r="BW431" s="430"/>
      <c r="BX431" s="430"/>
      <c r="BY431" s="430"/>
      <c r="BZ431" s="430"/>
      <c r="CA431" s="430"/>
      <c r="CB431" s="430"/>
      <c r="CC431" s="430"/>
      <c r="CD431" s="430"/>
      <c r="CE431" s="430"/>
      <c r="CF431" s="430"/>
      <c r="CG431" s="430"/>
      <c r="CH431" s="430"/>
      <c r="CI431" s="430"/>
      <c r="CJ431" s="430"/>
      <c r="CK431" s="430"/>
      <c r="CL431" s="430"/>
    </row>
    <row r="432" spans="63:90" ht="14.25" customHeight="1">
      <c r="BK432" s="430"/>
      <c r="BL432" s="430"/>
      <c r="BM432" s="430"/>
      <c r="BN432" s="430"/>
      <c r="BO432" s="430"/>
      <c r="BP432" s="430"/>
      <c r="BQ432" s="430"/>
      <c r="BR432" s="430"/>
      <c r="BS432" s="430"/>
      <c r="BT432" s="430"/>
      <c r="BU432" s="430"/>
      <c r="BV432" s="430"/>
      <c r="BW432" s="430"/>
      <c r="BX432" s="430"/>
      <c r="BY432" s="430"/>
      <c r="BZ432" s="430"/>
      <c r="CA432" s="430"/>
      <c r="CB432" s="430"/>
      <c r="CC432" s="430"/>
      <c r="CD432" s="430"/>
      <c r="CE432" s="430"/>
      <c r="CF432" s="430"/>
      <c r="CG432" s="430"/>
      <c r="CH432" s="430"/>
      <c r="CI432" s="430"/>
      <c r="CJ432" s="430"/>
      <c r="CK432" s="430"/>
      <c r="CL432" s="430"/>
    </row>
    <row r="433" spans="63:90" ht="14.25" customHeight="1">
      <c r="BK433" s="430"/>
      <c r="BL433" s="430"/>
      <c r="BM433" s="430"/>
      <c r="BN433" s="430"/>
      <c r="BO433" s="430"/>
      <c r="BP433" s="430"/>
      <c r="BQ433" s="430"/>
      <c r="BR433" s="430"/>
      <c r="BS433" s="430"/>
      <c r="BT433" s="430"/>
      <c r="BU433" s="430"/>
      <c r="BV433" s="430"/>
      <c r="BW433" s="430"/>
      <c r="BX433" s="430"/>
      <c r="BY433" s="430"/>
      <c r="BZ433" s="430"/>
      <c r="CA433" s="430"/>
      <c r="CB433" s="430"/>
      <c r="CC433" s="430"/>
      <c r="CD433" s="430"/>
      <c r="CE433" s="430"/>
      <c r="CF433" s="430"/>
      <c r="CG433" s="430"/>
      <c r="CH433" s="430"/>
      <c r="CI433" s="430"/>
      <c r="CJ433" s="430"/>
      <c r="CK433" s="430"/>
      <c r="CL433" s="430"/>
    </row>
    <row r="434" spans="63:90" ht="14.25" customHeight="1">
      <c r="BK434" s="430"/>
      <c r="BL434" s="430"/>
      <c r="BM434" s="430"/>
      <c r="BN434" s="430"/>
      <c r="BO434" s="430"/>
      <c r="BP434" s="430"/>
      <c r="BQ434" s="430"/>
      <c r="BR434" s="430"/>
      <c r="BS434" s="430"/>
      <c r="BT434" s="430"/>
      <c r="BU434" s="430"/>
      <c r="BV434" s="430"/>
      <c r="BW434" s="430"/>
      <c r="BX434" s="430"/>
      <c r="BY434" s="430"/>
      <c r="BZ434" s="430"/>
      <c r="CA434" s="430"/>
      <c r="CB434" s="430"/>
      <c r="CC434" s="430"/>
      <c r="CD434" s="430"/>
      <c r="CE434" s="430"/>
      <c r="CF434" s="430"/>
      <c r="CG434" s="430"/>
      <c r="CH434" s="430"/>
      <c r="CI434" s="430"/>
      <c r="CJ434" s="430"/>
      <c r="CK434" s="430"/>
      <c r="CL434" s="430"/>
    </row>
    <row r="435" spans="63:90" ht="14.25" customHeight="1">
      <c r="BK435" s="430"/>
      <c r="BL435" s="430"/>
      <c r="BM435" s="430"/>
      <c r="BN435" s="430"/>
      <c r="BO435" s="430"/>
      <c r="BP435" s="430"/>
      <c r="BQ435" s="430"/>
      <c r="BR435" s="430"/>
      <c r="BS435" s="430"/>
      <c r="BT435" s="430"/>
      <c r="BU435" s="430"/>
      <c r="BV435" s="430"/>
      <c r="BW435" s="430"/>
      <c r="BX435" s="430"/>
      <c r="BY435" s="430"/>
      <c r="BZ435" s="430"/>
      <c r="CA435" s="430"/>
      <c r="CB435" s="430"/>
      <c r="CC435" s="430"/>
      <c r="CD435" s="430"/>
      <c r="CE435" s="430"/>
      <c r="CF435" s="430"/>
      <c r="CG435" s="430"/>
      <c r="CH435" s="430"/>
      <c r="CI435" s="430"/>
      <c r="CJ435" s="430"/>
      <c r="CK435" s="430"/>
      <c r="CL435" s="430"/>
    </row>
    <row r="436" spans="63:90" ht="14.25" customHeight="1">
      <c r="BK436" s="430"/>
      <c r="BL436" s="430"/>
      <c r="BM436" s="430"/>
      <c r="BN436" s="430"/>
      <c r="BO436" s="430"/>
      <c r="BP436" s="430"/>
      <c r="BQ436" s="430"/>
      <c r="BR436" s="430"/>
      <c r="BS436" s="430"/>
      <c r="BT436" s="430"/>
      <c r="BU436" s="430"/>
      <c r="BV436" s="430"/>
      <c r="BW436" s="430"/>
      <c r="BX436" s="430"/>
      <c r="BY436" s="430"/>
      <c r="BZ436" s="430"/>
      <c r="CA436" s="430"/>
      <c r="CB436" s="430"/>
      <c r="CC436" s="430"/>
      <c r="CD436" s="430"/>
      <c r="CE436" s="430"/>
      <c r="CF436" s="430"/>
      <c r="CG436" s="430"/>
      <c r="CH436" s="430"/>
      <c r="CI436" s="430"/>
      <c r="CJ436" s="430"/>
      <c r="CK436" s="430"/>
      <c r="CL436" s="430"/>
    </row>
    <row r="437" spans="63:90" ht="14.25" customHeight="1">
      <c r="BK437" s="430"/>
      <c r="BL437" s="430"/>
      <c r="BM437" s="430"/>
      <c r="BN437" s="430"/>
      <c r="BO437" s="430"/>
      <c r="BP437" s="430"/>
      <c r="BQ437" s="430"/>
      <c r="BR437" s="430"/>
      <c r="BS437" s="430"/>
      <c r="BT437" s="430"/>
      <c r="BU437" s="430"/>
      <c r="BV437" s="430"/>
      <c r="BW437" s="430"/>
      <c r="BX437" s="430"/>
      <c r="BY437" s="430"/>
      <c r="BZ437" s="430"/>
      <c r="CA437" s="430"/>
      <c r="CB437" s="430"/>
      <c r="CC437" s="430"/>
      <c r="CD437" s="430"/>
      <c r="CE437" s="430"/>
      <c r="CF437" s="430"/>
      <c r="CG437" s="430"/>
      <c r="CH437" s="430"/>
      <c r="CI437" s="430"/>
      <c r="CJ437" s="430"/>
      <c r="CK437" s="430"/>
      <c r="CL437" s="430"/>
    </row>
    <row r="438" spans="63:90" ht="14.25" customHeight="1">
      <c r="BK438" s="430"/>
      <c r="BL438" s="430"/>
      <c r="BM438" s="430"/>
      <c r="BN438" s="430"/>
      <c r="BO438" s="430"/>
      <c r="BP438" s="430"/>
      <c r="BQ438" s="430"/>
      <c r="BR438" s="430"/>
      <c r="BS438" s="430"/>
      <c r="BT438" s="430"/>
      <c r="BU438" s="430"/>
      <c r="BV438" s="430"/>
      <c r="BW438" s="430"/>
      <c r="BX438" s="430"/>
      <c r="BY438" s="430"/>
      <c r="BZ438" s="430"/>
      <c r="CA438" s="430"/>
      <c r="CB438" s="430"/>
      <c r="CC438" s="430"/>
      <c r="CD438" s="430"/>
      <c r="CE438" s="430"/>
      <c r="CF438" s="430"/>
      <c r="CG438" s="430"/>
      <c r="CH438" s="430"/>
      <c r="CI438" s="430"/>
      <c r="CJ438" s="430"/>
      <c r="CK438" s="430"/>
      <c r="CL438" s="430"/>
    </row>
    <row r="439" spans="63:90" ht="14.25" customHeight="1">
      <c r="BK439" s="430"/>
      <c r="BL439" s="430"/>
      <c r="BM439" s="430"/>
      <c r="BN439" s="430"/>
      <c r="BO439" s="430"/>
      <c r="BP439" s="430"/>
      <c r="BQ439" s="430"/>
      <c r="BR439" s="430"/>
      <c r="BS439" s="430"/>
      <c r="BT439" s="430"/>
      <c r="BU439" s="430"/>
      <c r="BV439" s="430"/>
      <c r="BW439" s="430"/>
      <c r="BX439" s="430"/>
      <c r="BY439" s="430"/>
      <c r="BZ439" s="430"/>
      <c r="CA439" s="430"/>
      <c r="CB439" s="430"/>
      <c r="CC439" s="430"/>
      <c r="CD439" s="430"/>
      <c r="CE439" s="430"/>
      <c r="CF439" s="430"/>
      <c r="CG439" s="430"/>
      <c r="CH439" s="430"/>
      <c r="CI439" s="430"/>
      <c r="CJ439" s="430"/>
      <c r="CK439" s="430"/>
      <c r="CL439" s="430"/>
    </row>
    <row r="440" spans="63:90" ht="14.25" customHeight="1">
      <c r="BK440" s="430"/>
      <c r="BL440" s="430"/>
      <c r="BM440" s="430"/>
      <c r="BN440" s="430"/>
      <c r="BO440" s="430"/>
      <c r="BP440" s="430"/>
      <c r="BQ440" s="430"/>
      <c r="BR440" s="430"/>
      <c r="BS440" s="430"/>
      <c r="BT440" s="430"/>
      <c r="BU440" s="430"/>
      <c r="BV440" s="430"/>
      <c r="BW440" s="430"/>
      <c r="BX440" s="430"/>
      <c r="BY440" s="430"/>
      <c r="BZ440" s="430"/>
      <c r="CA440" s="430"/>
      <c r="CB440" s="430"/>
      <c r="CC440" s="430"/>
      <c r="CD440" s="430"/>
      <c r="CE440" s="430"/>
      <c r="CF440" s="430"/>
      <c r="CG440" s="430"/>
      <c r="CH440" s="430"/>
      <c r="CI440" s="430"/>
      <c r="CJ440" s="430"/>
      <c r="CK440" s="430"/>
      <c r="CL440" s="430"/>
    </row>
    <row r="441" spans="63:90" ht="14.25" customHeight="1">
      <c r="BK441" s="430"/>
      <c r="BL441" s="430"/>
      <c r="BM441" s="430"/>
      <c r="BN441" s="430"/>
      <c r="BO441" s="430"/>
      <c r="BP441" s="430"/>
      <c r="BQ441" s="430"/>
      <c r="BR441" s="430"/>
      <c r="BS441" s="430"/>
      <c r="BT441" s="430"/>
      <c r="BU441" s="430"/>
      <c r="BV441" s="430"/>
      <c r="BW441" s="430"/>
      <c r="BX441" s="430"/>
      <c r="BY441" s="430"/>
      <c r="BZ441" s="430"/>
      <c r="CA441" s="430"/>
      <c r="CB441" s="430"/>
      <c r="CC441" s="430"/>
      <c r="CD441" s="430"/>
      <c r="CE441" s="430"/>
      <c r="CF441" s="430"/>
      <c r="CG441" s="430"/>
      <c r="CH441" s="430"/>
      <c r="CI441" s="430"/>
      <c r="CJ441" s="430"/>
      <c r="CK441" s="430"/>
      <c r="CL441" s="430"/>
    </row>
    <row r="442" spans="63:90" ht="14.25" customHeight="1">
      <c r="BK442" s="430"/>
      <c r="BL442" s="430"/>
      <c r="BM442" s="430"/>
      <c r="BN442" s="430"/>
      <c r="BO442" s="430"/>
      <c r="BP442" s="430"/>
      <c r="BQ442" s="430"/>
      <c r="BR442" s="430"/>
      <c r="BS442" s="430"/>
      <c r="BT442" s="430"/>
      <c r="BU442" s="430"/>
      <c r="BV442" s="430"/>
      <c r="BW442" s="430"/>
      <c r="BX442" s="430"/>
      <c r="BY442" s="430"/>
      <c r="BZ442" s="430"/>
      <c r="CA442" s="430"/>
      <c r="CB442" s="430"/>
      <c r="CC442" s="430"/>
      <c r="CD442" s="430"/>
      <c r="CE442" s="430"/>
      <c r="CF442" s="430"/>
      <c r="CG442" s="430"/>
      <c r="CH442" s="430"/>
      <c r="CI442" s="430"/>
      <c r="CJ442" s="430"/>
      <c r="CK442" s="430"/>
      <c r="CL442" s="430"/>
    </row>
    <row r="443" spans="63:90" ht="14.25" customHeight="1">
      <c r="BK443" s="430"/>
      <c r="BL443" s="430"/>
      <c r="BM443" s="430"/>
      <c r="BN443" s="430"/>
      <c r="BO443" s="430"/>
      <c r="BP443" s="430"/>
      <c r="BQ443" s="430"/>
      <c r="BR443" s="430"/>
      <c r="BS443" s="430"/>
      <c r="BT443" s="430"/>
      <c r="BU443" s="430"/>
      <c r="BV443" s="430"/>
      <c r="BW443" s="430"/>
      <c r="BX443" s="430"/>
      <c r="BY443" s="430"/>
      <c r="BZ443" s="430"/>
      <c r="CA443" s="430"/>
      <c r="CB443" s="430"/>
      <c r="CC443" s="430"/>
      <c r="CD443" s="430"/>
      <c r="CE443" s="430"/>
      <c r="CF443" s="430"/>
      <c r="CG443" s="430"/>
      <c r="CH443" s="430"/>
      <c r="CI443" s="430"/>
      <c r="CJ443" s="430"/>
      <c r="CK443" s="430"/>
      <c r="CL443" s="430"/>
    </row>
    <row r="444" spans="63:90" ht="14.25" customHeight="1">
      <c r="BK444" s="430"/>
      <c r="BL444" s="430"/>
      <c r="BM444" s="430"/>
      <c r="BN444" s="430"/>
      <c r="BO444" s="430"/>
      <c r="BP444" s="430"/>
      <c r="BQ444" s="430"/>
      <c r="BR444" s="430"/>
      <c r="BS444" s="430"/>
      <c r="BT444" s="430"/>
      <c r="BU444" s="430"/>
      <c r="BV444" s="430"/>
      <c r="BW444" s="430"/>
      <c r="BX444" s="430"/>
      <c r="BY444" s="430"/>
      <c r="BZ444" s="430"/>
      <c r="CA444" s="430"/>
      <c r="CB444" s="430"/>
      <c r="CC444" s="430"/>
      <c r="CD444" s="430"/>
      <c r="CE444" s="430"/>
      <c r="CF444" s="430"/>
      <c r="CG444" s="430"/>
      <c r="CH444" s="430"/>
      <c r="CI444" s="430"/>
      <c r="CJ444" s="430"/>
      <c r="CK444" s="430"/>
      <c r="CL444" s="430"/>
    </row>
    <row r="445" spans="63:90" ht="14.25" customHeight="1">
      <c r="BK445" s="430"/>
      <c r="BL445" s="430"/>
      <c r="BM445" s="430"/>
      <c r="BN445" s="430"/>
      <c r="BO445" s="430"/>
      <c r="BP445" s="430"/>
      <c r="BQ445" s="430"/>
      <c r="BR445" s="430"/>
      <c r="BS445" s="430"/>
      <c r="BT445" s="430"/>
      <c r="BU445" s="430"/>
      <c r="BV445" s="430"/>
      <c r="BW445" s="430"/>
      <c r="BX445" s="430"/>
      <c r="BY445" s="430"/>
      <c r="BZ445" s="430"/>
      <c r="CA445" s="430"/>
      <c r="CB445" s="430"/>
      <c r="CC445" s="430"/>
      <c r="CD445" s="430"/>
      <c r="CE445" s="430"/>
      <c r="CF445" s="430"/>
      <c r="CG445" s="430"/>
      <c r="CH445" s="430"/>
      <c r="CI445" s="430"/>
      <c r="CJ445" s="430"/>
      <c r="CK445" s="430"/>
      <c r="CL445" s="430"/>
    </row>
    <row r="446" spans="63:90" ht="14.25" customHeight="1">
      <c r="BK446" s="430"/>
      <c r="BL446" s="430"/>
      <c r="BM446" s="430"/>
      <c r="BN446" s="430"/>
      <c r="BO446" s="430"/>
      <c r="BP446" s="430"/>
      <c r="BQ446" s="430"/>
      <c r="BR446" s="430"/>
      <c r="BS446" s="430"/>
      <c r="BT446" s="430"/>
      <c r="BU446" s="430"/>
      <c r="BV446" s="430"/>
      <c r="BW446" s="430"/>
      <c r="BX446" s="430"/>
      <c r="BY446" s="430"/>
      <c r="BZ446" s="430"/>
      <c r="CA446" s="430"/>
      <c r="CB446" s="430"/>
      <c r="CC446" s="430"/>
      <c r="CD446" s="430"/>
      <c r="CE446" s="430"/>
      <c r="CF446" s="430"/>
      <c r="CG446" s="430"/>
      <c r="CH446" s="430"/>
      <c r="CI446" s="430"/>
      <c r="CJ446" s="430"/>
      <c r="CK446" s="430"/>
      <c r="CL446" s="430"/>
    </row>
    <row r="447" spans="63:90" ht="14.25" customHeight="1">
      <c r="BK447" s="430"/>
      <c r="BL447" s="430"/>
      <c r="BM447" s="430"/>
      <c r="BN447" s="430"/>
      <c r="BO447" s="430"/>
      <c r="BP447" s="430"/>
      <c r="BQ447" s="430"/>
      <c r="BR447" s="430"/>
      <c r="BS447" s="430"/>
      <c r="BT447" s="430"/>
      <c r="BU447" s="430"/>
      <c r="BV447" s="430"/>
      <c r="BW447" s="430"/>
      <c r="BX447" s="430"/>
      <c r="BY447" s="430"/>
      <c r="BZ447" s="430"/>
      <c r="CA447" s="430"/>
      <c r="CB447" s="430"/>
      <c r="CC447" s="430"/>
      <c r="CD447" s="430"/>
      <c r="CE447" s="430"/>
      <c r="CF447" s="430"/>
      <c r="CG447" s="430"/>
      <c r="CH447" s="430"/>
      <c r="CI447" s="430"/>
      <c r="CJ447" s="430"/>
      <c r="CK447" s="430"/>
      <c r="CL447" s="430"/>
    </row>
    <row r="448" spans="63:90" ht="14.25" customHeight="1">
      <c r="BK448" s="430"/>
      <c r="BL448" s="430"/>
      <c r="BM448" s="430"/>
      <c r="BN448" s="430"/>
      <c r="BO448" s="430"/>
      <c r="BP448" s="430"/>
      <c r="BQ448" s="430"/>
      <c r="BR448" s="430"/>
      <c r="BS448" s="430"/>
      <c r="BT448" s="430"/>
      <c r="BU448" s="430"/>
      <c r="BV448" s="430"/>
      <c r="BW448" s="430"/>
      <c r="BX448" s="430"/>
      <c r="BY448" s="430"/>
      <c r="BZ448" s="430"/>
      <c r="CA448" s="430"/>
      <c r="CB448" s="430"/>
      <c r="CC448" s="430"/>
      <c r="CD448" s="430"/>
      <c r="CE448" s="430"/>
      <c r="CF448" s="430"/>
      <c r="CG448" s="430"/>
      <c r="CH448" s="430"/>
      <c r="CI448" s="430"/>
      <c r="CJ448" s="430"/>
      <c r="CK448" s="430"/>
      <c r="CL448" s="430"/>
    </row>
    <row r="449" spans="63:90" ht="14.25" customHeight="1">
      <c r="BK449" s="430"/>
      <c r="BL449" s="430"/>
      <c r="BM449" s="430"/>
      <c r="BN449" s="430"/>
      <c r="BO449" s="430"/>
      <c r="BP449" s="430"/>
      <c r="BQ449" s="430"/>
      <c r="BR449" s="430"/>
      <c r="BS449" s="430"/>
      <c r="BT449" s="430"/>
      <c r="BU449" s="430"/>
      <c r="BV449" s="430"/>
      <c r="BW449" s="430"/>
      <c r="BX449" s="430"/>
      <c r="BY449" s="430"/>
      <c r="BZ449" s="430"/>
      <c r="CA449" s="430"/>
      <c r="CB449" s="430"/>
      <c r="CC449" s="430"/>
      <c r="CD449" s="430"/>
      <c r="CE449" s="430"/>
      <c r="CF449" s="430"/>
      <c r="CG449" s="430"/>
      <c r="CH449" s="430"/>
      <c r="CI449" s="430"/>
      <c r="CJ449" s="430"/>
      <c r="CK449" s="430"/>
      <c r="CL449" s="430"/>
    </row>
    <row r="450" spans="63:90" ht="14.25" customHeight="1">
      <c r="BK450" s="430"/>
      <c r="BL450" s="430"/>
      <c r="BM450" s="430"/>
      <c r="BN450" s="430"/>
      <c r="BO450" s="430"/>
      <c r="BP450" s="430"/>
      <c r="BQ450" s="430"/>
      <c r="BR450" s="430"/>
      <c r="BS450" s="430"/>
      <c r="BT450" s="430"/>
      <c r="BU450" s="430"/>
      <c r="BV450" s="430"/>
      <c r="BW450" s="430"/>
      <c r="BX450" s="430"/>
      <c r="BY450" s="430"/>
      <c r="BZ450" s="430"/>
      <c r="CA450" s="430"/>
      <c r="CB450" s="430"/>
      <c r="CC450" s="430"/>
      <c r="CD450" s="430"/>
      <c r="CE450" s="430"/>
      <c r="CF450" s="430"/>
      <c r="CG450" s="430"/>
      <c r="CH450" s="430"/>
      <c r="CI450" s="430"/>
      <c r="CJ450" s="430"/>
      <c r="CK450" s="430"/>
      <c r="CL450" s="430"/>
    </row>
    <row r="451" spans="63:90" ht="14.25" customHeight="1">
      <c r="BK451" s="430"/>
      <c r="BL451" s="430"/>
      <c r="BM451" s="430"/>
      <c r="BN451" s="430"/>
      <c r="BO451" s="430"/>
      <c r="BP451" s="430"/>
      <c r="BQ451" s="430"/>
      <c r="BR451" s="430"/>
      <c r="BS451" s="430"/>
      <c r="BT451" s="430"/>
      <c r="BU451" s="430"/>
      <c r="BV451" s="430"/>
      <c r="BW451" s="430"/>
      <c r="BX451" s="430"/>
      <c r="BY451" s="430"/>
      <c r="BZ451" s="430"/>
      <c r="CA451" s="430"/>
      <c r="CB451" s="430"/>
      <c r="CC451" s="430"/>
      <c r="CD451" s="430"/>
      <c r="CE451" s="430"/>
      <c r="CF451" s="430"/>
      <c r="CG451" s="430"/>
      <c r="CH451" s="430"/>
      <c r="CI451" s="430"/>
      <c r="CJ451" s="430"/>
      <c r="CK451" s="430"/>
      <c r="CL451" s="430"/>
    </row>
    <row r="452" spans="63:90" ht="14.25" customHeight="1">
      <c r="BK452" s="430"/>
      <c r="BL452" s="430"/>
      <c r="BM452" s="430"/>
      <c r="BN452" s="430"/>
      <c r="BO452" s="430"/>
      <c r="BP452" s="430"/>
      <c r="BQ452" s="430"/>
      <c r="BR452" s="430"/>
      <c r="BS452" s="430"/>
      <c r="BT452" s="430"/>
      <c r="BU452" s="430"/>
      <c r="BV452" s="430"/>
      <c r="BW452" s="430"/>
      <c r="BX452" s="430"/>
      <c r="BY452" s="430"/>
      <c r="BZ452" s="430"/>
      <c r="CA452" s="430"/>
      <c r="CB452" s="430"/>
      <c r="CC452" s="430"/>
      <c r="CD452" s="430"/>
      <c r="CE452" s="430"/>
      <c r="CF452" s="430"/>
      <c r="CG452" s="430"/>
      <c r="CH452" s="430"/>
      <c r="CI452" s="430"/>
      <c r="CJ452" s="430"/>
      <c r="CK452" s="430"/>
      <c r="CL452" s="430"/>
    </row>
    <row r="453" spans="63:90" ht="14.25" customHeight="1">
      <c r="BK453" s="430"/>
      <c r="BL453" s="430"/>
      <c r="BM453" s="430"/>
      <c r="BN453" s="430"/>
      <c r="BO453" s="430"/>
      <c r="BP453" s="430"/>
      <c r="BQ453" s="430"/>
      <c r="BR453" s="430"/>
      <c r="BS453" s="430"/>
      <c r="BT453" s="430"/>
      <c r="BU453" s="430"/>
      <c r="BV453" s="430"/>
      <c r="BW453" s="430"/>
      <c r="BX453" s="430"/>
      <c r="BY453" s="430"/>
      <c r="BZ453" s="430"/>
      <c r="CA453" s="430"/>
      <c r="CB453" s="430"/>
      <c r="CC453" s="430"/>
      <c r="CD453" s="430"/>
      <c r="CE453" s="430"/>
      <c r="CF453" s="430"/>
      <c r="CG453" s="430"/>
      <c r="CH453" s="430"/>
      <c r="CI453" s="430"/>
      <c r="CJ453" s="430"/>
      <c r="CK453" s="430"/>
      <c r="CL453" s="430"/>
    </row>
    <row r="454" spans="63:90" ht="14.25" customHeight="1">
      <c r="BK454" s="430"/>
      <c r="BL454" s="430"/>
      <c r="BM454" s="430"/>
      <c r="BN454" s="430"/>
      <c r="BO454" s="430"/>
      <c r="BP454" s="430"/>
      <c r="BQ454" s="430"/>
      <c r="BR454" s="430"/>
      <c r="BS454" s="430"/>
      <c r="BT454" s="430"/>
      <c r="BU454" s="430"/>
      <c r="BV454" s="430"/>
      <c r="BW454" s="430"/>
      <c r="BX454" s="430"/>
      <c r="BY454" s="430"/>
      <c r="BZ454" s="430"/>
      <c r="CA454" s="430"/>
      <c r="CB454" s="430"/>
      <c r="CC454" s="430"/>
      <c r="CD454" s="430"/>
      <c r="CE454" s="430"/>
      <c r="CF454" s="430"/>
      <c r="CG454" s="430"/>
      <c r="CH454" s="430"/>
      <c r="CI454" s="430"/>
      <c r="CJ454" s="430"/>
      <c r="CK454" s="430"/>
      <c r="CL454" s="430"/>
    </row>
    <row r="455" spans="63:90" ht="14.25" customHeight="1">
      <c r="BK455" s="430"/>
      <c r="BL455" s="430"/>
      <c r="BM455" s="430"/>
      <c r="BN455" s="430"/>
      <c r="BO455" s="430"/>
      <c r="BP455" s="430"/>
      <c r="BQ455" s="430"/>
      <c r="BR455" s="430"/>
      <c r="BS455" s="430"/>
      <c r="BT455" s="430"/>
      <c r="BU455" s="430"/>
      <c r="BV455" s="430"/>
      <c r="BW455" s="430"/>
      <c r="BX455" s="430"/>
      <c r="BY455" s="430"/>
      <c r="BZ455" s="430"/>
      <c r="CA455" s="430"/>
      <c r="CB455" s="430"/>
      <c r="CC455" s="430"/>
      <c r="CD455" s="430"/>
      <c r="CE455" s="430"/>
      <c r="CF455" s="430"/>
      <c r="CG455" s="430"/>
      <c r="CH455" s="430"/>
      <c r="CI455" s="430"/>
      <c r="CJ455" s="430"/>
      <c r="CK455" s="430"/>
      <c r="CL455" s="430"/>
    </row>
    <row r="456" spans="63:90" ht="14.25" customHeight="1">
      <c r="BK456" s="430"/>
      <c r="BL456" s="430"/>
      <c r="BM456" s="430"/>
      <c r="BN456" s="430"/>
      <c r="BO456" s="430"/>
      <c r="BP456" s="430"/>
      <c r="BQ456" s="430"/>
      <c r="BR456" s="430"/>
      <c r="BS456" s="430"/>
      <c r="BT456" s="430"/>
      <c r="BU456" s="430"/>
      <c r="BV456" s="430"/>
      <c r="BW456" s="430"/>
      <c r="BX456" s="430"/>
      <c r="BY456" s="430"/>
      <c r="BZ456" s="430"/>
      <c r="CA456" s="430"/>
      <c r="CB456" s="430"/>
      <c r="CC456" s="430"/>
      <c r="CD456" s="430"/>
      <c r="CE456" s="430"/>
      <c r="CF456" s="430"/>
      <c r="CG456" s="430"/>
      <c r="CH456" s="430"/>
      <c r="CI456" s="430"/>
      <c r="CJ456" s="430"/>
      <c r="CK456" s="430"/>
      <c r="CL456" s="430"/>
    </row>
    <row r="457" spans="63:90" ht="14.25" customHeight="1">
      <c r="BK457" s="430"/>
      <c r="BL457" s="430"/>
      <c r="BM457" s="430"/>
      <c r="BN457" s="430"/>
      <c r="BO457" s="430"/>
      <c r="BP457" s="430"/>
      <c r="BQ457" s="430"/>
      <c r="BR457" s="430"/>
      <c r="BS457" s="430"/>
      <c r="BT457" s="430"/>
      <c r="BU457" s="430"/>
      <c r="BV457" s="430"/>
      <c r="BW457" s="430"/>
      <c r="BX457" s="430"/>
      <c r="BY457" s="430"/>
      <c r="BZ457" s="430"/>
      <c r="CA457" s="430"/>
      <c r="CB457" s="430"/>
      <c r="CC457" s="430"/>
      <c r="CD457" s="430"/>
      <c r="CE457" s="430"/>
      <c r="CF457" s="430"/>
      <c r="CG457" s="430"/>
      <c r="CH457" s="430"/>
      <c r="CI457" s="430"/>
      <c r="CJ457" s="430"/>
      <c r="CK457" s="430"/>
      <c r="CL457" s="430"/>
    </row>
    <row r="458" spans="63:90" ht="14.25" customHeight="1">
      <c r="BK458" s="430"/>
      <c r="BL458" s="430"/>
      <c r="BM458" s="430"/>
      <c r="BN458" s="430"/>
      <c r="BO458" s="430"/>
      <c r="BP458" s="430"/>
      <c r="BQ458" s="430"/>
      <c r="BR458" s="430"/>
      <c r="BS458" s="430"/>
      <c r="BT458" s="430"/>
      <c r="BU458" s="430"/>
      <c r="BV458" s="430"/>
      <c r="BW458" s="430"/>
      <c r="BX458" s="430"/>
      <c r="BY458" s="430"/>
      <c r="BZ458" s="430"/>
      <c r="CA458" s="430"/>
      <c r="CB458" s="430"/>
      <c r="CC458" s="430"/>
      <c r="CD458" s="430"/>
      <c r="CE458" s="430"/>
      <c r="CF458" s="430"/>
      <c r="CG458" s="430"/>
      <c r="CH458" s="430"/>
      <c r="CI458" s="430"/>
      <c r="CJ458" s="430"/>
      <c r="CK458" s="430"/>
      <c r="CL458" s="430"/>
    </row>
    <row r="459" spans="63:90" ht="14.25" customHeight="1">
      <c r="BK459" s="430"/>
      <c r="BL459" s="430"/>
      <c r="BM459" s="430"/>
      <c r="BN459" s="430"/>
      <c r="BO459" s="430"/>
      <c r="BP459" s="430"/>
      <c r="BQ459" s="430"/>
      <c r="BR459" s="430"/>
      <c r="BS459" s="430"/>
      <c r="BT459" s="430"/>
      <c r="BU459" s="430"/>
      <c r="BV459" s="430"/>
      <c r="BW459" s="430"/>
      <c r="BX459" s="430"/>
      <c r="BY459" s="430"/>
      <c r="BZ459" s="430"/>
      <c r="CA459" s="430"/>
      <c r="CB459" s="430"/>
      <c r="CC459" s="430"/>
      <c r="CD459" s="430"/>
      <c r="CE459" s="430"/>
      <c r="CF459" s="430"/>
      <c r="CG459" s="430"/>
      <c r="CH459" s="430"/>
      <c r="CI459" s="430"/>
      <c r="CJ459" s="430"/>
      <c r="CK459" s="430"/>
      <c r="CL459" s="430"/>
    </row>
    <row r="460" spans="63:90" ht="14.25" customHeight="1">
      <c r="BK460" s="430"/>
      <c r="BL460" s="430"/>
      <c r="BM460" s="430"/>
      <c r="BN460" s="430"/>
      <c r="BO460" s="430"/>
      <c r="BP460" s="430"/>
      <c r="BQ460" s="430"/>
      <c r="BR460" s="430"/>
      <c r="BS460" s="430"/>
      <c r="BT460" s="430"/>
      <c r="BU460" s="430"/>
      <c r="BV460" s="430"/>
      <c r="BW460" s="430"/>
      <c r="BX460" s="430"/>
      <c r="BY460" s="430"/>
      <c r="BZ460" s="430"/>
      <c r="CA460" s="430"/>
      <c r="CB460" s="430"/>
      <c r="CC460" s="430"/>
      <c r="CD460" s="430"/>
      <c r="CE460" s="430"/>
      <c r="CF460" s="430"/>
      <c r="CG460" s="430"/>
      <c r="CH460" s="430"/>
      <c r="CI460" s="430"/>
      <c r="CJ460" s="430"/>
      <c r="CK460" s="430"/>
      <c r="CL460" s="430"/>
    </row>
    <row r="461" spans="63:90" ht="14.25" customHeight="1">
      <c r="BK461" s="430"/>
      <c r="BL461" s="430"/>
      <c r="BM461" s="430"/>
      <c r="BN461" s="430"/>
      <c r="BO461" s="430"/>
      <c r="BP461" s="430"/>
      <c r="BQ461" s="430"/>
      <c r="BR461" s="430"/>
      <c r="BS461" s="430"/>
      <c r="BT461" s="430"/>
      <c r="BU461" s="430"/>
      <c r="BV461" s="430"/>
      <c r="BW461" s="430"/>
      <c r="BX461" s="430"/>
      <c r="BY461" s="430"/>
      <c r="BZ461" s="430"/>
      <c r="CA461" s="430"/>
      <c r="CB461" s="430"/>
      <c r="CC461" s="430"/>
      <c r="CD461" s="430"/>
      <c r="CE461" s="430"/>
      <c r="CF461" s="430"/>
      <c r="CG461" s="430"/>
      <c r="CH461" s="430"/>
      <c r="CI461" s="430"/>
      <c r="CJ461" s="430"/>
      <c r="CK461" s="430"/>
      <c r="CL461" s="430"/>
    </row>
    <row r="462" spans="63:90" ht="14.25" customHeight="1">
      <c r="BK462" s="430"/>
      <c r="BL462" s="430"/>
      <c r="BM462" s="430"/>
      <c r="BN462" s="430"/>
      <c r="BO462" s="430"/>
      <c r="BP462" s="430"/>
      <c r="BQ462" s="430"/>
      <c r="BR462" s="430"/>
      <c r="BS462" s="430"/>
      <c r="BT462" s="430"/>
      <c r="BU462" s="430"/>
      <c r="BV462" s="430"/>
      <c r="BW462" s="430"/>
      <c r="BX462" s="430"/>
      <c r="BY462" s="430"/>
      <c r="BZ462" s="430"/>
      <c r="CA462" s="430"/>
      <c r="CB462" s="430"/>
      <c r="CC462" s="430"/>
      <c r="CD462" s="430"/>
      <c r="CE462" s="430"/>
      <c r="CF462" s="430"/>
      <c r="CG462" s="430"/>
      <c r="CH462" s="430"/>
      <c r="CI462" s="430"/>
      <c r="CJ462" s="430"/>
      <c r="CK462" s="430"/>
      <c r="CL462" s="430"/>
    </row>
    <row r="463" spans="63:90" ht="14.25" customHeight="1">
      <c r="BK463" s="430"/>
      <c r="BL463" s="430"/>
      <c r="BM463" s="430"/>
      <c r="BN463" s="430"/>
      <c r="BO463" s="430"/>
      <c r="BP463" s="430"/>
      <c r="BQ463" s="430"/>
      <c r="BR463" s="430"/>
      <c r="BS463" s="430"/>
      <c r="BT463" s="430"/>
      <c r="BU463" s="430"/>
      <c r="BV463" s="430"/>
      <c r="BW463" s="430"/>
      <c r="BX463" s="430"/>
      <c r="BY463" s="430"/>
      <c r="BZ463" s="430"/>
      <c r="CA463" s="430"/>
      <c r="CB463" s="430"/>
      <c r="CC463" s="430"/>
      <c r="CD463" s="430"/>
      <c r="CE463" s="430"/>
      <c r="CF463" s="430"/>
      <c r="CG463" s="430"/>
      <c r="CH463" s="430"/>
      <c r="CI463" s="430"/>
      <c r="CJ463" s="430"/>
      <c r="CK463" s="430"/>
      <c r="CL463" s="430"/>
    </row>
    <row r="464" spans="63:90" ht="14.25" customHeight="1">
      <c r="BK464" s="430"/>
      <c r="BL464" s="430"/>
      <c r="BM464" s="430"/>
      <c r="BN464" s="430"/>
      <c r="BO464" s="430"/>
      <c r="BP464" s="430"/>
      <c r="BQ464" s="430"/>
      <c r="BR464" s="430"/>
      <c r="BS464" s="430"/>
      <c r="BT464" s="430"/>
      <c r="BU464" s="430"/>
      <c r="BV464" s="430"/>
      <c r="BW464" s="430"/>
      <c r="BX464" s="430"/>
      <c r="BY464" s="430"/>
      <c r="BZ464" s="430"/>
      <c r="CA464" s="430"/>
      <c r="CB464" s="430"/>
      <c r="CC464" s="430"/>
      <c r="CD464" s="430"/>
      <c r="CE464" s="430"/>
      <c r="CF464" s="430"/>
      <c r="CG464" s="430"/>
      <c r="CH464" s="430"/>
      <c r="CI464" s="430"/>
      <c r="CJ464" s="430"/>
      <c r="CK464" s="430"/>
      <c r="CL464" s="430"/>
    </row>
    <row r="465" spans="63:90" ht="14.25" customHeight="1">
      <c r="BK465" s="430"/>
      <c r="BL465" s="430"/>
      <c r="BM465" s="430"/>
      <c r="BN465" s="430"/>
      <c r="BO465" s="430"/>
      <c r="BP465" s="430"/>
      <c r="BQ465" s="430"/>
      <c r="BR465" s="430"/>
      <c r="BS465" s="430"/>
      <c r="BT465" s="430"/>
      <c r="BU465" s="430"/>
      <c r="BV465" s="430"/>
      <c r="BW465" s="430"/>
      <c r="BX465" s="430"/>
      <c r="BY465" s="430"/>
      <c r="BZ465" s="430"/>
      <c r="CA465" s="430"/>
      <c r="CB465" s="430"/>
      <c r="CC465" s="430"/>
      <c r="CD465" s="430"/>
      <c r="CE465" s="430"/>
      <c r="CF465" s="430"/>
      <c r="CG465" s="430"/>
      <c r="CH465" s="430"/>
      <c r="CI465" s="430"/>
      <c r="CJ465" s="430"/>
      <c r="CK465" s="430"/>
      <c r="CL465" s="430"/>
    </row>
    <row r="466" spans="63:90" ht="14.25" customHeight="1">
      <c r="BK466" s="430"/>
      <c r="BL466" s="430"/>
      <c r="BM466" s="430"/>
      <c r="BN466" s="430"/>
      <c r="BO466" s="430"/>
      <c r="BP466" s="430"/>
      <c r="BQ466" s="430"/>
      <c r="BR466" s="430"/>
      <c r="BS466" s="430"/>
      <c r="BT466" s="430"/>
      <c r="BU466" s="430"/>
      <c r="BV466" s="430"/>
      <c r="BW466" s="430"/>
      <c r="BX466" s="430"/>
      <c r="BY466" s="430"/>
      <c r="BZ466" s="430"/>
      <c r="CA466" s="430"/>
      <c r="CB466" s="430"/>
      <c r="CC466" s="430"/>
      <c r="CD466" s="430"/>
      <c r="CE466" s="430"/>
      <c r="CF466" s="430"/>
      <c r="CG466" s="430"/>
      <c r="CH466" s="430"/>
      <c r="CI466" s="430"/>
      <c r="CJ466" s="430"/>
      <c r="CK466" s="430"/>
      <c r="CL466" s="430"/>
    </row>
    <row r="467" spans="63:90" ht="14.25" customHeight="1">
      <c r="BK467" s="430"/>
      <c r="BL467" s="430"/>
      <c r="BM467" s="430"/>
      <c r="BN467" s="430"/>
      <c r="BO467" s="430"/>
      <c r="BP467" s="430"/>
      <c r="BQ467" s="430"/>
      <c r="BR467" s="430"/>
      <c r="BS467" s="430"/>
      <c r="BT467" s="430"/>
      <c r="BU467" s="430"/>
      <c r="BV467" s="430"/>
      <c r="BW467" s="430"/>
      <c r="BX467" s="430"/>
      <c r="BY467" s="430"/>
      <c r="BZ467" s="430"/>
      <c r="CA467" s="430"/>
      <c r="CB467" s="430"/>
      <c r="CC467" s="430"/>
      <c r="CD467" s="430"/>
      <c r="CE467" s="430"/>
      <c r="CF467" s="430"/>
      <c r="CG467" s="430"/>
      <c r="CH467" s="430"/>
      <c r="CI467" s="430"/>
      <c r="CJ467" s="430"/>
      <c r="CK467" s="430"/>
      <c r="CL467" s="430"/>
    </row>
    <row r="468" spans="63:90" ht="14.25" customHeight="1">
      <c r="BK468" s="430"/>
      <c r="BL468" s="430"/>
      <c r="BM468" s="430"/>
      <c r="BN468" s="430"/>
      <c r="BO468" s="430"/>
      <c r="BP468" s="430"/>
      <c r="BQ468" s="430"/>
      <c r="BR468" s="430"/>
      <c r="BS468" s="430"/>
      <c r="BT468" s="430"/>
      <c r="BU468" s="430"/>
      <c r="BV468" s="430"/>
      <c r="BW468" s="430"/>
      <c r="BX468" s="430"/>
      <c r="BY468" s="430"/>
      <c r="BZ468" s="430"/>
      <c r="CA468" s="430"/>
      <c r="CB468" s="430"/>
      <c r="CC468" s="430"/>
      <c r="CD468" s="430"/>
      <c r="CE468" s="430"/>
      <c r="CF468" s="430"/>
      <c r="CG468" s="430"/>
      <c r="CH468" s="430"/>
      <c r="CI468" s="430"/>
      <c r="CJ468" s="430"/>
      <c r="CK468" s="430"/>
      <c r="CL468" s="430"/>
    </row>
    <row r="469" spans="63:90" ht="14.25" customHeight="1">
      <c r="BK469" s="430"/>
      <c r="BL469" s="430"/>
      <c r="BM469" s="430"/>
      <c r="BN469" s="430"/>
      <c r="BO469" s="430"/>
      <c r="BP469" s="430"/>
      <c r="BQ469" s="430"/>
      <c r="BR469" s="430"/>
      <c r="BS469" s="430"/>
      <c r="BT469" s="430"/>
      <c r="BU469" s="430"/>
      <c r="BV469" s="430"/>
      <c r="BW469" s="430"/>
      <c r="BX469" s="430"/>
      <c r="BY469" s="430"/>
      <c r="BZ469" s="430"/>
      <c r="CA469" s="430"/>
      <c r="CB469" s="430"/>
      <c r="CC469" s="430"/>
      <c r="CD469" s="430"/>
      <c r="CE469" s="430"/>
      <c r="CF469" s="430"/>
      <c r="CG469" s="430"/>
      <c r="CH469" s="430"/>
      <c r="CI469" s="430"/>
      <c r="CJ469" s="430"/>
      <c r="CK469" s="430"/>
      <c r="CL469" s="430"/>
    </row>
    <row r="470" spans="63:90" ht="14.25" customHeight="1">
      <c r="BK470" s="430"/>
      <c r="BL470" s="430"/>
      <c r="BM470" s="430"/>
      <c r="BN470" s="430"/>
      <c r="BO470" s="430"/>
      <c r="BP470" s="430"/>
      <c r="BQ470" s="430"/>
      <c r="BR470" s="430"/>
      <c r="BS470" s="430"/>
      <c r="BT470" s="430"/>
      <c r="BU470" s="430"/>
      <c r="BV470" s="430"/>
      <c r="BW470" s="430"/>
      <c r="BX470" s="430"/>
      <c r="BY470" s="430"/>
      <c r="BZ470" s="430"/>
      <c r="CA470" s="430"/>
      <c r="CB470" s="430"/>
      <c r="CC470" s="430"/>
      <c r="CD470" s="430"/>
      <c r="CE470" s="430"/>
      <c r="CF470" s="430"/>
      <c r="CG470" s="430"/>
      <c r="CH470" s="430"/>
      <c r="CI470" s="430"/>
      <c r="CJ470" s="430"/>
      <c r="CK470" s="430"/>
      <c r="CL470" s="430"/>
    </row>
    <row r="471" spans="63:90" ht="14.25" customHeight="1">
      <c r="BK471" s="430"/>
      <c r="BL471" s="430"/>
      <c r="BM471" s="430"/>
      <c r="BN471" s="430"/>
      <c r="BO471" s="430"/>
      <c r="BP471" s="430"/>
      <c r="BQ471" s="430"/>
      <c r="BR471" s="430"/>
      <c r="BS471" s="430"/>
      <c r="BT471" s="430"/>
      <c r="BU471" s="430"/>
      <c r="BV471" s="430"/>
      <c r="BW471" s="430"/>
      <c r="BX471" s="430"/>
      <c r="BY471" s="430"/>
      <c r="BZ471" s="430"/>
      <c r="CA471" s="430"/>
      <c r="CB471" s="430"/>
      <c r="CC471" s="430"/>
      <c r="CD471" s="430"/>
      <c r="CE471" s="430"/>
      <c r="CF471" s="430"/>
      <c r="CG471" s="430"/>
      <c r="CH471" s="430"/>
      <c r="CI471" s="430"/>
      <c r="CJ471" s="430"/>
      <c r="CK471" s="430"/>
      <c r="CL471" s="430"/>
    </row>
    <row r="472" spans="63:90" ht="14.25" customHeight="1">
      <c r="BK472" s="430"/>
      <c r="BL472" s="430"/>
      <c r="BM472" s="430"/>
      <c r="BN472" s="430"/>
      <c r="BO472" s="430"/>
      <c r="BP472" s="430"/>
      <c r="BQ472" s="430"/>
      <c r="BR472" s="430"/>
      <c r="BS472" s="430"/>
      <c r="BT472" s="430"/>
      <c r="BU472" s="430"/>
      <c r="BV472" s="430"/>
      <c r="BW472" s="430"/>
      <c r="BX472" s="430"/>
      <c r="BY472" s="430"/>
      <c r="BZ472" s="430"/>
      <c r="CA472" s="430"/>
      <c r="CB472" s="430"/>
      <c r="CC472" s="430"/>
      <c r="CD472" s="430"/>
      <c r="CE472" s="430"/>
      <c r="CF472" s="430"/>
      <c r="CG472" s="430"/>
      <c r="CH472" s="430"/>
      <c r="CI472" s="430"/>
      <c r="CJ472" s="430"/>
      <c r="CK472" s="430"/>
      <c r="CL472" s="430"/>
    </row>
    <row r="473" spans="63:90" ht="14.25" customHeight="1">
      <c r="BK473" s="430"/>
      <c r="BL473" s="430"/>
      <c r="BM473" s="430"/>
      <c r="BN473" s="430"/>
      <c r="BO473" s="430"/>
      <c r="BP473" s="430"/>
      <c r="BQ473" s="430"/>
      <c r="BR473" s="430"/>
      <c r="BS473" s="430"/>
      <c r="BT473" s="430"/>
      <c r="BU473" s="430"/>
      <c r="BV473" s="430"/>
      <c r="BW473" s="430"/>
      <c r="BX473" s="430"/>
      <c r="BY473" s="430"/>
      <c r="BZ473" s="430"/>
      <c r="CA473" s="430"/>
      <c r="CB473" s="430"/>
      <c r="CC473" s="430"/>
      <c r="CD473" s="430"/>
      <c r="CE473" s="430"/>
      <c r="CF473" s="430"/>
      <c r="CG473" s="430"/>
      <c r="CH473" s="430"/>
      <c r="CI473" s="430"/>
      <c r="CJ473" s="430"/>
      <c r="CK473" s="430"/>
      <c r="CL473" s="430"/>
    </row>
    <row r="474" spans="63:90" ht="14.25" customHeight="1">
      <c r="BK474" s="430"/>
      <c r="BL474" s="430"/>
      <c r="BM474" s="430"/>
      <c r="BN474" s="430"/>
      <c r="BO474" s="430"/>
      <c r="BP474" s="430"/>
      <c r="BQ474" s="430"/>
      <c r="BR474" s="430"/>
      <c r="BS474" s="430"/>
      <c r="BT474" s="430"/>
      <c r="BU474" s="430"/>
      <c r="BV474" s="430"/>
      <c r="BW474" s="430"/>
      <c r="BX474" s="430"/>
      <c r="BY474" s="430"/>
      <c r="BZ474" s="430"/>
      <c r="CA474" s="430"/>
      <c r="CB474" s="430"/>
      <c r="CC474" s="430"/>
      <c r="CD474" s="430"/>
      <c r="CE474" s="430"/>
      <c r="CF474" s="430"/>
      <c r="CG474" s="430"/>
      <c r="CH474" s="430"/>
      <c r="CI474" s="430"/>
      <c r="CJ474" s="430"/>
      <c r="CK474" s="430"/>
      <c r="CL474" s="430"/>
    </row>
    <row r="475" spans="63:90" ht="14.25" customHeight="1">
      <c r="BK475" s="430"/>
      <c r="BL475" s="430"/>
      <c r="BM475" s="430"/>
      <c r="BN475" s="430"/>
      <c r="BO475" s="430"/>
      <c r="BP475" s="430"/>
      <c r="BQ475" s="430"/>
      <c r="BR475" s="430"/>
      <c r="BS475" s="430"/>
      <c r="BT475" s="430"/>
      <c r="BU475" s="430"/>
      <c r="BV475" s="430"/>
      <c r="BW475" s="430"/>
      <c r="BX475" s="430"/>
      <c r="BY475" s="430"/>
      <c r="BZ475" s="430"/>
      <c r="CA475" s="430"/>
      <c r="CB475" s="430"/>
      <c r="CC475" s="430"/>
      <c r="CD475" s="430"/>
      <c r="CE475" s="430"/>
      <c r="CF475" s="430"/>
      <c r="CG475" s="430"/>
      <c r="CH475" s="430"/>
      <c r="CI475" s="430"/>
      <c r="CJ475" s="430"/>
      <c r="CK475" s="430"/>
      <c r="CL475" s="430"/>
    </row>
    <row r="476" spans="63:90" ht="14.25" customHeight="1">
      <c r="BK476" s="430"/>
      <c r="BL476" s="430"/>
      <c r="BM476" s="430"/>
      <c r="BN476" s="430"/>
      <c r="BO476" s="430"/>
      <c r="BP476" s="430"/>
      <c r="BQ476" s="430"/>
      <c r="BR476" s="430"/>
      <c r="BS476" s="430"/>
      <c r="BT476" s="430"/>
      <c r="BU476" s="430"/>
      <c r="BV476" s="430"/>
      <c r="BW476" s="430"/>
      <c r="BX476" s="430"/>
      <c r="BY476" s="430"/>
      <c r="BZ476" s="430"/>
      <c r="CA476" s="430"/>
      <c r="CB476" s="430"/>
      <c r="CC476" s="430"/>
      <c r="CD476" s="430"/>
      <c r="CE476" s="430"/>
      <c r="CF476" s="430"/>
      <c r="CG476" s="430"/>
      <c r="CH476" s="430"/>
      <c r="CI476" s="430"/>
      <c r="CJ476" s="430"/>
      <c r="CK476" s="430"/>
      <c r="CL476" s="430"/>
    </row>
    <row r="477" spans="63:90" ht="14.25" customHeight="1">
      <c r="BK477" s="430"/>
      <c r="BL477" s="430"/>
      <c r="BM477" s="430"/>
      <c r="BN477" s="430"/>
      <c r="BO477" s="430"/>
      <c r="BP477" s="430"/>
      <c r="BQ477" s="430"/>
      <c r="BR477" s="430"/>
      <c r="BS477" s="430"/>
      <c r="BT477" s="430"/>
      <c r="BU477" s="430"/>
      <c r="BV477" s="430"/>
      <c r="BW477" s="430"/>
      <c r="BX477" s="430"/>
      <c r="BY477" s="430"/>
      <c r="BZ477" s="430"/>
      <c r="CA477" s="430"/>
      <c r="CB477" s="430"/>
      <c r="CC477" s="430"/>
      <c r="CD477" s="430"/>
      <c r="CE477" s="430"/>
      <c r="CF477" s="430"/>
      <c r="CG477" s="430"/>
      <c r="CH477" s="430"/>
      <c r="CI477" s="430"/>
      <c r="CJ477" s="430"/>
      <c r="CK477" s="430"/>
      <c r="CL477" s="430"/>
    </row>
    <row r="478" spans="63:90" ht="14.25" customHeight="1">
      <c r="BK478" s="430"/>
      <c r="BL478" s="430"/>
      <c r="BM478" s="430"/>
      <c r="BN478" s="430"/>
      <c r="BO478" s="430"/>
      <c r="BP478" s="430"/>
      <c r="BQ478" s="430"/>
      <c r="BR478" s="430"/>
      <c r="BS478" s="430"/>
      <c r="BT478" s="430"/>
      <c r="BU478" s="430"/>
      <c r="BV478" s="430"/>
      <c r="BW478" s="430"/>
      <c r="BX478" s="430"/>
      <c r="BY478" s="430"/>
      <c r="BZ478" s="430"/>
      <c r="CA478" s="430"/>
      <c r="CB478" s="430"/>
      <c r="CC478" s="430"/>
      <c r="CD478" s="430"/>
      <c r="CE478" s="430"/>
      <c r="CF478" s="430"/>
      <c r="CG478" s="430"/>
      <c r="CH478" s="430"/>
      <c r="CI478" s="430"/>
      <c r="CJ478" s="430"/>
      <c r="CK478" s="430"/>
      <c r="CL478" s="430"/>
    </row>
    <row r="479" spans="63:90" ht="14.25" customHeight="1">
      <c r="BK479" s="430"/>
      <c r="BL479" s="430"/>
      <c r="BM479" s="430"/>
      <c r="BN479" s="430"/>
      <c r="BO479" s="430"/>
      <c r="BP479" s="430"/>
      <c r="BQ479" s="430"/>
      <c r="BR479" s="430"/>
      <c r="BS479" s="430"/>
      <c r="BT479" s="430"/>
      <c r="BU479" s="430"/>
      <c r="BV479" s="430"/>
      <c r="BW479" s="430"/>
      <c r="BX479" s="430"/>
      <c r="BY479" s="430"/>
      <c r="BZ479" s="430"/>
      <c r="CA479" s="430"/>
      <c r="CB479" s="430"/>
      <c r="CC479" s="430"/>
      <c r="CD479" s="430"/>
      <c r="CE479" s="430"/>
      <c r="CF479" s="430"/>
      <c r="CG479" s="430"/>
      <c r="CH479" s="430"/>
      <c r="CI479" s="430"/>
      <c r="CJ479" s="430"/>
      <c r="CK479" s="430"/>
      <c r="CL479" s="430"/>
    </row>
    <row r="480" spans="63:90" ht="14.25" customHeight="1">
      <c r="BK480" s="430"/>
      <c r="BL480" s="430"/>
      <c r="BM480" s="430"/>
      <c r="BN480" s="430"/>
      <c r="BO480" s="430"/>
      <c r="BP480" s="430"/>
      <c r="BQ480" s="430"/>
      <c r="BR480" s="430"/>
      <c r="BS480" s="430"/>
      <c r="BT480" s="430"/>
      <c r="BU480" s="430"/>
      <c r="BV480" s="430"/>
      <c r="BW480" s="430"/>
      <c r="BX480" s="430"/>
      <c r="BY480" s="430"/>
      <c r="BZ480" s="430"/>
      <c r="CA480" s="430"/>
      <c r="CB480" s="430"/>
      <c r="CC480" s="430"/>
      <c r="CD480" s="430"/>
      <c r="CE480" s="430"/>
      <c r="CF480" s="430"/>
      <c r="CG480" s="430"/>
      <c r="CH480" s="430"/>
      <c r="CI480" s="430"/>
      <c r="CJ480" s="430"/>
      <c r="CK480" s="430"/>
      <c r="CL480" s="430"/>
    </row>
    <row r="481" spans="63:90" ht="14.25" customHeight="1">
      <c r="BK481" s="430"/>
      <c r="BL481" s="430"/>
      <c r="BM481" s="430"/>
      <c r="BN481" s="430"/>
      <c r="BO481" s="430"/>
      <c r="BP481" s="430"/>
      <c r="BQ481" s="430"/>
      <c r="BR481" s="430"/>
      <c r="BS481" s="430"/>
      <c r="BT481" s="430"/>
      <c r="BU481" s="430"/>
      <c r="BV481" s="430"/>
      <c r="BW481" s="430"/>
      <c r="BX481" s="430"/>
      <c r="BY481" s="430"/>
      <c r="BZ481" s="430"/>
      <c r="CA481" s="430"/>
      <c r="CB481" s="430"/>
      <c r="CC481" s="430"/>
      <c r="CD481" s="430"/>
      <c r="CE481" s="430"/>
      <c r="CF481" s="430"/>
      <c r="CG481" s="430"/>
      <c r="CH481" s="430"/>
      <c r="CI481" s="430"/>
      <c r="CJ481" s="430"/>
      <c r="CK481" s="430"/>
      <c r="CL481" s="430"/>
    </row>
    <row r="482" spans="63:90" ht="14.25" customHeight="1">
      <c r="BK482" s="430"/>
      <c r="BL482" s="430"/>
      <c r="BM482" s="430"/>
      <c r="BN482" s="430"/>
      <c r="BO482" s="430"/>
      <c r="BP482" s="430"/>
      <c r="BQ482" s="430"/>
      <c r="BR482" s="430"/>
      <c r="BS482" s="430"/>
      <c r="BT482" s="430"/>
      <c r="BU482" s="430"/>
      <c r="BV482" s="430"/>
      <c r="BW482" s="430"/>
      <c r="BX482" s="430"/>
      <c r="BY482" s="430"/>
      <c r="BZ482" s="430"/>
      <c r="CA482" s="430"/>
      <c r="CB482" s="430"/>
      <c r="CC482" s="430"/>
      <c r="CD482" s="430"/>
      <c r="CE482" s="430"/>
      <c r="CF482" s="430"/>
      <c r="CG482" s="430"/>
      <c r="CH482" s="430"/>
      <c r="CI482" s="430"/>
      <c r="CJ482" s="430"/>
      <c r="CK482" s="430"/>
      <c r="CL482" s="430"/>
    </row>
    <row r="483" spans="63:90" ht="14.25" customHeight="1">
      <c r="BK483" s="430"/>
      <c r="BL483" s="430"/>
      <c r="BM483" s="430"/>
      <c r="BN483" s="430"/>
      <c r="BO483" s="430"/>
      <c r="BP483" s="430"/>
      <c r="BQ483" s="430"/>
      <c r="BR483" s="430"/>
      <c r="BS483" s="430"/>
      <c r="BT483" s="430"/>
      <c r="BU483" s="430"/>
      <c r="BV483" s="430"/>
      <c r="BW483" s="430"/>
      <c r="BX483" s="430"/>
      <c r="BY483" s="430"/>
      <c r="BZ483" s="430"/>
      <c r="CA483" s="430"/>
      <c r="CB483" s="430"/>
      <c r="CC483" s="430"/>
      <c r="CD483" s="430"/>
      <c r="CE483" s="430"/>
      <c r="CF483" s="430"/>
      <c r="CG483" s="430"/>
      <c r="CH483" s="430"/>
      <c r="CI483" s="430"/>
      <c r="CJ483" s="430"/>
      <c r="CK483" s="430"/>
      <c r="CL483" s="430"/>
    </row>
    <row r="484" spans="63:90" ht="14.25" customHeight="1">
      <c r="BK484" s="430"/>
      <c r="BL484" s="430"/>
      <c r="BM484" s="430"/>
      <c r="BN484" s="430"/>
      <c r="BO484" s="430"/>
      <c r="BP484" s="430"/>
      <c r="BQ484" s="430"/>
      <c r="BR484" s="430"/>
      <c r="BS484" s="430"/>
      <c r="BT484" s="430"/>
      <c r="BU484" s="430"/>
      <c r="BV484" s="430"/>
      <c r="BW484" s="430"/>
      <c r="BX484" s="430"/>
      <c r="BY484" s="430"/>
      <c r="BZ484" s="430"/>
      <c r="CA484" s="430"/>
      <c r="CB484" s="430"/>
      <c r="CC484" s="430"/>
      <c r="CD484" s="430"/>
      <c r="CE484" s="430"/>
      <c r="CF484" s="430"/>
      <c r="CG484" s="430"/>
      <c r="CH484" s="430"/>
      <c r="CI484" s="430"/>
      <c r="CJ484" s="430"/>
      <c r="CK484" s="430"/>
      <c r="CL484" s="430"/>
    </row>
    <row r="485" spans="63:90" ht="14.25" customHeight="1">
      <c r="BK485" s="430"/>
      <c r="BL485" s="430"/>
      <c r="BM485" s="430"/>
      <c r="BN485" s="430"/>
      <c r="BO485" s="430"/>
      <c r="BP485" s="430"/>
      <c r="BQ485" s="430"/>
      <c r="BR485" s="430"/>
      <c r="BS485" s="430"/>
      <c r="BT485" s="430"/>
      <c r="BU485" s="430"/>
      <c r="BV485" s="430"/>
      <c r="BW485" s="430"/>
      <c r="BX485" s="430"/>
      <c r="BY485" s="430"/>
      <c r="BZ485" s="430"/>
      <c r="CA485" s="430"/>
      <c r="CB485" s="430"/>
      <c r="CC485" s="430"/>
      <c r="CD485" s="430"/>
      <c r="CE485" s="430"/>
      <c r="CF485" s="430"/>
      <c r="CG485" s="430"/>
      <c r="CH485" s="430"/>
      <c r="CI485" s="430"/>
      <c r="CJ485" s="430"/>
      <c r="CK485" s="430"/>
      <c r="CL485" s="430"/>
    </row>
    <row r="486" spans="63:90" ht="14.25" customHeight="1">
      <c r="BK486" s="430"/>
      <c r="BL486" s="430"/>
      <c r="BM486" s="430"/>
      <c r="BN486" s="430"/>
      <c r="BO486" s="430"/>
      <c r="BP486" s="430"/>
      <c r="BQ486" s="430"/>
      <c r="BR486" s="430"/>
      <c r="BS486" s="430"/>
      <c r="BT486" s="430"/>
      <c r="BU486" s="430"/>
      <c r="BV486" s="430"/>
      <c r="BW486" s="430"/>
      <c r="BX486" s="430"/>
      <c r="BY486" s="430"/>
      <c r="BZ486" s="430"/>
      <c r="CA486" s="430"/>
      <c r="CB486" s="430"/>
      <c r="CC486" s="430"/>
      <c r="CD486" s="430"/>
      <c r="CE486" s="430"/>
      <c r="CF486" s="430"/>
      <c r="CG486" s="430"/>
      <c r="CH486" s="430"/>
      <c r="CI486" s="430"/>
      <c r="CJ486" s="430"/>
      <c r="CK486" s="430"/>
      <c r="CL486" s="430"/>
    </row>
    <row r="487" spans="63:90" ht="14.25" customHeight="1">
      <c r="BK487" s="430"/>
      <c r="BL487" s="430"/>
      <c r="BM487" s="430"/>
      <c r="BN487" s="430"/>
      <c r="BO487" s="430"/>
      <c r="BP487" s="430"/>
      <c r="BQ487" s="430"/>
      <c r="BR487" s="430"/>
      <c r="BS487" s="430"/>
      <c r="BT487" s="430"/>
      <c r="BU487" s="430"/>
      <c r="BV487" s="430"/>
      <c r="BW487" s="430"/>
      <c r="BX487" s="430"/>
      <c r="BY487" s="430"/>
      <c r="BZ487" s="430"/>
      <c r="CA487" s="430"/>
      <c r="CB487" s="430"/>
      <c r="CC487" s="430"/>
      <c r="CD487" s="430"/>
      <c r="CE487" s="430"/>
      <c r="CF487" s="430"/>
      <c r="CG487" s="430"/>
      <c r="CH487" s="430"/>
      <c r="CI487" s="430"/>
      <c r="CJ487" s="430"/>
      <c r="CK487" s="430"/>
      <c r="CL487" s="430"/>
    </row>
    <row r="488" spans="63:90" ht="14.25" customHeight="1">
      <c r="BK488" s="430"/>
      <c r="BL488" s="430"/>
      <c r="BM488" s="430"/>
      <c r="BN488" s="430"/>
      <c r="BO488" s="430"/>
      <c r="BP488" s="430"/>
      <c r="BQ488" s="430"/>
      <c r="BR488" s="430"/>
      <c r="BS488" s="430"/>
      <c r="BT488" s="430"/>
      <c r="BU488" s="430"/>
      <c r="BV488" s="430"/>
      <c r="BW488" s="430"/>
      <c r="BX488" s="430"/>
      <c r="BY488" s="430"/>
      <c r="BZ488" s="430"/>
      <c r="CA488" s="430"/>
      <c r="CB488" s="430"/>
      <c r="CC488" s="430"/>
      <c r="CD488" s="430"/>
      <c r="CE488" s="430"/>
      <c r="CF488" s="430"/>
      <c r="CG488" s="430"/>
      <c r="CH488" s="430"/>
      <c r="CI488" s="430"/>
      <c r="CJ488" s="430"/>
      <c r="CK488" s="430"/>
      <c r="CL488" s="430"/>
    </row>
    <row r="489" spans="63:90" ht="14.25" customHeight="1">
      <c r="BK489" s="430"/>
      <c r="BL489" s="430"/>
      <c r="BM489" s="430"/>
      <c r="BN489" s="430"/>
      <c r="BO489" s="430"/>
      <c r="BP489" s="430"/>
      <c r="BQ489" s="430"/>
      <c r="BR489" s="430"/>
      <c r="BS489" s="430"/>
      <c r="BT489" s="430"/>
      <c r="BU489" s="430"/>
      <c r="BV489" s="430"/>
      <c r="BW489" s="430"/>
      <c r="BX489" s="430"/>
      <c r="BY489" s="430"/>
      <c r="BZ489" s="430"/>
      <c r="CA489" s="430"/>
      <c r="CB489" s="430"/>
      <c r="CC489" s="430"/>
      <c r="CD489" s="430"/>
      <c r="CE489" s="430"/>
      <c r="CF489" s="430"/>
      <c r="CG489" s="430"/>
      <c r="CH489" s="430"/>
      <c r="CI489" s="430"/>
      <c r="CJ489" s="430"/>
      <c r="CK489" s="430"/>
      <c r="CL489" s="430"/>
    </row>
    <row r="490" spans="63:90" ht="14.25" customHeight="1">
      <c r="BK490" s="430"/>
      <c r="BL490" s="430"/>
      <c r="BM490" s="430"/>
      <c r="BN490" s="430"/>
      <c r="BO490" s="430"/>
      <c r="BP490" s="430"/>
      <c r="BQ490" s="430"/>
      <c r="BR490" s="430"/>
      <c r="BS490" s="430"/>
      <c r="BT490" s="430"/>
      <c r="BU490" s="430"/>
      <c r="BV490" s="430"/>
      <c r="BW490" s="430"/>
      <c r="BX490" s="430"/>
      <c r="BY490" s="430"/>
      <c r="BZ490" s="430"/>
      <c r="CA490" s="430"/>
      <c r="CB490" s="430"/>
      <c r="CC490" s="430"/>
      <c r="CD490" s="430"/>
      <c r="CE490" s="430"/>
      <c r="CF490" s="430"/>
      <c r="CG490" s="430"/>
      <c r="CH490" s="430"/>
      <c r="CI490" s="430"/>
      <c r="CJ490" s="430"/>
      <c r="CK490" s="430"/>
      <c r="CL490" s="430"/>
    </row>
    <row r="491" spans="63:90" ht="14.25" customHeight="1">
      <c r="BK491" s="430"/>
      <c r="BL491" s="430"/>
      <c r="BM491" s="430"/>
      <c r="BN491" s="430"/>
      <c r="BO491" s="430"/>
      <c r="BP491" s="430"/>
      <c r="BQ491" s="430"/>
      <c r="BR491" s="430"/>
      <c r="BS491" s="430"/>
      <c r="BT491" s="430"/>
      <c r="BU491" s="430"/>
      <c r="BV491" s="430"/>
      <c r="BW491" s="430"/>
      <c r="BX491" s="430"/>
      <c r="BY491" s="430"/>
      <c r="BZ491" s="430"/>
      <c r="CA491" s="430"/>
      <c r="CB491" s="430"/>
      <c r="CC491" s="430"/>
      <c r="CD491" s="430"/>
      <c r="CE491" s="430"/>
      <c r="CF491" s="430"/>
      <c r="CG491" s="430"/>
      <c r="CH491" s="430"/>
      <c r="CI491" s="430"/>
      <c r="CJ491" s="430"/>
      <c r="CK491" s="430"/>
      <c r="CL491" s="430"/>
    </row>
    <row r="492" spans="63:90" ht="14.25" customHeight="1">
      <c r="BK492" s="430"/>
      <c r="BL492" s="430"/>
      <c r="BM492" s="430"/>
      <c r="BN492" s="430"/>
      <c r="BO492" s="430"/>
      <c r="BP492" s="430"/>
      <c r="BQ492" s="430"/>
      <c r="BR492" s="430"/>
      <c r="BS492" s="430"/>
      <c r="BT492" s="430"/>
      <c r="BU492" s="430"/>
      <c r="BV492" s="430"/>
      <c r="BW492" s="430"/>
      <c r="BX492" s="430"/>
      <c r="BY492" s="430"/>
      <c r="BZ492" s="430"/>
      <c r="CA492" s="430"/>
      <c r="CB492" s="430"/>
      <c r="CC492" s="430"/>
      <c r="CD492" s="430"/>
      <c r="CE492" s="430"/>
      <c r="CF492" s="430"/>
      <c r="CG492" s="430"/>
      <c r="CH492" s="430"/>
      <c r="CI492" s="430"/>
      <c r="CJ492" s="430"/>
      <c r="CK492" s="430"/>
      <c r="CL492" s="430"/>
    </row>
    <row r="493" spans="63:90" ht="14.25" customHeight="1">
      <c r="BK493" s="430"/>
      <c r="BL493" s="430"/>
      <c r="BM493" s="430"/>
      <c r="BN493" s="430"/>
      <c r="BO493" s="430"/>
      <c r="BP493" s="430"/>
      <c r="BQ493" s="430"/>
      <c r="BR493" s="430"/>
      <c r="BS493" s="430"/>
      <c r="BT493" s="430"/>
      <c r="BU493" s="430"/>
      <c r="BV493" s="430"/>
      <c r="BW493" s="430"/>
      <c r="BX493" s="430"/>
      <c r="BY493" s="430"/>
      <c r="BZ493" s="430"/>
      <c r="CA493" s="430"/>
      <c r="CB493" s="430"/>
      <c r="CC493" s="430"/>
      <c r="CD493" s="430"/>
      <c r="CE493" s="430"/>
      <c r="CF493" s="430"/>
      <c r="CG493" s="430"/>
      <c r="CH493" s="430"/>
      <c r="CI493" s="430"/>
      <c r="CJ493" s="430"/>
      <c r="CK493" s="430"/>
      <c r="CL493" s="430"/>
    </row>
    <row r="494" spans="63:90" ht="14.25" customHeight="1">
      <c r="BK494" s="430"/>
      <c r="BL494" s="430"/>
      <c r="BM494" s="430"/>
      <c r="BN494" s="430"/>
      <c r="BO494" s="430"/>
      <c r="BP494" s="430"/>
      <c r="BQ494" s="430"/>
      <c r="BR494" s="430"/>
      <c r="BS494" s="430"/>
      <c r="BT494" s="430"/>
      <c r="BU494" s="430"/>
      <c r="BV494" s="430"/>
      <c r="BW494" s="430"/>
      <c r="BX494" s="430"/>
      <c r="BY494" s="430"/>
      <c r="BZ494" s="430"/>
      <c r="CA494" s="430"/>
      <c r="CB494" s="430"/>
      <c r="CC494" s="430"/>
      <c r="CD494" s="430"/>
      <c r="CE494" s="430"/>
      <c r="CF494" s="430"/>
      <c r="CG494" s="430"/>
      <c r="CH494" s="430"/>
      <c r="CI494" s="430"/>
      <c r="CJ494" s="430"/>
      <c r="CK494" s="430"/>
      <c r="CL494" s="430"/>
    </row>
    <row r="495" spans="63:90" ht="14.25" customHeight="1">
      <c r="BK495" s="430"/>
      <c r="BL495" s="430"/>
      <c r="BM495" s="430"/>
      <c r="BN495" s="430"/>
      <c r="BO495" s="430"/>
      <c r="BP495" s="430"/>
      <c r="BQ495" s="430"/>
      <c r="BR495" s="430"/>
      <c r="BS495" s="430"/>
      <c r="BT495" s="430"/>
      <c r="BU495" s="430"/>
      <c r="BV495" s="430"/>
      <c r="BW495" s="430"/>
      <c r="BX495" s="430"/>
      <c r="BY495" s="430"/>
      <c r="BZ495" s="430"/>
      <c r="CA495" s="430"/>
      <c r="CB495" s="430"/>
      <c r="CC495" s="430"/>
      <c r="CD495" s="430"/>
      <c r="CE495" s="430"/>
      <c r="CF495" s="430"/>
      <c r="CG495" s="430"/>
      <c r="CH495" s="430"/>
      <c r="CI495" s="430"/>
      <c r="CJ495" s="430"/>
      <c r="CK495" s="430"/>
      <c r="CL495" s="430"/>
    </row>
    <row r="496" spans="63:90" ht="14.25" customHeight="1">
      <c r="BK496" s="430"/>
      <c r="BL496" s="430"/>
      <c r="BM496" s="430"/>
      <c r="BN496" s="430"/>
      <c r="BO496" s="430"/>
      <c r="BP496" s="430"/>
      <c r="BQ496" s="430"/>
      <c r="BR496" s="430"/>
      <c r="BS496" s="430"/>
      <c r="BT496" s="430"/>
      <c r="BU496" s="430"/>
      <c r="BV496" s="430"/>
      <c r="BW496" s="430"/>
      <c r="BX496" s="430"/>
      <c r="BY496" s="430"/>
      <c r="BZ496" s="430"/>
      <c r="CA496" s="430"/>
      <c r="CB496" s="430"/>
      <c r="CC496" s="430"/>
      <c r="CD496" s="430"/>
      <c r="CE496" s="430"/>
      <c r="CF496" s="430"/>
      <c r="CG496" s="430"/>
      <c r="CH496" s="430"/>
      <c r="CI496" s="430"/>
      <c r="CJ496" s="430"/>
      <c r="CK496" s="430"/>
      <c r="CL496" s="430"/>
    </row>
    <row r="497" spans="63:90" ht="14.25" customHeight="1">
      <c r="BK497" s="430"/>
      <c r="BL497" s="430"/>
      <c r="BM497" s="430"/>
      <c r="BN497" s="430"/>
      <c r="BO497" s="430"/>
      <c r="BP497" s="430"/>
      <c r="BQ497" s="430"/>
      <c r="BR497" s="430"/>
      <c r="BS497" s="430"/>
      <c r="BT497" s="430"/>
      <c r="BU497" s="430"/>
      <c r="BV497" s="430"/>
      <c r="BW497" s="430"/>
      <c r="BX497" s="430"/>
      <c r="BY497" s="430"/>
      <c r="BZ497" s="430"/>
      <c r="CA497" s="430"/>
      <c r="CB497" s="430"/>
      <c r="CC497" s="430"/>
      <c r="CD497" s="430"/>
      <c r="CE497" s="430"/>
      <c r="CF497" s="430"/>
      <c r="CG497" s="430"/>
      <c r="CH497" s="430"/>
      <c r="CI497" s="430"/>
      <c r="CJ497" s="430"/>
      <c r="CK497" s="430"/>
      <c r="CL497" s="430"/>
    </row>
    <row r="498" spans="63:90" ht="14.25" customHeight="1">
      <c r="BK498" s="430"/>
      <c r="BL498" s="430"/>
      <c r="BM498" s="430"/>
      <c r="BN498" s="430"/>
      <c r="BO498" s="430"/>
      <c r="BP498" s="430"/>
      <c r="BQ498" s="430"/>
      <c r="BR498" s="430"/>
      <c r="BS498" s="430"/>
      <c r="BT498" s="430"/>
      <c r="BU498" s="430"/>
      <c r="BV498" s="430"/>
      <c r="BW498" s="430"/>
      <c r="BX498" s="430"/>
      <c r="BY498" s="430"/>
      <c r="BZ498" s="430"/>
      <c r="CA498" s="430"/>
      <c r="CB498" s="430"/>
      <c r="CC498" s="430"/>
      <c r="CD498" s="430"/>
      <c r="CE498" s="430"/>
      <c r="CF498" s="430"/>
      <c r="CG498" s="430"/>
      <c r="CH498" s="430"/>
      <c r="CI498" s="430"/>
      <c r="CJ498" s="430"/>
      <c r="CK498" s="430"/>
      <c r="CL498" s="430"/>
    </row>
    <row r="499" spans="63:90" ht="14.25" customHeight="1">
      <c r="BK499" s="430"/>
      <c r="BL499" s="430"/>
      <c r="BM499" s="430"/>
      <c r="BN499" s="430"/>
      <c r="BO499" s="430"/>
      <c r="BP499" s="430"/>
      <c r="BQ499" s="430"/>
      <c r="BR499" s="430"/>
      <c r="BS499" s="430"/>
      <c r="BT499" s="430"/>
      <c r="BU499" s="430"/>
      <c r="BV499" s="430"/>
      <c r="BW499" s="430"/>
      <c r="BX499" s="430"/>
      <c r="BY499" s="430"/>
      <c r="BZ499" s="430"/>
      <c r="CA499" s="430"/>
      <c r="CB499" s="430"/>
      <c r="CC499" s="430"/>
      <c r="CD499" s="430"/>
      <c r="CE499" s="430"/>
      <c r="CF499" s="430"/>
      <c r="CG499" s="430"/>
      <c r="CH499" s="430"/>
      <c r="CI499" s="430"/>
      <c r="CJ499" s="430"/>
      <c r="CK499" s="430"/>
      <c r="CL499" s="430"/>
    </row>
    <row r="500" spans="63:90" ht="14.25" customHeight="1">
      <c r="BK500" s="430"/>
      <c r="BL500" s="430"/>
      <c r="BM500" s="430"/>
      <c r="BN500" s="430"/>
      <c r="BO500" s="430"/>
      <c r="BP500" s="430"/>
      <c r="BQ500" s="430"/>
      <c r="BR500" s="430"/>
      <c r="BS500" s="430"/>
      <c r="BT500" s="430"/>
      <c r="BU500" s="430"/>
      <c r="BV500" s="430"/>
      <c r="BW500" s="430"/>
      <c r="BX500" s="430"/>
      <c r="BY500" s="430"/>
      <c r="BZ500" s="430"/>
      <c r="CA500" s="430"/>
      <c r="CB500" s="430"/>
      <c r="CC500" s="430"/>
      <c r="CD500" s="430"/>
      <c r="CE500" s="430"/>
      <c r="CF500" s="430"/>
      <c r="CG500" s="430"/>
      <c r="CH500" s="430"/>
      <c r="CI500" s="430"/>
      <c r="CJ500" s="430"/>
      <c r="CK500" s="430"/>
      <c r="CL500" s="430"/>
    </row>
    <row r="501" spans="63:90" ht="14.25" customHeight="1">
      <c r="BK501" s="430"/>
      <c r="BL501" s="430"/>
      <c r="BM501" s="430"/>
      <c r="BN501" s="430"/>
      <c r="BO501" s="430"/>
      <c r="BP501" s="430"/>
      <c r="BQ501" s="430"/>
      <c r="BR501" s="430"/>
      <c r="BS501" s="430"/>
      <c r="BT501" s="430"/>
      <c r="BU501" s="430"/>
      <c r="BV501" s="430"/>
      <c r="BW501" s="430"/>
      <c r="BX501" s="430"/>
      <c r="BY501" s="430"/>
      <c r="BZ501" s="430"/>
      <c r="CA501" s="430"/>
      <c r="CB501" s="430"/>
      <c r="CC501" s="430"/>
      <c r="CD501" s="430"/>
      <c r="CE501" s="430"/>
      <c r="CF501" s="430"/>
      <c r="CG501" s="430"/>
      <c r="CH501" s="430"/>
      <c r="CI501" s="430"/>
      <c r="CJ501" s="430"/>
      <c r="CK501" s="430"/>
      <c r="CL501" s="430"/>
    </row>
    <row r="502" spans="63:90" ht="14.25" customHeight="1">
      <c r="BK502" s="430"/>
      <c r="BL502" s="430"/>
      <c r="BM502" s="430"/>
      <c r="BN502" s="430"/>
      <c r="BO502" s="430"/>
      <c r="BP502" s="430"/>
      <c r="BQ502" s="430"/>
      <c r="BR502" s="430"/>
      <c r="BS502" s="430"/>
      <c r="BT502" s="430"/>
      <c r="BU502" s="430"/>
      <c r="BV502" s="430"/>
      <c r="BW502" s="430"/>
      <c r="BX502" s="430"/>
      <c r="BY502" s="430"/>
      <c r="BZ502" s="430"/>
      <c r="CA502" s="430"/>
      <c r="CB502" s="430"/>
      <c r="CC502" s="430"/>
      <c r="CD502" s="430"/>
      <c r="CE502" s="430"/>
      <c r="CF502" s="430"/>
      <c r="CG502" s="430"/>
      <c r="CH502" s="430"/>
      <c r="CI502" s="430"/>
      <c r="CJ502" s="430"/>
      <c r="CK502" s="430"/>
      <c r="CL502" s="430"/>
    </row>
    <row r="503" spans="63:90" ht="14.25" customHeight="1">
      <c r="BK503" s="430"/>
      <c r="BL503" s="430"/>
      <c r="BM503" s="430"/>
      <c r="BN503" s="430"/>
      <c r="BO503" s="430"/>
      <c r="BP503" s="430"/>
      <c r="BQ503" s="430"/>
      <c r="BR503" s="430"/>
      <c r="BS503" s="430"/>
      <c r="BT503" s="430"/>
      <c r="BU503" s="430"/>
      <c r="BV503" s="430"/>
      <c r="BW503" s="430"/>
      <c r="BX503" s="430"/>
      <c r="BY503" s="430"/>
      <c r="BZ503" s="430"/>
      <c r="CA503" s="430"/>
      <c r="CB503" s="430"/>
      <c r="CC503" s="430"/>
      <c r="CD503" s="430"/>
      <c r="CE503" s="430"/>
      <c r="CF503" s="430"/>
      <c r="CG503" s="430"/>
      <c r="CH503" s="430"/>
      <c r="CI503" s="430"/>
      <c r="CJ503" s="430"/>
      <c r="CK503" s="430"/>
      <c r="CL503" s="430"/>
    </row>
    <row r="504" spans="63:90" ht="14.25" customHeight="1">
      <c r="BK504" s="430"/>
      <c r="BL504" s="430"/>
      <c r="BM504" s="430"/>
      <c r="BN504" s="430"/>
      <c r="BO504" s="430"/>
      <c r="BP504" s="430"/>
      <c r="BQ504" s="430"/>
      <c r="BR504" s="430"/>
      <c r="BS504" s="430"/>
      <c r="BT504" s="430"/>
      <c r="BU504" s="430"/>
      <c r="BV504" s="430"/>
      <c r="BW504" s="430"/>
      <c r="BX504" s="430"/>
      <c r="BY504" s="430"/>
      <c r="BZ504" s="430"/>
      <c r="CA504" s="430"/>
      <c r="CB504" s="430"/>
      <c r="CC504" s="430"/>
      <c r="CD504" s="430"/>
      <c r="CE504" s="430"/>
      <c r="CF504" s="430"/>
      <c r="CG504" s="430"/>
      <c r="CH504" s="430"/>
      <c r="CI504" s="430"/>
      <c r="CJ504" s="430"/>
      <c r="CK504" s="430"/>
      <c r="CL504" s="430"/>
    </row>
    <row r="505" spans="63:90" ht="14.25" customHeight="1">
      <c r="BK505" s="430"/>
      <c r="BL505" s="430"/>
      <c r="BM505" s="430"/>
      <c r="BN505" s="430"/>
      <c r="BO505" s="430"/>
      <c r="BP505" s="430"/>
      <c r="BQ505" s="430"/>
      <c r="BR505" s="430"/>
      <c r="BS505" s="430"/>
      <c r="BT505" s="430"/>
      <c r="BU505" s="430"/>
      <c r="BV505" s="430"/>
      <c r="BW505" s="430"/>
      <c r="BX505" s="430"/>
      <c r="BY505" s="430"/>
      <c r="BZ505" s="430"/>
      <c r="CA505" s="430"/>
      <c r="CB505" s="430"/>
      <c r="CC505" s="430"/>
      <c r="CD505" s="430"/>
      <c r="CE505" s="430"/>
      <c r="CF505" s="430"/>
      <c r="CG505" s="430"/>
      <c r="CH505" s="430"/>
      <c r="CI505" s="430"/>
      <c r="CJ505" s="430"/>
      <c r="CK505" s="430"/>
      <c r="CL505" s="430"/>
    </row>
    <row r="506" spans="63:90" ht="14.25" customHeight="1">
      <c r="BK506" s="430"/>
      <c r="BL506" s="430"/>
      <c r="BM506" s="430"/>
      <c r="BN506" s="430"/>
      <c r="BO506" s="430"/>
      <c r="BP506" s="430"/>
      <c r="BQ506" s="430"/>
      <c r="BR506" s="430"/>
      <c r="BS506" s="430"/>
      <c r="BT506" s="430"/>
      <c r="BU506" s="430"/>
      <c r="BV506" s="430"/>
      <c r="BW506" s="430"/>
      <c r="BX506" s="430"/>
      <c r="BY506" s="430"/>
      <c r="BZ506" s="430"/>
      <c r="CA506" s="430"/>
      <c r="CB506" s="430"/>
      <c r="CC506" s="430"/>
      <c r="CD506" s="430"/>
      <c r="CE506" s="430"/>
      <c r="CF506" s="430"/>
      <c r="CG506" s="430"/>
      <c r="CH506" s="430"/>
      <c r="CI506" s="430"/>
      <c r="CJ506" s="430"/>
      <c r="CK506" s="430"/>
      <c r="CL506" s="430"/>
    </row>
    <row r="507" spans="63:90" ht="14.25" customHeight="1">
      <c r="BK507" s="430"/>
      <c r="BL507" s="430"/>
      <c r="BM507" s="430"/>
      <c r="BN507" s="430"/>
      <c r="BO507" s="430"/>
      <c r="BP507" s="430"/>
      <c r="BQ507" s="430"/>
      <c r="BR507" s="430"/>
      <c r="BS507" s="430"/>
      <c r="BT507" s="430"/>
      <c r="BU507" s="430"/>
      <c r="BV507" s="430"/>
      <c r="BW507" s="430"/>
      <c r="BX507" s="430"/>
      <c r="BY507" s="430"/>
      <c r="BZ507" s="430"/>
      <c r="CA507" s="430"/>
      <c r="CB507" s="430"/>
      <c r="CC507" s="430"/>
      <c r="CD507" s="430"/>
      <c r="CE507" s="430"/>
      <c r="CF507" s="430"/>
      <c r="CG507" s="430"/>
      <c r="CH507" s="430"/>
      <c r="CI507" s="430"/>
      <c r="CJ507" s="430"/>
      <c r="CK507" s="430"/>
      <c r="CL507" s="430"/>
    </row>
    <row r="508" spans="63:90" ht="14.25" customHeight="1">
      <c r="BK508" s="430"/>
      <c r="BL508" s="430"/>
      <c r="BM508" s="430"/>
      <c r="BN508" s="430"/>
      <c r="BO508" s="430"/>
      <c r="BP508" s="430"/>
      <c r="BQ508" s="430"/>
      <c r="BR508" s="430"/>
      <c r="BS508" s="430"/>
      <c r="BT508" s="430"/>
      <c r="BU508" s="430"/>
      <c r="BV508" s="430"/>
      <c r="BW508" s="430"/>
      <c r="BX508" s="430"/>
      <c r="BY508" s="430"/>
      <c r="BZ508" s="430"/>
      <c r="CA508" s="430"/>
      <c r="CB508" s="430"/>
      <c r="CC508" s="430"/>
      <c r="CD508" s="430"/>
      <c r="CE508" s="430"/>
      <c r="CF508" s="430"/>
      <c r="CG508" s="430"/>
      <c r="CH508" s="430"/>
      <c r="CI508" s="430"/>
      <c r="CJ508" s="430"/>
      <c r="CK508" s="430"/>
      <c r="CL508" s="430"/>
    </row>
    <row r="509" spans="63:90" ht="14.25" customHeight="1">
      <c r="BK509" s="430"/>
      <c r="BL509" s="430"/>
      <c r="BM509" s="430"/>
      <c r="BN509" s="430"/>
      <c r="BO509" s="430"/>
      <c r="BP509" s="430"/>
      <c r="BQ509" s="430"/>
      <c r="BR509" s="430"/>
      <c r="BS509" s="430"/>
      <c r="BT509" s="430"/>
      <c r="BU509" s="430"/>
      <c r="BV509" s="430"/>
      <c r="BW509" s="430"/>
      <c r="BX509" s="430"/>
      <c r="BY509" s="430"/>
      <c r="BZ509" s="430"/>
      <c r="CA509" s="430"/>
      <c r="CB509" s="430"/>
      <c r="CC509" s="430"/>
      <c r="CD509" s="430"/>
      <c r="CE509" s="430"/>
      <c r="CF509" s="430"/>
      <c r="CG509" s="430"/>
      <c r="CH509" s="430"/>
      <c r="CI509" s="430"/>
      <c r="CJ509" s="430"/>
      <c r="CK509" s="430"/>
      <c r="CL509" s="430"/>
    </row>
    <row r="510" spans="63:90" ht="14.25" customHeight="1">
      <c r="BK510" s="430"/>
      <c r="BL510" s="430"/>
      <c r="BM510" s="430"/>
      <c r="BN510" s="430"/>
      <c r="BO510" s="430"/>
      <c r="BP510" s="430"/>
      <c r="BQ510" s="430"/>
      <c r="BR510" s="430"/>
      <c r="BS510" s="430"/>
      <c r="BT510" s="430"/>
      <c r="BU510" s="430"/>
      <c r="BV510" s="430"/>
      <c r="BW510" s="430"/>
      <c r="BX510" s="430"/>
      <c r="BY510" s="430"/>
      <c r="BZ510" s="430"/>
      <c r="CA510" s="430"/>
      <c r="CB510" s="430"/>
      <c r="CC510" s="430"/>
      <c r="CD510" s="430"/>
      <c r="CE510" s="430"/>
      <c r="CF510" s="430"/>
      <c r="CG510" s="430"/>
      <c r="CH510" s="430"/>
      <c r="CI510" s="430"/>
      <c r="CJ510" s="430"/>
      <c r="CK510" s="430"/>
      <c r="CL510" s="430"/>
    </row>
    <row r="511" spans="63:90" ht="14.25" customHeight="1">
      <c r="BK511" s="430"/>
      <c r="BL511" s="430"/>
      <c r="BM511" s="430"/>
      <c r="BN511" s="430"/>
      <c r="BO511" s="430"/>
      <c r="BP511" s="430"/>
      <c r="BQ511" s="430"/>
      <c r="BR511" s="430"/>
      <c r="BS511" s="430"/>
      <c r="BT511" s="430"/>
      <c r="BU511" s="430"/>
      <c r="BV511" s="430"/>
      <c r="BW511" s="430"/>
      <c r="BX511" s="430"/>
      <c r="BY511" s="430"/>
      <c r="BZ511" s="430"/>
      <c r="CA511" s="430"/>
      <c r="CB511" s="430"/>
      <c r="CC511" s="430"/>
      <c r="CD511" s="430"/>
      <c r="CE511" s="430"/>
      <c r="CF511" s="430"/>
      <c r="CG511" s="430"/>
      <c r="CH511" s="430"/>
      <c r="CI511" s="430"/>
      <c r="CJ511" s="430"/>
      <c r="CK511" s="430"/>
      <c r="CL511" s="430"/>
    </row>
    <row r="512" spans="63:90" ht="14.25" customHeight="1">
      <c r="BK512" s="430"/>
      <c r="BL512" s="430"/>
      <c r="BM512" s="430"/>
      <c r="BN512" s="430"/>
      <c r="BO512" s="430"/>
      <c r="BP512" s="430"/>
      <c r="BQ512" s="430"/>
      <c r="BR512" s="430"/>
      <c r="BS512" s="430"/>
      <c r="BT512" s="430"/>
      <c r="BU512" s="430"/>
      <c r="BV512" s="430"/>
      <c r="BW512" s="430"/>
      <c r="BX512" s="430"/>
      <c r="BY512" s="430"/>
      <c r="BZ512" s="430"/>
      <c r="CA512" s="430"/>
      <c r="CB512" s="430"/>
      <c r="CC512" s="430"/>
      <c r="CD512" s="430"/>
      <c r="CE512" s="430"/>
      <c r="CF512" s="430"/>
      <c r="CG512" s="430"/>
      <c r="CH512" s="430"/>
      <c r="CI512" s="430"/>
      <c r="CJ512" s="430"/>
      <c r="CK512" s="430"/>
      <c r="CL512" s="430"/>
    </row>
    <row r="513" spans="63:90" ht="14.25" customHeight="1">
      <c r="BK513" s="430"/>
      <c r="BL513" s="430"/>
      <c r="BM513" s="430"/>
      <c r="BN513" s="430"/>
      <c r="BO513" s="430"/>
      <c r="BP513" s="430"/>
      <c r="BQ513" s="430"/>
      <c r="BR513" s="430"/>
      <c r="BS513" s="430"/>
      <c r="BT513" s="430"/>
      <c r="BU513" s="430"/>
      <c r="BV513" s="430"/>
      <c r="BW513" s="430"/>
      <c r="BX513" s="430"/>
      <c r="BY513" s="430"/>
      <c r="BZ513" s="430"/>
      <c r="CA513" s="430"/>
      <c r="CB513" s="430"/>
      <c r="CC513" s="430"/>
      <c r="CD513" s="430"/>
      <c r="CE513" s="430"/>
      <c r="CF513" s="430"/>
      <c r="CG513" s="430"/>
      <c r="CH513" s="430"/>
      <c r="CI513" s="430"/>
      <c r="CJ513" s="430"/>
      <c r="CK513" s="430"/>
      <c r="CL513" s="430"/>
    </row>
    <row r="514" spans="63:90" ht="14.25" customHeight="1">
      <c r="BK514" s="430"/>
      <c r="BL514" s="430"/>
      <c r="BM514" s="430"/>
      <c r="BN514" s="430"/>
      <c r="BO514" s="430"/>
      <c r="BP514" s="430"/>
      <c r="BQ514" s="430"/>
      <c r="BR514" s="430"/>
      <c r="BS514" s="430"/>
      <c r="BT514" s="430"/>
      <c r="BU514" s="430"/>
      <c r="BV514" s="430"/>
      <c r="BW514" s="430"/>
      <c r="BX514" s="430"/>
      <c r="BY514" s="430"/>
      <c r="BZ514" s="430"/>
      <c r="CA514" s="430"/>
      <c r="CB514" s="430"/>
      <c r="CC514" s="430"/>
      <c r="CD514" s="430"/>
      <c r="CE514" s="430"/>
      <c r="CF514" s="430"/>
      <c r="CG514" s="430"/>
      <c r="CH514" s="430"/>
      <c r="CI514" s="430"/>
      <c r="CJ514" s="430"/>
      <c r="CK514" s="430"/>
      <c r="CL514" s="430"/>
    </row>
    <row r="515" spans="63:90" ht="14.25" customHeight="1">
      <c r="BK515" s="430"/>
      <c r="BL515" s="430"/>
      <c r="BM515" s="430"/>
      <c r="BN515" s="430"/>
      <c r="BO515" s="430"/>
      <c r="BP515" s="430"/>
      <c r="BQ515" s="430"/>
      <c r="BR515" s="430"/>
      <c r="BS515" s="430"/>
      <c r="BT515" s="430"/>
      <c r="BU515" s="430"/>
      <c r="BV515" s="430"/>
      <c r="BW515" s="430"/>
      <c r="BX515" s="430"/>
      <c r="BY515" s="430"/>
      <c r="BZ515" s="430"/>
      <c r="CA515" s="430"/>
      <c r="CB515" s="430"/>
      <c r="CC515" s="430"/>
      <c r="CD515" s="430"/>
      <c r="CE515" s="430"/>
      <c r="CF515" s="430"/>
      <c r="CG515" s="430"/>
      <c r="CH515" s="430"/>
      <c r="CI515" s="430"/>
      <c r="CJ515" s="430"/>
      <c r="CK515" s="430"/>
      <c r="CL515" s="430"/>
    </row>
    <row r="516" spans="63:90" ht="14.25" customHeight="1">
      <c r="BK516" s="430"/>
      <c r="BL516" s="430"/>
      <c r="BM516" s="430"/>
      <c r="BN516" s="430"/>
      <c r="BO516" s="430"/>
      <c r="BP516" s="430"/>
      <c r="BQ516" s="430"/>
      <c r="BR516" s="430"/>
      <c r="BS516" s="430"/>
      <c r="BT516" s="430"/>
      <c r="BU516" s="430"/>
      <c r="BV516" s="430"/>
      <c r="BW516" s="430"/>
      <c r="BX516" s="430"/>
      <c r="BY516" s="430"/>
      <c r="BZ516" s="430"/>
      <c r="CA516" s="430"/>
      <c r="CB516" s="430"/>
      <c r="CC516" s="430"/>
      <c r="CD516" s="430"/>
      <c r="CE516" s="430"/>
      <c r="CF516" s="430"/>
      <c r="CG516" s="430"/>
      <c r="CH516" s="430"/>
      <c r="CI516" s="430"/>
      <c r="CJ516" s="430"/>
      <c r="CK516" s="430"/>
      <c r="CL516" s="430"/>
    </row>
    <row r="517" spans="63:90" ht="14.25" customHeight="1">
      <c r="BK517" s="430"/>
      <c r="BL517" s="430"/>
      <c r="BM517" s="430"/>
      <c r="BN517" s="430"/>
      <c r="BO517" s="430"/>
      <c r="BP517" s="430"/>
      <c r="BQ517" s="430"/>
      <c r="BR517" s="430"/>
      <c r="BS517" s="430"/>
      <c r="BT517" s="430"/>
      <c r="BU517" s="430"/>
      <c r="BV517" s="430"/>
      <c r="BW517" s="430"/>
      <c r="BX517" s="430"/>
      <c r="BY517" s="430"/>
      <c r="BZ517" s="430"/>
      <c r="CA517" s="430"/>
      <c r="CB517" s="430"/>
      <c r="CC517" s="430"/>
      <c r="CD517" s="430"/>
      <c r="CE517" s="430"/>
      <c r="CF517" s="430"/>
      <c r="CG517" s="430"/>
      <c r="CH517" s="430"/>
      <c r="CI517" s="430"/>
      <c r="CJ517" s="430"/>
      <c r="CK517" s="430"/>
      <c r="CL517" s="430"/>
    </row>
    <row r="518" spans="63:90" ht="14.25" customHeight="1">
      <c r="BK518" s="430"/>
      <c r="BL518" s="430"/>
      <c r="BM518" s="430"/>
      <c r="BN518" s="430"/>
      <c r="BO518" s="430"/>
      <c r="BP518" s="430"/>
      <c r="BQ518" s="430"/>
      <c r="BR518" s="430"/>
      <c r="BS518" s="430"/>
      <c r="BT518" s="430"/>
      <c r="BU518" s="430"/>
      <c r="BV518" s="430"/>
      <c r="BW518" s="430"/>
      <c r="BX518" s="430"/>
      <c r="BY518" s="430"/>
      <c r="BZ518" s="430"/>
      <c r="CA518" s="430"/>
      <c r="CB518" s="430"/>
      <c r="CC518" s="430"/>
      <c r="CD518" s="430"/>
      <c r="CE518" s="430"/>
      <c r="CF518" s="430"/>
      <c r="CG518" s="430"/>
      <c r="CH518" s="430"/>
      <c r="CI518" s="430"/>
      <c r="CJ518" s="430"/>
      <c r="CK518" s="430"/>
      <c r="CL518" s="430"/>
    </row>
    <row r="519" spans="63:90" ht="14.25" customHeight="1">
      <c r="BK519" s="430"/>
      <c r="BL519" s="430"/>
      <c r="BM519" s="430"/>
      <c r="BN519" s="430"/>
      <c r="BO519" s="430"/>
      <c r="BP519" s="430"/>
      <c r="BQ519" s="430"/>
      <c r="BR519" s="430"/>
      <c r="BS519" s="430"/>
      <c r="BT519" s="430"/>
      <c r="BU519" s="430"/>
      <c r="BV519" s="430"/>
      <c r="BW519" s="430"/>
      <c r="BX519" s="430"/>
      <c r="BY519" s="430"/>
      <c r="BZ519" s="430"/>
      <c r="CA519" s="430"/>
      <c r="CB519" s="430"/>
      <c r="CC519" s="430"/>
      <c r="CD519" s="430"/>
      <c r="CE519" s="430"/>
      <c r="CF519" s="430"/>
      <c r="CG519" s="430"/>
      <c r="CH519" s="430"/>
      <c r="CI519" s="430"/>
      <c r="CJ519" s="430"/>
      <c r="CK519" s="430"/>
      <c r="CL519" s="430"/>
    </row>
    <row r="520" spans="63:90" ht="14.25" customHeight="1">
      <c r="BK520" s="430"/>
      <c r="BL520" s="430"/>
      <c r="BM520" s="430"/>
      <c r="BN520" s="430"/>
      <c r="BO520" s="430"/>
      <c r="BP520" s="430"/>
      <c r="BQ520" s="430"/>
      <c r="BR520" s="430"/>
      <c r="BS520" s="430"/>
      <c r="BT520" s="430"/>
      <c r="BU520" s="430"/>
      <c r="BV520" s="430"/>
      <c r="BW520" s="430"/>
      <c r="BX520" s="430"/>
      <c r="BY520" s="430"/>
      <c r="BZ520" s="430"/>
      <c r="CA520" s="430"/>
      <c r="CB520" s="430"/>
      <c r="CC520" s="430"/>
      <c r="CD520" s="430"/>
      <c r="CE520" s="430"/>
      <c r="CF520" s="430"/>
      <c r="CG520" s="430"/>
      <c r="CH520" s="430"/>
      <c r="CI520" s="430"/>
      <c r="CJ520" s="430"/>
      <c r="CK520" s="430"/>
      <c r="CL520" s="430"/>
    </row>
    <row r="521" spans="63:90" ht="14.25" customHeight="1">
      <c r="BK521" s="430"/>
      <c r="BL521" s="430"/>
      <c r="BM521" s="430"/>
      <c r="BN521" s="430"/>
      <c r="BO521" s="430"/>
      <c r="BP521" s="430"/>
      <c r="BQ521" s="430"/>
      <c r="BR521" s="430"/>
      <c r="BS521" s="430"/>
      <c r="BT521" s="430"/>
      <c r="BU521" s="430"/>
      <c r="BV521" s="430"/>
      <c r="BW521" s="430"/>
      <c r="BX521" s="430"/>
      <c r="BY521" s="430"/>
      <c r="BZ521" s="430"/>
      <c r="CA521" s="430"/>
      <c r="CB521" s="430"/>
      <c r="CC521" s="430"/>
      <c r="CD521" s="430"/>
      <c r="CE521" s="430"/>
      <c r="CF521" s="430"/>
      <c r="CG521" s="430"/>
      <c r="CH521" s="430"/>
      <c r="CI521" s="430"/>
      <c r="CJ521" s="430"/>
      <c r="CK521" s="430"/>
      <c r="CL521" s="430"/>
    </row>
    <row r="522" spans="63:90" ht="14.25" customHeight="1">
      <c r="BK522" s="430"/>
      <c r="BL522" s="430"/>
      <c r="BM522" s="430"/>
      <c r="BN522" s="430"/>
      <c r="BO522" s="430"/>
      <c r="BP522" s="430"/>
      <c r="BQ522" s="430"/>
      <c r="BR522" s="430"/>
      <c r="BS522" s="430"/>
      <c r="BT522" s="430"/>
      <c r="BU522" s="430"/>
      <c r="BV522" s="430"/>
      <c r="BW522" s="430"/>
      <c r="BX522" s="430"/>
      <c r="BY522" s="430"/>
      <c r="BZ522" s="430"/>
      <c r="CA522" s="430"/>
      <c r="CB522" s="430"/>
      <c r="CC522" s="430"/>
      <c r="CD522" s="430"/>
      <c r="CE522" s="430"/>
      <c r="CF522" s="430"/>
      <c r="CG522" s="430"/>
      <c r="CH522" s="430"/>
      <c r="CI522" s="430"/>
      <c r="CJ522" s="430"/>
      <c r="CK522" s="430"/>
      <c r="CL522" s="430"/>
    </row>
    <row r="523" spans="63:90" ht="14.25" customHeight="1">
      <c r="BK523" s="430"/>
      <c r="BL523" s="430"/>
      <c r="BM523" s="430"/>
      <c r="BN523" s="430"/>
      <c r="BO523" s="430"/>
      <c r="BP523" s="430"/>
      <c r="BQ523" s="430"/>
      <c r="BR523" s="430"/>
      <c r="BS523" s="430"/>
      <c r="BT523" s="430"/>
      <c r="BU523" s="430"/>
      <c r="BV523" s="430"/>
      <c r="BW523" s="430"/>
      <c r="BX523" s="430"/>
      <c r="BY523" s="430"/>
      <c r="BZ523" s="430"/>
      <c r="CA523" s="430"/>
      <c r="CB523" s="430"/>
      <c r="CC523" s="430"/>
      <c r="CD523" s="430"/>
      <c r="CE523" s="430"/>
      <c r="CF523" s="430"/>
      <c r="CG523" s="430"/>
      <c r="CH523" s="430"/>
      <c r="CI523" s="430"/>
      <c r="CJ523" s="430"/>
      <c r="CK523" s="430"/>
      <c r="CL523" s="430"/>
    </row>
    <row r="524" spans="63:90" ht="14.25" customHeight="1">
      <c r="BK524" s="430"/>
      <c r="BL524" s="430"/>
      <c r="BM524" s="430"/>
      <c r="BN524" s="430"/>
      <c r="BO524" s="430"/>
      <c r="BP524" s="430"/>
      <c r="BQ524" s="430"/>
      <c r="BR524" s="430"/>
      <c r="BS524" s="430"/>
      <c r="BT524" s="430"/>
      <c r="BU524" s="430"/>
      <c r="BV524" s="430"/>
      <c r="BW524" s="430"/>
      <c r="BX524" s="430"/>
      <c r="BY524" s="430"/>
      <c r="BZ524" s="430"/>
      <c r="CA524" s="430"/>
      <c r="CB524" s="430"/>
      <c r="CC524" s="430"/>
      <c r="CD524" s="430"/>
      <c r="CE524" s="430"/>
      <c r="CF524" s="430"/>
      <c r="CG524" s="430"/>
      <c r="CH524" s="430"/>
      <c r="CI524" s="430"/>
      <c r="CJ524" s="430"/>
      <c r="CK524" s="430"/>
      <c r="CL524" s="430"/>
    </row>
    <row r="525" spans="63:90" ht="14.25" customHeight="1">
      <c r="BK525" s="430"/>
      <c r="BL525" s="430"/>
      <c r="BM525" s="430"/>
      <c r="BN525" s="430"/>
      <c r="BO525" s="430"/>
      <c r="BP525" s="430"/>
      <c r="BQ525" s="430"/>
      <c r="BR525" s="430"/>
      <c r="BS525" s="430"/>
      <c r="BT525" s="430"/>
      <c r="BU525" s="430"/>
      <c r="BV525" s="430"/>
      <c r="BW525" s="430"/>
      <c r="BX525" s="430"/>
      <c r="BY525" s="430"/>
      <c r="BZ525" s="430"/>
      <c r="CA525" s="430"/>
      <c r="CB525" s="430"/>
      <c r="CC525" s="430"/>
      <c r="CD525" s="430"/>
      <c r="CE525" s="430"/>
      <c r="CF525" s="430"/>
      <c r="CG525" s="430"/>
      <c r="CH525" s="430"/>
      <c r="CI525" s="430"/>
      <c r="CJ525" s="430"/>
      <c r="CK525" s="430"/>
      <c r="CL525" s="430"/>
    </row>
    <row r="526" spans="63:90" ht="14.25" customHeight="1">
      <c r="BK526" s="430"/>
      <c r="BL526" s="430"/>
      <c r="BM526" s="430"/>
      <c r="BN526" s="430"/>
      <c r="BO526" s="430"/>
      <c r="BP526" s="430"/>
      <c r="BQ526" s="430"/>
      <c r="BR526" s="430"/>
      <c r="BS526" s="430"/>
      <c r="BT526" s="430"/>
      <c r="BU526" s="430"/>
      <c r="BV526" s="430"/>
      <c r="BW526" s="430"/>
      <c r="BX526" s="430"/>
      <c r="BY526" s="430"/>
      <c r="BZ526" s="430"/>
      <c r="CA526" s="430"/>
      <c r="CB526" s="430"/>
      <c r="CC526" s="430"/>
      <c r="CD526" s="430"/>
      <c r="CE526" s="430"/>
      <c r="CF526" s="430"/>
      <c r="CG526" s="430"/>
      <c r="CH526" s="430"/>
      <c r="CI526" s="430"/>
      <c r="CJ526" s="430"/>
      <c r="CK526" s="430"/>
      <c r="CL526" s="430"/>
    </row>
    <row r="527" spans="63:90" ht="14.25" customHeight="1">
      <c r="BK527" s="430"/>
      <c r="BL527" s="430"/>
      <c r="BM527" s="430"/>
      <c r="BN527" s="430"/>
      <c r="BO527" s="430"/>
      <c r="BP527" s="430"/>
      <c r="BQ527" s="430"/>
      <c r="BR527" s="430"/>
      <c r="BS527" s="430"/>
      <c r="BT527" s="430"/>
      <c r="BU527" s="430"/>
      <c r="BV527" s="430"/>
      <c r="BW527" s="430"/>
      <c r="BX527" s="430"/>
      <c r="BY527" s="430"/>
      <c r="BZ527" s="430"/>
      <c r="CA527" s="430"/>
      <c r="CB527" s="430"/>
      <c r="CC527" s="430"/>
      <c r="CD527" s="430"/>
      <c r="CE527" s="430"/>
      <c r="CF527" s="430"/>
      <c r="CG527" s="430"/>
      <c r="CH527" s="430"/>
      <c r="CI527" s="430"/>
      <c r="CJ527" s="430"/>
      <c r="CK527" s="430"/>
      <c r="CL527" s="430"/>
    </row>
    <row r="528" spans="63:90" ht="14.25" customHeight="1">
      <c r="BK528" s="430"/>
      <c r="BL528" s="430"/>
      <c r="BM528" s="430"/>
      <c r="BN528" s="430"/>
      <c r="BO528" s="430"/>
      <c r="BP528" s="430"/>
      <c r="BQ528" s="430"/>
      <c r="BR528" s="430"/>
      <c r="BS528" s="430"/>
      <c r="BT528" s="430"/>
      <c r="BU528" s="430"/>
      <c r="BV528" s="430"/>
      <c r="BW528" s="430"/>
      <c r="BX528" s="430"/>
      <c r="BY528" s="430"/>
      <c r="BZ528" s="430"/>
      <c r="CA528" s="430"/>
      <c r="CB528" s="430"/>
      <c r="CC528" s="430"/>
      <c r="CD528" s="430"/>
      <c r="CE528" s="430"/>
      <c r="CF528" s="430"/>
      <c r="CG528" s="430"/>
      <c r="CH528" s="430"/>
      <c r="CI528" s="430"/>
      <c r="CJ528" s="430"/>
      <c r="CK528" s="430"/>
      <c r="CL528" s="430"/>
    </row>
    <row r="529" spans="63:90" ht="14.25" customHeight="1">
      <c r="BK529" s="430"/>
      <c r="BL529" s="430"/>
      <c r="BM529" s="430"/>
      <c r="BN529" s="430"/>
      <c r="BO529" s="430"/>
      <c r="BP529" s="430"/>
      <c r="BQ529" s="430"/>
      <c r="BR529" s="430"/>
      <c r="BS529" s="430"/>
      <c r="BT529" s="430"/>
      <c r="BU529" s="430"/>
      <c r="BV529" s="430"/>
      <c r="BW529" s="430"/>
      <c r="BX529" s="430"/>
      <c r="BY529" s="430"/>
      <c r="BZ529" s="430"/>
      <c r="CA529" s="430"/>
      <c r="CB529" s="430"/>
      <c r="CC529" s="430"/>
      <c r="CD529" s="430"/>
      <c r="CE529" s="430"/>
      <c r="CF529" s="430"/>
      <c r="CG529" s="430"/>
      <c r="CH529" s="430"/>
      <c r="CI529" s="430"/>
      <c r="CJ529" s="430"/>
      <c r="CK529" s="430"/>
      <c r="CL529" s="430"/>
    </row>
    <row r="530" spans="63:90" ht="14.25" customHeight="1">
      <c r="BK530" s="430"/>
      <c r="BL530" s="430"/>
      <c r="BM530" s="430"/>
      <c r="BN530" s="430"/>
      <c r="BO530" s="430"/>
      <c r="BP530" s="430"/>
      <c r="BQ530" s="430"/>
      <c r="BR530" s="430"/>
      <c r="BS530" s="430"/>
      <c r="BT530" s="430"/>
      <c r="BU530" s="430"/>
      <c r="BV530" s="430"/>
      <c r="BW530" s="430"/>
      <c r="BX530" s="430"/>
      <c r="BY530" s="430"/>
      <c r="BZ530" s="430"/>
      <c r="CA530" s="430"/>
      <c r="CB530" s="430"/>
      <c r="CC530" s="430"/>
      <c r="CD530" s="430"/>
      <c r="CE530" s="430"/>
      <c r="CF530" s="430"/>
      <c r="CG530" s="430"/>
      <c r="CH530" s="430"/>
      <c r="CI530" s="430"/>
      <c r="CJ530" s="430"/>
      <c r="CK530" s="430"/>
      <c r="CL530" s="430"/>
    </row>
    <row r="531" spans="63:90" ht="14.25" customHeight="1">
      <c r="BK531" s="430"/>
      <c r="BL531" s="430"/>
      <c r="BM531" s="430"/>
      <c r="BN531" s="430"/>
      <c r="BO531" s="430"/>
      <c r="BP531" s="430"/>
      <c r="BQ531" s="430"/>
      <c r="BR531" s="430"/>
      <c r="BS531" s="430"/>
      <c r="BT531" s="430"/>
      <c r="BU531" s="430"/>
      <c r="BV531" s="430"/>
      <c r="BW531" s="430"/>
      <c r="BX531" s="430"/>
      <c r="BY531" s="430"/>
      <c r="BZ531" s="430"/>
      <c r="CA531" s="430"/>
      <c r="CB531" s="430"/>
      <c r="CC531" s="430"/>
      <c r="CD531" s="430"/>
      <c r="CE531" s="430"/>
      <c r="CF531" s="430"/>
      <c r="CG531" s="430"/>
      <c r="CH531" s="430"/>
      <c r="CI531" s="430"/>
      <c r="CJ531" s="430"/>
      <c r="CK531" s="430"/>
      <c r="CL531" s="430"/>
    </row>
    <row r="532" spans="63:90" ht="14.25" customHeight="1">
      <c r="BK532" s="430"/>
      <c r="BL532" s="430"/>
      <c r="BM532" s="430"/>
      <c r="BN532" s="430"/>
      <c r="BO532" s="430"/>
      <c r="BP532" s="430"/>
      <c r="BQ532" s="430"/>
      <c r="BR532" s="430"/>
      <c r="BS532" s="430"/>
      <c r="BT532" s="430"/>
      <c r="BU532" s="430"/>
      <c r="BV532" s="430"/>
      <c r="BW532" s="430"/>
      <c r="BX532" s="430"/>
      <c r="BY532" s="430"/>
      <c r="BZ532" s="430"/>
      <c r="CA532" s="430"/>
      <c r="CB532" s="430"/>
      <c r="CC532" s="430"/>
      <c r="CD532" s="430"/>
      <c r="CE532" s="430"/>
      <c r="CF532" s="430"/>
      <c r="CG532" s="430"/>
      <c r="CH532" s="430"/>
      <c r="CI532" s="430"/>
      <c r="CJ532" s="430"/>
      <c r="CK532" s="430"/>
      <c r="CL532" s="430"/>
    </row>
    <row r="533" spans="63:90" ht="14.25" customHeight="1">
      <c r="BK533" s="430"/>
      <c r="BL533" s="430"/>
      <c r="BM533" s="430"/>
      <c r="BN533" s="430"/>
      <c r="BO533" s="430"/>
      <c r="BP533" s="430"/>
      <c r="BQ533" s="430"/>
      <c r="BR533" s="430"/>
      <c r="BS533" s="430"/>
      <c r="BT533" s="430"/>
      <c r="BU533" s="430"/>
      <c r="BV533" s="430"/>
      <c r="BW533" s="430"/>
      <c r="BX533" s="430"/>
      <c r="BY533" s="430"/>
      <c r="BZ533" s="430"/>
      <c r="CA533" s="430"/>
      <c r="CB533" s="430"/>
      <c r="CC533" s="430"/>
      <c r="CD533" s="430"/>
      <c r="CE533" s="430"/>
      <c r="CF533" s="430"/>
      <c r="CG533" s="430"/>
      <c r="CH533" s="430"/>
      <c r="CI533" s="430"/>
      <c r="CJ533" s="430"/>
      <c r="CK533" s="430"/>
      <c r="CL533" s="430"/>
    </row>
    <row r="534" spans="63:90" ht="14.25" customHeight="1">
      <c r="BK534" s="430"/>
      <c r="BL534" s="430"/>
      <c r="BM534" s="430"/>
      <c r="BN534" s="430"/>
      <c r="BO534" s="430"/>
      <c r="BP534" s="430"/>
      <c r="BQ534" s="430"/>
      <c r="BR534" s="430"/>
      <c r="BS534" s="430"/>
      <c r="BT534" s="430"/>
      <c r="BU534" s="430"/>
      <c r="BV534" s="430"/>
      <c r="BW534" s="430"/>
      <c r="BX534" s="430"/>
      <c r="BY534" s="430"/>
      <c r="BZ534" s="430"/>
      <c r="CA534" s="430"/>
      <c r="CB534" s="430"/>
      <c r="CC534" s="430"/>
      <c r="CD534" s="430"/>
      <c r="CE534" s="430"/>
      <c r="CF534" s="430"/>
      <c r="CG534" s="430"/>
      <c r="CH534" s="430"/>
      <c r="CI534" s="430"/>
      <c r="CJ534" s="430"/>
      <c r="CK534" s="430"/>
      <c r="CL534" s="430"/>
    </row>
    <row r="535" spans="63:90" ht="14.25" customHeight="1">
      <c r="BK535" s="430"/>
      <c r="BL535" s="430"/>
      <c r="BM535" s="430"/>
      <c r="BN535" s="430"/>
      <c r="BO535" s="430"/>
      <c r="BP535" s="430"/>
      <c r="BQ535" s="430"/>
      <c r="BR535" s="430"/>
      <c r="BS535" s="430"/>
      <c r="BT535" s="430"/>
      <c r="BU535" s="430"/>
      <c r="BV535" s="430"/>
      <c r="BW535" s="430"/>
      <c r="BX535" s="430"/>
      <c r="BY535" s="430"/>
      <c r="BZ535" s="430"/>
      <c r="CA535" s="430"/>
      <c r="CB535" s="430"/>
      <c r="CC535" s="430"/>
      <c r="CD535" s="430"/>
      <c r="CE535" s="430"/>
      <c r="CF535" s="430"/>
      <c r="CG535" s="430"/>
      <c r="CH535" s="430"/>
      <c r="CI535" s="430"/>
      <c r="CJ535" s="430"/>
      <c r="CK535" s="430"/>
      <c r="CL535" s="430"/>
    </row>
    <row r="536" spans="63:90" ht="14.25" customHeight="1">
      <c r="BK536" s="430"/>
      <c r="BL536" s="430"/>
      <c r="BM536" s="430"/>
      <c r="BN536" s="430"/>
      <c r="BO536" s="430"/>
      <c r="BP536" s="430"/>
      <c r="BQ536" s="430"/>
      <c r="BR536" s="430"/>
      <c r="BS536" s="430"/>
      <c r="BT536" s="430"/>
      <c r="BU536" s="430"/>
      <c r="BV536" s="430"/>
      <c r="BW536" s="430"/>
      <c r="BX536" s="430"/>
      <c r="BY536" s="430"/>
      <c r="BZ536" s="430"/>
      <c r="CA536" s="430"/>
      <c r="CB536" s="430"/>
      <c r="CC536" s="430"/>
      <c r="CD536" s="430"/>
      <c r="CE536" s="430"/>
      <c r="CF536" s="430"/>
      <c r="CG536" s="430"/>
      <c r="CH536" s="430"/>
      <c r="CI536" s="430"/>
      <c r="CJ536" s="430"/>
      <c r="CK536" s="430"/>
      <c r="CL536" s="430"/>
    </row>
    <row r="537" spans="63:90" ht="14.25" customHeight="1">
      <c r="BK537" s="430"/>
      <c r="BL537" s="430"/>
      <c r="BM537" s="430"/>
      <c r="BN537" s="430"/>
      <c r="BO537" s="430"/>
      <c r="BP537" s="430"/>
      <c r="BQ537" s="430"/>
      <c r="BR537" s="430"/>
      <c r="BS537" s="430"/>
      <c r="BT537" s="430"/>
      <c r="BU537" s="430"/>
      <c r="BV537" s="430"/>
      <c r="BW537" s="430"/>
      <c r="BX537" s="430"/>
      <c r="BY537" s="430"/>
      <c r="BZ537" s="430"/>
      <c r="CA537" s="430"/>
      <c r="CB537" s="430"/>
      <c r="CC537" s="430"/>
      <c r="CD537" s="430"/>
      <c r="CE537" s="430"/>
      <c r="CF537" s="430"/>
      <c r="CG537" s="430"/>
      <c r="CH537" s="430"/>
      <c r="CI537" s="430"/>
      <c r="CJ537" s="430"/>
      <c r="CK537" s="430"/>
      <c r="CL537" s="430"/>
    </row>
    <row r="538" spans="63:90" ht="14.25" customHeight="1">
      <c r="BK538" s="430"/>
      <c r="BL538" s="430"/>
      <c r="BM538" s="430"/>
      <c r="BN538" s="430"/>
      <c r="BO538" s="430"/>
      <c r="BP538" s="430"/>
      <c r="BQ538" s="430"/>
      <c r="BR538" s="430"/>
      <c r="BS538" s="430"/>
      <c r="BT538" s="430"/>
      <c r="BU538" s="430"/>
      <c r="BV538" s="430"/>
      <c r="BW538" s="430"/>
      <c r="BX538" s="430"/>
      <c r="BY538" s="430"/>
      <c r="BZ538" s="430"/>
      <c r="CA538" s="430"/>
      <c r="CB538" s="430"/>
      <c r="CC538" s="430"/>
      <c r="CD538" s="430"/>
      <c r="CE538" s="430"/>
      <c r="CF538" s="430"/>
      <c r="CG538" s="430"/>
      <c r="CH538" s="430"/>
      <c r="CI538" s="430"/>
      <c r="CJ538" s="430"/>
      <c r="CK538" s="430"/>
      <c r="CL538" s="430"/>
    </row>
    <row r="539" spans="63:90" ht="14.25" customHeight="1">
      <c r="BK539" s="430"/>
      <c r="BL539" s="430"/>
      <c r="BM539" s="430"/>
      <c r="BN539" s="430"/>
      <c r="BO539" s="430"/>
      <c r="BP539" s="430"/>
      <c r="BQ539" s="430"/>
      <c r="BR539" s="430"/>
      <c r="BS539" s="430"/>
      <c r="BT539" s="430"/>
      <c r="BU539" s="430"/>
      <c r="BV539" s="430"/>
      <c r="BW539" s="430"/>
      <c r="BX539" s="430"/>
      <c r="BY539" s="430"/>
      <c r="BZ539" s="430"/>
      <c r="CA539" s="430"/>
      <c r="CB539" s="430"/>
      <c r="CC539" s="430"/>
      <c r="CD539" s="430"/>
      <c r="CE539" s="430"/>
      <c r="CF539" s="430"/>
      <c r="CG539" s="430"/>
      <c r="CH539" s="430"/>
      <c r="CI539" s="430"/>
      <c r="CJ539" s="430"/>
      <c r="CK539" s="430"/>
      <c r="CL539" s="430"/>
    </row>
    <row r="540" spans="63:90" ht="14.25" customHeight="1">
      <c r="BK540" s="430"/>
      <c r="BL540" s="430"/>
      <c r="BM540" s="430"/>
      <c r="BN540" s="430"/>
      <c r="BO540" s="430"/>
      <c r="BP540" s="430"/>
      <c r="BQ540" s="430"/>
      <c r="BR540" s="430"/>
      <c r="BS540" s="430"/>
      <c r="BT540" s="430"/>
      <c r="BU540" s="430"/>
      <c r="BV540" s="430"/>
      <c r="BW540" s="430"/>
      <c r="BX540" s="430"/>
      <c r="BY540" s="430"/>
      <c r="BZ540" s="430"/>
      <c r="CA540" s="430"/>
      <c r="CB540" s="430"/>
      <c r="CC540" s="430"/>
      <c r="CD540" s="430"/>
      <c r="CE540" s="430"/>
      <c r="CF540" s="430"/>
      <c r="CG540" s="430"/>
      <c r="CH540" s="430"/>
      <c r="CI540" s="430"/>
      <c r="CJ540" s="430"/>
      <c r="CK540" s="430"/>
      <c r="CL540" s="430"/>
    </row>
    <row r="541" spans="63:90" ht="14.25" customHeight="1">
      <c r="BK541" s="430"/>
      <c r="BL541" s="430"/>
      <c r="BM541" s="430"/>
      <c r="BN541" s="430"/>
      <c r="BO541" s="430"/>
      <c r="BP541" s="430"/>
      <c r="BQ541" s="430"/>
      <c r="BR541" s="430"/>
      <c r="BS541" s="430"/>
      <c r="BT541" s="430"/>
      <c r="BU541" s="430"/>
      <c r="BV541" s="430"/>
      <c r="BW541" s="430"/>
      <c r="BX541" s="430"/>
      <c r="BY541" s="430"/>
      <c r="BZ541" s="430"/>
      <c r="CA541" s="430"/>
      <c r="CB541" s="430"/>
      <c r="CC541" s="430"/>
      <c r="CD541" s="430"/>
      <c r="CE541" s="430"/>
      <c r="CF541" s="430"/>
      <c r="CG541" s="430"/>
      <c r="CH541" s="430"/>
      <c r="CI541" s="430"/>
      <c r="CJ541" s="430"/>
      <c r="CK541" s="430"/>
      <c r="CL541" s="430"/>
    </row>
    <row r="542" spans="63:90" ht="14.25" customHeight="1">
      <c r="BK542" s="430"/>
      <c r="BL542" s="430"/>
      <c r="BM542" s="430"/>
      <c r="BN542" s="430"/>
      <c r="BO542" s="430"/>
      <c r="BP542" s="430"/>
      <c r="BQ542" s="430"/>
      <c r="BR542" s="430"/>
      <c r="BS542" s="430"/>
      <c r="BT542" s="430"/>
      <c r="BU542" s="430"/>
      <c r="BV542" s="430"/>
      <c r="BW542" s="430"/>
      <c r="BX542" s="430"/>
      <c r="BY542" s="430"/>
      <c r="BZ542" s="430"/>
      <c r="CA542" s="430"/>
      <c r="CB542" s="430"/>
      <c r="CC542" s="430"/>
      <c r="CD542" s="430"/>
      <c r="CE542" s="430"/>
      <c r="CF542" s="430"/>
      <c r="CG542" s="430"/>
      <c r="CH542" s="430"/>
      <c r="CI542" s="430"/>
      <c r="CJ542" s="430"/>
      <c r="CK542" s="430"/>
      <c r="CL542" s="430"/>
    </row>
    <row r="543" spans="63:90" ht="14.25" customHeight="1">
      <c r="BK543" s="430"/>
      <c r="BL543" s="430"/>
      <c r="BM543" s="430"/>
      <c r="BN543" s="430"/>
      <c r="BO543" s="430"/>
      <c r="BP543" s="430"/>
      <c r="BQ543" s="430"/>
      <c r="BR543" s="430"/>
      <c r="BS543" s="430"/>
      <c r="BT543" s="430"/>
      <c r="BU543" s="430"/>
      <c r="BV543" s="430"/>
      <c r="BW543" s="430"/>
      <c r="BX543" s="430"/>
      <c r="BY543" s="430"/>
      <c r="BZ543" s="430"/>
      <c r="CA543" s="430"/>
      <c r="CB543" s="430"/>
      <c r="CC543" s="430"/>
      <c r="CD543" s="430"/>
      <c r="CE543" s="430"/>
      <c r="CF543" s="430"/>
      <c r="CG543" s="430"/>
      <c r="CH543" s="430"/>
      <c r="CI543" s="430"/>
      <c r="CJ543" s="430"/>
      <c r="CK543" s="430"/>
      <c r="CL543" s="430"/>
    </row>
    <row r="544" spans="63:90" ht="14.25" customHeight="1">
      <c r="BK544" s="430"/>
      <c r="BL544" s="430"/>
      <c r="BM544" s="430"/>
      <c r="BN544" s="430"/>
      <c r="BO544" s="430"/>
      <c r="BP544" s="430"/>
      <c r="BQ544" s="430"/>
      <c r="BR544" s="430"/>
      <c r="BS544" s="430"/>
      <c r="BT544" s="430"/>
      <c r="BU544" s="430"/>
      <c r="BV544" s="430"/>
      <c r="BW544" s="430"/>
      <c r="BX544" s="430"/>
      <c r="BY544" s="430"/>
      <c r="BZ544" s="430"/>
      <c r="CA544" s="430"/>
      <c r="CB544" s="430"/>
      <c r="CC544" s="430"/>
      <c r="CD544" s="430"/>
      <c r="CE544" s="430"/>
      <c r="CF544" s="430"/>
      <c r="CG544" s="430"/>
      <c r="CH544" s="430"/>
      <c r="CI544" s="430"/>
      <c r="CJ544" s="430"/>
      <c r="CK544" s="430"/>
      <c r="CL544" s="430"/>
    </row>
    <row r="545" spans="63:90" ht="14.25" customHeight="1">
      <c r="BK545" s="430"/>
      <c r="BL545" s="430"/>
      <c r="BM545" s="430"/>
      <c r="BN545" s="430"/>
      <c r="BO545" s="430"/>
      <c r="BP545" s="430"/>
      <c r="BQ545" s="430"/>
      <c r="BR545" s="430"/>
      <c r="BS545" s="430"/>
      <c r="BT545" s="430"/>
      <c r="BU545" s="430"/>
      <c r="BV545" s="430"/>
      <c r="BW545" s="430"/>
      <c r="BX545" s="430"/>
      <c r="BY545" s="430"/>
      <c r="BZ545" s="430"/>
      <c r="CA545" s="430"/>
      <c r="CB545" s="430"/>
      <c r="CC545" s="430"/>
      <c r="CD545" s="430"/>
      <c r="CE545" s="430"/>
      <c r="CF545" s="430"/>
      <c r="CG545" s="430"/>
      <c r="CH545" s="430"/>
      <c r="CI545" s="430"/>
      <c r="CJ545" s="430"/>
      <c r="CK545" s="430"/>
      <c r="CL545" s="430"/>
    </row>
    <row r="546" spans="63:90" ht="14.25" customHeight="1">
      <c r="BK546" s="430"/>
      <c r="BL546" s="430"/>
      <c r="BM546" s="430"/>
      <c r="BN546" s="430"/>
      <c r="BO546" s="430"/>
      <c r="BP546" s="430"/>
      <c r="BQ546" s="430"/>
      <c r="BR546" s="430"/>
      <c r="BS546" s="430"/>
      <c r="BT546" s="430"/>
      <c r="BU546" s="430"/>
      <c r="BV546" s="430"/>
      <c r="BW546" s="430"/>
      <c r="BX546" s="430"/>
      <c r="BY546" s="430"/>
      <c r="BZ546" s="430"/>
      <c r="CA546" s="430"/>
      <c r="CB546" s="430"/>
      <c r="CC546" s="430"/>
      <c r="CD546" s="430"/>
      <c r="CE546" s="430"/>
      <c r="CF546" s="430"/>
      <c r="CG546" s="430"/>
      <c r="CH546" s="430"/>
      <c r="CI546" s="430"/>
      <c r="CJ546" s="430"/>
      <c r="CK546" s="430"/>
      <c r="CL546" s="430"/>
    </row>
    <row r="547" spans="63:90" ht="14.25" customHeight="1">
      <c r="BK547" s="430"/>
      <c r="BL547" s="430"/>
      <c r="BM547" s="430"/>
      <c r="BN547" s="430"/>
      <c r="BO547" s="430"/>
      <c r="BP547" s="430"/>
      <c r="BQ547" s="430"/>
      <c r="BR547" s="430"/>
      <c r="BS547" s="430"/>
      <c r="BT547" s="430"/>
      <c r="BU547" s="430"/>
      <c r="BV547" s="430"/>
      <c r="BW547" s="430"/>
      <c r="BX547" s="430"/>
      <c r="BY547" s="430"/>
      <c r="BZ547" s="430"/>
      <c r="CA547" s="430"/>
      <c r="CB547" s="430"/>
      <c r="CC547" s="430"/>
      <c r="CD547" s="430"/>
      <c r="CE547" s="430"/>
      <c r="CF547" s="430"/>
      <c r="CG547" s="430"/>
      <c r="CH547" s="430"/>
      <c r="CI547" s="430"/>
      <c r="CJ547" s="430"/>
      <c r="CK547" s="430"/>
      <c r="CL547" s="430"/>
    </row>
    <row r="548" spans="63:90" ht="14.25" customHeight="1">
      <c r="BK548" s="430"/>
      <c r="BL548" s="430"/>
      <c r="BM548" s="430"/>
      <c r="BN548" s="430"/>
      <c r="BO548" s="430"/>
      <c r="BP548" s="430"/>
      <c r="BQ548" s="430"/>
      <c r="BR548" s="430"/>
      <c r="BS548" s="430"/>
      <c r="BT548" s="430"/>
      <c r="BU548" s="430"/>
      <c r="BV548" s="430"/>
      <c r="BW548" s="430"/>
      <c r="BX548" s="430"/>
      <c r="BY548" s="430"/>
      <c r="BZ548" s="430"/>
      <c r="CA548" s="430"/>
      <c r="CB548" s="430"/>
      <c r="CC548" s="430"/>
      <c r="CD548" s="430"/>
      <c r="CE548" s="430"/>
      <c r="CF548" s="430"/>
      <c r="CG548" s="430"/>
      <c r="CH548" s="430"/>
      <c r="CI548" s="430"/>
      <c r="CJ548" s="430"/>
      <c r="CK548" s="430"/>
      <c r="CL548" s="430"/>
    </row>
    <row r="549" spans="63:90" ht="14.25" customHeight="1">
      <c r="BK549" s="430"/>
      <c r="BL549" s="430"/>
      <c r="BM549" s="430"/>
      <c r="BN549" s="430"/>
      <c r="BO549" s="430"/>
      <c r="BP549" s="430"/>
      <c r="BQ549" s="430"/>
      <c r="BR549" s="430"/>
      <c r="BS549" s="430"/>
      <c r="BT549" s="430"/>
      <c r="BU549" s="430"/>
      <c r="BV549" s="430"/>
      <c r="BW549" s="430"/>
      <c r="BX549" s="430"/>
      <c r="BY549" s="430"/>
      <c r="BZ549" s="430"/>
      <c r="CA549" s="430"/>
      <c r="CB549" s="430"/>
      <c r="CC549" s="430"/>
      <c r="CD549" s="430"/>
      <c r="CE549" s="430"/>
      <c r="CF549" s="430"/>
      <c r="CG549" s="430"/>
      <c r="CH549" s="430"/>
      <c r="CI549" s="430"/>
      <c r="CJ549" s="430"/>
      <c r="CK549" s="430"/>
      <c r="CL549" s="430"/>
    </row>
    <row r="550" spans="63:90" ht="14.25" customHeight="1">
      <c r="BK550" s="430"/>
      <c r="BL550" s="430"/>
      <c r="BM550" s="430"/>
      <c r="BN550" s="430"/>
      <c r="BO550" s="430"/>
      <c r="BP550" s="430"/>
      <c r="BQ550" s="430"/>
      <c r="BR550" s="430"/>
      <c r="BS550" s="430"/>
      <c r="BT550" s="430"/>
      <c r="BU550" s="430"/>
      <c r="BV550" s="430"/>
      <c r="BW550" s="430"/>
      <c r="BX550" s="430"/>
      <c r="BY550" s="430"/>
      <c r="BZ550" s="430"/>
      <c r="CA550" s="430"/>
      <c r="CB550" s="430"/>
      <c r="CC550" s="430"/>
      <c r="CD550" s="430"/>
      <c r="CE550" s="430"/>
      <c r="CF550" s="430"/>
      <c r="CG550" s="430"/>
      <c r="CH550" s="430"/>
      <c r="CI550" s="430"/>
      <c r="CJ550" s="430"/>
      <c r="CK550" s="430"/>
      <c r="CL550" s="430"/>
    </row>
    <row r="551" spans="63:90" ht="14.25" customHeight="1">
      <c r="BK551" s="430"/>
      <c r="BL551" s="430"/>
      <c r="BM551" s="430"/>
      <c r="BN551" s="430"/>
      <c r="BO551" s="430"/>
      <c r="BP551" s="430"/>
      <c r="BQ551" s="430"/>
      <c r="BR551" s="430"/>
      <c r="BS551" s="430"/>
      <c r="BT551" s="430"/>
      <c r="BU551" s="430"/>
      <c r="BV551" s="430"/>
      <c r="BW551" s="430"/>
      <c r="BX551" s="430"/>
      <c r="BY551" s="430"/>
      <c r="BZ551" s="430"/>
      <c r="CA551" s="430"/>
      <c r="CB551" s="430"/>
      <c r="CC551" s="430"/>
      <c r="CD551" s="430"/>
      <c r="CE551" s="430"/>
      <c r="CF551" s="430"/>
      <c r="CG551" s="430"/>
      <c r="CH551" s="430"/>
      <c r="CI551" s="430"/>
      <c r="CJ551" s="430"/>
      <c r="CK551" s="430"/>
      <c r="CL551" s="430"/>
    </row>
    <row r="552" spans="63:90" ht="14.25" customHeight="1">
      <c r="BK552" s="430"/>
      <c r="BL552" s="430"/>
      <c r="BM552" s="430"/>
      <c r="BN552" s="430"/>
      <c r="BO552" s="430"/>
      <c r="BP552" s="430"/>
      <c r="BQ552" s="430"/>
      <c r="BR552" s="430"/>
      <c r="BS552" s="430"/>
      <c r="BT552" s="430"/>
      <c r="BU552" s="430"/>
      <c r="BV552" s="430"/>
      <c r="BW552" s="430"/>
      <c r="BX552" s="430"/>
      <c r="BY552" s="430"/>
      <c r="BZ552" s="430"/>
      <c r="CA552" s="430"/>
      <c r="CB552" s="430"/>
      <c r="CC552" s="430"/>
      <c r="CD552" s="430"/>
      <c r="CE552" s="430"/>
      <c r="CF552" s="430"/>
      <c r="CG552" s="430"/>
      <c r="CH552" s="430"/>
      <c r="CI552" s="430"/>
      <c r="CJ552" s="430"/>
      <c r="CK552" s="430"/>
      <c r="CL552" s="430"/>
    </row>
    <row r="553" spans="63:90" ht="14.25" customHeight="1">
      <c r="BK553" s="430"/>
      <c r="BL553" s="430"/>
      <c r="BM553" s="430"/>
      <c r="BN553" s="430"/>
      <c r="BO553" s="430"/>
      <c r="BP553" s="430"/>
      <c r="BQ553" s="430"/>
      <c r="BR553" s="430"/>
      <c r="BS553" s="430"/>
      <c r="BT553" s="430"/>
      <c r="BU553" s="430"/>
      <c r="BV553" s="430"/>
      <c r="BW553" s="430"/>
      <c r="BX553" s="430"/>
      <c r="BY553" s="430"/>
      <c r="BZ553" s="430"/>
      <c r="CA553" s="430"/>
      <c r="CB553" s="430"/>
      <c r="CC553" s="430"/>
      <c r="CD553" s="430"/>
      <c r="CE553" s="430"/>
      <c r="CF553" s="430"/>
      <c r="CG553" s="430"/>
      <c r="CH553" s="430"/>
      <c r="CI553" s="430"/>
      <c r="CJ553" s="430"/>
      <c r="CK553" s="430"/>
      <c r="CL553" s="430"/>
    </row>
    <row r="554" spans="63:90" ht="14.25" customHeight="1">
      <c r="BK554" s="430"/>
      <c r="BL554" s="430"/>
      <c r="BM554" s="430"/>
      <c r="BN554" s="430"/>
      <c r="BO554" s="430"/>
      <c r="BP554" s="430"/>
      <c r="BQ554" s="430"/>
      <c r="BR554" s="430"/>
      <c r="BS554" s="430"/>
      <c r="BT554" s="430"/>
      <c r="BU554" s="430"/>
      <c r="BV554" s="430"/>
      <c r="BW554" s="430"/>
      <c r="BX554" s="430"/>
      <c r="BY554" s="430"/>
      <c r="BZ554" s="430"/>
      <c r="CA554" s="430"/>
      <c r="CB554" s="430"/>
      <c r="CC554" s="430"/>
      <c r="CD554" s="430"/>
      <c r="CE554" s="430"/>
      <c r="CF554" s="430"/>
      <c r="CG554" s="430"/>
      <c r="CH554" s="430"/>
      <c r="CI554" s="430"/>
      <c r="CJ554" s="430"/>
      <c r="CK554" s="430"/>
      <c r="CL554" s="430"/>
    </row>
    <row r="555" spans="63:90" ht="14.25" customHeight="1">
      <c r="BK555" s="430"/>
      <c r="BL555" s="430"/>
      <c r="BM555" s="430"/>
      <c r="BN555" s="430"/>
      <c r="BO555" s="430"/>
      <c r="BP555" s="430"/>
      <c r="BQ555" s="430"/>
      <c r="BR555" s="430"/>
      <c r="BS555" s="430"/>
      <c r="BT555" s="430"/>
      <c r="BU555" s="430"/>
      <c r="BV555" s="430"/>
      <c r="BW555" s="430"/>
      <c r="BX555" s="430"/>
      <c r="BY555" s="430"/>
      <c r="BZ555" s="430"/>
      <c r="CA555" s="430"/>
      <c r="CB555" s="430"/>
      <c r="CC555" s="430"/>
      <c r="CD555" s="430"/>
      <c r="CE555" s="430"/>
      <c r="CF555" s="430"/>
      <c r="CG555" s="430"/>
      <c r="CH555" s="430"/>
      <c r="CI555" s="430"/>
      <c r="CJ555" s="430"/>
      <c r="CK555" s="430"/>
      <c r="CL555" s="430"/>
    </row>
    <row r="556" spans="63:90" ht="14.25" customHeight="1">
      <c r="BK556" s="430"/>
      <c r="BL556" s="430"/>
      <c r="BM556" s="430"/>
      <c r="BN556" s="430"/>
      <c r="BO556" s="430"/>
      <c r="BP556" s="430"/>
      <c r="BQ556" s="430"/>
      <c r="BR556" s="430"/>
      <c r="BS556" s="430"/>
      <c r="BT556" s="430"/>
      <c r="BU556" s="430"/>
      <c r="BV556" s="430"/>
      <c r="BW556" s="430"/>
      <c r="BX556" s="430"/>
      <c r="BY556" s="430"/>
      <c r="BZ556" s="430"/>
      <c r="CA556" s="430"/>
      <c r="CB556" s="430"/>
      <c r="CC556" s="430"/>
      <c r="CD556" s="430"/>
      <c r="CE556" s="430"/>
      <c r="CF556" s="430"/>
      <c r="CG556" s="430"/>
      <c r="CH556" s="430"/>
      <c r="CI556" s="430"/>
      <c r="CJ556" s="430"/>
      <c r="CK556" s="430"/>
      <c r="CL556" s="430"/>
    </row>
    <row r="557" spans="63:90" ht="14.25" customHeight="1">
      <c r="BK557" s="430"/>
      <c r="BL557" s="430"/>
      <c r="BM557" s="430"/>
      <c r="BN557" s="430"/>
      <c r="BO557" s="430"/>
      <c r="BP557" s="430"/>
      <c r="BQ557" s="430"/>
      <c r="BR557" s="430"/>
      <c r="BS557" s="430"/>
      <c r="BT557" s="430"/>
      <c r="BU557" s="430"/>
      <c r="BV557" s="430"/>
      <c r="BW557" s="430"/>
      <c r="BX557" s="430"/>
      <c r="BY557" s="430"/>
      <c r="BZ557" s="430"/>
      <c r="CA557" s="430"/>
      <c r="CB557" s="430"/>
      <c r="CC557" s="430"/>
      <c r="CD557" s="430"/>
      <c r="CE557" s="430"/>
      <c r="CF557" s="430"/>
      <c r="CG557" s="430"/>
      <c r="CH557" s="430"/>
      <c r="CI557" s="430"/>
      <c r="CJ557" s="430"/>
      <c r="CK557" s="430"/>
      <c r="CL557" s="430"/>
    </row>
    <row r="558" spans="63:90" ht="14.25" customHeight="1">
      <c r="BK558" s="430"/>
      <c r="BL558" s="430"/>
      <c r="BM558" s="430"/>
      <c r="BN558" s="430"/>
      <c r="BO558" s="430"/>
      <c r="BP558" s="430"/>
      <c r="BQ558" s="430"/>
      <c r="BR558" s="430"/>
      <c r="BS558" s="430"/>
      <c r="BT558" s="430"/>
      <c r="BU558" s="430"/>
      <c r="BV558" s="430"/>
      <c r="BW558" s="430"/>
      <c r="BX558" s="430"/>
      <c r="BY558" s="430"/>
      <c r="BZ558" s="430"/>
      <c r="CA558" s="430"/>
      <c r="CB558" s="430"/>
      <c r="CC558" s="430"/>
      <c r="CD558" s="430"/>
      <c r="CE558" s="430"/>
      <c r="CF558" s="430"/>
      <c r="CG558" s="430"/>
      <c r="CH558" s="430"/>
      <c r="CI558" s="430"/>
      <c r="CJ558" s="430"/>
      <c r="CK558" s="430"/>
      <c r="CL558" s="430"/>
    </row>
    <row r="559" spans="63:90" ht="14.25" customHeight="1">
      <c r="BK559" s="430"/>
      <c r="BL559" s="430"/>
      <c r="BM559" s="430"/>
      <c r="BN559" s="430"/>
      <c r="BO559" s="430"/>
      <c r="BP559" s="430"/>
      <c r="BQ559" s="430"/>
      <c r="BR559" s="430"/>
      <c r="BS559" s="430"/>
      <c r="BT559" s="430"/>
      <c r="BU559" s="430"/>
      <c r="BV559" s="430"/>
      <c r="BW559" s="430"/>
      <c r="BX559" s="430"/>
      <c r="BY559" s="430"/>
      <c r="BZ559" s="430"/>
      <c r="CA559" s="430"/>
      <c r="CB559" s="430"/>
      <c r="CC559" s="430"/>
      <c r="CD559" s="430"/>
      <c r="CE559" s="430"/>
      <c r="CF559" s="430"/>
      <c r="CG559" s="430"/>
      <c r="CH559" s="430"/>
      <c r="CI559" s="430"/>
      <c r="CJ559" s="430"/>
      <c r="CK559" s="430"/>
      <c r="CL559" s="430"/>
    </row>
    <row r="560" spans="63:90" ht="14.25" customHeight="1">
      <c r="BK560" s="430"/>
      <c r="BL560" s="430"/>
      <c r="BM560" s="430"/>
      <c r="BN560" s="430"/>
      <c r="BO560" s="430"/>
      <c r="BP560" s="430"/>
      <c r="BQ560" s="430"/>
      <c r="BR560" s="430"/>
      <c r="BS560" s="430"/>
      <c r="BT560" s="430"/>
      <c r="BU560" s="430"/>
      <c r="BV560" s="430"/>
      <c r="BW560" s="430"/>
      <c r="BX560" s="430"/>
      <c r="BY560" s="430"/>
      <c r="BZ560" s="430"/>
      <c r="CA560" s="430"/>
      <c r="CB560" s="430"/>
      <c r="CC560" s="430"/>
      <c r="CD560" s="430"/>
      <c r="CE560" s="430"/>
      <c r="CF560" s="430"/>
      <c r="CG560" s="430"/>
      <c r="CH560" s="430"/>
      <c r="CI560" s="430"/>
      <c r="CJ560" s="430"/>
      <c r="CK560" s="430"/>
      <c r="CL560" s="430"/>
    </row>
    <row r="561" spans="63:90" ht="14.25" customHeight="1">
      <c r="BK561" s="430"/>
      <c r="BL561" s="430"/>
      <c r="BM561" s="430"/>
      <c r="BN561" s="430"/>
      <c r="BO561" s="430"/>
      <c r="BP561" s="430"/>
      <c r="BQ561" s="430"/>
      <c r="BR561" s="430"/>
      <c r="BS561" s="430"/>
      <c r="BT561" s="430"/>
      <c r="BU561" s="430"/>
      <c r="BV561" s="430"/>
      <c r="BW561" s="430"/>
      <c r="BX561" s="430"/>
      <c r="BY561" s="430"/>
      <c r="BZ561" s="430"/>
      <c r="CA561" s="430"/>
      <c r="CB561" s="430"/>
      <c r="CC561" s="430"/>
      <c r="CD561" s="430"/>
      <c r="CE561" s="430"/>
      <c r="CF561" s="430"/>
      <c r="CG561" s="430"/>
      <c r="CH561" s="430"/>
      <c r="CI561" s="430"/>
      <c r="CJ561" s="430"/>
      <c r="CK561" s="430"/>
      <c r="CL561" s="430"/>
    </row>
    <row r="562" spans="63:90" ht="14.25" customHeight="1">
      <c r="BK562" s="430"/>
      <c r="BL562" s="430"/>
      <c r="BM562" s="430"/>
      <c r="BN562" s="430"/>
      <c r="BO562" s="430"/>
      <c r="BP562" s="430"/>
      <c r="BQ562" s="430"/>
      <c r="BR562" s="430"/>
      <c r="BS562" s="430"/>
      <c r="BT562" s="430"/>
      <c r="BU562" s="430"/>
      <c r="BV562" s="430"/>
      <c r="BW562" s="430"/>
      <c r="BX562" s="430"/>
      <c r="BY562" s="430"/>
      <c r="BZ562" s="430"/>
      <c r="CA562" s="430"/>
      <c r="CB562" s="430"/>
      <c r="CC562" s="430"/>
      <c r="CD562" s="430"/>
      <c r="CE562" s="430"/>
      <c r="CF562" s="430"/>
      <c r="CG562" s="430"/>
      <c r="CH562" s="430"/>
      <c r="CI562" s="430"/>
      <c r="CJ562" s="430"/>
      <c r="CK562" s="430"/>
      <c r="CL562" s="430"/>
    </row>
    <row r="563" spans="63:90" ht="14.25" customHeight="1">
      <c r="BK563" s="430"/>
      <c r="BL563" s="430"/>
      <c r="BM563" s="430"/>
      <c r="BN563" s="430"/>
      <c r="BO563" s="430"/>
      <c r="BP563" s="430"/>
      <c r="BQ563" s="430"/>
      <c r="BR563" s="430"/>
      <c r="BS563" s="430"/>
      <c r="BT563" s="430"/>
      <c r="BU563" s="430"/>
      <c r="BV563" s="430"/>
      <c r="BW563" s="430"/>
      <c r="BX563" s="430"/>
      <c r="BY563" s="430"/>
      <c r="BZ563" s="430"/>
      <c r="CA563" s="430"/>
      <c r="CB563" s="430"/>
      <c r="CC563" s="430"/>
      <c r="CD563" s="430"/>
      <c r="CE563" s="430"/>
      <c r="CF563" s="430"/>
      <c r="CG563" s="430"/>
      <c r="CH563" s="430"/>
      <c r="CI563" s="430"/>
      <c r="CJ563" s="430"/>
      <c r="CK563" s="430"/>
      <c r="CL563" s="430"/>
    </row>
    <row r="564" spans="63:90" ht="14.25" customHeight="1">
      <c r="BK564" s="430"/>
      <c r="BL564" s="430"/>
      <c r="BM564" s="430"/>
      <c r="BN564" s="430"/>
      <c r="BO564" s="430"/>
      <c r="BP564" s="430"/>
      <c r="BQ564" s="430"/>
      <c r="BR564" s="430"/>
      <c r="BS564" s="430"/>
      <c r="BT564" s="430"/>
      <c r="BU564" s="430"/>
      <c r="BV564" s="430"/>
      <c r="BW564" s="430"/>
      <c r="BX564" s="430"/>
      <c r="BY564" s="430"/>
      <c r="BZ564" s="430"/>
      <c r="CA564" s="430"/>
      <c r="CB564" s="430"/>
      <c r="CC564" s="430"/>
      <c r="CD564" s="430"/>
      <c r="CE564" s="430"/>
      <c r="CF564" s="430"/>
      <c r="CG564" s="430"/>
      <c r="CH564" s="430"/>
      <c r="CI564" s="430"/>
      <c r="CJ564" s="430"/>
      <c r="CK564" s="430"/>
      <c r="CL564" s="430"/>
    </row>
    <row r="565" spans="63:90" ht="14.25" customHeight="1">
      <c r="BK565" s="430"/>
      <c r="BL565" s="430"/>
      <c r="BM565" s="430"/>
      <c r="BN565" s="430"/>
      <c r="BO565" s="430"/>
      <c r="BP565" s="430"/>
      <c r="BQ565" s="430"/>
      <c r="BR565" s="430"/>
      <c r="BS565" s="430"/>
      <c r="BT565" s="430"/>
      <c r="BU565" s="430"/>
      <c r="BV565" s="430"/>
      <c r="BW565" s="430"/>
      <c r="BX565" s="430"/>
      <c r="BY565" s="430"/>
      <c r="BZ565" s="430"/>
      <c r="CA565" s="430"/>
      <c r="CB565" s="430"/>
      <c r="CC565" s="430"/>
      <c r="CD565" s="430"/>
      <c r="CE565" s="430"/>
      <c r="CF565" s="430"/>
      <c r="CG565" s="430"/>
      <c r="CH565" s="430"/>
      <c r="CI565" s="430"/>
      <c r="CJ565" s="430"/>
      <c r="CK565" s="430"/>
      <c r="CL565" s="430"/>
    </row>
    <row r="566" spans="63:90" ht="14.25" customHeight="1">
      <c r="BK566" s="430"/>
      <c r="BL566" s="430"/>
      <c r="BM566" s="430"/>
      <c r="BN566" s="430"/>
      <c r="BO566" s="430"/>
      <c r="BP566" s="430"/>
      <c r="BQ566" s="430"/>
      <c r="BR566" s="430"/>
      <c r="BS566" s="430"/>
      <c r="BT566" s="430"/>
      <c r="BU566" s="430"/>
      <c r="BV566" s="430"/>
      <c r="BW566" s="430"/>
      <c r="BX566" s="430"/>
      <c r="BY566" s="430"/>
      <c r="BZ566" s="430"/>
      <c r="CA566" s="430"/>
      <c r="CB566" s="430"/>
      <c r="CC566" s="430"/>
      <c r="CD566" s="430"/>
      <c r="CE566" s="430"/>
      <c r="CF566" s="430"/>
      <c r="CG566" s="430"/>
      <c r="CH566" s="430"/>
      <c r="CI566" s="430"/>
      <c r="CJ566" s="430"/>
      <c r="CK566" s="430"/>
      <c r="CL566" s="430"/>
    </row>
    <row r="567" spans="63:90" ht="14.25" customHeight="1">
      <c r="BK567" s="430"/>
      <c r="BL567" s="430"/>
      <c r="BM567" s="430"/>
      <c r="BN567" s="430"/>
      <c r="BO567" s="430"/>
      <c r="BP567" s="430"/>
      <c r="BQ567" s="430"/>
      <c r="BR567" s="430"/>
      <c r="BS567" s="430"/>
      <c r="BT567" s="430"/>
      <c r="BU567" s="430"/>
      <c r="BV567" s="430"/>
      <c r="BW567" s="430"/>
      <c r="BX567" s="430"/>
      <c r="BY567" s="430"/>
      <c r="BZ567" s="430"/>
      <c r="CA567" s="430"/>
      <c r="CB567" s="430"/>
      <c r="CC567" s="430"/>
      <c r="CD567" s="430"/>
      <c r="CE567" s="430"/>
      <c r="CF567" s="430"/>
      <c r="CG567" s="430"/>
      <c r="CH567" s="430"/>
      <c r="CI567" s="430"/>
      <c r="CJ567" s="430"/>
      <c r="CK567" s="430"/>
      <c r="CL567" s="430"/>
    </row>
    <row r="568" spans="63:90" ht="14.25" customHeight="1">
      <c r="BK568" s="430"/>
      <c r="BL568" s="430"/>
      <c r="BM568" s="430"/>
      <c r="BN568" s="430"/>
      <c r="BO568" s="430"/>
      <c r="BP568" s="430"/>
      <c r="BQ568" s="430"/>
      <c r="BR568" s="430"/>
      <c r="BS568" s="430"/>
      <c r="BT568" s="430"/>
      <c r="BU568" s="430"/>
      <c r="BV568" s="430"/>
      <c r="BW568" s="430"/>
      <c r="BX568" s="430"/>
      <c r="BY568" s="430"/>
      <c r="BZ568" s="430"/>
      <c r="CA568" s="430"/>
      <c r="CB568" s="430"/>
      <c r="CC568" s="430"/>
      <c r="CD568" s="430"/>
      <c r="CE568" s="430"/>
      <c r="CF568" s="430"/>
      <c r="CG568" s="430"/>
      <c r="CH568" s="430"/>
      <c r="CI568" s="430"/>
      <c r="CJ568" s="430"/>
      <c r="CK568" s="430"/>
      <c r="CL568" s="430"/>
    </row>
    <row r="569" spans="63:90" ht="14.25" customHeight="1">
      <c r="BK569" s="430"/>
      <c r="BL569" s="430"/>
      <c r="BM569" s="430"/>
      <c r="BN569" s="430"/>
      <c r="BO569" s="430"/>
      <c r="BP569" s="430"/>
      <c r="BQ569" s="430"/>
      <c r="BR569" s="430"/>
      <c r="BS569" s="430"/>
      <c r="BT569" s="430"/>
      <c r="BU569" s="430"/>
      <c r="BV569" s="430"/>
      <c r="BW569" s="430"/>
      <c r="BX569" s="430"/>
      <c r="BY569" s="430"/>
      <c r="BZ569" s="430"/>
      <c r="CA569" s="430"/>
      <c r="CB569" s="430"/>
      <c r="CC569" s="430"/>
      <c r="CD569" s="430"/>
      <c r="CE569" s="430"/>
      <c r="CF569" s="430"/>
      <c r="CG569" s="430"/>
      <c r="CH569" s="430"/>
      <c r="CI569" s="430"/>
      <c r="CJ569" s="430"/>
      <c r="CK569" s="430"/>
      <c r="CL569" s="430"/>
    </row>
    <row r="570" spans="63:90" ht="14.25" customHeight="1">
      <c r="BK570" s="430"/>
      <c r="BL570" s="430"/>
      <c r="BM570" s="430"/>
      <c r="BN570" s="430"/>
      <c r="BO570" s="430"/>
      <c r="BP570" s="430"/>
      <c r="BQ570" s="430"/>
      <c r="BR570" s="430"/>
      <c r="BS570" s="430"/>
      <c r="BT570" s="430"/>
      <c r="BU570" s="430"/>
      <c r="BV570" s="430"/>
      <c r="BW570" s="430"/>
      <c r="BX570" s="430"/>
      <c r="BY570" s="430"/>
      <c r="BZ570" s="430"/>
      <c r="CA570" s="430"/>
      <c r="CB570" s="430"/>
      <c r="CC570" s="430"/>
      <c r="CD570" s="430"/>
      <c r="CE570" s="430"/>
      <c r="CF570" s="430"/>
      <c r="CG570" s="430"/>
      <c r="CH570" s="430"/>
      <c r="CI570" s="430"/>
      <c r="CJ570" s="430"/>
      <c r="CK570" s="430"/>
      <c r="CL570" s="430"/>
    </row>
    <row r="571" spans="63:90" ht="14.25" customHeight="1">
      <c r="BK571" s="430"/>
      <c r="BL571" s="430"/>
      <c r="BM571" s="430"/>
      <c r="BN571" s="430"/>
      <c r="BO571" s="430"/>
      <c r="BP571" s="430"/>
      <c r="BQ571" s="430"/>
      <c r="BR571" s="430"/>
      <c r="BS571" s="430"/>
      <c r="BT571" s="430"/>
      <c r="BU571" s="430"/>
      <c r="BV571" s="430"/>
      <c r="BW571" s="430"/>
      <c r="BX571" s="430"/>
      <c r="BY571" s="430"/>
      <c r="BZ571" s="430"/>
      <c r="CA571" s="430"/>
      <c r="CB571" s="430"/>
      <c r="CC571" s="430"/>
      <c r="CD571" s="430"/>
      <c r="CE571" s="430"/>
      <c r="CF571" s="430"/>
      <c r="CG571" s="430"/>
      <c r="CH571" s="430"/>
      <c r="CI571" s="430"/>
      <c r="CJ571" s="430"/>
      <c r="CK571" s="430"/>
      <c r="CL571" s="430"/>
    </row>
    <row r="572" spans="63:90" ht="14.25" customHeight="1">
      <c r="BK572" s="430"/>
      <c r="BL572" s="430"/>
      <c r="BM572" s="430"/>
      <c r="BN572" s="430"/>
      <c r="BO572" s="430"/>
      <c r="BP572" s="430"/>
      <c r="BQ572" s="430"/>
      <c r="BR572" s="430"/>
      <c r="BS572" s="430"/>
      <c r="BT572" s="430"/>
      <c r="BU572" s="430"/>
      <c r="BV572" s="430"/>
      <c r="BW572" s="430"/>
      <c r="BX572" s="430"/>
      <c r="BY572" s="430"/>
      <c r="BZ572" s="430"/>
      <c r="CA572" s="430"/>
      <c r="CB572" s="430"/>
      <c r="CC572" s="430"/>
      <c r="CD572" s="430"/>
      <c r="CE572" s="430"/>
      <c r="CF572" s="430"/>
      <c r="CG572" s="430"/>
      <c r="CH572" s="430"/>
      <c r="CI572" s="430"/>
      <c r="CJ572" s="430"/>
      <c r="CK572" s="430"/>
      <c r="CL572" s="430"/>
    </row>
    <row r="573" spans="63:90" ht="14.25" customHeight="1">
      <c r="BK573" s="430"/>
      <c r="BL573" s="430"/>
      <c r="BM573" s="430"/>
      <c r="BN573" s="430"/>
      <c r="BO573" s="430"/>
      <c r="BP573" s="430"/>
      <c r="BQ573" s="430"/>
      <c r="BR573" s="430"/>
      <c r="BS573" s="430"/>
      <c r="BT573" s="430"/>
      <c r="BU573" s="430"/>
      <c r="BV573" s="430"/>
      <c r="BW573" s="430"/>
      <c r="BX573" s="430"/>
      <c r="BY573" s="430"/>
      <c r="BZ573" s="430"/>
      <c r="CA573" s="430"/>
      <c r="CB573" s="430"/>
      <c r="CC573" s="430"/>
      <c r="CD573" s="430"/>
      <c r="CE573" s="430"/>
      <c r="CF573" s="430"/>
      <c r="CG573" s="430"/>
      <c r="CH573" s="430"/>
      <c r="CI573" s="430"/>
      <c r="CJ573" s="430"/>
      <c r="CK573" s="430"/>
      <c r="CL573" s="430"/>
    </row>
    <row r="574" spans="63:90" ht="14.25" customHeight="1">
      <c r="BK574" s="430"/>
      <c r="BL574" s="430"/>
      <c r="BM574" s="430"/>
      <c r="BN574" s="430"/>
      <c r="BO574" s="430"/>
      <c r="BP574" s="430"/>
      <c r="BQ574" s="430"/>
      <c r="BR574" s="430"/>
      <c r="BS574" s="430"/>
      <c r="BT574" s="430"/>
      <c r="BU574" s="430"/>
      <c r="BV574" s="430"/>
      <c r="BW574" s="430"/>
      <c r="BX574" s="430"/>
      <c r="BY574" s="430"/>
      <c r="BZ574" s="430"/>
      <c r="CA574" s="430"/>
      <c r="CB574" s="430"/>
      <c r="CC574" s="430"/>
      <c r="CD574" s="430"/>
      <c r="CE574" s="430"/>
      <c r="CF574" s="430"/>
      <c r="CG574" s="430"/>
      <c r="CH574" s="430"/>
      <c r="CI574" s="430"/>
      <c r="CJ574" s="430"/>
      <c r="CK574" s="430"/>
      <c r="CL574" s="430"/>
    </row>
    <row r="575" spans="63:90" ht="14.25" customHeight="1">
      <c r="BK575" s="430"/>
      <c r="BL575" s="430"/>
      <c r="BM575" s="430"/>
      <c r="BN575" s="430"/>
      <c r="BO575" s="430"/>
      <c r="BP575" s="430"/>
      <c r="BQ575" s="430"/>
      <c r="BR575" s="430"/>
      <c r="BS575" s="430"/>
      <c r="BT575" s="430"/>
      <c r="BU575" s="430"/>
      <c r="BV575" s="430"/>
      <c r="BW575" s="430"/>
      <c r="BX575" s="430"/>
      <c r="BY575" s="430"/>
      <c r="BZ575" s="430"/>
      <c r="CA575" s="430"/>
      <c r="CB575" s="430"/>
      <c r="CC575" s="430"/>
      <c r="CD575" s="430"/>
      <c r="CE575" s="430"/>
      <c r="CF575" s="430"/>
      <c r="CG575" s="430"/>
      <c r="CH575" s="430"/>
      <c r="CI575" s="430"/>
      <c r="CJ575" s="430"/>
      <c r="CK575" s="430"/>
      <c r="CL575" s="430"/>
    </row>
    <row r="576" spans="63:90" ht="14.25" customHeight="1">
      <c r="BK576" s="430"/>
      <c r="BL576" s="430"/>
      <c r="BM576" s="430"/>
      <c r="BN576" s="430"/>
      <c r="BO576" s="430"/>
      <c r="BP576" s="430"/>
      <c r="BQ576" s="430"/>
      <c r="BR576" s="430"/>
      <c r="BS576" s="430"/>
      <c r="BT576" s="430"/>
      <c r="BU576" s="430"/>
      <c r="BV576" s="430"/>
      <c r="BW576" s="430"/>
      <c r="BX576" s="430"/>
      <c r="BY576" s="430"/>
      <c r="BZ576" s="430"/>
      <c r="CA576" s="430"/>
      <c r="CB576" s="430"/>
      <c r="CC576" s="430"/>
      <c r="CD576" s="430"/>
      <c r="CE576" s="430"/>
      <c r="CF576" s="430"/>
      <c r="CG576" s="430"/>
      <c r="CH576" s="430"/>
      <c r="CI576" s="430"/>
      <c r="CJ576" s="430"/>
      <c r="CK576" s="430"/>
      <c r="CL576" s="430"/>
    </row>
    <row r="577" spans="63:90" ht="14.25" customHeight="1">
      <c r="BK577" s="430"/>
      <c r="BL577" s="430"/>
      <c r="BM577" s="430"/>
      <c r="BN577" s="430"/>
      <c r="BO577" s="430"/>
      <c r="BP577" s="430"/>
      <c r="BQ577" s="430"/>
      <c r="BR577" s="430"/>
      <c r="BS577" s="430"/>
      <c r="BT577" s="430"/>
      <c r="BU577" s="430"/>
      <c r="BV577" s="430"/>
      <c r="BW577" s="430"/>
      <c r="BX577" s="430"/>
      <c r="BY577" s="430"/>
      <c r="BZ577" s="430"/>
      <c r="CA577" s="430"/>
      <c r="CB577" s="430"/>
      <c r="CC577" s="430"/>
      <c r="CD577" s="430"/>
      <c r="CE577" s="430"/>
      <c r="CF577" s="430"/>
      <c r="CG577" s="430"/>
      <c r="CH577" s="430"/>
      <c r="CI577" s="430"/>
      <c r="CJ577" s="430"/>
      <c r="CK577" s="430"/>
      <c r="CL577" s="430"/>
    </row>
    <row r="578" spans="63:90" ht="14.25" customHeight="1">
      <c r="BK578" s="430"/>
      <c r="BL578" s="430"/>
      <c r="BM578" s="430"/>
      <c r="BN578" s="430"/>
      <c r="BO578" s="430"/>
      <c r="BP578" s="430"/>
      <c r="BQ578" s="430"/>
      <c r="BR578" s="430"/>
      <c r="BS578" s="430"/>
      <c r="BT578" s="430"/>
      <c r="BU578" s="430"/>
      <c r="BV578" s="430"/>
      <c r="BW578" s="430"/>
      <c r="BX578" s="430"/>
      <c r="BY578" s="430"/>
      <c r="BZ578" s="430"/>
      <c r="CA578" s="430"/>
      <c r="CB578" s="430"/>
      <c r="CC578" s="430"/>
      <c r="CD578" s="430"/>
      <c r="CE578" s="430"/>
      <c r="CF578" s="430"/>
      <c r="CG578" s="430"/>
      <c r="CH578" s="430"/>
      <c r="CI578" s="430"/>
      <c r="CJ578" s="430"/>
      <c r="CK578" s="430"/>
      <c r="CL578" s="430"/>
    </row>
    <row r="579" spans="63:90" ht="14.25" customHeight="1">
      <c r="BK579" s="430"/>
      <c r="BL579" s="430"/>
      <c r="BM579" s="430"/>
      <c r="BN579" s="430"/>
      <c r="BO579" s="430"/>
      <c r="BP579" s="430"/>
      <c r="BQ579" s="430"/>
      <c r="BR579" s="430"/>
      <c r="BS579" s="430"/>
      <c r="BT579" s="430"/>
      <c r="BU579" s="430"/>
      <c r="BV579" s="430"/>
      <c r="BW579" s="430"/>
      <c r="BX579" s="430"/>
      <c r="BY579" s="430"/>
      <c r="BZ579" s="430"/>
      <c r="CA579" s="430"/>
      <c r="CB579" s="430"/>
      <c r="CC579" s="430"/>
      <c r="CD579" s="430"/>
      <c r="CE579" s="430"/>
      <c r="CF579" s="430"/>
      <c r="CG579" s="430"/>
      <c r="CH579" s="430"/>
      <c r="CI579" s="430"/>
      <c r="CJ579" s="430"/>
      <c r="CK579" s="430"/>
      <c r="CL579" s="430"/>
    </row>
    <row r="580" spans="63:90" ht="14.25" customHeight="1">
      <c r="BK580" s="430"/>
      <c r="BL580" s="430"/>
      <c r="BM580" s="430"/>
      <c r="BN580" s="430"/>
      <c r="BO580" s="430"/>
      <c r="BP580" s="430"/>
      <c r="BQ580" s="430"/>
      <c r="BR580" s="430"/>
      <c r="BS580" s="430"/>
      <c r="BT580" s="430"/>
      <c r="BU580" s="430"/>
      <c r="BV580" s="430"/>
      <c r="BW580" s="430"/>
      <c r="BX580" s="430"/>
      <c r="BY580" s="430"/>
      <c r="BZ580" s="430"/>
      <c r="CA580" s="430"/>
      <c r="CB580" s="430"/>
      <c r="CC580" s="430"/>
      <c r="CD580" s="430"/>
      <c r="CE580" s="430"/>
      <c r="CF580" s="430"/>
      <c r="CG580" s="430"/>
      <c r="CH580" s="430"/>
      <c r="CI580" s="430"/>
      <c r="CJ580" s="430"/>
      <c r="CK580" s="430"/>
      <c r="CL580" s="430"/>
    </row>
    <row r="581" spans="63:90" ht="14.25" customHeight="1">
      <c r="BK581" s="430"/>
      <c r="BL581" s="430"/>
      <c r="BM581" s="430"/>
      <c r="BN581" s="430"/>
      <c r="BO581" s="430"/>
      <c r="BP581" s="430"/>
      <c r="BQ581" s="430"/>
      <c r="BR581" s="430"/>
      <c r="BS581" s="430"/>
      <c r="BT581" s="430"/>
      <c r="BU581" s="430"/>
      <c r="BV581" s="430"/>
      <c r="BW581" s="430"/>
      <c r="BX581" s="430"/>
      <c r="BY581" s="430"/>
      <c r="BZ581" s="430"/>
      <c r="CA581" s="430"/>
      <c r="CB581" s="430"/>
      <c r="CC581" s="430"/>
      <c r="CD581" s="430"/>
      <c r="CE581" s="430"/>
      <c r="CF581" s="430"/>
      <c r="CG581" s="430"/>
      <c r="CH581" s="430"/>
      <c r="CI581" s="430"/>
      <c r="CJ581" s="430"/>
      <c r="CK581" s="430"/>
      <c r="CL581" s="430"/>
    </row>
    <row r="582" spans="63:90" ht="14.25" customHeight="1">
      <c r="BK582" s="430"/>
      <c r="BL582" s="430"/>
      <c r="BM582" s="430"/>
      <c r="BN582" s="430"/>
      <c r="BO582" s="430"/>
      <c r="BP582" s="430"/>
      <c r="BQ582" s="430"/>
      <c r="BR582" s="430"/>
      <c r="BS582" s="430"/>
      <c r="BT582" s="430"/>
      <c r="BU582" s="430"/>
      <c r="BV582" s="430"/>
      <c r="BW582" s="430"/>
      <c r="BX582" s="430"/>
      <c r="BY582" s="430"/>
      <c r="BZ582" s="430"/>
      <c r="CA582" s="430"/>
      <c r="CB582" s="430"/>
      <c r="CC582" s="430"/>
      <c r="CD582" s="430"/>
      <c r="CE582" s="430"/>
      <c r="CF582" s="430"/>
      <c r="CG582" s="430"/>
      <c r="CH582" s="430"/>
      <c r="CI582" s="430"/>
      <c r="CJ582" s="430"/>
      <c r="CK582" s="430"/>
      <c r="CL582" s="430"/>
    </row>
    <row r="583" spans="63:90" ht="14.25" customHeight="1">
      <c r="BK583" s="430"/>
      <c r="BL583" s="430"/>
      <c r="BM583" s="430"/>
      <c r="BN583" s="430"/>
      <c r="BO583" s="430"/>
      <c r="BP583" s="430"/>
      <c r="BQ583" s="430"/>
      <c r="BR583" s="430"/>
      <c r="BS583" s="430"/>
      <c r="BT583" s="430"/>
      <c r="BU583" s="430"/>
      <c r="BV583" s="430"/>
      <c r="BW583" s="430"/>
      <c r="BX583" s="430"/>
      <c r="BY583" s="430"/>
      <c r="BZ583" s="430"/>
      <c r="CA583" s="430"/>
      <c r="CB583" s="430"/>
      <c r="CC583" s="430"/>
      <c r="CD583" s="430"/>
      <c r="CE583" s="430"/>
      <c r="CF583" s="430"/>
      <c r="CG583" s="430"/>
      <c r="CH583" s="430"/>
      <c r="CI583" s="430"/>
      <c r="CJ583" s="430"/>
      <c r="CK583" s="430"/>
      <c r="CL583" s="430"/>
    </row>
    <row r="584" spans="63:90" ht="14.25" customHeight="1">
      <c r="BK584" s="430"/>
      <c r="BL584" s="430"/>
      <c r="BM584" s="430"/>
      <c r="BN584" s="430"/>
      <c r="BO584" s="430"/>
      <c r="BP584" s="430"/>
      <c r="BQ584" s="430"/>
      <c r="BR584" s="430"/>
      <c r="BS584" s="430"/>
      <c r="BT584" s="430"/>
      <c r="BU584" s="430"/>
      <c r="BV584" s="430"/>
      <c r="BW584" s="430"/>
      <c r="BX584" s="430"/>
      <c r="BY584" s="430"/>
      <c r="BZ584" s="430"/>
      <c r="CA584" s="430"/>
      <c r="CB584" s="430"/>
      <c r="CC584" s="430"/>
      <c r="CD584" s="430"/>
      <c r="CE584" s="430"/>
      <c r="CF584" s="430"/>
      <c r="CG584" s="430"/>
      <c r="CH584" s="430"/>
      <c r="CI584" s="430"/>
      <c r="CJ584" s="430"/>
      <c r="CK584" s="430"/>
      <c r="CL584" s="430"/>
    </row>
    <row r="585" spans="63:90" ht="14.25" customHeight="1">
      <c r="BK585" s="430"/>
      <c r="BL585" s="430"/>
      <c r="BM585" s="430"/>
      <c r="BN585" s="430"/>
      <c r="BO585" s="430"/>
      <c r="BP585" s="430"/>
      <c r="BQ585" s="430"/>
      <c r="BR585" s="430"/>
      <c r="BS585" s="430"/>
      <c r="BT585" s="430"/>
      <c r="BU585" s="430"/>
      <c r="BV585" s="430"/>
      <c r="BW585" s="430"/>
      <c r="BX585" s="430"/>
      <c r="BY585" s="430"/>
      <c r="BZ585" s="430"/>
      <c r="CA585" s="430"/>
      <c r="CB585" s="430"/>
      <c r="CC585" s="430"/>
      <c r="CD585" s="430"/>
      <c r="CE585" s="430"/>
      <c r="CF585" s="430"/>
      <c r="CG585" s="430"/>
      <c r="CH585" s="430"/>
      <c r="CI585" s="430"/>
      <c r="CJ585" s="430"/>
      <c r="CK585" s="430"/>
      <c r="CL585" s="430"/>
    </row>
    <row r="586" spans="63:90" ht="14.25" customHeight="1">
      <c r="BK586" s="430"/>
      <c r="BL586" s="430"/>
      <c r="BM586" s="430"/>
      <c r="BN586" s="430"/>
      <c r="BO586" s="430"/>
      <c r="BP586" s="430"/>
      <c r="BQ586" s="430"/>
      <c r="BR586" s="430"/>
      <c r="BS586" s="430"/>
      <c r="BT586" s="430"/>
      <c r="BU586" s="430"/>
      <c r="BV586" s="430"/>
      <c r="BW586" s="430"/>
      <c r="BX586" s="430"/>
      <c r="BY586" s="430"/>
      <c r="BZ586" s="430"/>
      <c r="CA586" s="430"/>
      <c r="CB586" s="430"/>
      <c r="CC586" s="430"/>
      <c r="CD586" s="430"/>
      <c r="CE586" s="430"/>
      <c r="CF586" s="430"/>
      <c r="CG586" s="430"/>
      <c r="CH586" s="430"/>
      <c r="CI586" s="430"/>
      <c r="CJ586" s="430"/>
      <c r="CK586" s="430"/>
      <c r="CL586" s="430"/>
    </row>
    <row r="587" spans="63:90" ht="14.25" customHeight="1">
      <c r="BK587" s="430"/>
      <c r="BL587" s="430"/>
      <c r="BM587" s="430"/>
      <c r="BN587" s="430"/>
      <c r="BO587" s="430"/>
      <c r="BP587" s="430"/>
      <c r="BQ587" s="430"/>
      <c r="BR587" s="430"/>
      <c r="BS587" s="430"/>
      <c r="BT587" s="430"/>
      <c r="BU587" s="430"/>
      <c r="BV587" s="430"/>
      <c r="BW587" s="430"/>
      <c r="BX587" s="430"/>
      <c r="BY587" s="430"/>
      <c r="BZ587" s="430"/>
      <c r="CA587" s="430"/>
      <c r="CB587" s="430"/>
      <c r="CC587" s="430"/>
      <c r="CD587" s="430"/>
      <c r="CE587" s="430"/>
      <c r="CF587" s="430"/>
      <c r="CG587" s="430"/>
      <c r="CH587" s="430"/>
      <c r="CI587" s="430"/>
      <c r="CJ587" s="430"/>
      <c r="CK587" s="430"/>
      <c r="CL587" s="430"/>
    </row>
    <row r="588" spans="63:90" ht="14.25" customHeight="1">
      <c r="BK588" s="430"/>
      <c r="BL588" s="430"/>
      <c r="BM588" s="430"/>
      <c r="BN588" s="430"/>
      <c r="BO588" s="430"/>
      <c r="BP588" s="430"/>
      <c r="BQ588" s="430"/>
      <c r="BR588" s="430"/>
      <c r="BS588" s="430"/>
      <c r="BT588" s="430"/>
      <c r="BU588" s="430"/>
      <c r="BV588" s="430"/>
      <c r="BW588" s="430"/>
      <c r="BX588" s="430"/>
      <c r="BY588" s="430"/>
      <c r="BZ588" s="430"/>
      <c r="CA588" s="430"/>
      <c r="CB588" s="430"/>
      <c r="CC588" s="430"/>
      <c r="CD588" s="430"/>
      <c r="CE588" s="430"/>
      <c r="CF588" s="430"/>
      <c r="CG588" s="430"/>
      <c r="CH588" s="430"/>
      <c r="CI588" s="430"/>
      <c r="CJ588" s="430"/>
      <c r="CK588" s="430"/>
      <c r="CL588" s="430"/>
    </row>
    <row r="589" spans="63:90" ht="14.25" customHeight="1">
      <c r="BK589" s="430"/>
      <c r="BL589" s="430"/>
      <c r="BM589" s="430"/>
      <c r="BN589" s="430"/>
      <c r="BO589" s="430"/>
      <c r="BP589" s="430"/>
      <c r="BQ589" s="430"/>
      <c r="BR589" s="430"/>
      <c r="BS589" s="430"/>
      <c r="BT589" s="430"/>
      <c r="BU589" s="430"/>
      <c r="BV589" s="430"/>
      <c r="BW589" s="430"/>
      <c r="BX589" s="430"/>
      <c r="BY589" s="430"/>
      <c r="BZ589" s="430"/>
      <c r="CA589" s="430"/>
      <c r="CB589" s="430"/>
      <c r="CC589" s="430"/>
      <c r="CD589" s="430"/>
      <c r="CE589" s="430"/>
      <c r="CF589" s="430"/>
      <c r="CG589" s="430"/>
      <c r="CH589" s="430"/>
      <c r="CI589" s="430"/>
      <c r="CJ589" s="430"/>
      <c r="CK589" s="430"/>
      <c r="CL589" s="430"/>
    </row>
    <row r="590" spans="63:90" ht="14.25" customHeight="1">
      <c r="BK590" s="430"/>
      <c r="BL590" s="430"/>
      <c r="BM590" s="430"/>
      <c r="BN590" s="430"/>
      <c r="BO590" s="430"/>
      <c r="BP590" s="430"/>
      <c r="BQ590" s="430"/>
      <c r="BR590" s="430"/>
      <c r="BS590" s="430"/>
      <c r="BT590" s="430"/>
      <c r="BU590" s="430"/>
      <c r="BV590" s="430"/>
      <c r="BW590" s="430"/>
      <c r="BX590" s="430"/>
      <c r="BY590" s="430"/>
      <c r="BZ590" s="430"/>
      <c r="CA590" s="430"/>
      <c r="CB590" s="430"/>
      <c r="CC590" s="430"/>
      <c r="CD590" s="430"/>
      <c r="CE590" s="430"/>
      <c r="CF590" s="430"/>
      <c r="CG590" s="430"/>
      <c r="CH590" s="430"/>
      <c r="CI590" s="430"/>
      <c r="CJ590" s="430"/>
      <c r="CK590" s="430"/>
      <c r="CL590" s="430"/>
    </row>
    <row r="591" spans="63:90" ht="14.25" customHeight="1">
      <c r="BK591" s="430"/>
      <c r="BL591" s="430"/>
      <c r="BM591" s="430"/>
      <c r="BN591" s="430"/>
      <c r="BO591" s="430"/>
      <c r="BP591" s="430"/>
      <c r="BQ591" s="430"/>
      <c r="BR591" s="430"/>
      <c r="BS591" s="430"/>
      <c r="BT591" s="430"/>
      <c r="BU591" s="430"/>
      <c r="BV591" s="430"/>
      <c r="BW591" s="430"/>
      <c r="BX591" s="430"/>
      <c r="BY591" s="430"/>
      <c r="BZ591" s="430"/>
      <c r="CA591" s="430"/>
      <c r="CB591" s="430"/>
      <c r="CC591" s="430"/>
      <c r="CD591" s="430"/>
      <c r="CE591" s="430"/>
      <c r="CF591" s="430"/>
      <c r="CG591" s="430"/>
      <c r="CH591" s="430"/>
      <c r="CI591" s="430"/>
      <c r="CJ591" s="430"/>
      <c r="CK591" s="430"/>
      <c r="CL591" s="430"/>
    </row>
    <row r="592" spans="63:90" ht="14.25" customHeight="1">
      <c r="BK592" s="430"/>
      <c r="BL592" s="430"/>
      <c r="BM592" s="430"/>
      <c r="BN592" s="430"/>
      <c r="BO592" s="430"/>
      <c r="BP592" s="430"/>
      <c r="BQ592" s="430"/>
      <c r="BR592" s="430"/>
      <c r="BS592" s="430"/>
      <c r="BT592" s="430"/>
      <c r="BU592" s="430"/>
      <c r="BV592" s="430"/>
      <c r="BW592" s="430"/>
      <c r="BX592" s="430"/>
      <c r="BY592" s="430"/>
      <c r="BZ592" s="430"/>
      <c r="CA592" s="430"/>
      <c r="CB592" s="430"/>
      <c r="CC592" s="430"/>
      <c r="CD592" s="430"/>
      <c r="CE592" s="430"/>
      <c r="CF592" s="430"/>
      <c r="CG592" s="430"/>
      <c r="CH592" s="430"/>
      <c r="CI592" s="430"/>
      <c r="CJ592" s="430"/>
      <c r="CK592" s="430"/>
      <c r="CL592" s="430"/>
    </row>
    <row r="593" spans="63:90" ht="14.25" customHeight="1">
      <c r="BK593" s="430"/>
      <c r="BL593" s="430"/>
      <c r="BM593" s="430"/>
      <c r="BN593" s="430"/>
      <c r="BO593" s="430"/>
      <c r="BP593" s="430"/>
      <c r="BQ593" s="430"/>
      <c r="BR593" s="430"/>
      <c r="BS593" s="430"/>
      <c r="BT593" s="430"/>
      <c r="BU593" s="430"/>
      <c r="BV593" s="430"/>
      <c r="BW593" s="430"/>
      <c r="BX593" s="430"/>
      <c r="BY593" s="430"/>
      <c r="BZ593" s="430"/>
      <c r="CA593" s="430"/>
      <c r="CB593" s="430"/>
      <c r="CC593" s="430"/>
      <c r="CD593" s="430"/>
      <c r="CE593" s="430"/>
      <c r="CF593" s="430"/>
      <c r="CG593" s="430"/>
      <c r="CH593" s="430"/>
      <c r="CI593" s="430"/>
      <c r="CJ593" s="430"/>
      <c r="CK593" s="430"/>
      <c r="CL593" s="430"/>
    </row>
    <row r="594" spans="63:90" ht="14.25" customHeight="1">
      <c r="BK594" s="430"/>
      <c r="BL594" s="430"/>
      <c r="BM594" s="430"/>
      <c r="BN594" s="430"/>
      <c r="BO594" s="430"/>
      <c r="BP594" s="430"/>
      <c r="BQ594" s="430"/>
      <c r="BR594" s="430"/>
      <c r="BS594" s="430"/>
      <c r="BT594" s="430"/>
      <c r="BU594" s="430"/>
      <c r="BV594" s="430"/>
      <c r="BW594" s="430"/>
      <c r="BX594" s="430"/>
      <c r="BY594" s="430"/>
      <c r="BZ594" s="430"/>
      <c r="CA594" s="430"/>
      <c r="CB594" s="430"/>
      <c r="CC594" s="430"/>
      <c r="CD594" s="430"/>
      <c r="CE594" s="430"/>
      <c r="CF594" s="430"/>
      <c r="CG594" s="430"/>
      <c r="CH594" s="430"/>
      <c r="CI594" s="430"/>
      <c r="CJ594" s="430"/>
      <c r="CK594" s="430"/>
      <c r="CL594" s="430"/>
    </row>
    <row r="595" spans="63:90" ht="14.25" customHeight="1">
      <c r="BK595" s="430"/>
      <c r="BL595" s="430"/>
      <c r="BM595" s="430"/>
      <c r="BN595" s="430"/>
      <c r="BO595" s="430"/>
      <c r="BP595" s="430"/>
      <c r="BQ595" s="430"/>
      <c r="BR595" s="430"/>
      <c r="BS595" s="430"/>
      <c r="BT595" s="430"/>
      <c r="BU595" s="430"/>
      <c r="BV595" s="430"/>
      <c r="BW595" s="430"/>
      <c r="BX595" s="430"/>
      <c r="BY595" s="430"/>
      <c r="BZ595" s="430"/>
      <c r="CA595" s="430"/>
      <c r="CB595" s="430"/>
      <c r="CC595" s="430"/>
      <c r="CD595" s="430"/>
      <c r="CE595" s="430"/>
      <c r="CF595" s="430"/>
      <c r="CG595" s="430"/>
      <c r="CH595" s="430"/>
      <c r="CI595" s="430"/>
      <c r="CJ595" s="430"/>
      <c r="CK595" s="430"/>
      <c r="CL595" s="430"/>
    </row>
    <row r="596" spans="63:90" ht="14.25" customHeight="1">
      <c r="BK596" s="430"/>
      <c r="BL596" s="430"/>
      <c r="BM596" s="430"/>
      <c r="BN596" s="430"/>
      <c r="BO596" s="430"/>
      <c r="BP596" s="430"/>
      <c r="BQ596" s="430"/>
      <c r="BR596" s="430"/>
      <c r="BS596" s="430"/>
      <c r="BT596" s="430"/>
      <c r="BU596" s="430"/>
      <c r="BV596" s="430"/>
      <c r="BW596" s="430"/>
      <c r="BX596" s="430"/>
      <c r="BY596" s="430"/>
      <c r="BZ596" s="430"/>
      <c r="CA596" s="430"/>
      <c r="CB596" s="430"/>
      <c r="CC596" s="430"/>
      <c r="CD596" s="430"/>
      <c r="CE596" s="430"/>
      <c r="CF596" s="430"/>
      <c r="CG596" s="430"/>
      <c r="CH596" s="430"/>
      <c r="CI596" s="430"/>
      <c r="CJ596" s="430"/>
      <c r="CK596" s="430"/>
      <c r="CL596" s="430"/>
    </row>
    <row r="597" spans="63:90" ht="14.25" customHeight="1">
      <c r="BK597" s="430"/>
      <c r="BL597" s="430"/>
      <c r="BM597" s="430"/>
      <c r="BN597" s="430"/>
      <c r="BO597" s="430"/>
      <c r="BP597" s="430"/>
      <c r="BQ597" s="430"/>
      <c r="BR597" s="430"/>
      <c r="BS597" s="430"/>
      <c r="BT597" s="430"/>
      <c r="BU597" s="430"/>
      <c r="BV597" s="430"/>
      <c r="BW597" s="430"/>
      <c r="BX597" s="430"/>
      <c r="BY597" s="430"/>
      <c r="BZ597" s="430"/>
      <c r="CA597" s="430"/>
      <c r="CB597" s="430"/>
      <c r="CC597" s="430"/>
      <c r="CD597" s="430"/>
      <c r="CE597" s="430"/>
      <c r="CF597" s="430"/>
      <c r="CG597" s="430"/>
      <c r="CH597" s="430"/>
      <c r="CI597" s="430"/>
      <c r="CJ597" s="430"/>
      <c r="CK597" s="430"/>
      <c r="CL597" s="430"/>
    </row>
    <row r="598" spans="63:90" ht="14.25" customHeight="1">
      <c r="BK598" s="430"/>
      <c r="BL598" s="430"/>
      <c r="BM598" s="430"/>
      <c r="BN598" s="430"/>
      <c r="BO598" s="430"/>
      <c r="BP598" s="430"/>
      <c r="BQ598" s="430"/>
      <c r="BR598" s="430"/>
      <c r="BS598" s="430"/>
      <c r="BT598" s="430"/>
      <c r="BU598" s="430"/>
      <c r="BV598" s="430"/>
      <c r="BW598" s="430"/>
      <c r="BX598" s="430"/>
      <c r="BY598" s="430"/>
      <c r="BZ598" s="430"/>
      <c r="CA598" s="430"/>
      <c r="CB598" s="430"/>
      <c r="CC598" s="430"/>
      <c r="CD598" s="430"/>
      <c r="CE598" s="430"/>
      <c r="CF598" s="430"/>
      <c r="CG598" s="430"/>
      <c r="CH598" s="430"/>
      <c r="CI598" s="430"/>
      <c r="CJ598" s="430"/>
      <c r="CK598" s="430"/>
      <c r="CL598" s="430"/>
    </row>
    <row r="599" spans="63:90" ht="14.25" customHeight="1">
      <c r="BK599" s="430"/>
      <c r="BL599" s="430"/>
      <c r="BM599" s="430"/>
      <c r="BN599" s="430"/>
      <c r="BO599" s="430"/>
      <c r="BP599" s="430"/>
      <c r="BQ599" s="430"/>
      <c r="BR599" s="430"/>
      <c r="BS599" s="430"/>
      <c r="BT599" s="430"/>
      <c r="BU599" s="430"/>
      <c r="BV599" s="430"/>
      <c r="BW599" s="430"/>
      <c r="BX599" s="430"/>
      <c r="BY599" s="430"/>
      <c r="BZ599" s="430"/>
      <c r="CA599" s="430"/>
      <c r="CB599" s="430"/>
      <c r="CC599" s="430"/>
      <c r="CD599" s="430"/>
      <c r="CE599" s="430"/>
      <c r="CF599" s="430"/>
      <c r="CG599" s="430"/>
      <c r="CH599" s="430"/>
      <c r="CI599" s="430"/>
      <c r="CJ599" s="430"/>
      <c r="CK599" s="430"/>
      <c r="CL599" s="430"/>
    </row>
    <row r="600" spans="63:90" ht="14.25" customHeight="1">
      <c r="BK600" s="430"/>
      <c r="BL600" s="430"/>
      <c r="BM600" s="430"/>
      <c r="BN600" s="430"/>
      <c r="BO600" s="430"/>
      <c r="BP600" s="430"/>
      <c r="BQ600" s="430"/>
      <c r="BR600" s="430"/>
      <c r="BS600" s="430"/>
      <c r="BT600" s="430"/>
      <c r="BU600" s="430"/>
      <c r="BV600" s="430"/>
      <c r="BW600" s="430"/>
      <c r="BX600" s="430"/>
      <c r="BY600" s="430"/>
      <c r="BZ600" s="430"/>
      <c r="CA600" s="430"/>
      <c r="CB600" s="430"/>
      <c r="CC600" s="430"/>
      <c r="CD600" s="430"/>
      <c r="CE600" s="430"/>
      <c r="CF600" s="430"/>
      <c r="CG600" s="430"/>
      <c r="CH600" s="430"/>
      <c r="CI600" s="430"/>
      <c r="CJ600" s="430"/>
      <c r="CK600" s="430"/>
      <c r="CL600" s="430"/>
    </row>
    <row r="601" spans="63:90" ht="14.25" customHeight="1">
      <c r="BK601" s="430"/>
      <c r="BL601" s="430"/>
      <c r="BM601" s="430"/>
      <c r="BN601" s="430"/>
      <c r="BO601" s="430"/>
      <c r="BP601" s="430"/>
      <c r="BQ601" s="430"/>
      <c r="BR601" s="430"/>
      <c r="BS601" s="430"/>
      <c r="BT601" s="430"/>
      <c r="BU601" s="430"/>
      <c r="BV601" s="430"/>
      <c r="BW601" s="430"/>
      <c r="BX601" s="430"/>
      <c r="BY601" s="430"/>
      <c r="BZ601" s="430"/>
      <c r="CA601" s="430"/>
      <c r="CB601" s="430"/>
      <c r="CC601" s="430"/>
      <c r="CD601" s="430"/>
      <c r="CE601" s="430"/>
      <c r="CF601" s="430"/>
      <c r="CG601" s="430"/>
      <c r="CH601" s="430"/>
      <c r="CI601" s="430"/>
      <c r="CJ601" s="430"/>
      <c r="CK601" s="430"/>
      <c r="CL601" s="430"/>
    </row>
    <row r="602" spans="63:90" ht="14.25" customHeight="1">
      <c r="BK602" s="430"/>
      <c r="BL602" s="430"/>
      <c r="BM602" s="430"/>
      <c r="BN602" s="430"/>
      <c r="BO602" s="430"/>
      <c r="BP602" s="430"/>
      <c r="BQ602" s="430"/>
      <c r="BR602" s="430"/>
      <c r="BS602" s="430"/>
      <c r="BT602" s="430"/>
      <c r="BU602" s="430"/>
      <c r="BV602" s="430"/>
      <c r="BW602" s="430"/>
      <c r="BX602" s="430"/>
      <c r="BY602" s="430"/>
      <c r="BZ602" s="430"/>
      <c r="CA602" s="430"/>
      <c r="CB602" s="430"/>
      <c r="CC602" s="430"/>
      <c r="CD602" s="430"/>
      <c r="CE602" s="430"/>
      <c r="CF602" s="430"/>
      <c r="CG602" s="430"/>
      <c r="CH602" s="430"/>
      <c r="CI602" s="430"/>
      <c r="CJ602" s="430"/>
      <c r="CK602" s="430"/>
      <c r="CL602" s="430"/>
    </row>
    <row r="603" spans="63:90" ht="14.25" customHeight="1">
      <c r="BK603" s="430"/>
      <c r="BL603" s="430"/>
      <c r="BM603" s="430"/>
      <c r="BN603" s="430"/>
      <c r="BO603" s="430"/>
      <c r="BP603" s="430"/>
      <c r="BQ603" s="430"/>
      <c r="BR603" s="430"/>
      <c r="BS603" s="430"/>
      <c r="BT603" s="430"/>
      <c r="BU603" s="430"/>
      <c r="BV603" s="430"/>
      <c r="BW603" s="430"/>
      <c r="BX603" s="430"/>
      <c r="BY603" s="430"/>
      <c r="BZ603" s="430"/>
      <c r="CA603" s="430"/>
      <c r="CB603" s="430"/>
      <c r="CC603" s="430"/>
      <c r="CD603" s="430"/>
      <c r="CE603" s="430"/>
      <c r="CF603" s="430"/>
      <c r="CG603" s="430"/>
      <c r="CH603" s="430"/>
      <c r="CI603" s="430"/>
      <c r="CJ603" s="430"/>
      <c r="CK603" s="430"/>
      <c r="CL603" s="430"/>
    </row>
    <row r="604" spans="63:90" ht="14.25" customHeight="1">
      <c r="BK604" s="430"/>
      <c r="BL604" s="430"/>
      <c r="BM604" s="430"/>
      <c r="BN604" s="430"/>
      <c r="BO604" s="430"/>
      <c r="BP604" s="430"/>
      <c r="BQ604" s="430"/>
      <c r="BR604" s="430"/>
      <c r="BS604" s="430"/>
      <c r="BT604" s="430"/>
      <c r="BU604" s="430"/>
      <c r="BV604" s="430"/>
      <c r="BW604" s="430"/>
      <c r="BX604" s="430"/>
      <c r="BY604" s="430"/>
      <c r="BZ604" s="430"/>
      <c r="CA604" s="430"/>
      <c r="CB604" s="430"/>
      <c r="CC604" s="430"/>
      <c r="CD604" s="430"/>
      <c r="CE604" s="430"/>
      <c r="CF604" s="430"/>
      <c r="CG604" s="430"/>
      <c r="CH604" s="430"/>
      <c r="CI604" s="430"/>
      <c r="CJ604" s="430"/>
      <c r="CK604" s="430"/>
      <c r="CL604" s="430"/>
    </row>
    <row r="605" spans="63:90" ht="14.25" customHeight="1">
      <c r="BK605" s="430"/>
      <c r="BL605" s="430"/>
      <c r="BM605" s="430"/>
      <c r="BN605" s="430"/>
      <c r="BO605" s="430"/>
      <c r="BP605" s="430"/>
      <c r="BQ605" s="430"/>
      <c r="BR605" s="430"/>
      <c r="BS605" s="430"/>
      <c r="BT605" s="430"/>
      <c r="BU605" s="430"/>
      <c r="BV605" s="430"/>
      <c r="BW605" s="430"/>
      <c r="BX605" s="430"/>
      <c r="BY605" s="430"/>
      <c r="BZ605" s="430"/>
      <c r="CA605" s="430"/>
      <c r="CB605" s="430"/>
      <c r="CC605" s="430"/>
      <c r="CD605" s="430"/>
      <c r="CE605" s="430"/>
      <c r="CF605" s="430"/>
      <c r="CG605" s="430"/>
      <c r="CH605" s="430"/>
      <c r="CI605" s="430"/>
      <c r="CJ605" s="430"/>
      <c r="CK605" s="430"/>
      <c r="CL605" s="430"/>
    </row>
    <row r="606" spans="63:90" ht="14.25" customHeight="1">
      <c r="BK606" s="430"/>
      <c r="BL606" s="430"/>
      <c r="BM606" s="430"/>
      <c r="BN606" s="430"/>
      <c r="BO606" s="430"/>
      <c r="BP606" s="430"/>
      <c r="BQ606" s="430"/>
      <c r="BR606" s="430"/>
      <c r="BS606" s="430"/>
      <c r="BT606" s="430"/>
      <c r="BU606" s="430"/>
      <c r="BV606" s="430"/>
      <c r="BW606" s="430"/>
      <c r="BX606" s="430"/>
      <c r="BY606" s="430"/>
      <c r="BZ606" s="430"/>
      <c r="CA606" s="430"/>
      <c r="CB606" s="430"/>
      <c r="CC606" s="430"/>
      <c r="CD606" s="430"/>
      <c r="CE606" s="430"/>
      <c r="CF606" s="430"/>
      <c r="CG606" s="430"/>
      <c r="CH606" s="430"/>
      <c r="CI606" s="430"/>
      <c r="CJ606" s="430"/>
      <c r="CK606" s="430"/>
      <c r="CL606" s="430"/>
    </row>
    <row r="607" spans="63:90" ht="14.25" customHeight="1">
      <c r="BK607" s="430"/>
      <c r="BL607" s="430"/>
      <c r="BM607" s="430"/>
      <c r="BN607" s="430"/>
      <c r="BO607" s="430"/>
      <c r="BP607" s="430"/>
      <c r="BQ607" s="430"/>
      <c r="BR607" s="430"/>
      <c r="BS607" s="430"/>
      <c r="BT607" s="430"/>
      <c r="BU607" s="430"/>
      <c r="BV607" s="430"/>
      <c r="BW607" s="430"/>
      <c r="BX607" s="430"/>
      <c r="BY607" s="430"/>
      <c r="BZ607" s="430"/>
      <c r="CA607" s="430"/>
      <c r="CB607" s="430"/>
      <c r="CC607" s="430"/>
      <c r="CD607" s="430"/>
      <c r="CE607" s="430"/>
      <c r="CF607" s="430"/>
      <c r="CG607" s="430"/>
      <c r="CH607" s="430"/>
      <c r="CI607" s="430"/>
      <c r="CJ607" s="430"/>
      <c r="CK607" s="430"/>
      <c r="CL607" s="430"/>
    </row>
    <row r="608" spans="63:90" ht="14.25" customHeight="1">
      <c r="BK608" s="430"/>
      <c r="BL608" s="430"/>
      <c r="BM608" s="430"/>
      <c r="BN608" s="430"/>
      <c r="BO608" s="430"/>
      <c r="BP608" s="430"/>
      <c r="BQ608" s="430"/>
      <c r="BR608" s="430"/>
      <c r="BS608" s="430"/>
      <c r="BT608" s="430"/>
      <c r="BU608" s="430"/>
      <c r="BV608" s="430"/>
      <c r="BW608" s="430"/>
      <c r="BX608" s="430"/>
      <c r="BY608" s="430"/>
      <c r="BZ608" s="430"/>
      <c r="CA608" s="430"/>
      <c r="CB608" s="430"/>
      <c r="CC608" s="430"/>
      <c r="CD608" s="430"/>
      <c r="CE608" s="430"/>
      <c r="CF608" s="430"/>
      <c r="CG608" s="430"/>
      <c r="CH608" s="430"/>
      <c r="CI608" s="430"/>
      <c r="CJ608" s="430"/>
      <c r="CK608" s="430"/>
      <c r="CL608" s="430"/>
    </row>
    <row r="609" spans="63:90" ht="14.25" customHeight="1">
      <c r="BK609" s="430"/>
      <c r="BL609" s="430"/>
      <c r="BM609" s="430"/>
      <c r="BN609" s="430"/>
      <c r="BO609" s="430"/>
      <c r="BP609" s="430"/>
      <c r="BQ609" s="430"/>
      <c r="BR609" s="430"/>
      <c r="BS609" s="430"/>
      <c r="BT609" s="430"/>
      <c r="BU609" s="430"/>
      <c r="BV609" s="430"/>
      <c r="BW609" s="430"/>
      <c r="BX609" s="430"/>
      <c r="BY609" s="430"/>
      <c r="BZ609" s="430"/>
      <c r="CA609" s="430"/>
      <c r="CB609" s="430"/>
      <c r="CC609" s="430"/>
      <c r="CD609" s="430"/>
      <c r="CE609" s="430"/>
      <c r="CF609" s="430"/>
      <c r="CG609" s="430"/>
      <c r="CH609" s="430"/>
      <c r="CI609" s="430"/>
      <c r="CJ609" s="430"/>
      <c r="CK609" s="430"/>
      <c r="CL609" s="430"/>
    </row>
    <row r="610" spans="63:90" ht="14.25" customHeight="1">
      <c r="BK610" s="430"/>
      <c r="BL610" s="430"/>
      <c r="BM610" s="430"/>
      <c r="BN610" s="430"/>
      <c r="BO610" s="430"/>
      <c r="BP610" s="430"/>
      <c r="BQ610" s="430"/>
      <c r="BR610" s="430"/>
      <c r="BS610" s="430"/>
      <c r="BT610" s="430"/>
      <c r="BU610" s="430"/>
      <c r="BV610" s="430"/>
      <c r="BW610" s="430"/>
      <c r="BX610" s="430"/>
      <c r="BY610" s="430"/>
      <c r="BZ610" s="430"/>
      <c r="CA610" s="430"/>
      <c r="CB610" s="430"/>
      <c r="CC610" s="430"/>
      <c r="CD610" s="430"/>
      <c r="CE610" s="430"/>
      <c r="CF610" s="430"/>
      <c r="CG610" s="430"/>
      <c r="CH610" s="430"/>
      <c r="CI610" s="430"/>
      <c r="CJ610" s="430"/>
      <c r="CK610" s="430"/>
      <c r="CL610" s="430"/>
    </row>
    <row r="611" spans="63:90" ht="14.25" customHeight="1">
      <c r="BK611" s="430"/>
      <c r="BL611" s="430"/>
      <c r="BM611" s="430"/>
      <c r="BN611" s="430"/>
      <c r="BO611" s="430"/>
      <c r="BP611" s="430"/>
      <c r="BQ611" s="430"/>
      <c r="BR611" s="430"/>
      <c r="BS611" s="430"/>
      <c r="BT611" s="430"/>
      <c r="BU611" s="430"/>
      <c r="BV611" s="430"/>
      <c r="BW611" s="430"/>
      <c r="BX611" s="430"/>
      <c r="BY611" s="430"/>
      <c r="BZ611" s="430"/>
      <c r="CA611" s="430"/>
      <c r="CB611" s="430"/>
      <c r="CC611" s="430"/>
      <c r="CD611" s="430"/>
      <c r="CE611" s="430"/>
      <c r="CF611" s="430"/>
      <c r="CG611" s="430"/>
      <c r="CH611" s="430"/>
      <c r="CI611" s="430"/>
      <c r="CJ611" s="430"/>
      <c r="CK611" s="430"/>
      <c r="CL611" s="430"/>
    </row>
    <row r="612" spans="63:90" ht="14.25" customHeight="1">
      <c r="BK612" s="430"/>
      <c r="BL612" s="430"/>
      <c r="BM612" s="430"/>
      <c r="BN612" s="430"/>
      <c r="BO612" s="430"/>
      <c r="BP612" s="430"/>
      <c r="BQ612" s="430"/>
      <c r="BR612" s="430"/>
      <c r="BS612" s="430"/>
      <c r="BT612" s="430"/>
      <c r="BU612" s="430"/>
      <c r="BV612" s="430"/>
      <c r="BW612" s="430"/>
      <c r="BX612" s="430"/>
      <c r="BY612" s="430"/>
      <c r="BZ612" s="430"/>
      <c r="CA612" s="430"/>
      <c r="CB612" s="430"/>
      <c r="CC612" s="430"/>
      <c r="CD612" s="430"/>
      <c r="CE612" s="430"/>
      <c r="CF612" s="430"/>
      <c r="CG612" s="430"/>
      <c r="CH612" s="430"/>
      <c r="CI612" s="430"/>
      <c r="CJ612" s="430"/>
      <c r="CK612" s="430"/>
      <c r="CL612" s="430"/>
    </row>
    <row r="613" spans="63:90" ht="14.25" customHeight="1">
      <c r="BK613" s="430"/>
      <c r="BL613" s="430"/>
      <c r="BM613" s="430"/>
      <c r="BN613" s="430"/>
      <c r="BO613" s="430"/>
      <c r="BP613" s="430"/>
      <c r="BQ613" s="430"/>
      <c r="BR613" s="430"/>
      <c r="BS613" s="430"/>
      <c r="BT613" s="430"/>
      <c r="BU613" s="430"/>
      <c r="BV613" s="430"/>
      <c r="BW613" s="430"/>
      <c r="BX613" s="430"/>
      <c r="BY613" s="430"/>
      <c r="BZ613" s="430"/>
      <c r="CA613" s="430"/>
      <c r="CB613" s="430"/>
      <c r="CC613" s="430"/>
      <c r="CD613" s="430"/>
      <c r="CE613" s="430"/>
      <c r="CF613" s="430"/>
      <c r="CG613" s="430"/>
      <c r="CH613" s="430"/>
      <c r="CI613" s="430"/>
      <c r="CJ613" s="430"/>
      <c r="CK613" s="430"/>
      <c r="CL613" s="430"/>
    </row>
    <row r="614" spans="63:90" ht="14.25" customHeight="1">
      <c r="BK614" s="430"/>
      <c r="BL614" s="430"/>
      <c r="BM614" s="430"/>
      <c r="BN614" s="430"/>
      <c r="BO614" s="430"/>
      <c r="BP614" s="430"/>
      <c r="BQ614" s="430"/>
      <c r="BR614" s="430"/>
      <c r="BS614" s="430"/>
      <c r="BT614" s="430"/>
      <c r="BU614" s="430"/>
      <c r="BV614" s="430"/>
      <c r="BW614" s="430"/>
      <c r="BX614" s="430"/>
      <c r="BY614" s="430"/>
      <c r="BZ614" s="430"/>
      <c r="CA614" s="430"/>
      <c r="CB614" s="430"/>
      <c r="CC614" s="430"/>
      <c r="CD614" s="430"/>
      <c r="CE614" s="430"/>
      <c r="CF614" s="430"/>
      <c r="CG614" s="430"/>
      <c r="CH614" s="430"/>
      <c r="CI614" s="430"/>
      <c r="CJ614" s="430"/>
      <c r="CK614" s="430"/>
      <c r="CL614" s="430"/>
    </row>
    <row r="615" spans="63:90" ht="14.25" customHeight="1">
      <c r="BK615" s="430"/>
      <c r="BL615" s="430"/>
      <c r="BM615" s="430"/>
      <c r="BN615" s="430"/>
      <c r="BO615" s="430"/>
      <c r="BP615" s="430"/>
      <c r="BQ615" s="430"/>
      <c r="BR615" s="430"/>
      <c r="BS615" s="430"/>
      <c r="BT615" s="430"/>
      <c r="BU615" s="430"/>
      <c r="BV615" s="430"/>
      <c r="BW615" s="430"/>
      <c r="BX615" s="430"/>
      <c r="BY615" s="430"/>
      <c r="BZ615" s="430"/>
      <c r="CA615" s="430"/>
      <c r="CB615" s="430"/>
      <c r="CC615" s="430"/>
      <c r="CD615" s="430"/>
      <c r="CE615" s="430"/>
      <c r="CF615" s="430"/>
      <c r="CG615" s="430"/>
      <c r="CH615" s="430"/>
      <c r="CI615" s="430"/>
      <c r="CJ615" s="430"/>
      <c r="CK615" s="430"/>
      <c r="CL615" s="430"/>
    </row>
    <row r="616" spans="63:90" ht="14.25" customHeight="1">
      <c r="BK616" s="430"/>
      <c r="BL616" s="430"/>
      <c r="BM616" s="430"/>
      <c r="BN616" s="430"/>
      <c r="BO616" s="430"/>
      <c r="BP616" s="430"/>
      <c r="BQ616" s="430"/>
      <c r="BR616" s="430"/>
      <c r="BS616" s="430"/>
      <c r="BT616" s="430"/>
      <c r="BU616" s="430"/>
      <c r="BV616" s="430"/>
      <c r="BW616" s="430"/>
      <c r="BX616" s="430"/>
      <c r="BY616" s="430"/>
      <c r="BZ616" s="430"/>
      <c r="CA616" s="430"/>
      <c r="CB616" s="430"/>
      <c r="CC616" s="430"/>
      <c r="CD616" s="430"/>
      <c r="CE616" s="430"/>
      <c r="CF616" s="430"/>
      <c r="CG616" s="430"/>
      <c r="CH616" s="430"/>
      <c r="CI616" s="430"/>
      <c r="CJ616" s="430"/>
      <c r="CK616" s="430"/>
      <c r="CL616" s="430"/>
    </row>
    <row r="617" spans="63:90" ht="14.25" customHeight="1">
      <c r="BK617" s="430"/>
      <c r="BL617" s="430"/>
      <c r="BM617" s="430"/>
      <c r="BN617" s="430"/>
      <c r="BO617" s="430"/>
      <c r="BP617" s="430"/>
      <c r="BQ617" s="430"/>
      <c r="BR617" s="430"/>
      <c r="BS617" s="430"/>
      <c r="BT617" s="430"/>
      <c r="BU617" s="430"/>
      <c r="BV617" s="430"/>
      <c r="BW617" s="430"/>
      <c r="BX617" s="430"/>
      <c r="BY617" s="430"/>
      <c r="BZ617" s="430"/>
      <c r="CA617" s="430"/>
      <c r="CB617" s="430"/>
      <c r="CC617" s="430"/>
      <c r="CD617" s="430"/>
      <c r="CE617" s="430"/>
      <c r="CF617" s="430"/>
      <c r="CG617" s="430"/>
      <c r="CH617" s="430"/>
      <c r="CI617" s="430"/>
      <c r="CJ617" s="430"/>
      <c r="CK617" s="430"/>
      <c r="CL617" s="430"/>
    </row>
    <row r="618" spans="63:90" ht="14.25" customHeight="1">
      <c r="BK618" s="430"/>
      <c r="BL618" s="430"/>
      <c r="BM618" s="430"/>
      <c r="BN618" s="430"/>
      <c r="BO618" s="430"/>
      <c r="BP618" s="430"/>
      <c r="BQ618" s="430"/>
      <c r="BR618" s="430"/>
      <c r="BS618" s="430"/>
      <c r="BT618" s="430"/>
      <c r="BU618" s="430"/>
      <c r="BV618" s="430"/>
      <c r="BW618" s="430"/>
      <c r="BX618" s="430"/>
      <c r="BY618" s="430"/>
      <c r="BZ618" s="430"/>
      <c r="CA618" s="430"/>
      <c r="CB618" s="430"/>
      <c r="CC618" s="430"/>
      <c r="CD618" s="430"/>
      <c r="CE618" s="430"/>
      <c r="CF618" s="430"/>
      <c r="CG618" s="430"/>
      <c r="CH618" s="430"/>
      <c r="CI618" s="430"/>
      <c r="CJ618" s="430"/>
      <c r="CK618" s="430"/>
      <c r="CL618" s="430"/>
    </row>
    <row r="619" spans="63:90" ht="14.25" customHeight="1">
      <c r="BK619" s="430"/>
      <c r="BL619" s="430"/>
      <c r="BM619" s="430"/>
      <c r="BN619" s="430"/>
      <c r="BO619" s="430"/>
      <c r="BP619" s="430"/>
      <c r="BQ619" s="430"/>
      <c r="BR619" s="430"/>
      <c r="BS619" s="430"/>
      <c r="BT619" s="430"/>
      <c r="BU619" s="430"/>
      <c r="BV619" s="430"/>
      <c r="BW619" s="430"/>
      <c r="BX619" s="430"/>
      <c r="BY619" s="430"/>
      <c r="BZ619" s="430"/>
      <c r="CA619" s="430"/>
      <c r="CB619" s="430"/>
      <c r="CC619" s="430"/>
      <c r="CD619" s="430"/>
      <c r="CE619" s="430"/>
      <c r="CF619" s="430"/>
      <c r="CG619" s="430"/>
      <c r="CH619" s="430"/>
      <c r="CI619" s="430"/>
      <c r="CJ619" s="430"/>
      <c r="CK619" s="430"/>
      <c r="CL619" s="430"/>
    </row>
    <row r="620" spans="63:90" ht="14.25" customHeight="1">
      <c r="BK620" s="430"/>
      <c r="BL620" s="430"/>
      <c r="BM620" s="430"/>
      <c r="BN620" s="430"/>
      <c r="BO620" s="430"/>
      <c r="BP620" s="430"/>
      <c r="BQ620" s="430"/>
      <c r="BR620" s="430"/>
      <c r="BS620" s="430"/>
      <c r="BT620" s="430"/>
      <c r="BU620" s="430"/>
      <c r="BV620" s="430"/>
      <c r="BW620" s="430"/>
      <c r="BX620" s="430"/>
      <c r="BY620" s="430"/>
      <c r="BZ620" s="430"/>
      <c r="CA620" s="430"/>
      <c r="CB620" s="430"/>
      <c r="CC620" s="430"/>
      <c r="CD620" s="430"/>
      <c r="CE620" s="430"/>
      <c r="CF620" s="430"/>
      <c r="CG620" s="430"/>
      <c r="CH620" s="430"/>
      <c r="CI620" s="430"/>
      <c r="CJ620" s="430"/>
      <c r="CK620" s="430"/>
      <c r="CL620" s="430"/>
    </row>
    <row r="621" spans="63:90" ht="14.25" customHeight="1">
      <c r="BK621" s="430"/>
      <c r="BL621" s="430"/>
      <c r="BM621" s="430"/>
      <c r="BN621" s="430"/>
      <c r="BO621" s="430"/>
      <c r="BP621" s="430"/>
      <c r="BQ621" s="430"/>
      <c r="BR621" s="430"/>
      <c r="BS621" s="430"/>
      <c r="BT621" s="430"/>
      <c r="BU621" s="430"/>
      <c r="BV621" s="430"/>
      <c r="BW621" s="430"/>
      <c r="BX621" s="430"/>
      <c r="BY621" s="430"/>
      <c r="BZ621" s="430"/>
      <c r="CA621" s="430"/>
      <c r="CB621" s="430"/>
      <c r="CC621" s="430"/>
      <c r="CD621" s="430"/>
      <c r="CE621" s="430"/>
      <c r="CF621" s="430"/>
      <c r="CG621" s="430"/>
      <c r="CH621" s="430"/>
      <c r="CI621" s="430"/>
      <c r="CJ621" s="430"/>
      <c r="CK621" s="430"/>
      <c r="CL621" s="430"/>
    </row>
    <row r="622" spans="63:90" ht="14.25" customHeight="1">
      <c r="BK622" s="430"/>
      <c r="BL622" s="430"/>
      <c r="BM622" s="430"/>
      <c r="BN622" s="430"/>
      <c r="BO622" s="430"/>
      <c r="BP622" s="430"/>
      <c r="BQ622" s="430"/>
      <c r="BR622" s="430"/>
      <c r="BS622" s="430"/>
      <c r="BT622" s="430"/>
      <c r="BU622" s="430"/>
      <c r="BV622" s="430"/>
      <c r="BW622" s="430"/>
      <c r="BX622" s="430"/>
      <c r="BY622" s="430"/>
      <c r="BZ622" s="430"/>
      <c r="CA622" s="430"/>
      <c r="CB622" s="430"/>
      <c r="CC622" s="430"/>
      <c r="CD622" s="430"/>
      <c r="CE622" s="430"/>
      <c r="CF622" s="430"/>
      <c r="CG622" s="430"/>
      <c r="CH622" s="430"/>
      <c r="CI622" s="430"/>
      <c r="CJ622" s="430"/>
      <c r="CK622" s="430"/>
      <c r="CL622" s="430"/>
    </row>
    <row r="623" spans="63:90" ht="14.25" customHeight="1">
      <c r="BK623" s="430"/>
      <c r="BL623" s="430"/>
      <c r="BM623" s="430"/>
      <c r="BN623" s="430"/>
      <c r="BO623" s="430"/>
      <c r="BP623" s="430"/>
      <c r="BQ623" s="430"/>
      <c r="BR623" s="430"/>
      <c r="BS623" s="430"/>
      <c r="BT623" s="430"/>
      <c r="BU623" s="430"/>
      <c r="BV623" s="430"/>
      <c r="BW623" s="430"/>
      <c r="BX623" s="430"/>
      <c r="BY623" s="430"/>
      <c r="BZ623" s="430"/>
      <c r="CA623" s="430"/>
      <c r="CB623" s="430"/>
      <c r="CC623" s="430"/>
      <c r="CD623" s="430"/>
      <c r="CE623" s="430"/>
      <c r="CF623" s="430"/>
      <c r="CG623" s="430"/>
      <c r="CH623" s="430"/>
      <c r="CI623" s="430"/>
      <c r="CJ623" s="430"/>
      <c r="CK623" s="430"/>
      <c r="CL623" s="430"/>
    </row>
    <row r="624" spans="63:90" ht="14.25" customHeight="1">
      <c r="BK624" s="430"/>
      <c r="BL624" s="430"/>
      <c r="BM624" s="430"/>
      <c r="BN624" s="430"/>
      <c r="BO624" s="430"/>
      <c r="BP624" s="430"/>
      <c r="BQ624" s="430"/>
      <c r="BR624" s="430"/>
      <c r="BS624" s="430"/>
      <c r="BT624" s="430"/>
      <c r="BU624" s="430"/>
      <c r="BV624" s="430"/>
      <c r="BW624" s="430"/>
      <c r="BX624" s="430"/>
      <c r="BY624" s="430"/>
      <c r="BZ624" s="430"/>
      <c r="CA624" s="430"/>
      <c r="CB624" s="430"/>
      <c r="CC624" s="430"/>
      <c r="CD624" s="430"/>
      <c r="CE624" s="430"/>
      <c r="CF624" s="430"/>
      <c r="CG624" s="430"/>
      <c r="CH624" s="430"/>
      <c r="CI624" s="430"/>
      <c r="CJ624" s="430"/>
      <c r="CK624" s="430"/>
      <c r="CL624" s="430"/>
    </row>
    <row r="625" spans="63:90" ht="14.25" customHeight="1">
      <c r="BK625" s="430"/>
      <c r="BL625" s="430"/>
      <c r="BM625" s="430"/>
      <c r="BN625" s="430"/>
      <c r="BO625" s="430"/>
      <c r="BP625" s="430"/>
      <c r="BQ625" s="430"/>
      <c r="BR625" s="430"/>
      <c r="BS625" s="430"/>
      <c r="BT625" s="430"/>
      <c r="BU625" s="430"/>
      <c r="BV625" s="430"/>
      <c r="BW625" s="430"/>
      <c r="BX625" s="430"/>
      <c r="BY625" s="430"/>
      <c r="BZ625" s="430"/>
      <c r="CA625" s="430"/>
      <c r="CB625" s="430"/>
      <c r="CC625" s="430"/>
      <c r="CD625" s="430"/>
      <c r="CE625" s="430"/>
      <c r="CF625" s="430"/>
      <c r="CG625" s="430"/>
      <c r="CH625" s="430"/>
      <c r="CI625" s="430"/>
      <c r="CJ625" s="430"/>
      <c r="CK625" s="430"/>
      <c r="CL625" s="430"/>
    </row>
    <row r="626" spans="63:90" ht="14.25" customHeight="1">
      <c r="BK626" s="430"/>
      <c r="BL626" s="430"/>
      <c r="BM626" s="430"/>
      <c r="BN626" s="430"/>
      <c r="BO626" s="430"/>
      <c r="BP626" s="430"/>
      <c r="BQ626" s="430"/>
      <c r="BR626" s="430"/>
      <c r="BS626" s="430"/>
      <c r="BT626" s="430"/>
      <c r="BU626" s="430"/>
      <c r="BV626" s="430"/>
      <c r="BW626" s="430"/>
      <c r="BX626" s="430"/>
      <c r="BY626" s="430"/>
      <c r="BZ626" s="430"/>
      <c r="CA626" s="430"/>
      <c r="CB626" s="430"/>
      <c r="CC626" s="430"/>
      <c r="CD626" s="430"/>
      <c r="CE626" s="430"/>
      <c r="CF626" s="430"/>
      <c r="CG626" s="430"/>
      <c r="CH626" s="430"/>
      <c r="CI626" s="430"/>
      <c r="CJ626" s="430"/>
      <c r="CK626" s="430"/>
      <c r="CL626" s="430"/>
    </row>
    <row r="627" spans="63:90" ht="14.25" customHeight="1">
      <c r="BK627" s="430"/>
      <c r="BL627" s="430"/>
      <c r="BM627" s="430"/>
      <c r="BN627" s="430"/>
      <c r="BO627" s="430"/>
      <c r="BP627" s="430"/>
      <c r="BQ627" s="430"/>
      <c r="BR627" s="430"/>
      <c r="BS627" s="430"/>
      <c r="BT627" s="430"/>
      <c r="BU627" s="430"/>
      <c r="BV627" s="430"/>
      <c r="BW627" s="430"/>
      <c r="BX627" s="430"/>
      <c r="BY627" s="430"/>
      <c r="BZ627" s="430"/>
      <c r="CA627" s="430"/>
      <c r="CB627" s="430"/>
      <c r="CC627" s="430"/>
      <c r="CD627" s="430"/>
      <c r="CE627" s="430"/>
      <c r="CF627" s="430"/>
      <c r="CG627" s="430"/>
      <c r="CH627" s="430"/>
      <c r="CI627" s="430"/>
      <c r="CJ627" s="430"/>
      <c r="CK627" s="430"/>
      <c r="CL627" s="430"/>
    </row>
    <row r="628" spans="63:90" ht="14.25" customHeight="1">
      <c r="BK628" s="430"/>
      <c r="BL628" s="430"/>
      <c r="BM628" s="430"/>
      <c r="BN628" s="430"/>
      <c r="BO628" s="430"/>
      <c r="BP628" s="430"/>
      <c r="BQ628" s="430"/>
      <c r="BR628" s="430"/>
      <c r="BS628" s="430"/>
      <c r="BT628" s="430"/>
      <c r="BU628" s="430"/>
      <c r="BV628" s="430"/>
      <c r="BW628" s="430"/>
      <c r="BX628" s="430"/>
      <c r="BY628" s="430"/>
      <c r="BZ628" s="430"/>
      <c r="CA628" s="430"/>
      <c r="CB628" s="430"/>
      <c r="CC628" s="430"/>
      <c r="CD628" s="430"/>
      <c r="CE628" s="430"/>
      <c r="CF628" s="430"/>
      <c r="CG628" s="430"/>
      <c r="CH628" s="430"/>
      <c r="CI628" s="430"/>
      <c r="CJ628" s="430"/>
      <c r="CK628" s="430"/>
      <c r="CL628" s="430"/>
    </row>
    <row r="629" spans="63:90" ht="14.25" customHeight="1">
      <c r="BK629" s="430"/>
      <c r="BL629" s="430"/>
      <c r="BM629" s="430"/>
      <c r="BN629" s="430"/>
      <c r="BO629" s="430"/>
      <c r="BP629" s="430"/>
      <c r="BQ629" s="430"/>
      <c r="BR629" s="430"/>
      <c r="BS629" s="430"/>
      <c r="BT629" s="430"/>
      <c r="BU629" s="430"/>
      <c r="BV629" s="430"/>
      <c r="BW629" s="430"/>
      <c r="BX629" s="430"/>
      <c r="BY629" s="430"/>
      <c r="BZ629" s="430"/>
      <c r="CA629" s="430"/>
      <c r="CB629" s="430"/>
      <c r="CC629" s="430"/>
      <c r="CD629" s="430"/>
      <c r="CE629" s="430"/>
      <c r="CF629" s="430"/>
      <c r="CG629" s="430"/>
      <c r="CH629" s="430"/>
      <c r="CI629" s="430"/>
      <c r="CJ629" s="430"/>
      <c r="CK629" s="430"/>
      <c r="CL629" s="430"/>
    </row>
    <row r="630" spans="63:90" ht="14.25" customHeight="1">
      <c r="BK630" s="430"/>
      <c r="BL630" s="430"/>
      <c r="BM630" s="430"/>
      <c r="BN630" s="430"/>
      <c r="BO630" s="430"/>
      <c r="BP630" s="430"/>
      <c r="BQ630" s="430"/>
      <c r="BR630" s="430"/>
      <c r="BS630" s="430"/>
      <c r="BT630" s="430"/>
      <c r="BU630" s="430"/>
      <c r="BV630" s="430"/>
      <c r="BW630" s="430"/>
      <c r="BX630" s="430"/>
      <c r="BY630" s="430"/>
      <c r="BZ630" s="430"/>
      <c r="CA630" s="430"/>
      <c r="CB630" s="430"/>
      <c r="CC630" s="430"/>
      <c r="CD630" s="430"/>
      <c r="CE630" s="430"/>
      <c r="CF630" s="430"/>
      <c r="CG630" s="430"/>
      <c r="CH630" s="430"/>
      <c r="CI630" s="430"/>
      <c r="CJ630" s="430"/>
      <c r="CK630" s="430"/>
      <c r="CL630" s="430"/>
    </row>
    <row r="631" spans="63:90" ht="14.25" customHeight="1">
      <c r="BK631" s="430"/>
      <c r="BL631" s="430"/>
      <c r="BM631" s="430"/>
      <c r="BN631" s="430"/>
      <c r="BO631" s="430"/>
      <c r="BP631" s="430"/>
      <c r="BQ631" s="430"/>
      <c r="BR631" s="430"/>
      <c r="BS631" s="430"/>
      <c r="BT631" s="430"/>
      <c r="BU631" s="430"/>
      <c r="BV631" s="430"/>
      <c r="BW631" s="430"/>
      <c r="BX631" s="430"/>
      <c r="BY631" s="430"/>
      <c r="BZ631" s="430"/>
      <c r="CA631" s="430"/>
      <c r="CB631" s="430"/>
      <c r="CC631" s="430"/>
      <c r="CD631" s="430"/>
      <c r="CE631" s="430"/>
      <c r="CF631" s="430"/>
      <c r="CG631" s="430"/>
      <c r="CH631" s="430"/>
      <c r="CI631" s="430"/>
      <c r="CJ631" s="430"/>
      <c r="CK631" s="430"/>
      <c r="CL631" s="430"/>
    </row>
    <row r="632" spans="63:90" ht="14.25" customHeight="1">
      <c r="BK632" s="430"/>
      <c r="BL632" s="430"/>
      <c r="BM632" s="430"/>
      <c r="BN632" s="430"/>
      <c r="BO632" s="430"/>
      <c r="BP632" s="430"/>
      <c r="BQ632" s="430"/>
      <c r="BR632" s="430"/>
      <c r="BS632" s="430"/>
      <c r="BT632" s="430"/>
      <c r="BU632" s="430"/>
      <c r="BV632" s="430"/>
      <c r="BW632" s="430"/>
      <c r="BX632" s="430"/>
      <c r="BY632" s="430"/>
      <c r="BZ632" s="430"/>
      <c r="CA632" s="430"/>
      <c r="CB632" s="430"/>
      <c r="CC632" s="430"/>
      <c r="CD632" s="430"/>
      <c r="CE632" s="430"/>
      <c r="CF632" s="430"/>
      <c r="CG632" s="430"/>
      <c r="CH632" s="430"/>
      <c r="CI632" s="430"/>
      <c r="CJ632" s="430"/>
      <c r="CK632" s="430"/>
      <c r="CL632" s="430"/>
    </row>
    <row r="633" spans="63:90" ht="14.25" customHeight="1">
      <c r="BK633" s="430"/>
      <c r="BL633" s="430"/>
      <c r="BM633" s="430"/>
      <c r="BN633" s="430"/>
      <c r="BO633" s="430"/>
      <c r="BP633" s="430"/>
      <c r="BQ633" s="430"/>
      <c r="BR633" s="430"/>
      <c r="BS633" s="430"/>
      <c r="BT633" s="430"/>
      <c r="BU633" s="430"/>
      <c r="BV633" s="430"/>
      <c r="BW633" s="430"/>
      <c r="BX633" s="430"/>
      <c r="BY633" s="430"/>
      <c r="BZ633" s="430"/>
      <c r="CA633" s="430"/>
      <c r="CB633" s="430"/>
      <c r="CC633" s="430"/>
      <c r="CD633" s="430"/>
      <c r="CE633" s="430"/>
      <c r="CF633" s="430"/>
      <c r="CG633" s="430"/>
      <c r="CH633" s="430"/>
      <c r="CI633" s="430"/>
      <c r="CJ633" s="430"/>
      <c r="CK633" s="430"/>
      <c r="CL633" s="430"/>
    </row>
    <row r="634" spans="63:90" ht="14.25" customHeight="1">
      <c r="BK634" s="430"/>
      <c r="BL634" s="430"/>
      <c r="BM634" s="430"/>
      <c r="BN634" s="430"/>
      <c r="BO634" s="430"/>
      <c r="BP634" s="430"/>
      <c r="BQ634" s="430"/>
      <c r="BR634" s="430"/>
      <c r="BS634" s="430"/>
      <c r="BT634" s="430"/>
      <c r="BU634" s="430"/>
      <c r="BV634" s="430"/>
      <c r="BW634" s="430"/>
      <c r="BX634" s="430"/>
      <c r="BY634" s="430"/>
      <c r="BZ634" s="430"/>
      <c r="CA634" s="430"/>
      <c r="CB634" s="430"/>
      <c r="CC634" s="430"/>
      <c r="CD634" s="430"/>
      <c r="CE634" s="430"/>
      <c r="CF634" s="430"/>
      <c r="CG634" s="430"/>
      <c r="CH634" s="430"/>
      <c r="CI634" s="430"/>
      <c r="CJ634" s="430"/>
      <c r="CK634" s="430"/>
      <c r="CL634" s="430"/>
    </row>
    <row r="635" spans="63:90" ht="14.25" customHeight="1">
      <c r="BK635" s="430"/>
      <c r="BL635" s="430"/>
      <c r="BM635" s="430"/>
      <c r="BN635" s="430"/>
      <c r="BO635" s="430"/>
      <c r="BP635" s="430"/>
      <c r="BQ635" s="430"/>
      <c r="BR635" s="430"/>
      <c r="BS635" s="430"/>
      <c r="BT635" s="430"/>
      <c r="BU635" s="430"/>
      <c r="BV635" s="430"/>
      <c r="BW635" s="430"/>
      <c r="BX635" s="430"/>
      <c r="BY635" s="430"/>
      <c r="BZ635" s="430"/>
      <c r="CA635" s="430"/>
      <c r="CB635" s="430"/>
      <c r="CC635" s="430"/>
      <c r="CD635" s="430"/>
      <c r="CE635" s="430"/>
      <c r="CF635" s="430"/>
      <c r="CG635" s="430"/>
      <c r="CH635" s="430"/>
      <c r="CI635" s="430"/>
      <c r="CJ635" s="430"/>
      <c r="CK635" s="430"/>
      <c r="CL635" s="430"/>
    </row>
    <row r="636" spans="63:90" ht="14.25" customHeight="1">
      <c r="BK636" s="430"/>
      <c r="BL636" s="430"/>
      <c r="BM636" s="430"/>
      <c r="BN636" s="430"/>
      <c r="BO636" s="430"/>
      <c r="BP636" s="430"/>
      <c r="BQ636" s="430"/>
      <c r="BR636" s="430"/>
      <c r="BS636" s="430"/>
      <c r="BT636" s="430"/>
      <c r="BU636" s="430"/>
      <c r="BV636" s="430"/>
      <c r="BW636" s="430"/>
      <c r="BX636" s="430"/>
      <c r="BY636" s="430"/>
      <c r="BZ636" s="430"/>
      <c r="CA636" s="430"/>
      <c r="CB636" s="430"/>
      <c r="CC636" s="430"/>
      <c r="CD636" s="430"/>
      <c r="CE636" s="430"/>
      <c r="CF636" s="430"/>
      <c r="CG636" s="430"/>
      <c r="CH636" s="430"/>
      <c r="CI636" s="430"/>
      <c r="CJ636" s="430"/>
      <c r="CK636" s="430"/>
      <c r="CL636" s="430"/>
    </row>
    <row r="637" spans="63:90" ht="14.25" customHeight="1">
      <c r="BK637" s="430"/>
      <c r="BL637" s="430"/>
      <c r="BM637" s="430"/>
      <c r="BN637" s="430"/>
      <c r="BO637" s="430"/>
      <c r="BP637" s="430"/>
      <c r="BQ637" s="430"/>
      <c r="BR637" s="430"/>
      <c r="BS637" s="430"/>
      <c r="BT637" s="430"/>
      <c r="BU637" s="430"/>
      <c r="BV637" s="430"/>
      <c r="BW637" s="430"/>
      <c r="BX637" s="430"/>
      <c r="BY637" s="430"/>
      <c r="BZ637" s="430"/>
      <c r="CA637" s="430"/>
      <c r="CB637" s="430"/>
      <c r="CC637" s="430"/>
      <c r="CD637" s="430"/>
      <c r="CE637" s="430"/>
      <c r="CF637" s="430"/>
      <c r="CG637" s="430"/>
      <c r="CH637" s="430"/>
      <c r="CI637" s="430"/>
      <c r="CJ637" s="430"/>
      <c r="CK637" s="430"/>
      <c r="CL637" s="430"/>
    </row>
    <row r="638" spans="63:90" ht="14.25" customHeight="1">
      <c r="BK638" s="430"/>
      <c r="BL638" s="430"/>
      <c r="BM638" s="430"/>
      <c r="BN638" s="430"/>
      <c r="BO638" s="430"/>
      <c r="BP638" s="430"/>
      <c r="BQ638" s="430"/>
      <c r="BR638" s="430"/>
      <c r="BS638" s="430"/>
      <c r="BT638" s="430"/>
      <c r="BU638" s="430"/>
      <c r="BV638" s="430"/>
      <c r="BW638" s="430"/>
      <c r="BX638" s="430"/>
      <c r="BY638" s="430"/>
      <c r="BZ638" s="430"/>
      <c r="CA638" s="430"/>
      <c r="CB638" s="430"/>
      <c r="CC638" s="430"/>
      <c r="CD638" s="430"/>
      <c r="CE638" s="430"/>
      <c r="CF638" s="430"/>
      <c r="CG638" s="430"/>
      <c r="CH638" s="430"/>
      <c r="CI638" s="430"/>
      <c r="CJ638" s="430"/>
      <c r="CK638" s="430"/>
      <c r="CL638" s="430"/>
    </row>
    <row r="639" spans="63:90" ht="14.25" customHeight="1">
      <c r="BK639" s="430"/>
      <c r="BL639" s="430"/>
      <c r="BM639" s="430"/>
      <c r="BN639" s="430"/>
      <c r="BO639" s="430"/>
      <c r="BP639" s="430"/>
      <c r="BQ639" s="430"/>
      <c r="BR639" s="430"/>
      <c r="BS639" s="430"/>
      <c r="BT639" s="430"/>
      <c r="BU639" s="430"/>
      <c r="BV639" s="430"/>
      <c r="BW639" s="430"/>
      <c r="BX639" s="430"/>
      <c r="BY639" s="430"/>
      <c r="BZ639" s="430"/>
      <c r="CA639" s="430"/>
      <c r="CB639" s="430"/>
      <c r="CC639" s="430"/>
      <c r="CD639" s="430"/>
      <c r="CE639" s="430"/>
      <c r="CF639" s="430"/>
      <c r="CG639" s="430"/>
      <c r="CH639" s="430"/>
      <c r="CI639" s="430"/>
      <c r="CJ639" s="430"/>
      <c r="CK639" s="430"/>
      <c r="CL639" s="430"/>
    </row>
    <row r="640" spans="63:90" ht="14.25" customHeight="1">
      <c r="BK640" s="430"/>
      <c r="BL640" s="430"/>
      <c r="BM640" s="430"/>
      <c r="BN640" s="430"/>
      <c r="BO640" s="430"/>
      <c r="BP640" s="430"/>
      <c r="BQ640" s="430"/>
      <c r="BR640" s="430"/>
      <c r="BS640" s="430"/>
      <c r="BT640" s="430"/>
      <c r="BU640" s="430"/>
      <c r="BV640" s="430"/>
      <c r="BW640" s="430"/>
      <c r="BX640" s="430"/>
      <c r="BY640" s="430"/>
      <c r="BZ640" s="430"/>
      <c r="CA640" s="430"/>
      <c r="CB640" s="430"/>
      <c r="CC640" s="430"/>
      <c r="CD640" s="430"/>
      <c r="CE640" s="430"/>
      <c r="CF640" s="430"/>
      <c r="CG640" s="430"/>
      <c r="CH640" s="430"/>
      <c r="CI640" s="430"/>
      <c r="CJ640" s="430"/>
      <c r="CK640" s="430"/>
      <c r="CL640" s="430"/>
    </row>
    <row r="641" spans="63:90" ht="14.25" customHeight="1">
      <c r="BK641" s="430"/>
      <c r="BL641" s="430"/>
      <c r="BM641" s="430"/>
      <c r="BN641" s="430"/>
      <c r="BO641" s="430"/>
      <c r="BP641" s="430"/>
      <c r="BQ641" s="430"/>
      <c r="BR641" s="430"/>
      <c r="BS641" s="430"/>
      <c r="BT641" s="430"/>
      <c r="BU641" s="430"/>
      <c r="BV641" s="430"/>
      <c r="BW641" s="430"/>
      <c r="BX641" s="430"/>
      <c r="BY641" s="430"/>
      <c r="BZ641" s="430"/>
      <c r="CA641" s="430"/>
      <c r="CB641" s="430"/>
      <c r="CC641" s="430"/>
      <c r="CD641" s="430"/>
      <c r="CE641" s="430"/>
      <c r="CF641" s="430"/>
      <c r="CG641" s="430"/>
      <c r="CH641" s="430"/>
      <c r="CI641" s="430"/>
      <c r="CJ641" s="430"/>
      <c r="CK641" s="430"/>
      <c r="CL641" s="430"/>
    </row>
    <row r="642" spans="63:90" ht="14.25" customHeight="1">
      <c r="BK642" s="430"/>
      <c r="BL642" s="430"/>
      <c r="BM642" s="430"/>
      <c r="BN642" s="430"/>
      <c r="BO642" s="430"/>
      <c r="BP642" s="430"/>
      <c r="BQ642" s="430"/>
      <c r="BR642" s="430"/>
      <c r="BS642" s="430"/>
      <c r="BT642" s="430"/>
      <c r="BU642" s="430"/>
      <c r="BV642" s="430"/>
      <c r="BW642" s="430"/>
      <c r="BX642" s="430"/>
      <c r="BY642" s="430"/>
      <c r="BZ642" s="430"/>
      <c r="CA642" s="430"/>
      <c r="CB642" s="430"/>
      <c r="CC642" s="430"/>
      <c r="CD642" s="430"/>
      <c r="CE642" s="430"/>
      <c r="CF642" s="430"/>
      <c r="CG642" s="430"/>
      <c r="CH642" s="430"/>
      <c r="CI642" s="430"/>
      <c r="CJ642" s="430"/>
      <c r="CK642" s="430"/>
      <c r="CL642" s="430"/>
    </row>
    <row r="643" spans="63:90" ht="14.25" customHeight="1">
      <c r="BK643" s="430"/>
      <c r="BL643" s="430"/>
      <c r="BM643" s="430"/>
      <c r="BN643" s="430"/>
      <c r="BO643" s="430"/>
      <c r="BP643" s="430"/>
      <c r="BQ643" s="430"/>
      <c r="BR643" s="430"/>
      <c r="BS643" s="430"/>
      <c r="BT643" s="430"/>
      <c r="BU643" s="430"/>
      <c r="BV643" s="430"/>
      <c r="BW643" s="430"/>
      <c r="BX643" s="430"/>
      <c r="BY643" s="430"/>
      <c r="BZ643" s="430"/>
      <c r="CA643" s="430"/>
      <c r="CB643" s="430"/>
      <c r="CC643" s="430"/>
      <c r="CD643" s="430"/>
      <c r="CE643" s="430"/>
      <c r="CF643" s="430"/>
      <c r="CG643" s="430"/>
      <c r="CH643" s="430"/>
      <c r="CI643" s="430"/>
      <c r="CJ643" s="430"/>
      <c r="CK643" s="430"/>
      <c r="CL643" s="430"/>
    </row>
    <row r="644" spans="63:90" ht="14.25" customHeight="1">
      <c r="BK644" s="430"/>
      <c r="BL644" s="430"/>
      <c r="BM644" s="430"/>
      <c r="BN644" s="430"/>
      <c r="BO644" s="430"/>
      <c r="BP644" s="430"/>
      <c r="BQ644" s="430"/>
      <c r="BR644" s="430"/>
      <c r="BS644" s="430"/>
      <c r="BT644" s="430"/>
      <c r="BU644" s="430"/>
      <c r="BV644" s="430"/>
      <c r="BW644" s="430"/>
      <c r="BX644" s="430"/>
      <c r="BY644" s="430"/>
      <c r="BZ644" s="430"/>
      <c r="CA644" s="430"/>
      <c r="CB644" s="430"/>
      <c r="CC644" s="430"/>
      <c r="CD644" s="430"/>
      <c r="CE644" s="430"/>
      <c r="CF644" s="430"/>
      <c r="CG644" s="430"/>
      <c r="CH644" s="430"/>
      <c r="CI644" s="430"/>
      <c r="CJ644" s="430"/>
      <c r="CK644" s="430"/>
      <c r="CL644" s="430"/>
    </row>
    <row r="645" spans="63:90" ht="14.25" customHeight="1">
      <c r="BK645" s="430"/>
      <c r="BL645" s="430"/>
      <c r="BM645" s="430"/>
      <c r="BN645" s="430"/>
      <c r="BO645" s="430"/>
      <c r="BP645" s="430"/>
      <c r="BQ645" s="430"/>
      <c r="BR645" s="430"/>
      <c r="BS645" s="430"/>
      <c r="BT645" s="430"/>
      <c r="BU645" s="430"/>
      <c r="BV645" s="430"/>
      <c r="BW645" s="430"/>
      <c r="BX645" s="430"/>
      <c r="BY645" s="430"/>
      <c r="BZ645" s="430"/>
      <c r="CA645" s="430"/>
      <c r="CB645" s="430"/>
      <c r="CC645" s="430"/>
      <c r="CD645" s="430"/>
      <c r="CE645" s="430"/>
      <c r="CF645" s="430"/>
      <c r="CG645" s="430"/>
      <c r="CH645" s="430"/>
      <c r="CI645" s="430"/>
      <c r="CJ645" s="430"/>
      <c r="CK645" s="430"/>
      <c r="CL645" s="430"/>
    </row>
    <row r="646" spans="63:90" ht="14.25" customHeight="1">
      <c r="BK646" s="430"/>
      <c r="BL646" s="430"/>
      <c r="BM646" s="430"/>
      <c r="BN646" s="430"/>
      <c r="BO646" s="430"/>
      <c r="BP646" s="430"/>
      <c r="BQ646" s="430"/>
      <c r="BR646" s="430"/>
      <c r="BS646" s="430"/>
      <c r="BT646" s="430"/>
      <c r="BU646" s="430"/>
      <c r="BV646" s="430"/>
      <c r="BW646" s="430"/>
      <c r="BX646" s="430"/>
      <c r="BY646" s="430"/>
      <c r="BZ646" s="430"/>
      <c r="CA646" s="430"/>
      <c r="CB646" s="430"/>
      <c r="CC646" s="430"/>
      <c r="CD646" s="430"/>
      <c r="CE646" s="430"/>
      <c r="CF646" s="430"/>
      <c r="CG646" s="430"/>
      <c r="CH646" s="430"/>
      <c r="CI646" s="430"/>
      <c r="CJ646" s="430"/>
      <c r="CK646" s="430"/>
      <c r="CL646" s="430"/>
    </row>
    <row r="647" spans="63:90" ht="14.25" customHeight="1">
      <c r="BK647" s="430"/>
      <c r="BL647" s="430"/>
      <c r="BM647" s="430"/>
      <c r="BN647" s="430"/>
      <c r="BO647" s="430"/>
      <c r="BP647" s="430"/>
      <c r="BQ647" s="430"/>
      <c r="BR647" s="430"/>
      <c r="BS647" s="430"/>
      <c r="BT647" s="430"/>
      <c r="BU647" s="430"/>
      <c r="BV647" s="430"/>
      <c r="BW647" s="430"/>
      <c r="BX647" s="430"/>
      <c r="BY647" s="430"/>
      <c r="BZ647" s="430"/>
      <c r="CA647" s="430"/>
      <c r="CB647" s="430"/>
      <c r="CC647" s="430"/>
      <c r="CD647" s="430"/>
      <c r="CE647" s="430"/>
      <c r="CF647" s="430"/>
      <c r="CG647" s="430"/>
      <c r="CH647" s="430"/>
      <c r="CI647" s="430"/>
      <c r="CJ647" s="430"/>
      <c r="CK647" s="430"/>
      <c r="CL647" s="430"/>
    </row>
    <row r="648" spans="63:90" ht="14.25" customHeight="1">
      <c r="BK648" s="430"/>
      <c r="BL648" s="430"/>
      <c r="BM648" s="430"/>
      <c r="BN648" s="430"/>
      <c r="BO648" s="430"/>
      <c r="BP648" s="430"/>
      <c r="BQ648" s="430"/>
      <c r="BR648" s="430"/>
      <c r="BS648" s="430"/>
      <c r="BT648" s="430"/>
      <c r="BU648" s="430"/>
      <c r="BV648" s="430"/>
      <c r="BW648" s="430"/>
      <c r="BX648" s="430"/>
      <c r="BY648" s="430"/>
      <c r="BZ648" s="430"/>
      <c r="CA648" s="430"/>
      <c r="CB648" s="430"/>
      <c r="CC648" s="430"/>
      <c r="CD648" s="430"/>
      <c r="CE648" s="430"/>
      <c r="CF648" s="430"/>
      <c r="CG648" s="430"/>
      <c r="CH648" s="430"/>
      <c r="CI648" s="430"/>
      <c r="CJ648" s="430"/>
      <c r="CK648" s="430"/>
      <c r="CL648" s="430"/>
    </row>
    <row r="649" spans="63:90" ht="14.25" customHeight="1">
      <c r="BK649" s="430"/>
      <c r="BL649" s="430"/>
      <c r="BM649" s="430"/>
      <c r="BN649" s="430"/>
      <c r="BO649" s="430"/>
      <c r="BP649" s="430"/>
      <c r="BQ649" s="430"/>
      <c r="BR649" s="430"/>
      <c r="BS649" s="430"/>
      <c r="BT649" s="430"/>
      <c r="BU649" s="430"/>
      <c r="BV649" s="430"/>
      <c r="BW649" s="430"/>
      <c r="BX649" s="430"/>
      <c r="BY649" s="430"/>
      <c r="BZ649" s="430"/>
      <c r="CA649" s="430"/>
      <c r="CB649" s="430"/>
      <c r="CC649" s="430"/>
      <c r="CD649" s="430"/>
      <c r="CE649" s="430"/>
      <c r="CF649" s="430"/>
      <c r="CG649" s="430"/>
      <c r="CH649" s="430"/>
      <c r="CI649" s="430"/>
      <c r="CJ649" s="430"/>
      <c r="CK649" s="430"/>
      <c r="CL649" s="430"/>
    </row>
    <row r="650" spans="63:90" ht="14.25" customHeight="1">
      <c r="BK650" s="430"/>
      <c r="BL650" s="430"/>
      <c r="BM650" s="430"/>
      <c r="BN650" s="430"/>
      <c r="BO650" s="430"/>
      <c r="BP650" s="430"/>
      <c r="BQ650" s="430"/>
      <c r="BR650" s="430"/>
      <c r="BS650" s="430"/>
      <c r="BT650" s="430"/>
      <c r="BU650" s="430"/>
      <c r="BV650" s="430"/>
      <c r="BW650" s="430"/>
      <c r="BX650" s="430"/>
      <c r="BY650" s="430"/>
      <c r="BZ650" s="430"/>
      <c r="CA650" s="430"/>
      <c r="CB650" s="430"/>
      <c r="CC650" s="430"/>
      <c r="CD650" s="430"/>
      <c r="CE650" s="430"/>
      <c r="CF650" s="430"/>
      <c r="CG650" s="430"/>
      <c r="CH650" s="430"/>
      <c r="CI650" s="430"/>
      <c r="CJ650" s="430"/>
      <c r="CK650" s="430"/>
      <c r="CL650" s="430"/>
    </row>
    <row r="651" spans="63:90" ht="14.25" customHeight="1">
      <c r="BK651" s="430"/>
      <c r="BL651" s="430"/>
      <c r="BM651" s="430"/>
      <c r="BN651" s="430"/>
      <c r="BO651" s="430"/>
      <c r="BP651" s="430"/>
      <c r="BQ651" s="430"/>
      <c r="BR651" s="430"/>
      <c r="BS651" s="430"/>
      <c r="BT651" s="430"/>
      <c r="BU651" s="430"/>
      <c r="BV651" s="430"/>
      <c r="BW651" s="430"/>
      <c r="BX651" s="430"/>
      <c r="BY651" s="430"/>
      <c r="BZ651" s="430"/>
      <c r="CA651" s="430"/>
      <c r="CB651" s="430"/>
      <c r="CC651" s="430"/>
      <c r="CD651" s="430"/>
      <c r="CE651" s="430"/>
      <c r="CF651" s="430"/>
      <c r="CG651" s="430"/>
      <c r="CH651" s="430"/>
      <c r="CI651" s="430"/>
      <c r="CJ651" s="430"/>
      <c r="CK651" s="430"/>
      <c r="CL651" s="430"/>
    </row>
    <row r="652" spans="63:90" ht="14.25" customHeight="1">
      <c r="BK652" s="430"/>
      <c r="BL652" s="430"/>
      <c r="BM652" s="430"/>
      <c r="BN652" s="430"/>
      <c r="BO652" s="430"/>
      <c r="BP652" s="430"/>
      <c r="BQ652" s="430"/>
      <c r="BR652" s="430"/>
      <c r="BS652" s="430"/>
      <c r="BT652" s="430"/>
      <c r="BU652" s="430"/>
      <c r="BV652" s="430"/>
      <c r="BW652" s="430"/>
      <c r="BX652" s="430"/>
      <c r="BY652" s="430"/>
      <c r="BZ652" s="430"/>
      <c r="CA652" s="430"/>
      <c r="CB652" s="430"/>
      <c r="CC652" s="430"/>
      <c r="CD652" s="430"/>
      <c r="CE652" s="430"/>
      <c r="CF652" s="430"/>
      <c r="CG652" s="430"/>
      <c r="CH652" s="430"/>
      <c r="CI652" s="430"/>
      <c r="CJ652" s="430"/>
      <c r="CK652" s="430"/>
      <c r="CL652" s="430"/>
    </row>
    <row r="653" spans="63:90" ht="14.25" customHeight="1">
      <c r="BK653" s="430"/>
      <c r="BL653" s="430"/>
      <c r="BM653" s="430"/>
      <c r="BN653" s="430"/>
      <c r="BO653" s="430"/>
      <c r="BP653" s="430"/>
      <c r="BQ653" s="430"/>
      <c r="BR653" s="430"/>
      <c r="BS653" s="430"/>
      <c r="BT653" s="430"/>
      <c r="BU653" s="430"/>
      <c r="BV653" s="430"/>
      <c r="BW653" s="430"/>
      <c r="BX653" s="430"/>
      <c r="BY653" s="430"/>
      <c r="BZ653" s="430"/>
      <c r="CA653" s="430"/>
      <c r="CB653" s="430"/>
      <c r="CC653" s="430"/>
      <c r="CD653" s="430"/>
      <c r="CE653" s="430"/>
      <c r="CF653" s="430"/>
      <c r="CG653" s="430"/>
      <c r="CH653" s="430"/>
      <c r="CI653" s="430"/>
      <c r="CJ653" s="430"/>
      <c r="CK653" s="430"/>
      <c r="CL653" s="430"/>
    </row>
    <row r="654" spans="63:90" ht="14.25" customHeight="1">
      <c r="BK654" s="430"/>
      <c r="BL654" s="430"/>
      <c r="BM654" s="430"/>
      <c r="BN654" s="430"/>
      <c r="BO654" s="430"/>
      <c r="BP654" s="430"/>
      <c r="BQ654" s="430"/>
      <c r="BR654" s="430"/>
      <c r="BS654" s="430"/>
      <c r="BT654" s="430"/>
      <c r="BU654" s="430"/>
      <c r="BV654" s="430"/>
      <c r="BW654" s="430"/>
      <c r="BX654" s="430"/>
      <c r="BY654" s="430"/>
      <c r="BZ654" s="430"/>
      <c r="CA654" s="430"/>
      <c r="CB654" s="430"/>
      <c r="CC654" s="430"/>
      <c r="CD654" s="430"/>
      <c r="CE654" s="430"/>
      <c r="CF654" s="430"/>
      <c r="CG654" s="430"/>
      <c r="CH654" s="430"/>
      <c r="CI654" s="430"/>
      <c r="CJ654" s="430"/>
      <c r="CK654" s="430"/>
      <c r="CL654" s="430"/>
    </row>
    <row r="655" spans="63:90" ht="14.25" customHeight="1">
      <c r="BK655" s="430"/>
      <c r="BL655" s="430"/>
      <c r="BM655" s="430"/>
      <c r="BN655" s="430"/>
      <c r="BO655" s="430"/>
      <c r="BP655" s="430"/>
      <c r="BQ655" s="430"/>
      <c r="BR655" s="430"/>
      <c r="BS655" s="430"/>
      <c r="BT655" s="430"/>
      <c r="BU655" s="430"/>
      <c r="BV655" s="430"/>
      <c r="BW655" s="430"/>
      <c r="BX655" s="430"/>
      <c r="BY655" s="430"/>
      <c r="BZ655" s="430"/>
      <c r="CA655" s="430"/>
      <c r="CB655" s="430"/>
      <c r="CC655" s="430"/>
      <c r="CD655" s="430"/>
      <c r="CE655" s="430"/>
      <c r="CF655" s="430"/>
      <c r="CG655" s="430"/>
      <c r="CH655" s="430"/>
      <c r="CI655" s="430"/>
      <c r="CJ655" s="430"/>
      <c r="CK655" s="430"/>
      <c r="CL655" s="430"/>
    </row>
    <row r="656" spans="63:90" ht="14.25" customHeight="1">
      <c r="BK656" s="430"/>
      <c r="BL656" s="430"/>
      <c r="BM656" s="430"/>
      <c r="BN656" s="430"/>
      <c r="BO656" s="430"/>
      <c r="BP656" s="430"/>
      <c r="BQ656" s="430"/>
      <c r="BR656" s="430"/>
      <c r="BS656" s="430"/>
      <c r="BT656" s="430"/>
      <c r="BU656" s="430"/>
      <c r="BV656" s="430"/>
      <c r="BW656" s="430"/>
      <c r="BX656" s="430"/>
      <c r="BY656" s="430"/>
      <c r="BZ656" s="430"/>
      <c r="CA656" s="430"/>
      <c r="CB656" s="430"/>
      <c r="CC656" s="430"/>
      <c r="CD656" s="430"/>
      <c r="CE656" s="430"/>
      <c r="CF656" s="430"/>
      <c r="CG656" s="430"/>
      <c r="CH656" s="430"/>
      <c r="CI656" s="430"/>
      <c r="CJ656" s="430"/>
      <c r="CK656" s="430"/>
      <c r="CL656" s="430"/>
    </row>
    <row r="657" spans="63:90" ht="14.25" customHeight="1">
      <c r="BK657" s="430"/>
      <c r="BL657" s="430"/>
      <c r="BM657" s="430"/>
      <c r="BN657" s="430"/>
      <c r="BO657" s="430"/>
      <c r="BP657" s="430"/>
      <c r="BQ657" s="430"/>
      <c r="BR657" s="430"/>
      <c r="BS657" s="430"/>
      <c r="BT657" s="430"/>
      <c r="BU657" s="430"/>
      <c r="BV657" s="430"/>
      <c r="BW657" s="430"/>
      <c r="BX657" s="430"/>
      <c r="BY657" s="430"/>
      <c r="BZ657" s="430"/>
      <c r="CA657" s="430"/>
      <c r="CB657" s="430"/>
      <c r="CC657" s="430"/>
      <c r="CD657" s="430"/>
      <c r="CE657" s="430"/>
      <c r="CF657" s="430"/>
      <c r="CG657" s="430"/>
      <c r="CH657" s="430"/>
      <c r="CI657" s="430"/>
      <c r="CJ657" s="430"/>
      <c r="CK657" s="430"/>
      <c r="CL657" s="430"/>
    </row>
    <row r="658" spans="63:90" ht="14.25" customHeight="1">
      <c r="BK658" s="430"/>
      <c r="BL658" s="430"/>
      <c r="BM658" s="430"/>
      <c r="BN658" s="430"/>
      <c r="BO658" s="430"/>
      <c r="BP658" s="430"/>
      <c r="BQ658" s="430"/>
      <c r="BR658" s="430"/>
      <c r="BS658" s="430"/>
      <c r="BT658" s="430"/>
      <c r="BU658" s="430"/>
      <c r="BV658" s="430"/>
      <c r="BW658" s="430"/>
      <c r="BX658" s="430"/>
      <c r="BY658" s="430"/>
      <c r="BZ658" s="430"/>
      <c r="CA658" s="430"/>
      <c r="CB658" s="430"/>
      <c r="CC658" s="430"/>
      <c r="CD658" s="430"/>
      <c r="CE658" s="430"/>
      <c r="CF658" s="430"/>
      <c r="CG658" s="430"/>
      <c r="CH658" s="430"/>
      <c r="CI658" s="430"/>
      <c r="CJ658" s="430"/>
      <c r="CK658" s="430"/>
      <c r="CL658" s="430"/>
    </row>
    <row r="659" spans="63:90" ht="14.25" customHeight="1">
      <c r="BK659" s="430"/>
      <c r="BL659" s="430"/>
      <c r="BM659" s="430"/>
      <c r="BN659" s="430"/>
      <c r="BO659" s="430"/>
      <c r="BP659" s="430"/>
      <c r="BQ659" s="430"/>
      <c r="BR659" s="430"/>
      <c r="BS659" s="430"/>
      <c r="BT659" s="430"/>
      <c r="BU659" s="430"/>
      <c r="BV659" s="430"/>
      <c r="BW659" s="430"/>
      <c r="BX659" s="430"/>
      <c r="BY659" s="430"/>
      <c r="BZ659" s="430"/>
      <c r="CA659" s="430"/>
      <c r="CB659" s="430"/>
      <c r="CC659" s="430"/>
      <c r="CD659" s="430"/>
      <c r="CE659" s="430"/>
      <c r="CF659" s="430"/>
      <c r="CG659" s="430"/>
      <c r="CH659" s="430"/>
      <c r="CI659" s="430"/>
      <c r="CJ659" s="430"/>
      <c r="CK659" s="430"/>
      <c r="CL659" s="430"/>
    </row>
    <row r="660" spans="63:90" ht="14.25" customHeight="1">
      <c r="BK660" s="430"/>
      <c r="BL660" s="430"/>
      <c r="BM660" s="430"/>
      <c r="BN660" s="430"/>
      <c r="BO660" s="430"/>
      <c r="BP660" s="430"/>
      <c r="BQ660" s="430"/>
      <c r="BR660" s="430"/>
      <c r="BS660" s="430"/>
      <c r="BT660" s="430"/>
      <c r="BU660" s="430"/>
      <c r="BV660" s="430"/>
      <c r="BW660" s="430"/>
      <c r="BX660" s="430"/>
      <c r="BY660" s="430"/>
      <c r="BZ660" s="430"/>
      <c r="CA660" s="430"/>
      <c r="CB660" s="430"/>
      <c r="CC660" s="430"/>
      <c r="CD660" s="430"/>
      <c r="CE660" s="430"/>
      <c r="CF660" s="430"/>
      <c r="CG660" s="430"/>
      <c r="CH660" s="430"/>
      <c r="CI660" s="430"/>
      <c r="CJ660" s="430"/>
      <c r="CK660" s="430"/>
      <c r="CL660" s="430"/>
    </row>
    <row r="661" spans="63:90" ht="14.25" customHeight="1">
      <c r="BK661" s="430"/>
      <c r="BL661" s="430"/>
      <c r="BM661" s="430"/>
      <c r="BN661" s="430"/>
      <c r="BO661" s="430"/>
      <c r="BP661" s="430"/>
      <c r="BQ661" s="430"/>
      <c r="BR661" s="430"/>
      <c r="BS661" s="430"/>
      <c r="BT661" s="430"/>
      <c r="BU661" s="430"/>
      <c r="BV661" s="430"/>
      <c r="BW661" s="430"/>
      <c r="BX661" s="430"/>
      <c r="BY661" s="430"/>
      <c r="BZ661" s="430"/>
      <c r="CA661" s="430"/>
      <c r="CB661" s="430"/>
      <c r="CC661" s="430"/>
      <c r="CD661" s="430"/>
      <c r="CE661" s="430"/>
      <c r="CF661" s="430"/>
      <c r="CG661" s="430"/>
      <c r="CH661" s="430"/>
      <c r="CI661" s="430"/>
      <c r="CJ661" s="430"/>
      <c r="CK661" s="430"/>
      <c r="CL661" s="430"/>
    </row>
    <row r="662" spans="63:90" ht="14.25" customHeight="1">
      <c r="BK662" s="430"/>
      <c r="BL662" s="430"/>
      <c r="BM662" s="430"/>
      <c r="BN662" s="430"/>
      <c r="BO662" s="430"/>
      <c r="BP662" s="430"/>
      <c r="BQ662" s="430"/>
      <c r="BR662" s="430"/>
      <c r="BS662" s="430"/>
      <c r="BT662" s="430"/>
      <c r="BU662" s="430"/>
      <c r="BV662" s="430"/>
      <c r="BW662" s="430"/>
      <c r="BX662" s="430"/>
      <c r="BY662" s="430"/>
      <c r="BZ662" s="430"/>
      <c r="CA662" s="430"/>
      <c r="CB662" s="430"/>
      <c r="CC662" s="430"/>
      <c r="CD662" s="430"/>
      <c r="CE662" s="430"/>
      <c r="CF662" s="430"/>
      <c r="CG662" s="430"/>
      <c r="CH662" s="430"/>
      <c r="CI662" s="430"/>
      <c r="CJ662" s="430"/>
      <c r="CK662" s="430"/>
      <c r="CL662" s="430"/>
    </row>
    <row r="663" spans="63:90" ht="14.25" customHeight="1">
      <c r="BK663" s="430"/>
      <c r="BL663" s="430"/>
      <c r="BM663" s="430"/>
      <c r="BN663" s="430"/>
      <c r="BO663" s="430"/>
      <c r="BP663" s="430"/>
      <c r="BQ663" s="430"/>
      <c r="BR663" s="430"/>
      <c r="BS663" s="430"/>
      <c r="BT663" s="430"/>
      <c r="BU663" s="430"/>
      <c r="BV663" s="430"/>
      <c r="BW663" s="430"/>
      <c r="BX663" s="430"/>
      <c r="BY663" s="430"/>
      <c r="BZ663" s="430"/>
      <c r="CA663" s="430"/>
      <c r="CB663" s="430"/>
      <c r="CC663" s="430"/>
      <c r="CD663" s="430"/>
      <c r="CE663" s="430"/>
      <c r="CF663" s="430"/>
      <c r="CG663" s="430"/>
      <c r="CH663" s="430"/>
      <c r="CI663" s="430"/>
      <c r="CJ663" s="430"/>
      <c r="CK663" s="430"/>
      <c r="CL663" s="430"/>
    </row>
    <row r="664" spans="63:90" ht="14.25" customHeight="1">
      <c r="BK664" s="430"/>
      <c r="BL664" s="430"/>
      <c r="BM664" s="430"/>
      <c r="BN664" s="430"/>
      <c r="BO664" s="430"/>
      <c r="BP664" s="430"/>
      <c r="BQ664" s="430"/>
      <c r="BR664" s="430"/>
      <c r="BS664" s="430"/>
      <c r="BT664" s="430"/>
      <c r="BU664" s="430"/>
      <c r="BV664" s="430"/>
      <c r="BW664" s="430"/>
      <c r="BX664" s="430"/>
      <c r="BY664" s="430"/>
      <c r="BZ664" s="430"/>
      <c r="CA664" s="430"/>
      <c r="CB664" s="430"/>
      <c r="CC664" s="430"/>
      <c r="CD664" s="430"/>
      <c r="CE664" s="430"/>
      <c r="CF664" s="430"/>
      <c r="CG664" s="430"/>
      <c r="CH664" s="430"/>
      <c r="CI664" s="430"/>
      <c r="CJ664" s="430"/>
      <c r="CK664" s="430"/>
      <c r="CL664" s="430"/>
    </row>
    <row r="665" spans="63:90" ht="14.25" customHeight="1">
      <c r="BK665" s="430"/>
      <c r="BL665" s="430"/>
      <c r="BM665" s="430"/>
      <c r="BN665" s="430"/>
      <c r="BO665" s="430"/>
      <c r="BP665" s="430"/>
      <c r="BQ665" s="430"/>
      <c r="BR665" s="430"/>
      <c r="BS665" s="430"/>
      <c r="BT665" s="430"/>
      <c r="BU665" s="430"/>
      <c r="BV665" s="430"/>
      <c r="BW665" s="430"/>
      <c r="BX665" s="430"/>
      <c r="BY665" s="430"/>
      <c r="BZ665" s="430"/>
      <c r="CA665" s="430"/>
      <c r="CB665" s="430"/>
      <c r="CC665" s="430"/>
      <c r="CD665" s="430"/>
      <c r="CE665" s="430"/>
      <c r="CF665" s="430"/>
      <c r="CG665" s="430"/>
      <c r="CH665" s="430"/>
      <c r="CI665" s="430"/>
      <c r="CJ665" s="430"/>
      <c r="CK665" s="430"/>
      <c r="CL665" s="430"/>
    </row>
    <row r="666" spans="63:90" ht="14.25" customHeight="1">
      <c r="BK666" s="430"/>
      <c r="BL666" s="430"/>
      <c r="BM666" s="430"/>
      <c r="BN666" s="430"/>
      <c r="BO666" s="430"/>
      <c r="BP666" s="430"/>
      <c r="BQ666" s="430"/>
      <c r="BR666" s="430"/>
      <c r="BS666" s="430"/>
      <c r="BT666" s="430"/>
      <c r="BU666" s="430"/>
      <c r="BV666" s="430"/>
      <c r="BW666" s="430"/>
      <c r="BX666" s="430"/>
      <c r="BY666" s="430"/>
      <c r="BZ666" s="430"/>
      <c r="CA666" s="430"/>
      <c r="CB666" s="430"/>
      <c r="CC666" s="430"/>
      <c r="CD666" s="430"/>
      <c r="CE666" s="430"/>
      <c r="CF666" s="430"/>
      <c r="CG666" s="430"/>
      <c r="CH666" s="430"/>
      <c r="CI666" s="430"/>
      <c r="CJ666" s="430"/>
      <c r="CK666" s="430"/>
      <c r="CL666" s="430"/>
    </row>
    <row r="667" spans="63:90" ht="14.25" customHeight="1">
      <c r="BK667" s="430"/>
      <c r="BL667" s="430"/>
      <c r="BM667" s="430"/>
      <c r="BN667" s="430"/>
      <c r="BO667" s="430"/>
      <c r="BP667" s="430"/>
      <c r="BQ667" s="430"/>
      <c r="BR667" s="430"/>
      <c r="BS667" s="430"/>
      <c r="BT667" s="430"/>
      <c r="BU667" s="430"/>
      <c r="BV667" s="430"/>
      <c r="BW667" s="430"/>
      <c r="BX667" s="430"/>
      <c r="BY667" s="430"/>
      <c r="BZ667" s="430"/>
      <c r="CA667" s="430"/>
      <c r="CB667" s="430"/>
      <c r="CC667" s="430"/>
      <c r="CD667" s="430"/>
      <c r="CE667" s="430"/>
      <c r="CF667" s="430"/>
      <c r="CG667" s="430"/>
      <c r="CH667" s="430"/>
      <c r="CI667" s="430"/>
      <c r="CJ667" s="430"/>
      <c r="CK667" s="430"/>
      <c r="CL667" s="430"/>
    </row>
    <row r="668" spans="63:90" ht="14.25" customHeight="1">
      <c r="BK668" s="430"/>
      <c r="BL668" s="430"/>
      <c r="BM668" s="430"/>
      <c r="BN668" s="430"/>
      <c r="BO668" s="430"/>
      <c r="BP668" s="430"/>
      <c r="BQ668" s="430"/>
      <c r="BR668" s="430"/>
      <c r="BS668" s="430"/>
      <c r="BT668" s="430"/>
      <c r="BU668" s="430"/>
      <c r="BV668" s="430"/>
      <c r="BW668" s="430"/>
      <c r="BX668" s="430"/>
      <c r="BY668" s="430"/>
      <c r="BZ668" s="430"/>
      <c r="CA668" s="430"/>
      <c r="CB668" s="430"/>
      <c r="CC668" s="430"/>
      <c r="CD668" s="430"/>
      <c r="CE668" s="430"/>
      <c r="CF668" s="430"/>
      <c r="CG668" s="430"/>
      <c r="CH668" s="430"/>
      <c r="CI668" s="430"/>
      <c r="CJ668" s="430"/>
      <c r="CK668" s="430"/>
      <c r="CL668" s="430"/>
    </row>
    <row r="669" spans="63:90" ht="14.25" customHeight="1">
      <c r="BK669" s="430"/>
      <c r="BL669" s="430"/>
      <c r="BM669" s="430"/>
      <c r="BN669" s="430"/>
      <c r="BO669" s="430"/>
      <c r="BP669" s="430"/>
      <c r="BQ669" s="430"/>
      <c r="BR669" s="430"/>
      <c r="BS669" s="430"/>
      <c r="BT669" s="430"/>
      <c r="BU669" s="430"/>
      <c r="BV669" s="430"/>
      <c r="BW669" s="430"/>
      <c r="BX669" s="430"/>
      <c r="BY669" s="430"/>
      <c r="BZ669" s="430"/>
      <c r="CA669" s="430"/>
      <c r="CB669" s="430"/>
      <c r="CC669" s="430"/>
      <c r="CD669" s="430"/>
      <c r="CE669" s="430"/>
      <c r="CF669" s="430"/>
      <c r="CG669" s="430"/>
      <c r="CH669" s="430"/>
      <c r="CI669" s="430"/>
      <c r="CJ669" s="430"/>
      <c r="CK669" s="430"/>
      <c r="CL669" s="430"/>
    </row>
    <row r="670" spans="63:90" ht="14.25" customHeight="1">
      <c r="BK670" s="430"/>
      <c r="BL670" s="430"/>
      <c r="BM670" s="430"/>
      <c r="BN670" s="430"/>
      <c r="BO670" s="430"/>
      <c r="BP670" s="430"/>
      <c r="BQ670" s="430"/>
      <c r="BR670" s="430"/>
      <c r="BS670" s="430"/>
      <c r="BT670" s="430"/>
      <c r="BU670" s="430"/>
      <c r="BV670" s="430"/>
      <c r="BW670" s="430"/>
      <c r="BX670" s="430"/>
      <c r="BY670" s="430"/>
      <c r="BZ670" s="430"/>
      <c r="CA670" s="430"/>
      <c r="CB670" s="430"/>
      <c r="CC670" s="430"/>
      <c r="CD670" s="430"/>
      <c r="CE670" s="430"/>
      <c r="CF670" s="430"/>
      <c r="CG670" s="430"/>
      <c r="CH670" s="430"/>
      <c r="CI670" s="430"/>
      <c r="CJ670" s="430"/>
      <c r="CK670" s="430"/>
      <c r="CL670" s="430"/>
    </row>
    <row r="671" spans="63:90" ht="14.25" customHeight="1">
      <c r="BK671" s="430"/>
      <c r="BL671" s="430"/>
      <c r="BM671" s="430"/>
      <c r="BN671" s="430"/>
      <c r="BO671" s="430"/>
      <c r="BP671" s="430"/>
      <c r="BQ671" s="430"/>
      <c r="BR671" s="430"/>
      <c r="BS671" s="430"/>
      <c r="BT671" s="430"/>
      <c r="BU671" s="430"/>
      <c r="BV671" s="430"/>
      <c r="BW671" s="430"/>
      <c r="BX671" s="430"/>
      <c r="BY671" s="430"/>
      <c r="BZ671" s="430"/>
      <c r="CA671" s="430"/>
      <c r="CB671" s="430"/>
      <c r="CC671" s="430"/>
      <c r="CD671" s="430"/>
      <c r="CE671" s="430"/>
      <c r="CF671" s="430"/>
      <c r="CG671" s="430"/>
      <c r="CH671" s="430"/>
      <c r="CI671" s="430"/>
      <c r="CJ671" s="430"/>
      <c r="CK671" s="430"/>
      <c r="CL671" s="430"/>
    </row>
    <row r="672" spans="63:90" ht="14.25" customHeight="1">
      <c r="BK672" s="430"/>
      <c r="BL672" s="430"/>
      <c r="BM672" s="430"/>
      <c r="BN672" s="430"/>
      <c r="BO672" s="430"/>
      <c r="BP672" s="430"/>
      <c r="BQ672" s="430"/>
      <c r="BR672" s="430"/>
      <c r="BS672" s="430"/>
      <c r="BT672" s="430"/>
      <c r="BU672" s="430"/>
      <c r="BV672" s="430"/>
      <c r="BW672" s="430"/>
      <c r="BX672" s="430"/>
      <c r="BY672" s="430"/>
      <c r="BZ672" s="430"/>
      <c r="CA672" s="430"/>
      <c r="CB672" s="430"/>
      <c r="CC672" s="430"/>
      <c r="CD672" s="430"/>
      <c r="CE672" s="430"/>
      <c r="CF672" s="430"/>
      <c r="CG672" s="430"/>
      <c r="CH672" s="430"/>
      <c r="CI672" s="430"/>
      <c r="CJ672" s="430"/>
      <c r="CK672" s="430"/>
      <c r="CL672" s="430"/>
    </row>
    <row r="673" spans="63:90" ht="14.25" customHeight="1">
      <c r="BK673" s="430"/>
      <c r="BL673" s="430"/>
      <c r="BM673" s="430"/>
      <c r="BN673" s="430"/>
      <c r="BO673" s="430"/>
      <c r="BP673" s="430"/>
      <c r="BQ673" s="430"/>
      <c r="BR673" s="430"/>
      <c r="BS673" s="430"/>
      <c r="BT673" s="430"/>
      <c r="BU673" s="430"/>
      <c r="BV673" s="430"/>
      <c r="BW673" s="430"/>
      <c r="BX673" s="430"/>
      <c r="BY673" s="430"/>
      <c r="BZ673" s="430"/>
      <c r="CA673" s="430"/>
      <c r="CB673" s="430"/>
      <c r="CC673" s="430"/>
      <c r="CD673" s="430"/>
      <c r="CE673" s="430"/>
      <c r="CF673" s="430"/>
      <c r="CG673" s="430"/>
      <c r="CH673" s="430"/>
      <c r="CI673" s="430"/>
      <c r="CJ673" s="430"/>
      <c r="CK673" s="430"/>
      <c r="CL673" s="430"/>
    </row>
    <row r="674" spans="63:90" ht="14.25" customHeight="1">
      <c r="BK674" s="430"/>
      <c r="BL674" s="430"/>
      <c r="BM674" s="430"/>
      <c r="BN674" s="430"/>
      <c r="BO674" s="430"/>
      <c r="BP674" s="430"/>
      <c r="BQ674" s="430"/>
      <c r="BR674" s="430"/>
      <c r="BS674" s="430"/>
      <c r="BT674" s="430"/>
      <c r="BU674" s="430"/>
      <c r="BV674" s="430"/>
      <c r="BW674" s="430"/>
      <c r="BX674" s="430"/>
      <c r="BY674" s="430"/>
      <c r="BZ674" s="430"/>
      <c r="CA674" s="430"/>
      <c r="CB674" s="430"/>
      <c r="CC674" s="430"/>
      <c r="CD674" s="430"/>
      <c r="CE674" s="430"/>
      <c r="CF674" s="430"/>
      <c r="CG674" s="430"/>
      <c r="CH674" s="430"/>
      <c r="CI674" s="430"/>
      <c r="CJ674" s="430"/>
      <c r="CK674" s="430"/>
      <c r="CL674" s="430"/>
    </row>
    <row r="675" spans="63:90" ht="14.25" customHeight="1">
      <c r="BK675" s="430"/>
      <c r="BL675" s="430"/>
      <c r="BM675" s="430"/>
      <c r="BN675" s="430"/>
      <c r="BO675" s="430"/>
      <c r="BP675" s="430"/>
      <c r="BQ675" s="430"/>
      <c r="BR675" s="430"/>
      <c r="BS675" s="430"/>
      <c r="BT675" s="430"/>
      <c r="BU675" s="430"/>
      <c r="BV675" s="430"/>
      <c r="BW675" s="430"/>
      <c r="BX675" s="430"/>
      <c r="BY675" s="430"/>
      <c r="BZ675" s="430"/>
      <c r="CA675" s="430"/>
      <c r="CB675" s="430"/>
      <c r="CC675" s="430"/>
      <c r="CD675" s="430"/>
      <c r="CE675" s="430"/>
      <c r="CF675" s="430"/>
      <c r="CG675" s="430"/>
      <c r="CH675" s="430"/>
      <c r="CI675" s="430"/>
      <c r="CJ675" s="430"/>
      <c r="CK675" s="430"/>
      <c r="CL675" s="430"/>
    </row>
    <row r="676" spans="63:90" ht="14.25" customHeight="1">
      <c r="BK676" s="430"/>
      <c r="BL676" s="430"/>
      <c r="BM676" s="430"/>
      <c r="BN676" s="430"/>
      <c r="BO676" s="430"/>
      <c r="BP676" s="430"/>
      <c r="BQ676" s="430"/>
      <c r="BR676" s="430"/>
      <c r="BS676" s="430"/>
      <c r="BT676" s="430"/>
      <c r="BU676" s="430"/>
      <c r="BV676" s="430"/>
      <c r="BW676" s="430"/>
      <c r="BX676" s="430"/>
      <c r="BY676" s="430"/>
      <c r="BZ676" s="430"/>
      <c r="CA676" s="430"/>
      <c r="CB676" s="430"/>
      <c r="CC676" s="430"/>
      <c r="CD676" s="430"/>
      <c r="CE676" s="430"/>
      <c r="CF676" s="430"/>
      <c r="CG676" s="430"/>
      <c r="CH676" s="430"/>
      <c r="CI676" s="430"/>
      <c r="CJ676" s="430"/>
      <c r="CK676" s="430"/>
      <c r="CL676" s="430"/>
    </row>
    <row r="677" spans="63:90" ht="14.25" customHeight="1">
      <c r="BK677" s="430"/>
      <c r="BL677" s="430"/>
      <c r="BM677" s="430"/>
      <c r="BN677" s="430"/>
      <c r="BO677" s="430"/>
      <c r="BP677" s="430"/>
      <c r="BQ677" s="430"/>
      <c r="BR677" s="430"/>
      <c r="BS677" s="430"/>
      <c r="BT677" s="430"/>
      <c r="BU677" s="430"/>
      <c r="BV677" s="430"/>
      <c r="BW677" s="430"/>
      <c r="BX677" s="430"/>
      <c r="BY677" s="430"/>
      <c r="BZ677" s="430"/>
      <c r="CA677" s="430"/>
      <c r="CB677" s="430"/>
      <c r="CC677" s="430"/>
      <c r="CD677" s="430"/>
      <c r="CE677" s="430"/>
      <c r="CF677" s="430"/>
      <c r="CG677" s="430"/>
      <c r="CH677" s="430"/>
      <c r="CI677" s="430"/>
      <c r="CJ677" s="430"/>
      <c r="CK677" s="430"/>
      <c r="CL677" s="430"/>
    </row>
    <row r="678" spans="63:90" ht="14.25" customHeight="1">
      <c r="BK678" s="430"/>
      <c r="BL678" s="430"/>
      <c r="BM678" s="430"/>
      <c r="BN678" s="430"/>
      <c r="BO678" s="430"/>
      <c r="BP678" s="430"/>
      <c r="BQ678" s="430"/>
      <c r="BR678" s="430"/>
      <c r="BS678" s="430"/>
      <c r="BT678" s="430"/>
      <c r="BU678" s="430"/>
      <c r="BV678" s="430"/>
      <c r="BW678" s="430"/>
      <c r="BX678" s="430"/>
      <c r="BY678" s="430"/>
      <c r="BZ678" s="430"/>
      <c r="CA678" s="430"/>
      <c r="CB678" s="430"/>
      <c r="CC678" s="430"/>
      <c r="CD678" s="430"/>
      <c r="CE678" s="430"/>
      <c r="CF678" s="430"/>
      <c r="CG678" s="430"/>
      <c r="CH678" s="430"/>
      <c r="CI678" s="430"/>
      <c r="CJ678" s="430"/>
      <c r="CK678" s="430"/>
      <c r="CL678" s="430"/>
    </row>
    <row r="679" spans="63:90" ht="14.25" customHeight="1">
      <c r="BK679" s="430"/>
      <c r="BL679" s="430"/>
      <c r="BM679" s="430"/>
      <c r="BN679" s="430"/>
      <c r="BO679" s="430"/>
      <c r="BP679" s="430"/>
      <c r="BQ679" s="430"/>
      <c r="BR679" s="430"/>
      <c r="BS679" s="430"/>
      <c r="BT679" s="430"/>
      <c r="BU679" s="430"/>
      <c r="BV679" s="430"/>
      <c r="BW679" s="430"/>
      <c r="BX679" s="430"/>
      <c r="BY679" s="430"/>
      <c r="BZ679" s="430"/>
      <c r="CA679" s="430"/>
      <c r="CB679" s="430"/>
      <c r="CC679" s="430"/>
      <c r="CD679" s="430"/>
      <c r="CE679" s="430"/>
      <c r="CF679" s="430"/>
      <c r="CG679" s="430"/>
      <c r="CH679" s="430"/>
      <c r="CI679" s="430"/>
      <c r="CJ679" s="430"/>
      <c r="CK679" s="430"/>
      <c r="CL679" s="430"/>
    </row>
    <row r="680" spans="63:90" ht="14.25" customHeight="1">
      <c r="BK680" s="430"/>
      <c r="BL680" s="430"/>
      <c r="BM680" s="430"/>
      <c r="BN680" s="430"/>
      <c r="BO680" s="430"/>
      <c r="BP680" s="430"/>
      <c r="BQ680" s="430"/>
      <c r="BR680" s="430"/>
      <c r="BS680" s="430"/>
      <c r="BT680" s="430"/>
      <c r="BU680" s="430"/>
      <c r="BV680" s="430"/>
      <c r="BW680" s="430"/>
      <c r="BX680" s="430"/>
      <c r="BY680" s="430"/>
      <c r="BZ680" s="430"/>
      <c r="CA680" s="430"/>
      <c r="CB680" s="430"/>
      <c r="CC680" s="430"/>
      <c r="CD680" s="430"/>
      <c r="CE680" s="430"/>
      <c r="CF680" s="430"/>
      <c r="CG680" s="430"/>
      <c r="CH680" s="430"/>
      <c r="CI680" s="430"/>
      <c r="CJ680" s="430"/>
      <c r="CK680" s="430"/>
      <c r="CL680" s="430"/>
    </row>
    <row r="681" spans="63:90" ht="14.25" customHeight="1">
      <c r="BK681" s="430"/>
      <c r="BL681" s="430"/>
      <c r="BM681" s="430"/>
      <c r="BN681" s="430"/>
      <c r="BO681" s="430"/>
      <c r="BP681" s="430"/>
      <c r="BQ681" s="430"/>
      <c r="BR681" s="430"/>
      <c r="BS681" s="430"/>
      <c r="BT681" s="430"/>
      <c r="BU681" s="430"/>
      <c r="BV681" s="430"/>
      <c r="BW681" s="430"/>
      <c r="BX681" s="430"/>
      <c r="BY681" s="430"/>
      <c r="BZ681" s="430"/>
      <c r="CA681" s="430"/>
      <c r="CB681" s="430"/>
      <c r="CC681" s="430"/>
      <c r="CD681" s="430"/>
      <c r="CE681" s="430"/>
      <c r="CF681" s="430"/>
      <c r="CG681" s="430"/>
      <c r="CH681" s="430"/>
      <c r="CI681" s="430"/>
      <c r="CJ681" s="430"/>
      <c r="CK681" s="430"/>
      <c r="CL681" s="430"/>
    </row>
    <row r="682" spans="63:90" ht="14.25" customHeight="1">
      <c r="BK682" s="430"/>
      <c r="BL682" s="430"/>
      <c r="BM682" s="430"/>
      <c r="BN682" s="430"/>
      <c r="BO682" s="430"/>
      <c r="BP682" s="430"/>
      <c r="BQ682" s="430"/>
      <c r="BR682" s="430"/>
      <c r="BS682" s="430"/>
      <c r="BT682" s="430"/>
      <c r="BU682" s="430"/>
      <c r="BV682" s="430"/>
      <c r="BW682" s="430"/>
      <c r="BX682" s="430"/>
      <c r="BY682" s="430"/>
      <c r="BZ682" s="430"/>
      <c r="CA682" s="430"/>
      <c r="CB682" s="430"/>
      <c r="CC682" s="430"/>
      <c r="CD682" s="430"/>
      <c r="CE682" s="430"/>
      <c r="CF682" s="430"/>
      <c r="CG682" s="430"/>
      <c r="CH682" s="430"/>
      <c r="CI682" s="430"/>
      <c r="CJ682" s="430"/>
      <c r="CK682" s="430"/>
      <c r="CL682" s="430"/>
    </row>
    <row r="683" spans="63:90" ht="14.25" customHeight="1">
      <c r="BK683" s="430"/>
      <c r="BL683" s="430"/>
      <c r="BM683" s="430"/>
      <c r="BN683" s="430"/>
      <c r="BO683" s="430"/>
      <c r="BP683" s="430"/>
      <c r="BQ683" s="430"/>
      <c r="BR683" s="430"/>
      <c r="BS683" s="430"/>
      <c r="BT683" s="430"/>
      <c r="BU683" s="430"/>
      <c r="BV683" s="430"/>
      <c r="BW683" s="430"/>
      <c r="BX683" s="430"/>
      <c r="BY683" s="430"/>
      <c r="BZ683" s="430"/>
      <c r="CA683" s="430"/>
      <c r="CB683" s="430"/>
      <c r="CC683" s="430"/>
      <c r="CD683" s="430"/>
      <c r="CE683" s="430"/>
      <c r="CF683" s="430"/>
      <c r="CG683" s="430"/>
      <c r="CH683" s="430"/>
      <c r="CI683" s="430"/>
      <c r="CJ683" s="430"/>
      <c r="CK683" s="430"/>
      <c r="CL683" s="430"/>
    </row>
    <row r="684" spans="63:90" ht="14.25" customHeight="1">
      <c r="BK684" s="430"/>
      <c r="BL684" s="430"/>
      <c r="BM684" s="430"/>
      <c r="BN684" s="430"/>
      <c r="BO684" s="430"/>
      <c r="BP684" s="430"/>
      <c r="BQ684" s="430"/>
      <c r="BR684" s="430"/>
      <c r="BS684" s="430"/>
      <c r="BT684" s="430"/>
      <c r="BU684" s="430"/>
      <c r="BV684" s="430"/>
      <c r="BW684" s="430"/>
      <c r="BX684" s="430"/>
      <c r="BY684" s="430"/>
      <c r="BZ684" s="430"/>
      <c r="CA684" s="430"/>
      <c r="CB684" s="430"/>
      <c r="CC684" s="430"/>
      <c r="CD684" s="430"/>
      <c r="CE684" s="430"/>
      <c r="CF684" s="430"/>
      <c r="CG684" s="430"/>
      <c r="CH684" s="430"/>
      <c r="CI684" s="430"/>
      <c r="CJ684" s="430"/>
      <c r="CK684" s="430"/>
      <c r="CL684" s="430"/>
    </row>
    <row r="685" spans="63:90" ht="14.25" customHeight="1">
      <c r="BK685" s="430"/>
      <c r="BL685" s="430"/>
      <c r="BM685" s="430"/>
      <c r="BN685" s="430"/>
      <c r="BO685" s="430"/>
      <c r="BP685" s="430"/>
      <c r="BQ685" s="430"/>
      <c r="BR685" s="430"/>
      <c r="BS685" s="430"/>
      <c r="BT685" s="430"/>
      <c r="BU685" s="430"/>
      <c r="BV685" s="430"/>
      <c r="BW685" s="430"/>
      <c r="BX685" s="430"/>
      <c r="BY685" s="430"/>
      <c r="BZ685" s="430"/>
      <c r="CA685" s="430"/>
      <c r="CB685" s="430"/>
      <c r="CC685" s="430"/>
      <c r="CD685" s="430"/>
      <c r="CE685" s="430"/>
      <c r="CF685" s="430"/>
      <c r="CG685" s="430"/>
      <c r="CH685" s="430"/>
      <c r="CI685" s="430"/>
      <c r="CJ685" s="430"/>
      <c r="CK685" s="430"/>
      <c r="CL685" s="430"/>
    </row>
    <row r="686" spans="63:90" ht="14.25" customHeight="1">
      <c r="BK686" s="430"/>
      <c r="BL686" s="430"/>
      <c r="BM686" s="430"/>
      <c r="BN686" s="430"/>
      <c r="BO686" s="430"/>
      <c r="BP686" s="430"/>
      <c r="BQ686" s="430"/>
      <c r="BR686" s="430"/>
      <c r="BS686" s="430"/>
      <c r="BT686" s="430"/>
      <c r="BU686" s="430"/>
      <c r="BV686" s="430"/>
      <c r="BW686" s="430"/>
      <c r="BX686" s="430"/>
      <c r="BY686" s="430"/>
      <c r="BZ686" s="430"/>
      <c r="CA686" s="430"/>
      <c r="CB686" s="430"/>
      <c r="CC686" s="430"/>
      <c r="CD686" s="430"/>
      <c r="CE686" s="430"/>
      <c r="CF686" s="430"/>
      <c r="CG686" s="430"/>
      <c r="CH686" s="430"/>
      <c r="CI686" s="430"/>
      <c r="CJ686" s="430"/>
      <c r="CK686" s="430"/>
      <c r="CL686" s="430"/>
    </row>
    <row r="687" spans="63:90" ht="14.25" customHeight="1">
      <c r="BK687" s="430"/>
      <c r="BL687" s="430"/>
      <c r="BM687" s="430"/>
      <c r="BN687" s="430"/>
      <c r="BO687" s="430"/>
      <c r="BP687" s="430"/>
      <c r="BQ687" s="430"/>
      <c r="BR687" s="430"/>
      <c r="BS687" s="430"/>
      <c r="BT687" s="430"/>
      <c r="BU687" s="430"/>
      <c r="BV687" s="430"/>
      <c r="BW687" s="430"/>
      <c r="BX687" s="430"/>
      <c r="BY687" s="430"/>
      <c r="BZ687" s="430"/>
      <c r="CA687" s="430"/>
      <c r="CB687" s="430"/>
      <c r="CC687" s="430"/>
      <c r="CD687" s="430"/>
      <c r="CE687" s="430"/>
      <c r="CF687" s="430"/>
      <c r="CG687" s="430"/>
      <c r="CH687" s="430"/>
      <c r="CI687" s="430"/>
      <c r="CJ687" s="430"/>
      <c r="CK687" s="430"/>
      <c r="CL687" s="430"/>
    </row>
    <row r="688" spans="63:90" ht="14.25" customHeight="1">
      <c r="BK688" s="430"/>
      <c r="BL688" s="430"/>
      <c r="BM688" s="430"/>
      <c r="BN688" s="430"/>
      <c r="BO688" s="430"/>
      <c r="BP688" s="430"/>
      <c r="BQ688" s="430"/>
      <c r="BR688" s="430"/>
      <c r="BS688" s="430"/>
      <c r="BT688" s="430"/>
      <c r="BU688" s="430"/>
      <c r="BV688" s="430"/>
      <c r="BW688" s="430"/>
      <c r="BX688" s="430"/>
      <c r="BY688" s="430"/>
      <c r="BZ688" s="430"/>
      <c r="CA688" s="430"/>
      <c r="CB688" s="430"/>
      <c r="CC688" s="430"/>
      <c r="CD688" s="430"/>
      <c r="CE688" s="430"/>
      <c r="CF688" s="430"/>
      <c r="CG688" s="430"/>
      <c r="CH688" s="430"/>
      <c r="CI688" s="430"/>
      <c r="CJ688" s="430"/>
      <c r="CK688" s="430"/>
      <c r="CL688" s="430"/>
    </row>
    <row r="689" spans="63:90" ht="14.25" customHeight="1">
      <c r="BK689" s="430"/>
      <c r="BL689" s="430"/>
      <c r="BM689" s="430"/>
      <c r="BN689" s="430"/>
      <c r="BO689" s="430"/>
      <c r="BP689" s="430"/>
      <c r="BQ689" s="430"/>
      <c r="BR689" s="430"/>
      <c r="BS689" s="430"/>
      <c r="BT689" s="430"/>
      <c r="BU689" s="430"/>
      <c r="BV689" s="430"/>
      <c r="BW689" s="430"/>
      <c r="BX689" s="430"/>
      <c r="BY689" s="430"/>
      <c r="BZ689" s="430"/>
      <c r="CA689" s="430"/>
      <c r="CB689" s="430"/>
      <c r="CC689" s="430"/>
      <c r="CD689" s="430"/>
      <c r="CE689" s="430"/>
      <c r="CF689" s="430"/>
      <c r="CG689" s="430"/>
      <c r="CH689" s="430"/>
      <c r="CI689" s="430"/>
      <c r="CJ689" s="430"/>
      <c r="CK689" s="430"/>
      <c r="CL689" s="430"/>
    </row>
    <row r="690" spans="63:90" ht="14.25" customHeight="1">
      <c r="BK690" s="430"/>
      <c r="BL690" s="430"/>
      <c r="BM690" s="430"/>
      <c r="BN690" s="430"/>
      <c r="BO690" s="430"/>
      <c r="BP690" s="430"/>
      <c r="BQ690" s="430"/>
      <c r="BR690" s="430"/>
      <c r="BS690" s="430"/>
      <c r="BT690" s="430"/>
      <c r="BU690" s="430"/>
      <c r="BV690" s="430"/>
      <c r="BW690" s="430"/>
      <c r="BX690" s="430"/>
      <c r="BY690" s="430"/>
      <c r="BZ690" s="430"/>
      <c r="CA690" s="430"/>
      <c r="CB690" s="430"/>
      <c r="CC690" s="430"/>
      <c r="CD690" s="430"/>
      <c r="CE690" s="430"/>
      <c r="CF690" s="430"/>
      <c r="CG690" s="430"/>
      <c r="CH690" s="430"/>
      <c r="CI690" s="430"/>
      <c r="CJ690" s="430"/>
      <c r="CK690" s="430"/>
      <c r="CL690" s="430"/>
    </row>
    <row r="691" spans="63:90" ht="14.25" customHeight="1">
      <c r="BK691" s="430"/>
      <c r="BL691" s="430"/>
      <c r="BM691" s="430"/>
      <c r="BN691" s="430"/>
      <c r="BO691" s="430"/>
      <c r="BP691" s="430"/>
      <c r="BQ691" s="430"/>
      <c r="BR691" s="430"/>
      <c r="BS691" s="430"/>
      <c r="BT691" s="430"/>
      <c r="BU691" s="430"/>
      <c r="BV691" s="430"/>
      <c r="BW691" s="430"/>
      <c r="BX691" s="430"/>
      <c r="BY691" s="430"/>
      <c r="BZ691" s="430"/>
      <c r="CA691" s="430"/>
      <c r="CB691" s="430"/>
      <c r="CC691" s="430"/>
      <c r="CD691" s="430"/>
      <c r="CE691" s="430"/>
      <c r="CF691" s="430"/>
      <c r="CG691" s="430"/>
      <c r="CH691" s="430"/>
      <c r="CI691" s="430"/>
      <c r="CJ691" s="430"/>
      <c r="CK691" s="430"/>
      <c r="CL691" s="430"/>
    </row>
    <row r="692" spans="63:90" ht="14.25" customHeight="1">
      <c r="BK692" s="430"/>
      <c r="BL692" s="430"/>
      <c r="BM692" s="430"/>
      <c r="BN692" s="430"/>
      <c r="BO692" s="430"/>
      <c r="BP692" s="430"/>
      <c r="BQ692" s="430"/>
      <c r="BR692" s="430"/>
      <c r="BS692" s="430"/>
      <c r="BT692" s="430"/>
      <c r="BU692" s="430"/>
      <c r="BV692" s="430"/>
      <c r="BW692" s="430"/>
      <c r="BX692" s="430"/>
      <c r="BY692" s="430"/>
      <c r="BZ692" s="430"/>
      <c r="CA692" s="430"/>
      <c r="CB692" s="430"/>
      <c r="CC692" s="430"/>
      <c r="CD692" s="430"/>
      <c r="CE692" s="430"/>
      <c r="CF692" s="430"/>
      <c r="CG692" s="430"/>
      <c r="CH692" s="430"/>
      <c r="CI692" s="430"/>
      <c r="CJ692" s="430"/>
      <c r="CK692" s="430"/>
      <c r="CL692" s="430"/>
    </row>
    <row r="693" spans="63:90" ht="14.25" customHeight="1">
      <c r="BK693" s="430"/>
      <c r="BL693" s="430"/>
      <c r="BM693" s="430"/>
      <c r="BN693" s="430"/>
      <c r="BO693" s="430"/>
      <c r="BP693" s="430"/>
      <c r="BQ693" s="430"/>
      <c r="BR693" s="430"/>
      <c r="BS693" s="430"/>
      <c r="BT693" s="430"/>
      <c r="BU693" s="430"/>
      <c r="BV693" s="430"/>
      <c r="BW693" s="430"/>
      <c r="BX693" s="430"/>
      <c r="BY693" s="430"/>
      <c r="BZ693" s="430"/>
      <c r="CA693" s="430"/>
      <c r="CB693" s="430"/>
      <c r="CC693" s="430"/>
      <c r="CD693" s="430"/>
      <c r="CE693" s="430"/>
      <c r="CF693" s="430"/>
      <c r="CG693" s="430"/>
      <c r="CH693" s="430"/>
      <c r="CI693" s="430"/>
      <c r="CJ693" s="430"/>
      <c r="CK693" s="430"/>
      <c r="CL693" s="430"/>
    </row>
    <row r="694" spans="63:90" ht="14.25" customHeight="1">
      <c r="BK694" s="430"/>
      <c r="BL694" s="430"/>
      <c r="BM694" s="430"/>
      <c r="BN694" s="430"/>
      <c r="BO694" s="430"/>
      <c r="BP694" s="430"/>
      <c r="BQ694" s="430"/>
      <c r="BR694" s="430"/>
      <c r="BS694" s="430"/>
      <c r="BT694" s="430"/>
      <c r="BU694" s="430"/>
      <c r="BV694" s="430"/>
      <c r="BW694" s="430"/>
      <c r="BX694" s="430"/>
      <c r="BY694" s="430"/>
      <c r="BZ694" s="430"/>
      <c r="CA694" s="430"/>
      <c r="CB694" s="430"/>
      <c r="CC694" s="430"/>
      <c r="CD694" s="430"/>
      <c r="CE694" s="430"/>
      <c r="CF694" s="430"/>
      <c r="CG694" s="430"/>
      <c r="CH694" s="430"/>
      <c r="CI694" s="430"/>
      <c r="CJ694" s="430"/>
      <c r="CK694" s="430"/>
      <c r="CL694" s="430"/>
    </row>
    <row r="695" spans="63:90" ht="14.25" customHeight="1">
      <c r="BK695" s="430"/>
      <c r="BL695" s="430"/>
      <c r="BM695" s="430"/>
      <c r="BN695" s="430"/>
      <c r="BO695" s="430"/>
      <c r="BP695" s="430"/>
      <c r="BQ695" s="430"/>
      <c r="BR695" s="430"/>
      <c r="BS695" s="430"/>
      <c r="BT695" s="430"/>
      <c r="BU695" s="430"/>
      <c r="BV695" s="430"/>
      <c r="BW695" s="430"/>
      <c r="BX695" s="430"/>
      <c r="BY695" s="430"/>
      <c r="BZ695" s="430"/>
      <c r="CA695" s="430"/>
      <c r="CB695" s="430"/>
      <c r="CC695" s="430"/>
      <c r="CD695" s="430"/>
      <c r="CE695" s="430"/>
      <c r="CF695" s="430"/>
      <c r="CG695" s="430"/>
      <c r="CH695" s="430"/>
      <c r="CI695" s="430"/>
      <c r="CJ695" s="430"/>
      <c r="CK695" s="430"/>
      <c r="CL695" s="430"/>
    </row>
    <row r="696" spans="63:90" ht="14.25" customHeight="1">
      <c r="BK696" s="430"/>
      <c r="BL696" s="430"/>
      <c r="BM696" s="430"/>
      <c r="BN696" s="430"/>
      <c r="BO696" s="430"/>
      <c r="BP696" s="430"/>
      <c r="BQ696" s="430"/>
      <c r="BR696" s="430"/>
      <c r="BS696" s="430"/>
      <c r="BT696" s="430"/>
      <c r="BU696" s="430"/>
      <c r="BV696" s="430"/>
      <c r="BW696" s="430"/>
      <c r="BX696" s="430"/>
      <c r="BY696" s="430"/>
      <c r="BZ696" s="430"/>
      <c r="CA696" s="430"/>
      <c r="CB696" s="430"/>
      <c r="CC696" s="430"/>
      <c r="CD696" s="430"/>
      <c r="CE696" s="430"/>
      <c r="CF696" s="430"/>
      <c r="CG696" s="430"/>
      <c r="CH696" s="430"/>
      <c r="CI696" s="430"/>
      <c r="CJ696" s="430"/>
      <c r="CK696" s="430"/>
      <c r="CL696" s="430"/>
    </row>
    <row r="697" spans="63:90" ht="14.25" customHeight="1">
      <c r="BK697" s="430"/>
      <c r="BL697" s="430"/>
      <c r="BM697" s="430"/>
      <c r="BN697" s="430"/>
      <c r="BO697" s="430"/>
      <c r="BP697" s="430"/>
      <c r="BQ697" s="430"/>
      <c r="BR697" s="430"/>
      <c r="BS697" s="430"/>
      <c r="BT697" s="430"/>
      <c r="BU697" s="430"/>
      <c r="BV697" s="430"/>
      <c r="BW697" s="430"/>
      <c r="BX697" s="430"/>
      <c r="BY697" s="430"/>
      <c r="BZ697" s="430"/>
      <c r="CA697" s="430"/>
      <c r="CB697" s="430"/>
      <c r="CC697" s="430"/>
      <c r="CD697" s="430"/>
      <c r="CE697" s="430"/>
      <c r="CF697" s="430"/>
      <c r="CG697" s="430"/>
      <c r="CH697" s="430"/>
      <c r="CI697" s="430"/>
      <c r="CJ697" s="430"/>
      <c r="CK697" s="430"/>
      <c r="CL697" s="430"/>
    </row>
    <row r="698" spans="63:90" ht="14.25" customHeight="1">
      <c r="BK698" s="430"/>
      <c r="BL698" s="430"/>
      <c r="BM698" s="430"/>
      <c r="BN698" s="430"/>
      <c r="BO698" s="430"/>
      <c r="BP698" s="430"/>
      <c r="BQ698" s="430"/>
      <c r="BR698" s="430"/>
      <c r="BS698" s="430"/>
      <c r="BT698" s="430"/>
      <c r="BU698" s="430"/>
      <c r="BV698" s="430"/>
      <c r="BW698" s="430"/>
      <c r="BX698" s="430"/>
      <c r="BY698" s="430"/>
      <c r="BZ698" s="430"/>
      <c r="CA698" s="430"/>
      <c r="CB698" s="430"/>
      <c r="CC698" s="430"/>
      <c r="CD698" s="430"/>
      <c r="CE698" s="430"/>
      <c r="CF698" s="430"/>
      <c r="CG698" s="430"/>
      <c r="CH698" s="430"/>
      <c r="CI698" s="430"/>
      <c r="CJ698" s="430"/>
      <c r="CK698" s="430"/>
      <c r="CL698" s="430"/>
    </row>
    <row r="699" spans="63:90" ht="14.25" customHeight="1">
      <c r="BK699" s="430"/>
      <c r="BL699" s="430"/>
      <c r="BM699" s="430"/>
      <c r="BN699" s="430"/>
      <c r="BO699" s="430"/>
      <c r="BP699" s="430"/>
      <c r="BQ699" s="430"/>
      <c r="BR699" s="430"/>
      <c r="BS699" s="430"/>
      <c r="BT699" s="430"/>
      <c r="BU699" s="430"/>
      <c r="BV699" s="430"/>
      <c r="BW699" s="430"/>
      <c r="BX699" s="430"/>
      <c r="BY699" s="430"/>
      <c r="BZ699" s="430"/>
      <c r="CA699" s="430"/>
      <c r="CB699" s="430"/>
      <c r="CC699" s="430"/>
      <c r="CD699" s="430"/>
      <c r="CE699" s="430"/>
      <c r="CF699" s="430"/>
      <c r="CG699" s="430"/>
      <c r="CH699" s="430"/>
      <c r="CI699" s="430"/>
      <c r="CJ699" s="430"/>
      <c r="CK699" s="430"/>
      <c r="CL699" s="430"/>
    </row>
    <row r="700" spans="63:90" ht="14.25" customHeight="1">
      <c r="BK700" s="430"/>
      <c r="BL700" s="430"/>
      <c r="BM700" s="430"/>
      <c r="BN700" s="430"/>
      <c r="BO700" s="430"/>
      <c r="BP700" s="430"/>
      <c r="BQ700" s="430"/>
      <c r="BR700" s="430"/>
      <c r="BS700" s="430"/>
      <c r="BT700" s="430"/>
      <c r="BU700" s="430"/>
      <c r="BV700" s="430"/>
      <c r="BW700" s="430"/>
      <c r="BX700" s="430"/>
      <c r="BY700" s="430"/>
      <c r="BZ700" s="430"/>
      <c r="CA700" s="430"/>
      <c r="CB700" s="430"/>
      <c r="CC700" s="430"/>
      <c r="CD700" s="430"/>
      <c r="CE700" s="430"/>
      <c r="CF700" s="430"/>
      <c r="CG700" s="430"/>
      <c r="CH700" s="430"/>
      <c r="CI700" s="430"/>
      <c r="CJ700" s="430"/>
      <c r="CK700" s="430"/>
      <c r="CL700" s="430"/>
    </row>
    <row r="701" spans="63:90" ht="14.25" customHeight="1">
      <c r="BK701" s="430"/>
      <c r="BL701" s="430"/>
      <c r="BM701" s="430"/>
      <c r="BN701" s="430"/>
      <c r="BO701" s="430"/>
      <c r="BP701" s="430"/>
      <c r="BQ701" s="430"/>
      <c r="BR701" s="430"/>
      <c r="BS701" s="430"/>
      <c r="BT701" s="430"/>
      <c r="BU701" s="430"/>
      <c r="BV701" s="430"/>
      <c r="BW701" s="430"/>
      <c r="BX701" s="430"/>
      <c r="BY701" s="430"/>
      <c r="BZ701" s="430"/>
      <c r="CA701" s="430"/>
      <c r="CB701" s="430"/>
      <c r="CC701" s="430"/>
      <c r="CD701" s="430"/>
      <c r="CE701" s="430"/>
      <c r="CF701" s="430"/>
      <c r="CG701" s="430"/>
      <c r="CH701" s="430"/>
      <c r="CI701" s="430"/>
      <c r="CJ701" s="430"/>
      <c r="CK701" s="430"/>
      <c r="CL701" s="430"/>
    </row>
    <row r="702" spans="63:90" ht="14.25" customHeight="1">
      <c r="BK702" s="430"/>
      <c r="BL702" s="430"/>
      <c r="BM702" s="430"/>
      <c r="BN702" s="430"/>
      <c r="BO702" s="430"/>
      <c r="BP702" s="430"/>
      <c r="BQ702" s="430"/>
      <c r="BR702" s="430"/>
      <c r="BS702" s="430"/>
      <c r="BT702" s="430"/>
      <c r="BU702" s="430"/>
      <c r="BV702" s="430"/>
      <c r="BW702" s="430"/>
      <c r="BX702" s="430"/>
      <c r="BY702" s="430"/>
      <c r="BZ702" s="430"/>
      <c r="CA702" s="430"/>
      <c r="CB702" s="430"/>
      <c r="CC702" s="430"/>
      <c r="CD702" s="430"/>
      <c r="CE702" s="430"/>
      <c r="CF702" s="430"/>
      <c r="CG702" s="430"/>
      <c r="CH702" s="430"/>
      <c r="CI702" s="430"/>
      <c r="CJ702" s="430"/>
      <c r="CK702" s="430"/>
      <c r="CL702" s="430"/>
    </row>
    <row r="703" spans="63:90" ht="14.25" customHeight="1">
      <c r="BK703" s="430"/>
      <c r="BL703" s="430"/>
      <c r="BM703" s="430"/>
      <c r="BN703" s="430"/>
      <c r="BO703" s="430"/>
      <c r="BP703" s="430"/>
      <c r="BQ703" s="430"/>
      <c r="BR703" s="430"/>
      <c r="BS703" s="430"/>
      <c r="BT703" s="430"/>
      <c r="BU703" s="430"/>
      <c r="BV703" s="430"/>
      <c r="BW703" s="430"/>
      <c r="BX703" s="430"/>
      <c r="BY703" s="430"/>
      <c r="BZ703" s="430"/>
      <c r="CA703" s="430"/>
      <c r="CB703" s="430"/>
      <c r="CC703" s="430"/>
      <c r="CD703" s="430"/>
      <c r="CE703" s="430"/>
      <c r="CF703" s="430"/>
      <c r="CG703" s="430"/>
      <c r="CH703" s="430"/>
      <c r="CI703" s="430"/>
      <c r="CJ703" s="430"/>
      <c r="CK703" s="430"/>
      <c r="CL703" s="430"/>
    </row>
    <row r="704" spans="63:90" ht="14.25" customHeight="1">
      <c r="BK704" s="430"/>
      <c r="BL704" s="430"/>
      <c r="BM704" s="430"/>
      <c r="BN704" s="430"/>
      <c r="BO704" s="430"/>
      <c r="BP704" s="430"/>
      <c r="BQ704" s="430"/>
      <c r="BR704" s="430"/>
      <c r="BS704" s="430"/>
      <c r="BT704" s="430"/>
      <c r="BU704" s="430"/>
      <c r="BV704" s="430"/>
      <c r="BW704" s="430"/>
      <c r="BX704" s="430"/>
      <c r="BY704" s="430"/>
      <c r="BZ704" s="430"/>
      <c r="CA704" s="430"/>
      <c r="CB704" s="430"/>
      <c r="CC704" s="430"/>
      <c r="CD704" s="430"/>
      <c r="CE704" s="430"/>
      <c r="CF704" s="430"/>
      <c r="CG704" s="430"/>
      <c r="CH704" s="430"/>
      <c r="CI704" s="430"/>
      <c r="CJ704" s="430"/>
      <c r="CK704" s="430"/>
      <c r="CL704" s="430"/>
    </row>
    <row r="705" spans="63:90" ht="14.25" customHeight="1">
      <c r="BK705" s="430"/>
      <c r="BL705" s="430"/>
      <c r="BM705" s="430"/>
      <c r="BN705" s="430"/>
      <c r="BO705" s="430"/>
      <c r="BP705" s="430"/>
      <c r="BQ705" s="430"/>
      <c r="BR705" s="430"/>
      <c r="BS705" s="430"/>
      <c r="BT705" s="430"/>
      <c r="BU705" s="430"/>
      <c r="BV705" s="430"/>
      <c r="BW705" s="430"/>
      <c r="BX705" s="430"/>
      <c r="BY705" s="430"/>
      <c r="BZ705" s="430"/>
      <c r="CA705" s="430"/>
      <c r="CB705" s="430"/>
      <c r="CC705" s="430"/>
      <c r="CD705" s="430"/>
      <c r="CE705" s="430"/>
      <c r="CF705" s="430"/>
      <c r="CG705" s="430"/>
      <c r="CH705" s="430"/>
      <c r="CI705" s="430"/>
      <c r="CJ705" s="430"/>
      <c r="CK705" s="430"/>
      <c r="CL705" s="430"/>
    </row>
    <row r="706" spans="63:90" ht="14.25" customHeight="1">
      <c r="BK706" s="430"/>
      <c r="BL706" s="430"/>
      <c r="BM706" s="430"/>
      <c r="BN706" s="430"/>
      <c r="BO706" s="430"/>
      <c r="BP706" s="430"/>
      <c r="BQ706" s="430"/>
      <c r="BR706" s="430"/>
      <c r="BS706" s="430"/>
      <c r="BT706" s="430"/>
      <c r="BU706" s="430"/>
      <c r="BV706" s="430"/>
      <c r="BW706" s="430"/>
      <c r="BX706" s="430"/>
      <c r="BY706" s="430"/>
      <c r="BZ706" s="430"/>
      <c r="CA706" s="430"/>
      <c r="CB706" s="430"/>
      <c r="CC706" s="430"/>
      <c r="CD706" s="430"/>
      <c r="CE706" s="430"/>
      <c r="CF706" s="430"/>
      <c r="CG706" s="430"/>
      <c r="CH706" s="430"/>
      <c r="CI706" s="430"/>
      <c r="CJ706" s="430"/>
      <c r="CK706" s="430"/>
      <c r="CL706" s="430"/>
    </row>
    <row r="707" spans="63:90" ht="14.25" customHeight="1">
      <c r="BK707" s="430"/>
      <c r="BL707" s="430"/>
      <c r="BM707" s="430"/>
      <c r="BN707" s="430"/>
      <c r="BO707" s="430"/>
      <c r="BP707" s="430"/>
      <c r="BQ707" s="430"/>
      <c r="BR707" s="430"/>
      <c r="BS707" s="430"/>
      <c r="BT707" s="430"/>
      <c r="BU707" s="430"/>
      <c r="BV707" s="430"/>
      <c r="BW707" s="430"/>
      <c r="BX707" s="430"/>
      <c r="BY707" s="430"/>
      <c r="BZ707" s="430"/>
      <c r="CA707" s="430"/>
      <c r="CB707" s="430"/>
      <c r="CC707" s="430"/>
      <c r="CD707" s="430"/>
      <c r="CE707" s="430"/>
      <c r="CF707" s="430"/>
      <c r="CG707" s="430"/>
      <c r="CH707" s="430"/>
      <c r="CI707" s="430"/>
      <c r="CJ707" s="430"/>
      <c r="CK707" s="430"/>
      <c r="CL707" s="430"/>
    </row>
    <row r="708" spans="63:90" ht="14.25" customHeight="1">
      <c r="BK708" s="430"/>
      <c r="BL708" s="430"/>
      <c r="BM708" s="430"/>
      <c r="BN708" s="430"/>
      <c r="BO708" s="430"/>
      <c r="BP708" s="430"/>
      <c r="BQ708" s="430"/>
      <c r="BR708" s="430"/>
      <c r="BS708" s="430"/>
      <c r="BT708" s="430"/>
      <c r="BU708" s="430"/>
      <c r="BV708" s="430"/>
      <c r="BW708" s="430"/>
      <c r="BX708" s="430"/>
      <c r="BY708" s="430"/>
      <c r="BZ708" s="430"/>
      <c r="CA708" s="430"/>
      <c r="CB708" s="430"/>
      <c r="CC708" s="430"/>
      <c r="CD708" s="430"/>
      <c r="CE708" s="430"/>
      <c r="CF708" s="430"/>
      <c r="CG708" s="430"/>
      <c r="CH708" s="430"/>
      <c r="CI708" s="430"/>
      <c r="CJ708" s="430"/>
      <c r="CK708" s="430"/>
      <c r="CL708" s="430"/>
    </row>
    <row r="709" spans="63:90" ht="14.25" customHeight="1">
      <c r="BK709" s="430"/>
      <c r="BL709" s="430"/>
      <c r="BM709" s="430"/>
      <c r="BN709" s="430"/>
      <c r="BO709" s="430"/>
      <c r="BP709" s="430"/>
      <c r="BQ709" s="430"/>
      <c r="BR709" s="430"/>
      <c r="BS709" s="430"/>
      <c r="BT709" s="430"/>
      <c r="BU709" s="430"/>
      <c r="BV709" s="430"/>
      <c r="BW709" s="430"/>
      <c r="BX709" s="430"/>
      <c r="BY709" s="430"/>
      <c r="BZ709" s="430"/>
      <c r="CA709" s="430"/>
      <c r="CB709" s="430"/>
      <c r="CC709" s="430"/>
      <c r="CD709" s="430"/>
      <c r="CE709" s="430"/>
      <c r="CF709" s="430"/>
      <c r="CG709" s="430"/>
      <c r="CH709" s="430"/>
      <c r="CI709" s="430"/>
      <c r="CJ709" s="430"/>
      <c r="CK709" s="430"/>
      <c r="CL709" s="430"/>
    </row>
    <row r="710" spans="63:90" ht="14.25" customHeight="1">
      <c r="BK710" s="430"/>
      <c r="BL710" s="430"/>
      <c r="BM710" s="430"/>
      <c r="BN710" s="430"/>
      <c r="BO710" s="430"/>
      <c r="BP710" s="430"/>
      <c r="BQ710" s="430"/>
      <c r="BR710" s="430"/>
      <c r="BS710" s="430"/>
      <c r="BT710" s="430"/>
      <c r="BU710" s="430"/>
      <c r="BV710" s="430"/>
      <c r="BW710" s="430"/>
      <c r="BX710" s="430"/>
      <c r="BY710" s="430"/>
      <c r="BZ710" s="430"/>
      <c r="CA710" s="430"/>
      <c r="CB710" s="430"/>
      <c r="CC710" s="430"/>
      <c r="CD710" s="430"/>
      <c r="CE710" s="430"/>
      <c r="CF710" s="430"/>
      <c r="CG710" s="430"/>
      <c r="CH710" s="430"/>
      <c r="CI710" s="430"/>
      <c r="CJ710" s="430"/>
      <c r="CK710" s="430"/>
      <c r="CL710" s="430"/>
    </row>
    <row r="711" spans="63:90" ht="14.25" customHeight="1">
      <c r="BK711" s="430"/>
      <c r="BL711" s="430"/>
      <c r="BM711" s="430"/>
      <c r="BN711" s="430"/>
      <c r="BO711" s="430"/>
      <c r="BP711" s="430"/>
      <c r="BQ711" s="430"/>
      <c r="BR711" s="430"/>
      <c r="BS711" s="430"/>
      <c r="BT711" s="430"/>
      <c r="BU711" s="430"/>
      <c r="BV711" s="430"/>
      <c r="BW711" s="430"/>
      <c r="BX711" s="430"/>
      <c r="BY711" s="430"/>
      <c r="BZ711" s="430"/>
      <c r="CA711" s="430"/>
      <c r="CB711" s="430"/>
      <c r="CC711" s="430"/>
      <c r="CD711" s="430"/>
      <c r="CE711" s="430"/>
      <c r="CF711" s="430"/>
      <c r="CG711" s="430"/>
      <c r="CH711" s="430"/>
      <c r="CI711" s="430"/>
      <c r="CJ711" s="430"/>
      <c r="CK711" s="430"/>
      <c r="CL711" s="430"/>
    </row>
    <row r="712" spans="63:90" ht="14.25" customHeight="1">
      <c r="BK712" s="430"/>
      <c r="BL712" s="430"/>
      <c r="BM712" s="430"/>
      <c r="BN712" s="430"/>
      <c r="BO712" s="430"/>
      <c r="BP712" s="430"/>
      <c r="BQ712" s="430"/>
      <c r="BR712" s="430"/>
      <c r="BS712" s="430"/>
      <c r="BT712" s="430"/>
      <c r="BU712" s="430"/>
      <c r="BV712" s="430"/>
      <c r="BW712" s="430"/>
      <c r="BX712" s="430"/>
      <c r="BY712" s="430"/>
      <c r="BZ712" s="430"/>
      <c r="CA712" s="430"/>
      <c r="CB712" s="430"/>
      <c r="CC712" s="430"/>
      <c r="CD712" s="430"/>
      <c r="CE712" s="430"/>
      <c r="CF712" s="430"/>
      <c r="CG712" s="430"/>
      <c r="CH712" s="430"/>
      <c r="CI712" s="430"/>
      <c r="CJ712" s="430"/>
      <c r="CK712" s="430"/>
      <c r="CL712" s="430"/>
    </row>
    <row r="713" spans="63:90" ht="14.25" customHeight="1">
      <c r="BK713" s="430"/>
      <c r="BL713" s="430"/>
      <c r="BM713" s="430"/>
      <c r="BN713" s="430"/>
      <c r="BO713" s="430"/>
      <c r="BP713" s="430"/>
      <c r="BQ713" s="430"/>
      <c r="BR713" s="430"/>
      <c r="BS713" s="430"/>
      <c r="BT713" s="430"/>
      <c r="BU713" s="430"/>
      <c r="BV713" s="430"/>
      <c r="BW713" s="430"/>
      <c r="BX713" s="430"/>
      <c r="BY713" s="430"/>
      <c r="BZ713" s="430"/>
      <c r="CA713" s="430"/>
      <c r="CB713" s="430"/>
      <c r="CC713" s="430"/>
      <c r="CD713" s="430"/>
      <c r="CE713" s="430"/>
      <c r="CF713" s="430"/>
      <c r="CG713" s="430"/>
      <c r="CH713" s="430"/>
      <c r="CI713" s="430"/>
      <c r="CJ713" s="430"/>
      <c r="CK713" s="430"/>
      <c r="CL713" s="430"/>
    </row>
    <row r="714" spans="63:90" ht="14.25" customHeight="1">
      <c r="BK714" s="430"/>
      <c r="BL714" s="430"/>
      <c r="BM714" s="430"/>
      <c r="BN714" s="430"/>
      <c r="BO714" s="430"/>
      <c r="BP714" s="430"/>
      <c r="BQ714" s="430"/>
      <c r="BR714" s="430"/>
      <c r="BS714" s="430"/>
      <c r="BT714" s="430"/>
      <c r="BU714" s="430"/>
      <c r="BV714" s="430"/>
      <c r="BW714" s="430"/>
      <c r="BX714" s="430"/>
      <c r="BY714" s="430"/>
      <c r="BZ714" s="430"/>
      <c r="CA714" s="430"/>
      <c r="CB714" s="430"/>
      <c r="CC714" s="430"/>
      <c r="CD714" s="430"/>
      <c r="CE714" s="430"/>
      <c r="CF714" s="430"/>
      <c r="CG714" s="430"/>
      <c r="CH714" s="430"/>
      <c r="CI714" s="430"/>
      <c r="CJ714" s="430"/>
      <c r="CK714" s="430"/>
      <c r="CL714" s="430"/>
    </row>
    <row r="715" spans="63:90" ht="14.25" customHeight="1">
      <c r="BK715" s="430"/>
      <c r="BL715" s="430"/>
      <c r="BM715" s="430"/>
      <c r="BN715" s="430"/>
      <c r="BO715" s="430"/>
      <c r="BP715" s="430"/>
      <c r="BQ715" s="430"/>
      <c r="BR715" s="430"/>
      <c r="BS715" s="430"/>
      <c r="BT715" s="430"/>
      <c r="BU715" s="430"/>
      <c r="BV715" s="430"/>
      <c r="BW715" s="430"/>
      <c r="BX715" s="430"/>
      <c r="BY715" s="430"/>
      <c r="BZ715" s="430"/>
      <c r="CA715" s="430"/>
      <c r="CB715" s="430"/>
      <c r="CC715" s="430"/>
      <c r="CD715" s="430"/>
      <c r="CE715" s="430"/>
      <c r="CF715" s="430"/>
      <c r="CG715" s="430"/>
      <c r="CH715" s="430"/>
      <c r="CI715" s="430"/>
      <c r="CJ715" s="430"/>
      <c r="CK715" s="430"/>
      <c r="CL715" s="430"/>
    </row>
    <row r="716" spans="63:90" ht="14.25" customHeight="1">
      <c r="BK716" s="430"/>
      <c r="BL716" s="430"/>
      <c r="BM716" s="430"/>
      <c r="BN716" s="430"/>
      <c r="BO716" s="430"/>
      <c r="BP716" s="430"/>
      <c r="BQ716" s="430"/>
      <c r="BR716" s="430"/>
      <c r="BS716" s="430"/>
      <c r="BT716" s="430"/>
      <c r="BU716" s="430"/>
      <c r="BV716" s="430"/>
      <c r="BW716" s="430"/>
      <c r="BX716" s="430"/>
      <c r="BY716" s="430"/>
      <c r="BZ716" s="430"/>
      <c r="CA716" s="430"/>
      <c r="CB716" s="430"/>
      <c r="CC716" s="430"/>
      <c r="CD716" s="430"/>
      <c r="CE716" s="430"/>
      <c r="CF716" s="430"/>
      <c r="CG716" s="430"/>
      <c r="CH716" s="430"/>
      <c r="CI716" s="430"/>
      <c r="CJ716" s="430"/>
      <c r="CK716" s="430"/>
      <c r="CL716" s="430"/>
    </row>
    <row r="717" spans="63:90" ht="14.25" customHeight="1">
      <c r="BK717" s="430"/>
      <c r="BL717" s="430"/>
      <c r="BM717" s="430"/>
      <c r="BN717" s="430"/>
      <c r="BO717" s="430"/>
      <c r="BP717" s="430"/>
      <c r="BQ717" s="430"/>
      <c r="BR717" s="430"/>
      <c r="BS717" s="430"/>
      <c r="BT717" s="430"/>
      <c r="BU717" s="430"/>
      <c r="BV717" s="430"/>
      <c r="BW717" s="430"/>
      <c r="BX717" s="430"/>
      <c r="BY717" s="430"/>
      <c r="BZ717" s="430"/>
      <c r="CA717" s="430"/>
      <c r="CB717" s="430"/>
      <c r="CC717" s="430"/>
      <c r="CD717" s="430"/>
      <c r="CE717" s="430"/>
      <c r="CF717" s="430"/>
      <c r="CG717" s="430"/>
      <c r="CH717" s="430"/>
      <c r="CI717" s="430"/>
      <c r="CJ717" s="430"/>
      <c r="CK717" s="430"/>
      <c r="CL717" s="430"/>
    </row>
    <row r="718" spans="63:90" ht="14.25" customHeight="1">
      <c r="BK718" s="430"/>
      <c r="BL718" s="430"/>
      <c r="BM718" s="430"/>
      <c r="BN718" s="430"/>
      <c r="BO718" s="430"/>
      <c r="BP718" s="430"/>
      <c r="BQ718" s="430"/>
      <c r="BR718" s="430"/>
      <c r="BS718" s="430"/>
      <c r="BT718" s="430"/>
      <c r="BU718" s="430"/>
      <c r="BV718" s="430"/>
      <c r="BW718" s="430"/>
      <c r="BX718" s="430"/>
      <c r="BY718" s="430"/>
      <c r="BZ718" s="430"/>
      <c r="CA718" s="430"/>
      <c r="CB718" s="430"/>
      <c r="CC718" s="430"/>
      <c r="CD718" s="430"/>
      <c r="CE718" s="430"/>
      <c r="CF718" s="430"/>
      <c r="CG718" s="430"/>
      <c r="CH718" s="430"/>
      <c r="CI718" s="430"/>
      <c r="CJ718" s="430"/>
      <c r="CK718" s="430"/>
      <c r="CL718" s="430"/>
    </row>
    <row r="719" spans="63:90" ht="14.25" customHeight="1">
      <c r="BK719" s="430"/>
      <c r="BL719" s="430"/>
      <c r="BM719" s="430"/>
      <c r="BN719" s="430"/>
      <c r="BO719" s="430"/>
      <c r="BP719" s="430"/>
      <c r="BQ719" s="430"/>
      <c r="BR719" s="430"/>
      <c r="BS719" s="430"/>
      <c r="BT719" s="430"/>
      <c r="BU719" s="430"/>
      <c r="BV719" s="430"/>
      <c r="BW719" s="430"/>
      <c r="BX719" s="430"/>
      <c r="BY719" s="430"/>
      <c r="BZ719" s="430"/>
      <c r="CA719" s="430"/>
      <c r="CB719" s="430"/>
      <c r="CC719" s="430"/>
      <c r="CD719" s="430"/>
      <c r="CE719" s="430"/>
      <c r="CF719" s="430"/>
      <c r="CG719" s="430"/>
      <c r="CH719" s="430"/>
      <c r="CI719" s="430"/>
      <c r="CJ719" s="430"/>
      <c r="CK719" s="430"/>
      <c r="CL719" s="430"/>
    </row>
    <row r="720" spans="63:90" ht="14.25" customHeight="1">
      <c r="BK720" s="430"/>
      <c r="BL720" s="430"/>
      <c r="BM720" s="430"/>
      <c r="BN720" s="430"/>
      <c r="BO720" s="430"/>
      <c r="BP720" s="430"/>
      <c r="BQ720" s="430"/>
      <c r="BR720" s="430"/>
      <c r="BS720" s="430"/>
      <c r="BT720" s="430"/>
      <c r="BU720" s="430"/>
      <c r="BV720" s="430"/>
      <c r="BW720" s="430"/>
      <c r="BX720" s="430"/>
      <c r="BY720" s="430"/>
      <c r="BZ720" s="430"/>
      <c r="CA720" s="430"/>
      <c r="CB720" s="430"/>
      <c r="CC720" s="430"/>
      <c r="CD720" s="430"/>
      <c r="CE720" s="430"/>
      <c r="CF720" s="430"/>
      <c r="CG720" s="430"/>
      <c r="CH720" s="430"/>
      <c r="CI720" s="430"/>
      <c r="CJ720" s="430"/>
      <c r="CK720" s="430"/>
      <c r="CL720" s="430"/>
    </row>
    <row r="721" spans="63:90" ht="14.25" customHeight="1">
      <c r="BK721" s="430"/>
      <c r="BL721" s="430"/>
      <c r="BM721" s="430"/>
      <c r="BN721" s="430"/>
      <c r="BO721" s="430"/>
      <c r="BP721" s="430"/>
      <c r="BQ721" s="430"/>
      <c r="BR721" s="430"/>
      <c r="BS721" s="430"/>
      <c r="BT721" s="430"/>
      <c r="BU721" s="430"/>
      <c r="BV721" s="430"/>
      <c r="BW721" s="430"/>
      <c r="BX721" s="430"/>
      <c r="BY721" s="430"/>
      <c r="BZ721" s="430"/>
      <c r="CA721" s="430"/>
      <c r="CB721" s="430"/>
      <c r="CC721" s="430"/>
      <c r="CD721" s="430"/>
      <c r="CE721" s="430"/>
      <c r="CF721" s="430"/>
      <c r="CG721" s="430"/>
      <c r="CH721" s="430"/>
      <c r="CI721" s="430"/>
      <c r="CJ721" s="430"/>
      <c r="CK721" s="430"/>
      <c r="CL721" s="430"/>
    </row>
    <row r="722" spans="63:90" ht="14.25" customHeight="1">
      <c r="BK722" s="430"/>
      <c r="BL722" s="430"/>
      <c r="BM722" s="430"/>
      <c r="BN722" s="430"/>
      <c r="BO722" s="430"/>
      <c r="BP722" s="430"/>
      <c r="BQ722" s="430"/>
      <c r="BR722" s="430"/>
      <c r="BS722" s="430"/>
      <c r="BT722" s="430"/>
      <c r="BU722" s="430"/>
      <c r="BV722" s="430"/>
      <c r="BW722" s="430"/>
      <c r="BX722" s="430"/>
      <c r="BY722" s="430"/>
      <c r="BZ722" s="430"/>
      <c r="CA722" s="430"/>
      <c r="CB722" s="430"/>
      <c r="CC722" s="430"/>
      <c r="CD722" s="430"/>
      <c r="CE722" s="430"/>
      <c r="CF722" s="430"/>
      <c r="CG722" s="430"/>
      <c r="CH722" s="430"/>
      <c r="CI722" s="430"/>
      <c r="CJ722" s="430"/>
      <c r="CK722" s="430"/>
      <c r="CL722" s="430"/>
    </row>
    <row r="723" spans="63:90" ht="14.25" customHeight="1">
      <c r="BK723" s="430"/>
      <c r="BL723" s="430"/>
      <c r="BM723" s="430"/>
      <c r="BN723" s="430"/>
      <c r="BO723" s="430"/>
      <c r="BP723" s="430"/>
      <c r="BQ723" s="430"/>
      <c r="BR723" s="430"/>
      <c r="BS723" s="430"/>
      <c r="BT723" s="430"/>
      <c r="BU723" s="430"/>
      <c r="BV723" s="430"/>
      <c r="BW723" s="430"/>
      <c r="BX723" s="430"/>
      <c r="BY723" s="430"/>
      <c r="BZ723" s="430"/>
      <c r="CA723" s="430"/>
      <c r="CB723" s="430"/>
      <c r="CC723" s="430"/>
      <c r="CD723" s="430"/>
      <c r="CE723" s="430"/>
      <c r="CF723" s="430"/>
      <c r="CG723" s="430"/>
      <c r="CH723" s="430"/>
      <c r="CI723" s="430"/>
      <c r="CJ723" s="430"/>
      <c r="CK723" s="430"/>
      <c r="CL723" s="430"/>
    </row>
    <row r="724" spans="63:90" ht="14.25" customHeight="1">
      <c r="BK724" s="430"/>
      <c r="BL724" s="430"/>
      <c r="BM724" s="430"/>
      <c r="BN724" s="430"/>
      <c r="BO724" s="430"/>
      <c r="BP724" s="430"/>
      <c r="BQ724" s="430"/>
      <c r="BR724" s="430"/>
      <c r="BS724" s="430"/>
      <c r="BT724" s="430"/>
      <c r="BU724" s="430"/>
      <c r="BV724" s="430"/>
      <c r="BW724" s="430"/>
      <c r="BX724" s="430"/>
      <c r="BY724" s="430"/>
      <c r="BZ724" s="430"/>
      <c r="CA724" s="430"/>
      <c r="CB724" s="430"/>
      <c r="CC724" s="430"/>
      <c r="CD724" s="430"/>
      <c r="CE724" s="430"/>
      <c r="CF724" s="430"/>
      <c r="CG724" s="430"/>
      <c r="CH724" s="430"/>
      <c r="CI724" s="430"/>
      <c r="CJ724" s="430"/>
      <c r="CK724" s="430"/>
      <c r="CL724" s="430"/>
    </row>
    <row r="725" spans="63:90" ht="14.25" customHeight="1">
      <c r="BK725" s="430"/>
      <c r="BL725" s="430"/>
      <c r="BM725" s="430"/>
      <c r="BN725" s="430"/>
      <c r="BO725" s="430"/>
      <c r="BP725" s="430"/>
      <c r="BQ725" s="430"/>
      <c r="BR725" s="430"/>
      <c r="BS725" s="430"/>
      <c r="BT725" s="430"/>
      <c r="BU725" s="430"/>
      <c r="BV725" s="430"/>
      <c r="BW725" s="430"/>
      <c r="BX725" s="430"/>
      <c r="BY725" s="430"/>
      <c r="BZ725" s="430"/>
      <c r="CA725" s="430"/>
      <c r="CB725" s="430"/>
      <c r="CC725" s="430"/>
      <c r="CD725" s="430"/>
      <c r="CE725" s="430"/>
      <c r="CF725" s="430"/>
      <c r="CG725" s="430"/>
      <c r="CH725" s="430"/>
      <c r="CI725" s="430"/>
      <c r="CJ725" s="430"/>
      <c r="CK725" s="430"/>
      <c r="CL725" s="430"/>
    </row>
    <row r="726" spans="63:90" ht="14.25" customHeight="1">
      <c r="BK726" s="430"/>
      <c r="BL726" s="430"/>
      <c r="BM726" s="430"/>
      <c r="BN726" s="430"/>
      <c r="BO726" s="430"/>
      <c r="BP726" s="430"/>
      <c r="BQ726" s="430"/>
      <c r="BR726" s="430"/>
      <c r="BS726" s="430"/>
      <c r="BT726" s="430"/>
      <c r="BU726" s="430"/>
      <c r="BV726" s="430"/>
      <c r="BW726" s="430"/>
      <c r="BX726" s="430"/>
      <c r="BY726" s="430"/>
      <c r="BZ726" s="430"/>
      <c r="CA726" s="430"/>
      <c r="CB726" s="430"/>
      <c r="CC726" s="430"/>
      <c r="CD726" s="430"/>
      <c r="CE726" s="430"/>
      <c r="CF726" s="430"/>
      <c r="CG726" s="430"/>
      <c r="CH726" s="430"/>
      <c r="CI726" s="430"/>
      <c r="CJ726" s="430"/>
      <c r="CK726" s="430"/>
      <c r="CL726" s="430"/>
    </row>
    <row r="727" spans="63:90" ht="14.25" customHeight="1">
      <c r="BK727" s="430"/>
      <c r="BL727" s="430"/>
      <c r="BM727" s="430"/>
      <c r="BN727" s="430"/>
      <c r="BO727" s="430"/>
      <c r="BP727" s="430"/>
      <c r="BQ727" s="430"/>
      <c r="BR727" s="430"/>
      <c r="BS727" s="430"/>
      <c r="BT727" s="430"/>
      <c r="BU727" s="430"/>
      <c r="BV727" s="430"/>
      <c r="BW727" s="430"/>
      <c r="BX727" s="430"/>
      <c r="BY727" s="430"/>
      <c r="BZ727" s="430"/>
      <c r="CA727" s="430"/>
      <c r="CB727" s="430"/>
      <c r="CC727" s="430"/>
      <c r="CD727" s="430"/>
      <c r="CE727" s="430"/>
      <c r="CF727" s="430"/>
      <c r="CG727" s="430"/>
      <c r="CH727" s="430"/>
      <c r="CI727" s="430"/>
      <c r="CJ727" s="430"/>
      <c r="CK727" s="430"/>
      <c r="CL727" s="430"/>
    </row>
    <row r="728" spans="63:90" ht="14.25" customHeight="1">
      <c r="BK728" s="430"/>
      <c r="BL728" s="430"/>
      <c r="BM728" s="430"/>
      <c r="BN728" s="430"/>
      <c r="BO728" s="430"/>
      <c r="BP728" s="430"/>
      <c r="BQ728" s="430"/>
      <c r="BR728" s="430"/>
      <c r="BS728" s="430"/>
      <c r="BT728" s="430"/>
      <c r="BU728" s="430"/>
      <c r="BV728" s="430"/>
      <c r="BW728" s="430"/>
      <c r="BX728" s="430"/>
      <c r="BY728" s="430"/>
      <c r="BZ728" s="430"/>
      <c r="CA728" s="430"/>
      <c r="CB728" s="430"/>
      <c r="CC728" s="430"/>
      <c r="CD728" s="430"/>
      <c r="CE728" s="430"/>
      <c r="CF728" s="430"/>
      <c r="CG728" s="430"/>
      <c r="CH728" s="430"/>
      <c r="CI728" s="430"/>
      <c r="CJ728" s="430"/>
      <c r="CK728" s="430"/>
      <c r="CL728" s="430"/>
    </row>
    <row r="729" spans="63:90" ht="14.25" customHeight="1">
      <c r="BK729" s="430"/>
      <c r="BL729" s="430"/>
      <c r="BM729" s="430"/>
      <c r="BN729" s="430"/>
      <c r="BO729" s="430"/>
      <c r="BP729" s="430"/>
      <c r="BQ729" s="430"/>
      <c r="BR729" s="430"/>
      <c r="BS729" s="430"/>
      <c r="BT729" s="430"/>
      <c r="BU729" s="430"/>
      <c r="BV729" s="430"/>
      <c r="BW729" s="430"/>
      <c r="BX729" s="430"/>
      <c r="BY729" s="430"/>
      <c r="BZ729" s="430"/>
      <c r="CA729" s="430"/>
      <c r="CB729" s="430"/>
      <c r="CC729" s="430"/>
      <c r="CD729" s="430"/>
      <c r="CE729" s="430"/>
      <c r="CF729" s="430"/>
      <c r="CG729" s="430"/>
      <c r="CH729" s="430"/>
      <c r="CI729" s="430"/>
      <c r="CJ729" s="430"/>
      <c r="CK729" s="430"/>
      <c r="CL729" s="430"/>
    </row>
    <row r="730" spans="63:90" ht="14.25" customHeight="1">
      <c r="BK730" s="430"/>
      <c r="BL730" s="430"/>
      <c r="BM730" s="430"/>
      <c r="BN730" s="430"/>
      <c r="BO730" s="430"/>
      <c r="BP730" s="430"/>
      <c r="BQ730" s="430"/>
      <c r="BR730" s="430"/>
      <c r="BS730" s="430"/>
      <c r="BT730" s="430"/>
      <c r="BU730" s="430"/>
      <c r="BV730" s="430"/>
      <c r="BW730" s="430"/>
      <c r="BX730" s="430"/>
      <c r="BY730" s="430"/>
      <c r="BZ730" s="430"/>
      <c r="CA730" s="430"/>
      <c r="CB730" s="430"/>
      <c r="CC730" s="430"/>
      <c r="CD730" s="430"/>
      <c r="CE730" s="430"/>
      <c r="CF730" s="430"/>
      <c r="CG730" s="430"/>
      <c r="CH730" s="430"/>
      <c r="CI730" s="430"/>
      <c r="CJ730" s="430"/>
      <c r="CK730" s="430"/>
      <c r="CL730" s="430"/>
    </row>
    <row r="731" spans="63:90" ht="14.25" customHeight="1">
      <c r="BK731" s="430"/>
      <c r="BL731" s="430"/>
      <c r="BM731" s="430"/>
      <c r="BN731" s="430"/>
      <c r="BO731" s="430"/>
      <c r="BP731" s="430"/>
      <c r="BQ731" s="430"/>
      <c r="BR731" s="430"/>
      <c r="BS731" s="430"/>
      <c r="BT731" s="430"/>
      <c r="BU731" s="430"/>
      <c r="BV731" s="430"/>
      <c r="BW731" s="430"/>
      <c r="BX731" s="430"/>
      <c r="BY731" s="430"/>
      <c r="BZ731" s="430"/>
      <c r="CA731" s="430"/>
      <c r="CB731" s="430"/>
      <c r="CC731" s="430"/>
      <c r="CD731" s="430"/>
      <c r="CE731" s="430"/>
      <c r="CF731" s="430"/>
      <c r="CG731" s="430"/>
      <c r="CH731" s="430"/>
      <c r="CI731" s="430"/>
      <c r="CJ731" s="430"/>
      <c r="CK731" s="430"/>
      <c r="CL731" s="430"/>
    </row>
    <row r="732" spans="63:90" ht="14.25" customHeight="1">
      <c r="BK732" s="430"/>
      <c r="BL732" s="430"/>
      <c r="BM732" s="430"/>
      <c r="BN732" s="430"/>
      <c r="BO732" s="430"/>
      <c r="BP732" s="430"/>
      <c r="BQ732" s="430"/>
      <c r="BR732" s="430"/>
      <c r="BS732" s="430"/>
      <c r="BT732" s="430"/>
      <c r="BU732" s="430"/>
      <c r="BV732" s="430"/>
      <c r="BW732" s="430"/>
      <c r="BX732" s="430"/>
      <c r="BY732" s="430"/>
      <c r="BZ732" s="430"/>
      <c r="CA732" s="430"/>
      <c r="CB732" s="430"/>
      <c r="CC732" s="430"/>
      <c r="CD732" s="430"/>
      <c r="CE732" s="430"/>
      <c r="CF732" s="430"/>
      <c r="CG732" s="430"/>
      <c r="CH732" s="430"/>
      <c r="CI732" s="430"/>
      <c r="CJ732" s="430"/>
      <c r="CK732" s="430"/>
      <c r="CL732" s="430"/>
    </row>
    <row r="733" spans="63:90" ht="14.25" customHeight="1">
      <c r="BK733" s="430"/>
      <c r="BL733" s="430"/>
      <c r="BM733" s="430"/>
      <c r="BN733" s="430"/>
      <c r="BO733" s="430"/>
      <c r="BP733" s="430"/>
      <c r="BQ733" s="430"/>
      <c r="BR733" s="430"/>
      <c r="BS733" s="430"/>
      <c r="BT733" s="430"/>
      <c r="BU733" s="430"/>
      <c r="BV733" s="430"/>
      <c r="BW733" s="430"/>
      <c r="BX733" s="430"/>
      <c r="BY733" s="430"/>
      <c r="BZ733" s="430"/>
      <c r="CA733" s="430"/>
      <c r="CB733" s="430"/>
      <c r="CC733" s="430"/>
      <c r="CD733" s="430"/>
      <c r="CE733" s="430"/>
      <c r="CF733" s="430"/>
      <c r="CG733" s="430"/>
      <c r="CH733" s="430"/>
      <c r="CI733" s="430"/>
      <c r="CJ733" s="430"/>
      <c r="CK733" s="430"/>
      <c r="CL733" s="430"/>
    </row>
    <row r="734" spans="63:90" ht="14.25" customHeight="1">
      <c r="BK734" s="430"/>
      <c r="BL734" s="430"/>
      <c r="BM734" s="430"/>
      <c r="BN734" s="430"/>
      <c r="BO734" s="430"/>
      <c r="BP734" s="430"/>
      <c r="BQ734" s="430"/>
      <c r="BR734" s="430"/>
      <c r="BS734" s="430"/>
      <c r="BT734" s="430"/>
      <c r="BU734" s="430"/>
      <c r="BV734" s="430"/>
      <c r="BW734" s="430"/>
      <c r="BX734" s="430"/>
      <c r="BY734" s="430"/>
      <c r="BZ734" s="430"/>
      <c r="CA734" s="430"/>
      <c r="CB734" s="430"/>
      <c r="CC734" s="430"/>
      <c r="CD734" s="430"/>
      <c r="CE734" s="430"/>
      <c r="CF734" s="430"/>
      <c r="CG734" s="430"/>
      <c r="CH734" s="430"/>
      <c r="CI734" s="430"/>
      <c r="CJ734" s="430"/>
      <c r="CK734" s="430"/>
      <c r="CL734" s="430"/>
    </row>
    <row r="735" spans="63:90" ht="14.25" customHeight="1">
      <c r="BK735" s="430"/>
      <c r="BL735" s="430"/>
      <c r="BM735" s="430"/>
      <c r="BN735" s="430"/>
      <c r="BO735" s="430"/>
      <c r="BP735" s="430"/>
      <c r="BQ735" s="430"/>
      <c r="BR735" s="430"/>
      <c r="BS735" s="430"/>
      <c r="BT735" s="430"/>
      <c r="BU735" s="430"/>
      <c r="BV735" s="430"/>
      <c r="BW735" s="430"/>
      <c r="BX735" s="430"/>
      <c r="BY735" s="430"/>
      <c r="BZ735" s="430"/>
      <c r="CA735" s="430"/>
      <c r="CB735" s="430"/>
      <c r="CC735" s="430"/>
      <c r="CD735" s="430"/>
      <c r="CE735" s="430"/>
      <c r="CF735" s="430"/>
      <c r="CG735" s="430"/>
      <c r="CH735" s="430"/>
      <c r="CI735" s="430"/>
      <c r="CJ735" s="430"/>
      <c r="CK735" s="430"/>
      <c r="CL735" s="430"/>
    </row>
    <row r="736" spans="63:90" ht="14.25" customHeight="1">
      <c r="BK736" s="430"/>
      <c r="BL736" s="430"/>
      <c r="BM736" s="430"/>
      <c r="BN736" s="430"/>
      <c r="BO736" s="430"/>
      <c r="BP736" s="430"/>
      <c r="BQ736" s="430"/>
      <c r="BR736" s="430"/>
      <c r="BS736" s="430"/>
      <c r="BT736" s="430"/>
      <c r="BU736" s="430"/>
      <c r="BV736" s="430"/>
      <c r="BW736" s="430"/>
      <c r="BX736" s="430"/>
      <c r="BY736" s="430"/>
      <c r="BZ736" s="430"/>
      <c r="CA736" s="430"/>
      <c r="CB736" s="430"/>
      <c r="CC736" s="430"/>
      <c r="CD736" s="430"/>
      <c r="CE736" s="430"/>
      <c r="CF736" s="430"/>
      <c r="CG736" s="430"/>
      <c r="CH736" s="430"/>
      <c r="CI736" s="430"/>
      <c r="CJ736" s="430"/>
      <c r="CK736" s="430"/>
      <c r="CL736" s="430"/>
    </row>
    <row r="737" spans="63:90" ht="14.25" customHeight="1">
      <c r="BK737" s="430"/>
      <c r="BL737" s="430"/>
      <c r="BM737" s="430"/>
      <c r="BN737" s="430"/>
      <c r="BO737" s="430"/>
      <c r="BP737" s="430"/>
      <c r="BQ737" s="430"/>
      <c r="BR737" s="430"/>
      <c r="BS737" s="430"/>
      <c r="BT737" s="430"/>
      <c r="BU737" s="430"/>
      <c r="BV737" s="430"/>
      <c r="BW737" s="430"/>
      <c r="BX737" s="430"/>
      <c r="BY737" s="430"/>
      <c r="BZ737" s="430"/>
      <c r="CA737" s="430"/>
      <c r="CB737" s="430"/>
      <c r="CC737" s="430"/>
      <c r="CD737" s="430"/>
      <c r="CE737" s="430"/>
      <c r="CF737" s="430"/>
      <c r="CG737" s="430"/>
      <c r="CH737" s="430"/>
      <c r="CI737" s="430"/>
      <c r="CJ737" s="430"/>
      <c r="CK737" s="430"/>
      <c r="CL737" s="430"/>
    </row>
    <row r="738" spans="63:90" ht="14.25" customHeight="1">
      <c r="BK738" s="430"/>
      <c r="BL738" s="430"/>
      <c r="BM738" s="430"/>
      <c r="BN738" s="430"/>
      <c r="BO738" s="430"/>
      <c r="BP738" s="430"/>
      <c r="BQ738" s="430"/>
      <c r="BR738" s="430"/>
      <c r="BS738" s="430"/>
      <c r="BT738" s="430"/>
      <c r="BU738" s="430"/>
      <c r="BV738" s="430"/>
      <c r="BW738" s="430"/>
      <c r="BX738" s="430"/>
      <c r="BY738" s="430"/>
      <c r="BZ738" s="430"/>
      <c r="CA738" s="430"/>
      <c r="CB738" s="430"/>
      <c r="CC738" s="430"/>
      <c r="CD738" s="430"/>
      <c r="CE738" s="430"/>
      <c r="CF738" s="430"/>
      <c r="CG738" s="430"/>
      <c r="CH738" s="430"/>
      <c r="CI738" s="430"/>
      <c r="CJ738" s="430"/>
      <c r="CK738" s="430"/>
      <c r="CL738" s="430"/>
    </row>
    <row r="739" spans="63:90" ht="14.25" customHeight="1">
      <c r="BK739" s="430"/>
      <c r="BL739" s="430"/>
      <c r="BM739" s="430"/>
      <c r="BN739" s="430"/>
      <c r="BO739" s="430"/>
      <c r="BP739" s="430"/>
      <c r="BQ739" s="430"/>
      <c r="BR739" s="430"/>
      <c r="BS739" s="430"/>
      <c r="BT739" s="430"/>
      <c r="BU739" s="430"/>
      <c r="BV739" s="430"/>
      <c r="BW739" s="430"/>
      <c r="BX739" s="430"/>
      <c r="BY739" s="430"/>
      <c r="BZ739" s="430"/>
      <c r="CA739" s="430"/>
      <c r="CB739" s="430"/>
      <c r="CC739" s="430"/>
      <c r="CD739" s="430"/>
      <c r="CE739" s="430"/>
      <c r="CF739" s="430"/>
      <c r="CG739" s="430"/>
      <c r="CH739" s="430"/>
      <c r="CI739" s="430"/>
      <c r="CJ739" s="430"/>
      <c r="CK739" s="430"/>
      <c r="CL739" s="430"/>
    </row>
    <row r="740" spans="63:90" ht="14.25" customHeight="1">
      <c r="BK740" s="430"/>
      <c r="BL740" s="430"/>
      <c r="BM740" s="430"/>
      <c r="BN740" s="430"/>
      <c r="BO740" s="430"/>
      <c r="BP740" s="430"/>
      <c r="BQ740" s="430"/>
      <c r="BR740" s="430"/>
      <c r="BS740" s="430"/>
      <c r="BT740" s="430"/>
      <c r="BU740" s="430"/>
      <c r="BV740" s="430"/>
      <c r="BW740" s="430"/>
      <c r="BX740" s="430"/>
      <c r="BY740" s="430"/>
      <c r="BZ740" s="430"/>
      <c r="CA740" s="430"/>
      <c r="CB740" s="430"/>
      <c r="CC740" s="430"/>
      <c r="CD740" s="430"/>
      <c r="CE740" s="430"/>
      <c r="CF740" s="430"/>
      <c r="CG740" s="430"/>
      <c r="CH740" s="430"/>
      <c r="CI740" s="430"/>
      <c r="CJ740" s="430"/>
      <c r="CK740" s="430"/>
      <c r="CL740" s="430"/>
    </row>
    <row r="741" spans="63:90" ht="14.25" customHeight="1">
      <c r="BK741" s="430"/>
      <c r="BL741" s="430"/>
      <c r="BM741" s="430"/>
      <c r="BN741" s="430"/>
      <c r="BO741" s="430"/>
      <c r="BP741" s="430"/>
      <c r="BQ741" s="430"/>
      <c r="BR741" s="430"/>
      <c r="BS741" s="430"/>
      <c r="BT741" s="430"/>
      <c r="BU741" s="430"/>
      <c r="BV741" s="430"/>
      <c r="BW741" s="430"/>
      <c r="BX741" s="430"/>
      <c r="BY741" s="430"/>
      <c r="BZ741" s="430"/>
      <c r="CA741" s="430"/>
      <c r="CB741" s="430"/>
      <c r="CC741" s="430"/>
      <c r="CD741" s="430"/>
      <c r="CE741" s="430"/>
      <c r="CF741" s="430"/>
      <c r="CG741" s="430"/>
      <c r="CH741" s="430"/>
      <c r="CI741" s="430"/>
      <c r="CJ741" s="430"/>
      <c r="CK741" s="430"/>
      <c r="CL741" s="430"/>
    </row>
    <row r="742" spans="63:90" ht="14.25" customHeight="1">
      <c r="BK742" s="430"/>
      <c r="BL742" s="430"/>
      <c r="BM742" s="430"/>
      <c r="BN742" s="430"/>
      <c r="BO742" s="430"/>
      <c r="BP742" s="430"/>
      <c r="BQ742" s="430"/>
      <c r="BR742" s="430"/>
      <c r="BS742" s="430"/>
      <c r="BT742" s="430"/>
      <c r="BU742" s="430"/>
      <c r="BV742" s="430"/>
      <c r="BW742" s="430"/>
      <c r="BX742" s="430"/>
      <c r="BY742" s="430"/>
      <c r="BZ742" s="430"/>
      <c r="CA742" s="430"/>
      <c r="CB742" s="430"/>
      <c r="CC742" s="430"/>
      <c r="CD742" s="430"/>
      <c r="CE742" s="430"/>
      <c r="CF742" s="430"/>
      <c r="CG742" s="430"/>
      <c r="CH742" s="430"/>
      <c r="CI742" s="430"/>
      <c r="CJ742" s="430"/>
      <c r="CK742" s="430"/>
      <c r="CL742" s="430"/>
    </row>
    <row r="743" spans="63:90" ht="14.25" customHeight="1">
      <c r="BK743" s="430"/>
      <c r="BL743" s="430"/>
      <c r="BM743" s="430"/>
      <c r="BN743" s="430"/>
      <c r="BO743" s="430"/>
      <c r="BP743" s="430"/>
      <c r="BQ743" s="430"/>
      <c r="BR743" s="430"/>
      <c r="BS743" s="430"/>
      <c r="BT743" s="430"/>
      <c r="BU743" s="430"/>
      <c r="BV743" s="430"/>
      <c r="BW743" s="430"/>
      <c r="BX743" s="430"/>
      <c r="BY743" s="430"/>
      <c r="BZ743" s="430"/>
      <c r="CA743" s="430"/>
      <c r="CB743" s="430"/>
      <c r="CC743" s="430"/>
      <c r="CD743" s="430"/>
      <c r="CE743" s="430"/>
      <c r="CF743" s="430"/>
      <c r="CG743" s="430"/>
      <c r="CH743" s="430"/>
      <c r="CI743" s="430"/>
      <c r="CJ743" s="430"/>
      <c r="CK743" s="430"/>
      <c r="CL743" s="430"/>
    </row>
    <row r="744" spans="63:90" ht="14.25" customHeight="1">
      <c r="BK744" s="430"/>
      <c r="BL744" s="430"/>
      <c r="BM744" s="430"/>
      <c r="BN744" s="430"/>
      <c r="BO744" s="430"/>
      <c r="BP744" s="430"/>
      <c r="BQ744" s="430"/>
      <c r="BR744" s="430"/>
      <c r="BS744" s="430"/>
      <c r="BT744" s="430"/>
      <c r="BU744" s="430"/>
      <c r="BV744" s="430"/>
      <c r="BW744" s="430"/>
      <c r="BX744" s="430"/>
      <c r="BY744" s="430"/>
      <c r="BZ744" s="430"/>
      <c r="CA744" s="430"/>
      <c r="CB744" s="430"/>
      <c r="CC744" s="430"/>
      <c r="CD744" s="430"/>
      <c r="CE744" s="430"/>
      <c r="CF744" s="430"/>
      <c r="CG744" s="430"/>
      <c r="CH744" s="430"/>
      <c r="CI744" s="430"/>
      <c r="CJ744" s="430"/>
      <c r="CK744" s="430"/>
      <c r="CL744" s="430"/>
    </row>
    <row r="745" spans="63:90" ht="14.25" customHeight="1">
      <c r="BK745" s="430"/>
      <c r="BL745" s="430"/>
      <c r="BM745" s="430"/>
      <c r="BN745" s="430"/>
      <c r="BO745" s="430"/>
      <c r="BP745" s="430"/>
      <c r="BQ745" s="430"/>
      <c r="BR745" s="430"/>
      <c r="BS745" s="430"/>
      <c r="BT745" s="430"/>
      <c r="BU745" s="430"/>
      <c r="BV745" s="430"/>
      <c r="BW745" s="430"/>
      <c r="BX745" s="430"/>
      <c r="BY745" s="430"/>
      <c r="BZ745" s="430"/>
      <c r="CA745" s="430"/>
      <c r="CB745" s="430"/>
      <c r="CC745" s="430"/>
      <c r="CD745" s="430"/>
      <c r="CE745" s="430"/>
      <c r="CF745" s="430"/>
      <c r="CG745" s="430"/>
      <c r="CH745" s="430"/>
      <c r="CI745" s="430"/>
      <c r="CJ745" s="430"/>
      <c r="CK745" s="430"/>
      <c r="CL745" s="430"/>
    </row>
    <row r="746" spans="63:90" ht="14.25" customHeight="1">
      <c r="BK746" s="430"/>
      <c r="BL746" s="430"/>
      <c r="BM746" s="430"/>
      <c r="BN746" s="430"/>
      <c r="BO746" s="430"/>
      <c r="BP746" s="430"/>
      <c r="BQ746" s="430"/>
      <c r="BR746" s="430"/>
      <c r="BS746" s="430"/>
      <c r="BT746" s="430"/>
      <c r="BU746" s="430"/>
      <c r="BV746" s="430"/>
      <c r="BW746" s="430"/>
      <c r="BX746" s="430"/>
      <c r="BY746" s="430"/>
      <c r="BZ746" s="430"/>
      <c r="CA746" s="430"/>
      <c r="CB746" s="430"/>
      <c r="CC746" s="430"/>
      <c r="CD746" s="430"/>
      <c r="CE746" s="430"/>
      <c r="CF746" s="430"/>
      <c r="CG746" s="430"/>
      <c r="CH746" s="430"/>
      <c r="CI746" s="430"/>
      <c r="CJ746" s="430"/>
      <c r="CK746" s="430"/>
      <c r="CL746" s="430"/>
    </row>
    <row r="747" spans="63:90" ht="14.25" customHeight="1">
      <c r="BK747" s="430"/>
      <c r="BL747" s="430"/>
      <c r="BM747" s="430"/>
      <c r="BN747" s="430"/>
      <c r="BO747" s="430"/>
      <c r="BP747" s="430"/>
      <c r="BQ747" s="430"/>
      <c r="BR747" s="430"/>
      <c r="BS747" s="430"/>
      <c r="BT747" s="430"/>
      <c r="BU747" s="430"/>
      <c r="BV747" s="430"/>
      <c r="BW747" s="430"/>
      <c r="BX747" s="430"/>
      <c r="BY747" s="430"/>
      <c r="BZ747" s="430"/>
      <c r="CA747" s="430"/>
      <c r="CB747" s="430"/>
      <c r="CC747" s="430"/>
      <c r="CD747" s="430"/>
      <c r="CE747" s="430"/>
      <c r="CF747" s="430"/>
      <c r="CG747" s="430"/>
      <c r="CH747" s="430"/>
      <c r="CI747" s="430"/>
      <c r="CJ747" s="430"/>
      <c r="CK747" s="430"/>
      <c r="CL747" s="430"/>
    </row>
    <row r="748" spans="63:90" ht="14.25" customHeight="1">
      <c r="BK748" s="430"/>
      <c r="BL748" s="430"/>
      <c r="BM748" s="430"/>
      <c r="BN748" s="430"/>
      <c r="BO748" s="430"/>
      <c r="BP748" s="430"/>
      <c r="BQ748" s="430"/>
      <c r="BR748" s="430"/>
      <c r="BS748" s="430"/>
      <c r="BT748" s="430"/>
      <c r="BU748" s="430"/>
      <c r="BV748" s="430"/>
      <c r="BW748" s="430"/>
      <c r="BX748" s="430"/>
      <c r="BY748" s="430"/>
      <c r="BZ748" s="430"/>
      <c r="CA748" s="430"/>
      <c r="CB748" s="430"/>
      <c r="CC748" s="430"/>
      <c r="CD748" s="430"/>
      <c r="CE748" s="430"/>
      <c r="CF748" s="430"/>
      <c r="CG748" s="430"/>
      <c r="CH748" s="430"/>
      <c r="CI748" s="430"/>
      <c r="CJ748" s="430"/>
      <c r="CK748" s="430"/>
      <c r="CL748" s="430"/>
    </row>
    <row r="749" spans="63:90" ht="14.25" customHeight="1">
      <c r="BK749" s="430"/>
      <c r="BL749" s="430"/>
      <c r="BM749" s="430"/>
      <c r="BN749" s="430"/>
      <c r="BO749" s="430"/>
      <c r="BP749" s="430"/>
      <c r="BQ749" s="430"/>
      <c r="BR749" s="430"/>
      <c r="BS749" s="430"/>
      <c r="BT749" s="430"/>
      <c r="BU749" s="430"/>
      <c r="BV749" s="430"/>
      <c r="BW749" s="430"/>
      <c r="BX749" s="430"/>
      <c r="BY749" s="430"/>
      <c r="BZ749" s="430"/>
      <c r="CA749" s="430"/>
      <c r="CB749" s="430"/>
      <c r="CC749" s="430"/>
      <c r="CD749" s="430"/>
      <c r="CE749" s="430"/>
      <c r="CF749" s="430"/>
      <c r="CG749" s="430"/>
      <c r="CH749" s="430"/>
      <c r="CI749" s="430"/>
      <c r="CJ749" s="430"/>
      <c r="CK749" s="430"/>
      <c r="CL749" s="430"/>
    </row>
    <row r="750" spans="63:90" ht="14.25" customHeight="1">
      <c r="BK750" s="430"/>
      <c r="BL750" s="430"/>
      <c r="BM750" s="430"/>
      <c r="BN750" s="430"/>
      <c r="BO750" s="430"/>
      <c r="BP750" s="430"/>
      <c r="BQ750" s="430"/>
      <c r="BR750" s="430"/>
      <c r="BS750" s="430"/>
      <c r="BT750" s="430"/>
      <c r="BU750" s="430"/>
      <c r="BV750" s="430"/>
      <c r="BW750" s="430"/>
      <c r="BX750" s="430"/>
      <c r="BY750" s="430"/>
      <c r="BZ750" s="430"/>
      <c r="CA750" s="430"/>
      <c r="CB750" s="430"/>
      <c r="CC750" s="430"/>
      <c r="CD750" s="430"/>
      <c r="CE750" s="430"/>
      <c r="CF750" s="430"/>
      <c r="CG750" s="430"/>
      <c r="CH750" s="430"/>
      <c r="CI750" s="430"/>
      <c r="CJ750" s="430"/>
      <c r="CK750" s="430"/>
      <c r="CL750" s="430"/>
    </row>
    <row r="751" spans="63:90" ht="14.25" customHeight="1">
      <c r="BK751" s="430"/>
      <c r="BL751" s="430"/>
      <c r="BM751" s="430"/>
      <c r="BN751" s="430"/>
      <c r="BO751" s="430"/>
      <c r="BP751" s="430"/>
      <c r="BQ751" s="430"/>
      <c r="BR751" s="430"/>
      <c r="BS751" s="430"/>
      <c r="BT751" s="430"/>
      <c r="BU751" s="430"/>
      <c r="BV751" s="430"/>
      <c r="BW751" s="430"/>
      <c r="BX751" s="430"/>
      <c r="BY751" s="430"/>
      <c r="BZ751" s="430"/>
      <c r="CA751" s="430"/>
      <c r="CB751" s="430"/>
      <c r="CC751" s="430"/>
      <c r="CD751" s="430"/>
      <c r="CE751" s="430"/>
      <c r="CF751" s="430"/>
      <c r="CG751" s="430"/>
      <c r="CH751" s="430"/>
      <c r="CI751" s="430"/>
      <c r="CJ751" s="430"/>
      <c r="CK751" s="430"/>
      <c r="CL751" s="430"/>
    </row>
    <row r="752" spans="63:90" ht="14.25" customHeight="1">
      <c r="BK752" s="430"/>
      <c r="BL752" s="430"/>
      <c r="BM752" s="430"/>
      <c r="BN752" s="430"/>
      <c r="BO752" s="430"/>
      <c r="BP752" s="430"/>
      <c r="BQ752" s="430"/>
      <c r="BR752" s="430"/>
      <c r="BS752" s="430"/>
      <c r="BT752" s="430"/>
      <c r="BU752" s="430"/>
      <c r="BV752" s="430"/>
      <c r="BW752" s="430"/>
      <c r="BX752" s="430"/>
      <c r="BY752" s="430"/>
      <c r="BZ752" s="430"/>
      <c r="CA752" s="430"/>
      <c r="CB752" s="430"/>
      <c r="CC752" s="430"/>
      <c r="CD752" s="430"/>
      <c r="CE752" s="430"/>
      <c r="CF752" s="430"/>
      <c r="CG752" s="430"/>
      <c r="CH752" s="430"/>
      <c r="CI752" s="430"/>
      <c r="CJ752" s="430"/>
      <c r="CK752" s="430"/>
      <c r="CL752" s="430"/>
    </row>
    <row r="753" spans="63:90" ht="14.25" customHeight="1">
      <c r="BK753" s="430"/>
      <c r="BL753" s="430"/>
      <c r="BM753" s="430"/>
      <c r="BN753" s="430"/>
      <c r="BO753" s="430"/>
      <c r="BP753" s="430"/>
      <c r="BQ753" s="430"/>
      <c r="BR753" s="430"/>
      <c r="BS753" s="430"/>
      <c r="BT753" s="430"/>
      <c r="BU753" s="430"/>
      <c r="BV753" s="430"/>
      <c r="BW753" s="430"/>
      <c r="BX753" s="430"/>
      <c r="BY753" s="430"/>
      <c r="BZ753" s="430"/>
      <c r="CA753" s="430"/>
      <c r="CB753" s="430"/>
      <c r="CC753" s="430"/>
      <c r="CD753" s="430"/>
      <c r="CE753" s="430"/>
      <c r="CF753" s="430"/>
      <c r="CG753" s="430"/>
      <c r="CH753" s="430"/>
      <c r="CI753" s="430"/>
      <c r="CJ753" s="430"/>
      <c r="CK753" s="430"/>
      <c r="CL753" s="430"/>
    </row>
    <row r="754" spans="63:90" ht="14.25" customHeight="1">
      <c r="BK754" s="430"/>
      <c r="BL754" s="430"/>
      <c r="BM754" s="430"/>
      <c r="BN754" s="430"/>
      <c r="BO754" s="430"/>
      <c r="BP754" s="430"/>
      <c r="BQ754" s="430"/>
      <c r="BR754" s="430"/>
      <c r="BS754" s="430"/>
      <c r="BT754" s="430"/>
      <c r="BU754" s="430"/>
      <c r="BV754" s="430"/>
      <c r="BW754" s="430"/>
      <c r="BX754" s="430"/>
      <c r="BY754" s="430"/>
      <c r="BZ754" s="430"/>
      <c r="CA754" s="430"/>
      <c r="CB754" s="430"/>
      <c r="CC754" s="430"/>
      <c r="CD754" s="430"/>
      <c r="CE754" s="430"/>
      <c r="CF754" s="430"/>
      <c r="CG754" s="430"/>
      <c r="CH754" s="430"/>
      <c r="CI754" s="430"/>
      <c r="CJ754" s="430"/>
      <c r="CK754" s="430"/>
      <c r="CL754" s="430"/>
    </row>
    <row r="755" spans="63:90" ht="14.25" customHeight="1">
      <c r="BK755" s="430"/>
      <c r="BL755" s="430"/>
      <c r="BM755" s="430"/>
      <c r="BN755" s="430"/>
      <c r="BO755" s="430"/>
      <c r="BP755" s="430"/>
      <c r="BQ755" s="430"/>
      <c r="BR755" s="430"/>
      <c r="BS755" s="430"/>
      <c r="BT755" s="430"/>
      <c r="BU755" s="430"/>
      <c r="BV755" s="430"/>
      <c r="BW755" s="430"/>
      <c r="BX755" s="430"/>
      <c r="BY755" s="430"/>
      <c r="BZ755" s="430"/>
      <c r="CA755" s="430"/>
      <c r="CB755" s="430"/>
      <c r="CC755" s="430"/>
      <c r="CD755" s="430"/>
      <c r="CE755" s="430"/>
      <c r="CF755" s="430"/>
      <c r="CG755" s="430"/>
      <c r="CH755" s="430"/>
      <c r="CI755" s="430"/>
      <c r="CJ755" s="430"/>
      <c r="CK755" s="430"/>
      <c r="CL755" s="430"/>
    </row>
    <row r="756" spans="63:90" ht="14.25" customHeight="1">
      <c r="BK756" s="430"/>
      <c r="BL756" s="430"/>
      <c r="BM756" s="430"/>
      <c r="BN756" s="430"/>
      <c r="BO756" s="430"/>
      <c r="BP756" s="430"/>
      <c r="BQ756" s="430"/>
      <c r="BR756" s="430"/>
      <c r="BS756" s="430"/>
      <c r="BT756" s="430"/>
      <c r="BU756" s="430"/>
      <c r="BV756" s="430"/>
      <c r="BW756" s="430"/>
      <c r="BX756" s="430"/>
      <c r="BY756" s="430"/>
      <c r="BZ756" s="430"/>
      <c r="CA756" s="430"/>
      <c r="CB756" s="430"/>
      <c r="CC756" s="430"/>
      <c r="CD756" s="430"/>
      <c r="CE756" s="430"/>
      <c r="CF756" s="430"/>
      <c r="CG756" s="430"/>
      <c r="CH756" s="430"/>
      <c r="CI756" s="430"/>
      <c r="CJ756" s="430"/>
      <c r="CK756" s="430"/>
      <c r="CL756" s="430"/>
    </row>
    <row r="757" spans="63:90" ht="14.25" customHeight="1">
      <c r="BK757" s="430"/>
      <c r="BL757" s="430"/>
      <c r="BM757" s="430"/>
      <c r="BN757" s="430"/>
      <c r="BO757" s="430"/>
      <c r="BP757" s="430"/>
      <c r="BQ757" s="430"/>
      <c r="BR757" s="430"/>
      <c r="BS757" s="430"/>
      <c r="BT757" s="430"/>
      <c r="BU757" s="430"/>
      <c r="BV757" s="430"/>
      <c r="BW757" s="430"/>
      <c r="BX757" s="430"/>
      <c r="BY757" s="430"/>
      <c r="BZ757" s="430"/>
      <c r="CA757" s="430"/>
      <c r="CB757" s="430"/>
      <c r="CC757" s="430"/>
      <c r="CD757" s="430"/>
      <c r="CE757" s="430"/>
      <c r="CF757" s="430"/>
      <c r="CG757" s="430"/>
      <c r="CH757" s="430"/>
      <c r="CI757" s="430"/>
      <c r="CJ757" s="430"/>
      <c r="CK757" s="430"/>
      <c r="CL757" s="430"/>
    </row>
    <row r="758" spans="63:90" ht="14.25" customHeight="1">
      <c r="BK758" s="430"/>
      <c r="BL758" s="430"/>
      <c r="BM758" s="430"/>
      <c r="BN758" s="430"/>
      <c r="BO758" s="430"/>
      <c r="BP758" s="430"/>
      <c r="BQ758" s="430"/>
      <c r="BR758" s="430"/>
      <c r="BS758" s="430"/>
      <c r="BT758" s="430"/>
      <c r="BU758" s="430"/>
      <c r="BV758" s="430"/>
      <c r="BW758" s="430"/>
      <c r="BX758" s="430"/>
      <c r="BY758" s="430"/>
      <c r="BZ758" s="430"/>
      <c r="CA758" s="430"/>
      <c r="CB758" s="430"/>
      <c r="CC758" s="430"/>
      <c r="CD758" s="430"/>
      <c r="CE758" s="430"/>
      <c r="CF758" s="430"/>
      <c r="CG758" s="430"/>
      <c r="CH758" s="430"/>
      <c r="CI758" s="430"/>
      <c r="CJ758" s="430"/>
      <c r="CK758" s="430"/>
      <c r="CL758" s="430"/>
    </row>
    <row r="759" spans="63:90" ht="14.25" customHeight="1">
      <c r="BK759" s="430"/>
      <c r="BL759" s="430"/>
      <c r="BM759" s="430"/>
      <c r="BN759" s="430"/>
      <c r="BO759" s="430"/>
      <c r="BP759" s="430"/>
      <c r="BQ759" s="430"/>
      <c r="BR759" s="430"/>
      <c r="BS759" s="430"/>
      <c r="BT759" s="430"/>
      <c r="BU759" s="430"/>
      <c r="BV759" s="430"/>
      <c r="BW759" s="430"/>
      <c r="BX759" s="430"/>
      <c r="BY759" s="430"/>
      <c r="BZ759" s="430"/>
      <c r="CA759" s="430"/>
      <c r="CB759" s="430"/>
      <c r="CC759" s="430"/>
      <c r="CD759" s="430"/>
      <c r="CE759" s="430"/>
      <c r="CF759" s="430"/>
      <c r="CG759" s="430"/>
      <c r="CH759" s="430"/>
      <c r="CI759" s="430"/>
      <c r="CJ759" s="430"/>
      <c r="CK759" s="430"/>
      <c r="CL759" s="430"/>
    </row>
    <row r="760" spans="63:90" ht="14.25" customHeight="1">
      <c r="BK760" s="430"/>
      <c r="BL760" s="430"/>
      <c r="BM760" s="430"/>
      <c r="BN760" s="430"/>
      <c r="BO760" s="430"/>
      <c r="BP760" s="430"/>
      <c r="BQ760" s="430"/>
      <c r="BR760" s="430"/>
      <c r="BS760" s="430"/>
      <c r="BT760" s="430"/>
      <c r="BU760" s="430"/>
      <c r="BV760" s="430"/>
      <c r="BW760" s="430"/>
      <c r="BX760" s="430"/>
      <c r="BY760" s="430"/>
      <c r="BZ760" s="430"/>
      <c r="CA760" s="430"/>
      <c r="CB760" s="430"/>
      <c r="CC760" s="430"/>
      <c r="CD760" s="430"/>
      <c r="CE760" s="430"/>
      <c r="CF760" s="430"/>
      <c r="CG760" s="430"/>
      <c r="CH760" s="430"/>
      <c r="CI760" s="430"/>
      <c r="CJ760" s="430"/>
      <c r="CK760" s="430"/>
      <c r="CL760" s="430"/>
    </row>
    <row r="761" spans="63:90" ht="14.25" customHeight="1">
      <c r="BK761" s="430"/>
      <c r="BL761" s="430"/>
      <c r="BM761" s="430"/>
      <c r="BN761" s="430"/>
      <c r="BO761" s="430"/>
      <c r="BP761" s="430"/>
      <c r="BQ761" s="430"/>
      <c r="BR761" s="430"/>
      <c r="BS761" s="430"/>
      <c r="BT761" s="430"/>
      <c r="BU761" s="430"/>
      <c r="BV761" s="430"/>
      <c r="BW761" s="430"/>
      <c r="BX761" s="430"/>
      <c r="BY761" s="430"/>
      <c r="BZ761" s="430"/>
      <c r="CA761" s="430"/>
      <c r="CB761" s="430"/>
      <c r="CC761" s="430"/>
      <c r="CD761" s="430"/>
      <c r="CE761" s="430"/>
      <c r="CF761" s="430"/>
      <c r="CG761" s="430"/>
      <c r="CH761" s="430"/>
      <c r="CI761" s="430"/>
      <c r="CJ761" s="430"/>
      <c r="CK761" s="430"/>
      <c r="CL761" s="430"/>
    </row>
    <row r="762" spans="63:90" ht="14.25" customHeight="1">
      <c r="BK762" s="430"/>
      <c r="BL762" s="430"/>
      <c r="BM762" s="430"/>
      <c r="BN762" s="430"/>
      <c r="BO762" s="430"/>
      <c r="BP762" s="430"/>
      <c r="BQ762" s="430"/>
      <c r="BR762" s="430"/>
      <c r="BS762" s="430"/>
      <c r="BT762" s="430"/>
      <c r="BU762" s="430"/>
      <c r="BV762" s="430"/>
      <c r="BW762" s="430"/>
      <c r="BX762" s="430"/>
      <c r="BY762" s="430"/>
      <c r="BZ762" s="430"/>
      <c r="CA762" s="430"/>
      <c r="CB762" s="430"/>
      <c r="CC762" s="430"/>
      <c r="CD762" s="430"/>
      <c r="CE762" s="430"/>
      <c r="CF762" s="430"/>
      <c r="CG762" s="430"/>
      <c r="CH762" s="430"/>
      <c r="CI762" s="430"/>
      <c r="CJ762" s="430"/>
      <c r="CK762" s="430"/>
      <c r="CL762" s="430"/>
    </row>
    <row r="763" spans="63:90" ht="14.25" customHeight="1">
      <c r="BK763" s="430"/>
      <c r="BL763" s="430"/>
      <c r="BM763" s="430"/>
      <c r="BN763" s="430"/>
      <c r="BO763" s="430"/>
      <c r="BP763" s="430"/>
      <c r="BQ763" s="430"/>
      <c r="BR763" s="430"/>
      <c r="BS763" s="430"/>
      <c r="BT763" s="430"/>
      <c r="BU763" s="430"/>
      <c r="BV763" s="430"/>
      <c r="BW763" s="430"/>
      <c r="BX763" s="430"/>
      <c r="BY763" s="430"/>
      <c r="BZ763" s="430"/>
      <c r="CA763" s="430"/>
      <c r="CB763" s="430"/>
      <c r="CC763" s="430"/>
      <c r="CD763" s="430"/>
      <c r="CE763" s="430"/>
      <c r="CF763" s="430"/>
      <c r="CG763" s="430"/>
      <c r="CH763" s="430"/>
      <c r="CI763" s="430"/>
      <c r="CJ763" s="430"/>
      <c r="CK763" s="430"/>
      <c r="CL763" s="430"/>
    </row>
    <row r="764" spans="63:90" ht="14.25" customHeight="1">
      <c r="BK764" s="430"/>
      <c r="BL764" s="430"/>
      <c r="BM764" s="430"/>
      <c r="BN764" s="430"/>
      <c r="BO764" s="430"/>
      <c r="BP764" s="430"/>
      <c r="BQ764" s="430"/>
      <c r="BR764" s="430"/>
      <c r="BS764" s="430"/>
      <c r="BT764" s="430"/>
      <c r="BU764" s="430"/>
      <c r="BV764" s="430"/>
      <c r="BW764" s="430"/>
      <c r="BX764" s="430"/>
      <c r="BY764" s="430"/>
      <c r="BZ764" s="430"/>
      <c r="CA764" s="430"/>
      <c r="CB764" s="430"/>
      <c r="CC764" s="430"/>
      <c r="CD764" s="430"/>
      <c r="CE764" s="430"/>
      <c r="CF764" s="430"/>
      <c r="CG764" s="430"/>
      <c r="CH764" s="430"/>
      <c r="CI764" s="430"/>
      <c r="CJ764" s="430"/>
      <c r="CK764" s="430"/>
      <c r="CL764" s="430"/>
    </row>
    <row r="765" spans="63:90" ht="14.25" customHeight="1">
      <c r="BK765" s="430"/>
      <c r="BL765" s="430"/>
      <c r="BM765" s="430"/>
      <c r="BN765" s="430"/>
      <c r="BO765" s="430"/>
      <c r="BP765" s="430"/>
      <c r="BQ765" s="430"/>
      <c r="BR765" s="430"/>
      <c r="BS765" s="430"/>
      <c r="BT765" s="430"/>
      <c r="BU765" s="430"/>
      <c r="BV765" s="430"/>
      <c r="BW765" s="430"/>
      <c r="BX765" s="430"/>
      <c r="BY765" s="430"/>
      <c r="BZ765" s="430"/>
      <c r="CA765" s="430"/>
      <c r="CB765" s="430"/>
      <c r="CC765" s="430"/>
      <c r="CD765" s="430"/>
      <c r="CE765" s="430"/>
      <c r="CF765" s="430"/>
      <c r="CG765" s="430"/>
      <c r="CH765" s="430"/>
      <c r="CI765" s="430"/>
      <c r="CJ765" s="430"/>
      <c r="CK765" s="430"/>
      <c r="CL765" s="430"/>
    </row>
    <row r="766" spans="63:90" ht="14.25" customHeight="1">
      <c r="BK766" s="430"/>
      <c r="BL766" s="430"/>
      <c r="BM766" s="430"/>
      <c r="BN766" s="430"/>
      <c r="BO766" s="430"/>
      <c r="BP766" s="430"/>
      <c r="BQ766" s="430"/>
      <c r="BR766" s="430"/>
      <c r="BS766" s="430"/>
      <c r="BT766" s="430"/>
      <c r="BU766" s="430"/>
      <c r="BV766" s="430"/>
      <c r="BW766" s="430"/>
      <c r="BX766" s="430"/>
      <c r="BY766" s="430"/>
      <c r="BZ766" s="430"/>
      <c r="CA766" s="430"/>
      <c r="CB766" s="430"/>
      <c r="CC766" s="430"/>
      <c r="CD766" s="430"/>
      <c r="CE766" s="430"/>
      <c r="CF766" s="430"/>
      <c r="CG766" s="430"/>
      <c r="CH766" s="430"/>
      <c r="CI766" s="430"/>
      <c r="CJ766" s="430"/>
      <c r="CK766" s="430"/>
      <c r="CL766" s="430"/>
    </row>
    <row r="767" spans="63:90" ht="14.25" customHeight="1">
      <c r="BK767" s="430"/>
      <c r="BL767" s="430"/>
      <c r="BM767" s="430"/>
      <c r="BN767" s="430"/>
      <c r="BO767" s="430"/>
      <c r="BP767" s="430"/>
      <c r="BQ767" s="430"/>
      <c r="BR767" s="430"/>
      <c r="BS767" s="430"/>
      <c r="BT767" s="430"/>
      <c r="BU767" s="430"/>
      <c r="BV767" s="430"/>
      <c r="BW767" s="430"/>
      <c r="BX767" s="430"/>
      <c r="BY767" s="430"/>
      <c r="BZ767" s="430"/>
      <c r="CA767" s="430"/>
      <c r="CB767" s="430"/>
      <c r="CC767" s="430"/>
      <c r="CD767" s="430"/>
      <c r="CE767" s="430"/>
      <c r="CF767" s="430"/>
      <c r="CG767" s="430"/>
      <c r="CH767" s="430"/>
      <c r="CI767" s="430"/>
      <c r="CJ767" s="430"/>
      <c r="CK767" s="430"/>
      <c r="CL767" s="430"/>
    </row>
    <row r="768" spans="63:90" ht="14.25" customHeight="1">
      <c r="BK768" s="430"/>
      <c r="BL768" s="430"/>
      <c r="BM768" s="430"/>
      <c r="BN768" s="430"/>
      <c r="BO768" s="430"/>
      <c r="BP768" s="430"/>
      <c r="BQ768" s="430"/>
      <c r="BR768" s="430"/>
      <c r="BS768" s="430"/>
      <c r="BT768" s="430"/>
      <c r="BU768" s="430"/>
      <c r="BV768" s="430"/>
      <c r="BW768" s="430"/>
      <c r="BX768" s="430"/>
      <c r="BY768" s="430"/>
      <c r="BZ768" s="430"/>
      <c r="CA768" s="430"/>
      <c r="CB768" s="430"/>
      <c r="CC768" s="430"/>
      <c r="CD768" s="430"/>
      <c r="CE768" s="430"/>
      <c r="CF768" s="430"/>
      <c r="CG768" s="430"/>
      <c r="CH768" s="430"/>
      <c r="CI768" s="430"/>
      <c r="CJ768" s="430"/>
      <c r="CK768" s="430"/>
      <c r="CL768" s="430"/>
    </row>
    <row r="769" spans="63:90" ht="14.25" customHeight="1">
      <c r="BK769" s="430"/>
      <c r="BL769" s="430"/>
      <c r="BM769" s="430"/>
      <c r="BN769" s="430"/>
      <c r="BO769" s="430"/>
      <c r="BP769" s="430"/>
      <c r="BQ769" s="430"/>
      <c r="BR769" s="430"/>
      <c r="BS769" s="430"/>
      <c r="BT769" s="430"/>
      <c r="BU769" s="430"/>
      <c r="BV769" s="430"/>
      <c r="BW769" s="430"/>
      <c r="BX769" s="430"/>
      <c r="BY769" s="430"/>
      <c r="BZ769" s="430"/>
      <c r="CA769" s="430"/>
      <c r="CB769" s="430"/>
      <c r="CC769" s="430"/>
      <c r="CD769" s="430"/>
      <c r="CE769" s="430"/>
      <c r="CF769" s="430"/>
      <c r="CG769" s="430"/>
      <c r="CH769" s="430"/>
      <c r="CI769" s="430"/>
      <c r="CJ769" s="430"/>
      <c r="CK769" s="430"/>
      <c r="CL769" s="430"/>
    </row>
    <row r="770" spans="63:90" ht="14.25" customHeight="1">
      <c r="BK770" s="430"/>
      <c r="BL770" s="430"/>
      <c r="BM770" s="430"/>
      <c r="BN770" s="430"/>
      <c r="BO770" s="430"/>
      <c r="BP770" s="430"/>
      <c r="BQ770" s="430"/>
      <c r="BR770" s="430"/>
      <c r="BS770" s="430"/>
      <c r="BT770" s="430"/>
      <c r="BU770" s="430"/>
      <c r="BV770" s="430"/>
      <c r="BW770" s="430"/>
      <c r="BX770" s="430"/>
      <c r="BY770" s="430"/>
      <c r="BZ770" s="430"/>
      <c r="CA770" s="430"/>
      <c r="CB770" s="430"/>
      <c r="CC770" s="430"/>
      <c r="CD770" s="430"/>
      <c r="CE770" s="430"/>
      <c r="CF770" s="430"/>
      <c r="CG770" s="430"/>
      <c r="CH770" s="430"/>
      <c r="CI770" s="430"/>
      <c r="CJ770" s="430"/>
      <c r="CK770" s="430"/>
      <c r="CL770" s="430"/>
    </row>
    <row r="771" spans="63:90" ht="14.25" customHeight="1">
      <c r="BK771" s="430"/>
      <c r="BL771" s="430"/>
      <c r="BM771" s="430"/>
      <c r="BN771" s="430"/>
      <c r="BO771" s="430"/>
      <c r="BP771" s="430"/>
      <c r="BQ771" s="430"/>
      <c r="BR771" s="430"/>
      <c r="BS771" s="430"/>
      <c r="BT771" s="430"/>
      <c r="BU771" s="430"/>
      <c r="BV771" s="430"/>
      <c r="BW771" s="430"/>
      <c r="BX771" s="430"/>
      <c r="BY771" s="430"/>
      <c r="BZ771" s="430"/>
      <c r="CA771" s="430"/>
      <c r="CB771" s="430"/>
      <c r="CC771" s="430"/>
      <c r="CD771" s="430"/>
      <c r="CE771" s="430"/>
      <c r="CF771" s="430"/>
      <c r="CG771" s="430"/>
      <c r="CH771" s="430"/>
      <c r="CI771" s="430"/>
      <c r="CJ771" s="430"/>
      <c r="CK771" s="430"/>
      <c r="CL771" s="430"/>
    </row>
    <row r="772" spans="63:90" ht="14.25" customHeight="1">
      <c r="BK772" s="430"/>
      <c r="BL772" s="430"/>
      <c r="BM772" s="430"/>
      <c r="BN772" s="430"/>
      <c r="BO772" s="430"/>
      <c r="BP772" s="430"/>
      <c r="BQ772" s="430"/>
      <c r="BR772" s="430"/>
      <c r="BS772" s="430"/>
      <c r="BT772" s="430"/>
      <c r="BU772" s="430"/>
      <c r="BV772" s="430"/>
      <c r="BW772" s="430"/>
      <c r="BX772" s="430"/>
      <c r="BY772" s="430"/>
      <c r="BZ772" s="430"/>
      <c r="CA772" s="430"/>
      <c r="CB772" s="430"/>
      <c r="CC772" s="430"/>
      <c r="CD772" s="430"/>
      <c r="CE772" s="430"/>
      <c r="CF772" s="430"/>
      <c r="CG772" s="430"/>
      <c r="CH772" s="430"/>
      <c r="CI772" s="430"/>
      <c r="CJ772" s="430"/>
      <c r="CK772" s="430"/>
      <c r="CL772" s="430"/>
    </row>
    <row r="773" spans="63:90" ht="14.25" customHeight="1">
      <c r="BK773" s="430"/>
      <c r="BL773" s="430"/>
      <c r="BM773" s="430"/>
      <c r="BN773" s="430"/>
      <c r="BO773" s="430"/>
      <c r="BP773" s="430"/>
      <c r="BQ773" s="430"/>
      <c r="BR773" s="430"/>
      <c r="BS773" s="430"/>
      <c r="BT773" s="430"/>
      <c r="BU773" s="430"/>
      <c r="BV773" s="430"/>
      <c r="BW773" s="430"/>
      <c r="BX773" s="430"/>
      <c r="BY773" s="430"/>
      <c r="BZ773" s="430"/>
      <c r="CA773" s="430"/>
      <c r="CB773" s="430"/>
      <c r="CC773" s="430"/>
      <c r="CD773" s="430"/>
      <c r="CE773" s="430"/>
      <c r="CF773" s="430"/>
      <c r="CG773" s="430"/>
      <c r="CH773" s="430"/>
      <c r="CI773" s="430"/>
      <c r="CJ773" s="430"/>
      <c r="CK773" s="430"/>
      <c r="CL773" s="430"/>
    </row>
    <row r="774" spans="63:90" ht="14.25" customHeight="1">
      <c r="BK774" s="430"/>
      <c r="BL774" s="430"/>
      <c r="BM774" s="430"/>
      <c r="BN774" s="430"/>
      <c r="BO774" s="430"/>
      <c r="BP774" s="430"/>
      <c r="BQ774" s="430"/>
      <c r="BR774" s="430"/>
      <c r="BS774" s="430"/>
      <c r="BT774" s="430"/>
      <c r="BU774" s="430"/>
      <c r="BV774" s="430"/>
      <c r="BW774" s="430"/>
      <c r="BX774" s="430"/>
      <c r="BY774" s="430"/>
      <c r="BZ774" s="430"/>
      <c r="CA774" s="430"/>
      <c r="CB774" s="430"/>
      <c r="CC774" s="430"/>
      <c r="CD774" s="430"/>
      <c r="CE774" s="430"/>
      <c r="CF774" s="430"/>
      <c r="CG774" s="430"/>
      <c r="CH774" s="430"/>
      <c r="CI774" s="430"/>
      <c r="CJ774" s="430"/>
      <c r="CK774" s="430"/>
      <c r="CL774" s="430"/>
    </row>
    <row r="775" spans="63:90" ht="14.25" customHeight="1">
      <c r="BK775" s="430"/>
      <c r="BL775" s="430"/>
      <c r="BM775" s="430"/>
      <c r="BN775" s="430"/>
      <c r="BO775" s="430"/>
      <c r="BP775" s="430"/>
      <c r="BQ775" s="430"/>
      <c r="BR775" s="430"/>
      <c r="BS775" s="430"/>
      <c r="BT775" s="430"/>
      <c r="BU775" s="430"/>
      <c r="BV775" s="430"/>
      <c r="BW775" s="430"/>
      <c r="BX775" s="430"/>
      <c r="BY775" s="430"/>
      <c r="BZ775" s="430"/>
      <c r="CA775" s="430"/>
      <c r="CB775" s="430"/>
      <c r="CC775" s="430"/>
      <c r="CD775" s="430"/>
      <c r="CE775" s="430"/>
      <c r="CF775" s="430"/>
      <c r="CG775" s="430"/>
      <c r="CH775" s="430"/>
      <c r="CI775" s="430"/>
      <c r="CJ775" s="430"/>
      <c r="CK775" s="430"/>
      <c r="CL775" s="430"/>
    </row>
    <row r="776" spans="63:90" ht="14.25" customHeight="1">
      <c r="BK776" s="430"/>
      <c r="BL776" s="430"/>
      <c r="BM776" s="430"/>
      <c r="BN776" s="430"/>
      <c r="BO776" s="430"/>
      <c r="BP776" s="430"/>
      <c r="BQ776" s="430"/>
      <c r="BR776" s="430"/>
      <c r="BS776" s="430"/>
      <c r="BT776" s="430"/>
      <c r="BU776" s="430"/>
      <c r="BV776" s="430"/>
      <c r="BW776" s="430"/>
      <c r="BX776" s="430"/>
      <c r="BY776" s="430"/>
      <c r="BZ776" s="430"/>
      <c r="CA776" s="430"/>
      <c r="CB776" s="430"/>
      <c r="CC776" s="430"/>
      <c r="CD776" s="430"/>
      <c r="CE776" s="430"/>
      <c r="CF776" s="430"/>
      <c r="CG776" s="430"/>
      <c r="CH776" s="430"/>
      <c r="CI776" s="430"/>
      <c r="CJ776" s="430"/>
      <c r="CK776" s="430"/>
      <c r="CL776" s="430"/>
    </row>
    <row r="777" spans="63:90" ht="14.25" customHeight="1">
      <c r="BK777" s="430"/>
      <c r="BL777" s="430"/>
      <c r="BM777" s="430"/>
      <c r="BN777" s="430"/>
      <c r="BO777" s="430"/>
      <c r="BP777" s="430"/>
      <c r="BQ777" s="430"/>
      <c r="BR777" s="430"/>
      <c r="BS777" s="430"/>
      <c r="BT777" s="430"/>
      <c r="BU777" s="430"/>
      <c r="BV777" s="430"/>
      <c r="BW777" s="430"/>
      <c r="BX777" s="430"/>
      <c r="BY777" s="430"/>
      <c r="BZ777" s="430"/>
      <c r="CA777" s="430"/>
      <c r="CB777" s="430"/>
      <c r="CC777" s="430"/>
      <c r="CD777" s="430"/>
      <c r="CE777" s="430"/>
      <c r="CF777" s="430"/>
      <c r="CG777" s="430"/>
      <c r="CH777" s="430"/>
      <c r="CI777" s="430"/>
      <c r="CJ777" s="430"/>
      <c r="CK777" s="430"/>
      <c r="CL777" s="430"/>
    </row>
    <row r="778" spans="63:90" ht="14.25" customHeight="1">
      <c r="BK778" s="430"/>
      <c r="BL778" s="430"/>
      <c r="BM778" s="430"/>
      <c r="BN778" s="430"/>
      <c r="BO778" s="430"/>
      <c r="BP778" s="430"/>
      <c r="BQ778" s="430"/>
      <c r="BR778" s="430"/>
      <c r="BS778" s="430"/>
      <c r="BT778" s="430"/>
      <c r="BU778" s="430"/>
      <c r="BV778" s="430"/>
      <c r="BW778" s="430"/>
      <c r="BX778" s="430"/>
      <c r="BY778" s="430"/>
      <c r="BZ778" s="430"/>
      <c r="CA778" s="430"/>
      <c r="CB778" s="430"/>
      <c r="CC778" s="430"/>
      <c r="CD778" s="430"/>
      <c r="CE778" s="430"/>
      <c r="CF778" s="430"/>
      <c r="CG778" s="430"/>
      <c r="CH778" s="430"/>
      <c r="CI778" s="430"/>
      <c r="CJ778" s="430"/>
      <c r="CK778" s="430"/>
      <c r="CL778" s="430"/>
    </row>
    <row r="779" spans="63:90" ht="14.25" customHeight="1">
      <c r="BK779" s="430"/>
      <c r="BL779" s="430"/>
      <c r="BM779" s="430"/>
      <c r="BN779" s="430"/>
      <c r="BO779" s="430"/>
      <c r="BP779" s="430"/>
      <c r="BQ779" s="430"/>
      <c r="BR779" s="430"/>
      <c r="BS779" s="430"/>
      <c r="BT779" s="430"/>
      <c r="BU779" s="430"/>
      <c r="BV779" s="430"/>
      <c r="BW779" s="430"/>
      <c r="BX779" s="430"/>
      <c r="BY779" s="430"/>
      <c r="BZ779" s="430"/>
      <c r="CA779" s="430"/>
      <c r="CB779" s="430"/>
      <c r="CC779" s="430"/>
      <c r="CD779" s="430"/>
      <c r="CE779" s="430"/>
      <c r="CF779" s="430"/>
      <c r="CG779" s="430"/>
      <c r="CH779" s="430"/>
      <c r="CI779" s="430"/>
      <c r="CJ779" s="430"/>
      <c r="CK779" s="430"/>
      <c r="CL779" s="430"/>
    </row>
    <row r="780" spans="63:90" ht="14.25" customHeight="1">
      <c r="BK780" s="430"/>
      <c r="BL780" s="430"/>
      <c r="BM780" s="430"/>
      <c r="BN780" s="430"/>
      <c r="BO780" s="430"/>
      <c r="BP780" s="430"/>
      <c r="BQ780" s="430"/>
      <c r="BR780" s="430"/>
      <c r="BS780" s="430"/>
      <c r="BT780" s="430"/>
      <c r="BU780" s="430"/>
      <c r="BV780" s="430"/>
      <c r="BW780" s="430"/>
      <c r="BX780" s="430"/>
      <c r="BY780" s="430"/>
      <c r="BZ780" s="430"/>
      <c r="CA780" s="430"/>
      <c r="CB780" s="430"/>
      <c r="CC780" s="430"/>
      <c r="CD780" s="430"/>
      <c r="CE780" s="430"/>
      <c r="CF780" s="430"/>
      <c r="CG780" s="430"/>
      <c r="CH780" s="430"/>
      <c r="CI780" s="430"/>
      <c r="CJ780" s="430"/>
      <c r="CK780" s="430"/>
      <c r="CL780" s="430"/>
    </row>
    <row r="781" spans="63:90" ht="14.25" customHeight="1">
      <c r="BK781" s="430"/>
      <c r="BL781" s="430"/>
      <c r="BM781" s="430"/>
      <c r="BN781" s="430"/>
      <c r="BO781" s="430"/>
      <c r="BP781" s="430"/>
      <c r="BQ781" s="430"/>
      <c r="BR781" s="430"/>
      <c r="BS781" s="430"/>
      <c r="BT781" s="430"/>
      <c r="BU781" s="430"/>
      <c r="BV781" s="430"/>
      <c r="BW781" s="430"/>
      <c r="BX781" s="430"/>
      <c r="BY781" s="430"/>
      <c r="BZ781" s="430"/>
      <c r="CA781" s="430"/>
      <c r="CB781" s="430"/>
      <c r="CC781" s="430"/>
      <c r="CD781" s="430"/>
      <c r="CE781" s="430"/>
      <c r="CF781" s="430"/>
      <c r="CG781" s="430"/>
      <c r="CH781" s="430"/>
      <c r="CI781" s="430"/>
      <c r="CJ781" s="430"/>
      <c r="CK781" s="430"/>
      <c r="CL781" s="430"/>
    </row>
    <row r="782" spans="63:90" ht="14.25" customHeight="1">
      <c r="BK782" s="430"/>
      <c r="BL782" s="430"/>
      <c r="BM782" s="430"/>
      <c r="BN782" s="430"/>
      <c r="BO782" s="430"/>
      <c r="BP782" s="430"/>
      <c r="BQ782" s="430"/>
      <c r="BR782" s="430"/>
      <c r="BS782" s="430"/>
      <c r="BT782" s="430"/>
      <c r="BU782" s="430"/>
      <c r="BV782" s="430"/>
      <c r="BW782" s="430"/>
      <c r="BX782" s="430"/>
      <c r="BY782" s="430"/>
      <c r="BZ782" s="430"/>
      <c r="CA782" s="430"/>
      <c r="CB782" s="430"/>
      <c r="CC782" s="430"/>
      <c r="CD782" s="430"/>
      <c r="CE782" s="430"/>
      <c r="CF782" s="430"/>
      <c r="CG782" s="430"/>
      <c r="CH782" s="430"/>
      <c r="CI782" s="430"/>
      <c r="CJ782" s="430"/>
      <c r="CK782" s="430"/>
      <c r="CL782" s="430"/>
    </row>
    <row r="783" spans="63:90" ht="14.25" customHeight="1">
      <c r="BK783" s="430"/>
      <c r="BL783" s="430"/>
      <c r="BM783" s="430"/>
      <c r="BN783" s="430"/>
      <c r="BO783" s="430"/>
      <c r="BP783" s="430"/>
      <c r="BQ783" s="430"/>
      <c r="BR783" s="430"/>
      <c r="BS783" s="430"/>
      <c r="BT783" s="430"/>
      <c r="BU783" s="430"/>
      <c r="BV783" s="430"/>
      <c r="BW783" s="430"/>
      <c r="BX783" s="430"/>
      <c r="BY783" s="430"/>
      <c r="BZ783" s="430"/>
      <c r="CA783" s="430"/>
      <c r="CB783" s="430"/>
      <c r="CC783" s="430"/>
      <c r="CD783" s="430"/>
      <c r="CE783" s="430"/>
      <c r="CF783" s="430"/>
      <c r="CG783" s="430"/>
      <c r="CH783" s="430"/>
      <c r="CI783" s="430"/>
      <c r="CJ783" s="430"/>
      <c r="CK783" s="430"/>
      <c r="CL783" s="430"/>
    </row>
    <row r="784" spans="63:90" ht="14.25" customHeight="1">
      <c r="BK784" s="430"/>
      <c r="BL784" s="430"/>
      <c r="BM784" s="430"/>
      <c r="BN784" s="430"/>
      <c r="BO784" s="430"/>
      <c r="BP784" s="430"/>
      <c r="BQ784" s="430"/>
      <c r="BR784" s="430"/>
      <c r="BS784" s="430"/>
      <c r="BT784" s="430"/>
      <c r="BU784" s="430"/>
      <c r="BV784" s="430"/>
      <c r="BW784" s="430"/>
      <c r="BX784" s="430"/>
      <c r="BY784" s="430"/>
      <c r="BZ784" s="430"/>
      <c r="CA784" s="430"/>
      <c r="CB784" s="430"/>
      <c r="CC784" s="430"/>
      <c r="CD784" s="430"/>
      <c r="CE784" s="430"/>
      <c r="CF784" s="430"/>
      <c r="CG784" s="430"/>
      <c r="CH784" s="430"/>
      <c r="CI784" s="430"/>
      <c r="CJ784" s="430"/>
      <c r="CK784" s="430"/>
      <c r="CL784" s="430"/>
    </row>
    <row r="785" spans="63:90" ht="14.25" customHeight="1">
      <c r="BK785" s="430"/>
      <c r="BL785" s="430"/>
      <c r="BM785" s="430"/>
      <c r="BN785" s="430"/>
      <c r="BO785" s="430"/>
      <c r="BP785" s="430"/>
      <c r="BQ785" s="430"/>
      <c r="BR785" s="430"/>
      <c r="BS785" s="430"/>
      <c r="BT785" s="430"/>
      <c r="BU785" s="430"/>
      <c r="BV785" s="430"/>
      <c r="BW785" s="430"/>
      <c r="BX785" s="430"/>
      <c r="BY785" s="430"/>
      <c r="BZ785" s="430"/>
      <c r="CA785" s="430"/>
      <c r="CB785" s="430"/>
      <c r="CC785" s="430"/>
      <c r="CD785" s="430"/>
      <c r="CE785" s="430"/>
      <c r="CF785" s="430"/>
      <c r="CG785" s="430"/>
      <c r="CH785" s="430"/>
      <c r="CI785" s="430"/>
      <c r="CJ785" s="430"/>
      <c r="CK785" s="430"/>
      <c r="CL785" s="430"/>
    </row>
    <row r="786" spans="63:90" ht="14.25" customHeight="1">
      <c r="BK786" s="430"/>
      <c r="BL786" s="430"/>
      <c r="BM786" s="430"/>
      <c r="BN786" s="430"/>
      <c r="BO786" s="430"/>
      <c r="BP786" s="430"/>
      <c r="BQ786" s="430"/>
      <c r="BR786" s="430"/>
      <c r="BS786" s="430"/>
      <c r="BT786" s="430"/>
      <c r="BU786" s="430"/>
      <c r="BV786" s="430"/>
      <c r="BW786" s="430"/>
      <c r="BX786" s="430"/>
      <c r="BY786" s="430"/>
      <c r="BZ786" s="430"/>
      <c r="CA786" s="430"/>
      <c r="CB786" s="430"/>
      <c r="CC786" s="430"/>
      <c r="CD786" s="430"/>
      <c r="CE786" s="430"/>
      <c r="CF786" s="430"/>
      <c r="CG786" s="430"/>
      <c r="CH786" s="430"/>
      <c r="CI786" s="430"/>
      <c r="CJ786" s="430"/>
      <c r="CK786" s="430"/>
      <c r="CL786" s="430"/>
    </row>
    <row r="787" spans="63:90" ht="14.25" customHeight="1">
      <c r="BK787" s="430"/>
      <c r="BL787" s="430"/>
      <c r="BM787" s="430"/>
      <c r="BN787" s="430"/>
      <c r="BO787" s="430"/>
      <c r="BP787" s="430"/>
      <c r="BQ787" s="430"/>
      <c r="BR787" s="430"/>
      <c r="BS787" s="430"/>
      <c r="BT787" s="430"/>
      <c r="BU787" s="430"/>
      <c r="BV787" s="430"/>
      <c r="BW787" s="430"/>
      <c r="BX787" s="430"/>
      <c r="BY787" s="430"/>
      <c r="BZ787" s="430"/>
      <c r="CA787" s="430"/>
      <c r="CB787" s="430"/>
      <c r="CC787" s="430"/>
      <c r="CD787" s="430"/>
      <c r="CE787" s="430"/>
      <c r="CF787" s="430"/>
      <c r="CG787" s="430"/>
      <c r="CH787" s="430"/>
      <c r="CI787" s="430"/>
      <c r="CJ787" s="430"/>
      <c r="CK787" s="430"/>
      <c r="CL787" s="430"/>
    </row>
    <row r="788" spans="63:90" ht="14.25" customHeight="1">
      <c r="BK788" s="430"/>
      <c r="BL788" s="430"/>
      <c r="BM788" s="430"/>
      <c r="BN788" s="430"/>
      <c r="BO788" s="430"/>
      <c r="BP788" s="430"/>
      <c r="BQ788" s="430"/>
      <c r="BR788" s="430"/>
      <c r="BS788" s="430"/>
      <c r="BT788" s="430"/>
      <c r="BU788" s="430"/>
      <c r="BV788" s="430"/>
      <c r="BW788" s="430"/>
      <c r="BX788" s="430"/>
      <c r="BY788" s="430"/>
      <c r="BZ788" s="430"/>
      <c r="CA788" s="430"/>
      <c r="CB788" s="430"/>
      <c r="CC788" s="430"/>
      <c r="CD788" s="430"/>
      <c r="CE788" s="430"/>
      <c r="CF788" s="430"/>
      <c r="CG788" s="430"/>
      <c r="CH788" s="430"/>
      <c r="CI788" s="430"/>
      <c r="CJ788" s="430"/>
      <c r="CK788" s="430"/>
      <c r="CL788" s="430"/>
    </row>
    <row r="789" spans="63:90" ht="14.25" customHeight="1">
      <c r="BK789" s="430"/>
      <c r="BL789" s="430"/>
      <c r="BM789" s="430"/>
      <c r="BN789" s="430"/>
      <c r="BO789" s="430"/>
      <c r="BP789" s="430"/>
      <c r="BQ789" s="430"/>
      <c r="BR789" s="430"/>
      <c r="BS789" s="430"/>
      <c r="BT789" s="430"/>
      <c r="BU789" s="430"/>
      <c r="BV789" s="430"/>
      <c r="BW789" s="430"/>
      <c r="BX789" s="430"/>
      <c r="BY789" s="430"/>
      <c r="BZ789" s="430"/>
      <c r="CA789" s="430"/>
      <c r="CB789" s="430"/>
      <c r="CC789" s="430"/>
      <c r="CD789" s="430"/>
      <c r="CE789" s="430"/>
      <c r="CF789" s="430"/>
      <c r="CG789" s="430"/>
      <c r="CH789" s="430"/>
      <c r="CI789" s="430"/>
      <c r="CJ789" s="430"/>
      <c r="CK789" s="430"/>
      <c r="CL789" s="430"/>
    </row>
    <row r="790" spans="63:90" ht="14.25" customHeight="1">
      <c r="BK790" s="430"/>
      <c r="BL790" s="430"/>
      <c r="BM790" s="430"/>
      <c r="BN790" s="430"/>
      <c r="BO790" s="430"/>
      <c r="BP790" s="430"/>
      <c r="BQ790" s="430"/>
      <c r="BR790" s="430"/>
      <c r="BS790" s="430"/>
      <c r="BT790" s="430"/>
      <c r="BU790" s="430"/>
      <c r="BV790" s="430"/>
      <c r="BW790" s="430"/>
      <c r="BX790" s="430"/>
      <c r="BY790" s="430"/>
      <c r="BZ790" s="430"/>
      <c r="CA790" s="430"/>
      <c r="CB790" s="430"/>
      <c r="CC790" s="430"/>
      <c r="CD790" s="430"/>
      <c r="CE790" s="430"/>
      <c r="CF790" s="430"/>
      <c r="CG790" s="430"/>
      <c r="CH790" s="430"/>
      <c r="CI790" s="430"/>
      <c r="CJ790" s="430"/>
      <c r="CK790" s="430"/>
      <c r="CL790" s="430"/>
    </row>
    <row r="791" spans="63:90" ht="14.25" customHeight="1">
      <c r="BK791" s="430"/>
      <c r="BL791" s="430"/>
      <c r="BM791" s="430"/>
      <c r="BN791" s="430"/>
      <c r="BO791" s="430"/>
      <c r="BP791" s="430"/>
      <c r="BQ791" s="430"/>
      <c r="BR791" s="430"/>
      <c r="BS791" s="430"/>
      <c r="BT791" s="430"/>
      <c r="BU791" s="430"/>
      <c r="BV791" s="430"/>
      <c r="BW791" s="430"/>
      <c r="BX791" s="430"/>
      <c r="BY791" s="430"/>
      <c r="BZ791" s="430"/>
      <c r="CA791" s="430"/>
      <c r="CB791" s="430"/>
      <c r="CC791" s="430"/>
      <c r="CD791" s="430"/>
      <c r="CE791" s="430"/>
      <c r="CF791" s="430"/>
      <c r="CG791" s="430"/>
      <c r="CH791" s="430"/>
      <c r="CI791" s="430"/>
      <c r="CJ791" s="430"/>
      <c r="CK791" s="430"/>
      <c r="CL791" s="430"/>
    </row>
    <row r="792" spans="63:90" ht="14.25" customHeight="1">
      <c r="BK792" s="430"/>
      <c r="BL792" s="430"/>
      <c r="BM792" s="430"/>
      <c r="BN792" s="430"/>
      <c r="BO792" s="430"/>
      <c r="BP792" s="430"/>
      <c r="BQ792" s="430"/>
      <c r="BR792" s="430"/>
      <c r="BS792" s="430"/>
      <c r="BT792" s="430"/>
      <c r="BU792" s="430"/>
      <c r="BV792" s="430"/>
      <c r="BW792" s="430"/>
      <c r="BX792" s="430"/>
      <c r="BY792" s="430"/>
      <c r="BZ792" s="430"/>
      <c r="CA792" s="430"/>
      <c r="CB792" s="430"/>
      <c r="CC792" s="430"/>
      <c r="CD792" s="430"/>
      <c r="CE792" s="430"/>
      <c r="CF792" s="430"/>
      <c r="CG792" s="430"/>
      <c r="CH792" s="430"/>
      <c r="CI792" s="430"/>
      <c r="CJ792" s="430"/>
      <c r="CK792" s="430"/>
      <c r="CL792" s="430"/>
    </row>
    <row r="793" spans="63:90" ht="14.25" customHeight="1">
      <c r="BK793" s="430"/>
      <c r="BL793" s="430"/>
      <c r="BM793" s="430"/>
      <c r="BN793" s="430"/>
      <c r="BO793" s="430"/>
      <c r="BP793" s="430"/>
      <c r="BQ793" s="430"/>
      <c r="BR793" s="430"/>
      <c r="BS793" s="430"/>
      <c r="BT793" s="430"/>
      <c r="BU793" s="430"/>
      <c r="BV793" s="430"/>
      <c r="BW793" s="430"/>
      <c r="BX793" s="430"/>
      <c r="BY793" s="430"/>
      <c r="BZ793" s="430"/>
      <c r="CA793" s="430"/>
      <c r="CB793" s="430"/>
      <c r="CC793" s="430"/>
      <c r="CD793" s="430"/>
      <c r="CE793" s="430"/>
      <c r="CF793" s="430"/>
      <c r="CG793" s="430"/>
      <c r="CH793" s="430"/>
      <c r="CI793" s="430"/>
      <c r="CJ793" s="430"/>
      <c r="CK793" s="430"/>
      <c r="CL793" s="430"/>
    </row>
    <row r="794" spans="63:90" ht="14.25" customHeight="1">
      <c r="BK794" s="430"/>
      <c r="BL794" s="430"/>
      <c r="BM794" s="430"/>
      <c r="BN794" s="430"/>
      <c r="BO794" s="430"/>
      <c r="BP794" s="430"/>
      <c r="BQ794" s="430"/>
      <c r="BR794" s="430"/>
      <c r="BS794" s="430"/>
      <c r="BT794" s="430"/>
      <c r="BU794" s="430"/>
      <c r="BV794" s="430"/>
      <c r="BW794" s="430"/>
      <c r="BX794" s="430"/>
      <c r="BY794" s="430"/>
      <c r="BZ794" s="430"/>
      <c r="CA794" s="430"/>
      <c r="CB794" s="430"/>
      <c r="CC794" s="430"/>
      <c r="CD794" s="430"/>
      <c r="CE794" s="430"/>
      <c r="CF794" s="430"/>
      <c r="CG794" s="430"/>
      <c r="CH794" s="430"/>
      <c r="CI794" s="430"/>
      <c r="CJ794" s="430"/>
      <c r="CK794" s="430"/>
      <c r="CL794" s="430"/>
    </row>
    <row r="795" spans="63:90" ht="14.25" customHeight="1">
      <c r="BK795" s="430"/>
      <c r="BL795" s="430"/>
      <c r="BM795" s="430"/>
      <c r="BN795" s="430"/>
      <c r="BO795" s="430"/>
      <c r="BP795" s="430"/>
      <c r="BQ795" s="430"/>
      <c r="BR795" s="430"/>
      <c r="BS795" s="430"/>
      <c r="BT795" s="430"/>
      <c r="BU795" s="430"/>
      <c r="BV795" s="430"/>
      <c r="BW795" s="430"/>
      <c r="BX795" s="430"/>
      <c r="BY795" s="430"/>
      <c r="BZ795" s="430"/>
      <c r="CA795" s="430"/>
      <c r="CB795" s="430"/>
      <c r="CC795" s="430"/>
      <c r="CD795" s="430"/>
      <c r="CE795" s="430"/>
      <c r="CF795" s="430"/>
      <c r="CG795" s="430"/>
      <c r="CH795" s="430"/>
      <c r="CI795" s="430"/>
      <c r="CJ795" s="430"/>
      <c r="CK795" s="430"/>
      <c r="CL795" s="430"/>
    </row>
    <row r="796" spans="63:90" ht="14.25" customHeight="1">
      <c r="BK796" s="430"/>
      <c r="BL796" s="430"/>
      <c r="BM796" s="430"/>
      <c r="BN796" s="430"/>
      <c r="BO796" s="430"/>
      <c r="BP796" s="430"/>
      <c r="BQ796" s="430"/>
      <c r="BR796" s="430"/>
      <c r="BS796" s="430"/>
      <c r="BT796" s="430"/>
      <c r="BU796" s="430"/>
      <c r="BV796" s="430"/>
      <c r="BW796" s="430"/>
      <c r="BX796" s="430"/>
      <c r="BY796" s="430"/>
      <c r="BZ796" s="430"/>
      <c r="CA796" s="430"/>
      <c r="CB796" s="430"/>
      <c r="CC796" s="430"/>
      <c r="CD796" s="430"/>
      <c r="CE796" s="430"/>
      <c r="CF796" s="430"/>
      <c r="CG796" s="430"/>
      <c r="CH796" s="430"/>
      <c r="CI796" s="430"/>
      <c r="CJ796" s="430"/>
      <c r="CK796" s="430"/>
      <c r="CL796" s="430"/>
    </row>
    <row r="797" spans="63:90" ht="14.25" customHeight="1">
      <c r="BK797" s="430"/>
      <c r="BL797" s="430"/>
      <c r="BM797" s="430"/>
      <c r="BN797" s="430"/>
      <c r="BO797" s="430"/>
      <c r="BP797" s="430"/>
      <c r="BQ797" s="430"/>
      <c r="BR797" s="430"/>
      <c r="BS797" s="430"/>
      <c r="BT797" s="430"/>
      <c r="BU797" s="430"/>
      <c r="BV797" s="430"/>
      <c r="BW797" s="430"/>
      <c r="BX797" s="430"/>
      <c r="BY797" s="430"/>
      <c r="BZ797" s="430"/>
      <c r="CA797" s="430"/>
      <c r="CB797" s="430"/>
      <c r="CC797" s="430"/>
      <c r="CD797" s="430"/>
      <c r="CE797" s="430"/>
      <c r="CF797" s="430"/>
      <c r="CG797" s="430"/>
      <c r="CH797" s="430"/>
      <c r="CI797" s="430"/>
      <c r="CJ797" s="430"/>
      <c r="CK797" s="430"/>
      <c r="CL797" s="430"/>
    </row>
    <row r="798" spans="63:90" ht="14.25" customHeight="1">
      <c r="BK798" s="430"/>
      <c r="BL798" s="430"/>
      <c r="BM798" s="430"/>
      <c r="BN798" s="430"/>
      <c r="BO798" s="430"/>
      <c r="BP798" s="430"/>
      <c r="BQ798" s="430"/>
      <c r="BR798" s="430"/>
      <c r="BS798" s="430"/>
      <c r="BT798" s="430"/>
      <c r="BU798" s="430"/>
      <c r="BV798" s="430"/>
      <c r="BW798" s="430"/>
      <c r="BX798" s="430"/>
      <c r="BY798" s="430"/>
      <c r="BZ798" s="430"/>
      <c r="CA798" s="430"/>
      <c r="CB798" s="430"/>
      <c r="CC798" s="430"/>
      <c r="CD798" s="430"/>
      <c r="CE798" s="430"/>
      <c r="CF798" s="430"/>
      <c r="CG798" s="430"/>
      <c r="CH798" s="430"/>
      <c r="CI798" s="430"/>
      <c r="CJ798" s="430"/>
      <c r="CK798" s="430"/>
      <c r="CL798" s="430"/>
    </row>
    <row r="799" spans="63:90" ht="14.25" customHeight="1">
      <c r="BK799" s="430"/>
      <c r="BL799" s="430"/>
      <c r="BM799" s="430"/>
      <c r="BN799" s="430"/>
      <c r="BO799" s="430"/>
      <c r="BP799" s="430"/>
      <c r="BQ799" s="430"/>
      <c r="BR799" s="430"/>
      <c r="BS799" s="430"/>
      <c r="BT799" s="430"/>
      <c r="BU799" s="430"/>
      <c r="BV799" s="430"/>
      <c r="BW799" s="430"/>
      <c r="BX799" s="430"/>
      <c r="BY799" s="430"/>
      <c r="BZ799" s="430"/>
      <c r="CA799" s="430"/>
      <c r="CB799" s="430"/>
      <c r="CC799" s="430"/>
      <c r="CD799" s="430"/>
      <c r="CE799" s="430"/>
      <c r="CF799" s="430"/>
      <c r="CG799" s="430"/>
      <c r="CH799" s="430"/>
      <c r="CI799" s="430"/>
      <c r="CJ799" s="430"/>
      <c r="CK799" s="430"/>
      <c r="CL799" s="430"/>
    </row>
    <row r="800" spans="63:90" ht="14.25" customHeight="1">
      <c r="BK800" s="430"/>
      <c r="BL800" s="430"/>
      <c r="BM800" s="430"/>
      <c r="BN800" s="430"/>
      <c r="BO800" s="430"/>
      <c r="BP800" s="430"/>
      <c r="BQ800" s="430"/>
      <c r="BR800" s="430"/>
      <c r="BS800" s="430"/>
      <c r="BT800" s="430"/>
      <c r="BU800" s="430"/>
      <c r="BV800" s="430"/>
      <c r="BW800" s="430"/>
      <c r="BX800" s="430"/>
      <c r="BY800" s="430"/>
      <c r="BZ800" s="430"/>
      <c r="CA800" s="430"/>
      <c r="CB800" s="430"/>
      <c r="CC800" s="430"/>
      <c r="CD800" s="430"/>
      <c r="CE800" s="430"/>
      <c r="CF800" s="430"/>
      <c r="CG800" s="430"/>
      <c r="CH800" s="430"/>
      <c r="CI800" s="430"/>
      <c r="CJ800" s="430"/>
      <c r="CK800" s="430"/>
      <c r="CL800" s="430"/>
    </row>
    <row r="801" spans="63:90" ht="14.25" customHeight="1">
      <c r="BK801" s="430"/>
      <c r="BL801" s="430"/>
      <c r="BM801" s="430"/>
      <c r="BN801" s="430"/>
      <c r="BO801" s="430"/>
      <c r="BP801" s="430"/>
      <c r="BQ801" s="430"/>
      <c r="BR801" s="430"/>
      <c r="BS801" s="430"/>
      <c r="BT801" s="430"/>
      <c r="BU801" s="430"/>
      <c r="BV801" s="430"/>
      <c r="BW801" s="430"/>
      <c r="BX801" s="430"/>
      <c r="BY801" s="430"/>
      <c r="BZ801" s="430"/>
      <c r="CA801" s="430"/>
      <c r="CB801" s="430"/>
      <c r="CC801" s="430"/>
      <c r="CD801" s="430"/>
      <c r="CE801" s="430"/>
      <c r="CF801" s="430"/>
      <c r="CG801" s="430"/>
      <c r="CH801" s="430"/>
      <c r="CI801" s="430"/>
      <c r="CJ801" s="430"/>
      <c r="CK801" s="430"/>
      <c r="CL801" s="430"/>
    </row>
    <row r="802" spans="63:90" ht="14.25" customHeight="1">
      <c r="BK802" s="430"/>
      <c r="BL802" s="430"/>
      <c r="BM802" s="430"/>
      <c r="BN802" s="430"/>
      <c r="BO802" s="430"/>
      <c r="BP802" s="430"/>
      <c r="BQ802" s="430"/>
      <c r="BR802" s="430"/>
      <c r="BS802" s="430"/>
      <c r="BT802" s="430"/>
      <c r="BU802" s="430"/>
      <c r="BV802" s="430"/>
      <c r="BW802" s="430"/>
      <c r="BX802" s="430"/>
      <c r="BY802" s="430"/>
      <c r="BZ802" s="430"/>
      <c r="CA802" s="430"/>
      <c r="CB802" s="430"/>
      <c r="CC802" s="430"/>
      <c r="CD802" s="430"/>
      <c r="CE802" s="430"/>
      <c r="CF802" s="430"/>
      <c r="CG802" s="430"/>
      <c r="CH802" s="430"/>
      <c r="CI802" s="430"/>
      <c r="CJ802" s="430"/>
      <c r="CK802" s="430"/>
      <c r="CL802" s="430"/>
    </row>
    <row r="803" spans="63:90" ht="14.25" customHeight="1">
      <c r="BK803" s="430"/>
      <c r="BL803" s="430"/>
      <c r="BM803" s="430"/>
      <c r="BN803" s="430"/>
      <c r="BO803" s="430"/>
      <c r="BP803" s="430"/>
      <c r="BQ803" s="430"/>
      <c r="BR803" s="430"/>
      <c r="BS803" s="430"/>
      <c r="BT803" s="430"/>
      <c r="BU803" s="430"/>
      <c r="BV803" s="430"/>
      <c r="BW803" s="430"/>
      <c r="BX803" s="430"/>
      <c r="BY803" s="430"/>
      <c r="BZ803" s="430"/>
      <c r="CA803" s="430"/>
      <c r="CB803" s="430"/>
      <c r="CC803" s="430"/>
      <c r="CD803" s="430"/>
      <c r="CE803" s="430"/>
      <c r="CF803" s="430"/>
      <c r="CG803" s="430"/>
      <c r="CH803" s="430"/>
      <c r="CI803" s="430"/>
      <c r="CJ803" s="430"/>
      <c r="CK803" s="430"/>
      <c r="CL803" s="430"/>
    </row>
    <row r="804" spans="63:90" ht="14.25" customHeight="1">
      <c r="BK804" s="430"/>
      <c r="BL804" s="430"/>
      <c r="BM804" s="430"/>
      <c r="BN804" s="430"/>
      <c r="BO804" s="430"/>
      <c r="BP804" s="430"/>
      <c r="BQ804" s="430"/>
      <c r="BR804" s="430"/>
      <c r="BS804" s="430"/>
      <c r="BT804" s="430"/>
      <c r="BU804" s="430"/>
      <c r="BV804" s="430"/>
      <c r="BW804" s="430"/>
      <c r="BX804" s="430"/>
      <c r="BY804" s="430"/>
      <c r="BZ804" s="430"/>
      <c r="CA804" s="430"/>
      <c r="CB804" s="430"/>
      <c r="CC804" s="430"/>
      <c r="CD804" s="430"/>
      <c r="CE804" s="430"/>
      <c r="CF804" s="430"/>
      <c r="CG804" s="430"/>
      <c r="CH804" s="430"/>
      <c r="CI804" s="430"/>
      <c r="CJ804" s="430"/>
      <c r="CK804" s="430"/>
      <c r="CL804" s="430"/>
    </row>
    <row r="805" spans="63:90" ht="14.25" customHeight="1">
      <c r="BK805" s="430"/>
      <c r="BL805" s="430"/>
      <c r="BM805" s="430"/>
      <c r="BN805" s="430"/>
      <c r="BO805" s="430"/>
      <c r="BP805" s="430"/>
      <c r="BQ805" s="430"/>
      <c r="BR805" s="430"/>
      <c r="BS805" s="430"/>
      <c r="BT805" s="430"/>
      <c r="BU805" s="430"/>
      <c r="BV805" s="430"/>
      <c r="BW805" s="430"/>
      <c r="BX805" s="430"/>
      <c r="BY805" s="430"/>
      <c r="BZ805" s="430"/>
      <c r="CA805" s="430"/>
      <c r="CB805" s="430"/>
      <c r="CC805" s="430"/>
      <c r="CD805" s="430"/>
      <c r="CE805" s="430"/>
      <c r="CF805" s="430"/>
      <c r="CG805" s="430"/>
      <c r="CH805" s="430"/>
      <c r="CI805" s="430"/>
      <c r="CJ805" s="430"/>
      <c r="CK805" s="430"/>
      <c r="CL805" s="430"/>
    </row>
    <row r="806" spans="63:90" ht="14.25" customHeight="1">
      <c r="BK806" s="430"/>
      <c r="BL806" s="430"/>
      <c r="BM806" s="430"/>
      <c r="BN806" s="430"/>
      <c r="BO806" s="430"/>
      <c r="BP806" s="430"/>
      <c r="BQ806" s="430"/>
      <c r="BR806" s="430"/>
      <c r="BS806" s="430"/>
      <c r="BT806" s="430"/>
      <c r="BU806" s="430"/>
      <c r="BV806" s="430"/>
      <c r="BW806" s="430"/>
      <c r="BX806" s="430"/>
      <c r="BY806" s="430"/>
      <c r="BZ806" s="430"/>
      <c r="CA806" s="430"/>
      <c r="CB806" s="430"/>
      <c r="CC806" s="430"/>
      <c r="CD806" s="430"/>
      <c r="CE806" s="430"/>
      <c r="CF806" s="430"/>
      <c r="CG806" s="430"/>
      <c r="CH806" s="430"/>
      <c r="CI806" s="430"/>
      <c r="CJ806" s="430"/>
      <c r="CK806" s="430"/>
      <c r="CL806" s="430"/>
    </row>
    <row r="807" spans="63:90" ht="14.25" customHeight="1">
      <c r="BK807" s="430"/>
      <c r="BL807" s="430"/>
      <c r="BM807" s="430"/>
      <c r="BN807" s="430"/>
      <c r="BO807" s="430"/>
      <c r="BP807" s="430"/>
      <c r="BQ807" s="430"/>
      <c r="BR807" s="430"/>
      <c r="BS807" s="430"/>
      <c r="BT807" s="430"/>
      <c r="BU807" s="430"/>
      <c r="BV807" s="430"/>
      <c r="BW807" s="430"/>
      <c r="BX807" s="430"/>
      <c r="BY807" s="430"/>
      <c r="BZ807" s="430"/>
      <c r="CA807" s="430"/>
      <c r="CB807" s="430"/>
      <c r="CC807" s="430"/>
      <c r="CD807" s="430"/>
      <c r="CE807" s="430"/>
      <c r="CF807" s="430"/>
      <c r="CG807" s="430"/>
      <c r="CH807" s="430"/>
      <c r="CI807" s="430"/>
      <c r="CJ807" s="430"/>
      <c r="CK807" s="430"/>
      <c r="CL807" s="430"/>
    </row>
    <row r="808" spans="63:90" ht="14.25" customHeight="1">
      <c r="BK808" s="430"/>
      <c r="BL808" s="430"/>
      <c r="BM808" s="430"/>
      <c r="BN808" s="430"/>
      <c r="BO808" s="430"/>
      <c r="BP808" s="430"/>
      <c r="BQ808" s="430"/>
      <c r="BR808" s="430"/>
      <c r="BS808" s="430"/>
      <c r="BT808" s="430"/>
      <c r="BU808" s="430"/>
      <c r="BV808" s="430"/>
      <c r="BW808" s="430"/>
      <c r="BX808" s="430"/>
      <c r="BY808" s="430"/>
      <c r="BZ808" s="430"/>
      <c r="CA808" s="430"/>
      <c r="CB808" s="430"/>
      <c r="CC808" s="430"/>
      <c r="CD808" s="430"/>
      <c r="CE808" s="430"/>
      <c r="CF808" s="430"/>
      <c r="CG808" s="430"/>
      <c r="CH808" s="430"/>
      <c r="CI808" s="430"/>
      <c r="CJ808" s="430"/>
      <c r="CK808" s="430"/>
      <c r="CL808" s="430"/>
    </row>
    <row r="809" spans="63:90" ht="14.25" customHeight="1">
      <c r="BK809" s="430"/>
      <c r="BL809" s="430"/>
      <c r="BM809" s="430"/>
      <c r="BN809" s="430"/>
      <c r="BO809" s="430"/>
      <c r="BP809" s="430"/>
      <c r="BQ809" s="430"/>
      <c r="BR809" s="430"/>
      <c r="BS809" s="430"/>
      <c r="BT809" s="430"/>
      <c r="BU809" s="430"/>
      <c r="BV809" s="430"/>
      <c r="BW809" s="430"/>
      <c r="BX809" s="430"/>
      <c r="BY809" s="430"/>
      <c r="BZ809" s="430"/>
      <c r="CA809" s="430"/>
      <c r="CB809" s="430"/>
      <c r="CC809" s="430"/>
      <c r="CD809" s="430"/>
      <c r="CE809" s="430"/>
      <c r="CF809" s="430"/>
      <c r="CG809" s="430"/>
      <c r="CH809" s="430"/>
      <c r="CI809" s="430"/>
      <c r="CJ809" s="430"/>
      <c r="CK809" s="430"/>
      <c r="CL809" s="430"/>
    </row>
    <row r="810" spans="63:90" ht="14.25" customHeight="1">
      <c r="BK810" s="430"/>
      <c r="BL810" s="430"/>
      <c r="BM810" s="430"/>
      <c r="BN810" s="430"/>
      <c r="BO810" s="430"/>
      <c r="BP810" s="430"/>
      <c r="BQ810" s="430"/>
      <c r="BR810" s="430"/>
      <c r="BS810" s="430"/>
      <c r="BT810" s="430"/>
      <c r="BU810" s="430"/>
      <c r="BV810" s="430"/>
      <c r="BW810" s="430"/>
      <c r="BX810" s="430"/>
      <c r="BY810" s="430"/>
      <c r="BZ810" s="430"/>
      <c r="CA810" s="430"/>
      <c r="CB810" s="430"/>
      <c r="CC810" s="430"/>
      <c r="CD810" s="430"/>
      <c r="CE810" s="430"/>
      <c r="CF810" s="430"/>
      <c r="CG810" s="430"/>
      <c r="CH810" s="430"/>
      <c r="CI810" s="430"/>
      <c r="CJ810" s="430"/>
      <c r="CK810" s="430"/>
      <c r="CL810" s="430"/>
    </row>
    <row r="811" spans="63:90" ht="14.25" customHeight="1">
      <c r="BK811" s="430"/>
      <c r="BL811" s="430"/>
      <c r="BM811" s="430"/>
      <c r="BN811" s="430"/>
      <c r="BO811" s="430"/>
      <c r="BP811" s="430"/>
      <c r="BQ811" s="430"/>
      <c r="BR811" s="430"/>
      <c r="BS811" s="430"/>
      <c r="BT811" s="430"/>
      <c r="BU811" s="430"/>
      <c r="BV811" s="430"/>
      <c r="BW811" s="430"/>
      <c r="BX811" s="430"/>
      <c r="BY811" s="430"/>
      <c r="BZ811" s="430"/>
      <c r="CA811" s="430"/>
      <c r="CB811" s="430"/>
      <c r="CC811" s="430"/>
      <c r="CD811" s="430"/>
      <c r="CE811" s="430"/>
      <c r="CF811" s="430"/>
      <c r="CG811" s="430"/>
      <c r="CH811" s="430"/>
      <c r="CI811" s="430"/>
      <c r="CJ811" s="430"/>
      <c r="CK811" s="430"/>
      <c r="CL811" s="430"/>
    </row>
    <row r="812" spans="63:90" ht="14.25" customHeight="1">
      <c r="BK812" s="430"/>
      <c r="BL812" s="430"/>
      <c r="BM812" s="430"/>
      <c r="BN812" s="430"/>
      <c r="BO812" s="430"/>
      <c r="BP812" s="430"/>
      <c r="BQ812" s="430"/>
      <c r="BR812" s="430"/>
      <c r="BS812" s="430"/>
      <c r="BT812" s="430"/>
      <c r="BU812" s="430"/>
      <c r="BV812" s="430"/>
      <c r="BW812" s="430"/>
      <c r="BX812" s="430"/>
      <c r="BY812" s="430"/>
      <c r="BZ812" s="430"/>
      <c r="CA812" s="430"/>
      <c r="CB812" s="430"/>
      <c r="CC812" s="430"/>
      <c r="CD812" s="430"/>
      <c r="CE812" s="430"/>
      <c r="CF812" s="430"/>
      <c r="CG812" s="430"/>
      <c r="CH812" s="430"/>
      <c r="CI812" s="430"/>
      <c r="CJ812" s="430"/>
      <c r="CK812" s="430"/>
      <c r="CL812" s="430"/>
    </row>
    <row r="813" spans="63:90" ht="14.25" customHeight="1">
      <c r="BK813" s="430"/>
      <c r="BL813" s="430"/>
      <c r="BM813" s="430"/>
      <c r="BN813" s="430"/>
      <c r="BO813" s="430"/>
      <c r="BP813" s="430"/>
      <c r="BQ813" s="430"/>
      <c r="BR813" s="430"/>
      <c r="BS813" s="430"/>
      <c r="BT813" s="430"/>
      <c r="BU813" s="430"/>
      <c r="BV813" s="430"/>
      <c r="BW813" s="430"/>
      <c r="BX813" s="430"/>
      <c r="BY813" s="430"/>
      <c r="BZ813" s="430"/>
      <c r="CA813" s="430"/>
      <c r="CB813" s="430"/>
      <c r="CC813" s="430"/>
      <c r="CD813" s="430"/>
      <c r="CE813" s="430"/>
      <c r="CF813" s="430"/>
      <c r="CG813" s="430"/>
      <c r="CH813" s="430"/>
      <c r="CI813" s="430"/>
      <c r="CJ813" s="430"/>
      <c r="CK813" s="430"/>
      <c r="CL813" s="430"/>
    </row>
    <row r="814" spans="63:90" ht="14.25" customHeight="1">
      <c r="BK814" s="430"/>
      <c r="BL814" s="430"/>
      <c r="BM814" s="430"/>
      <c r="BN814" s="430"/>
      <c r="BO814" s="430"/>
      <c r="BP814" s="430"/>
      <c r="BQ814" s="430"/>
      <c r="BR814" s="430"/>
      <c r="BS814" s="430"/>
      <c r="BT814" s="430"/>
      <c r="BU814" s="430"/>
      <c r="BV814" s="430"/>
      <c r="BW814" s="430"/>
      <c r="BX814" s="430"/>
      <c r="BY814" s="430"/>
      <c r="BZ814" s="430"/>
      <c r="CA814" s="430"/>
      <c r="CB814" s="430"/>
      <c r="CC814" s="430"/>
      <c r="CD814" s="430"/>
      <c r="CE814" s="430"/>
      <c r="CF814" s="430"/>
      <c r="CG814" s="430"/>
      <c r="CH814" s="430"/>
      <c r="CI814" s="430"/>
      <c r="CJ814" s="430"/>
      <c r="CK814" s="430"/>
      <c r="CL814" s="430"/>
    </row>
    <row r="815" spans="63:90" ht="14.25" customHeight="1">
      <c r="BK815" s="430"/>
      <c r="BL815" s="430"/>
      <c r="BM815" s="430"/>
      <c r="BN815" s="430"/>
      <c r="BO815" s="430"/>
      <c r="BP815" s="430"/>
      <c r="BQ815" s="430"/>
      <c r="BR815" s="430"/>
      <c r="BS815" s="430"/>
      <c r="BT815" s="430"/>
      <c r="BU815" s="430"/>
      <c r="BV815" s="430"/>
      <c r="BW815" s="430"/>
      <c r="BX815" s="430"/>
      <c r="BY815" s="430"/>
      <c r="BZ815" s="430"/>
      <c r="CA815" s="430"/>
      <c r="CB815" s="430"/>
      <c r="CC815" s="430"/>
      <c r="CD815" s="430"/>
      <c r="CE815" s="430"/>
      <c r="CF815" s="430"/>
      <c r="CG815" s="430"/>
      <c r="CH815" s="430"/>
      <c r="CI815" s="430"/>
      <c r="CJ815" s="430"/>
      <c r="CK815" s="430"/>
      <c r="CL815" s="430"/>
    </row>
    <row r="816" spans="63:90" ht="14.25" customHeight="1">
      <c r="BK816" s="430"/>
      <c r="BL816" s="430"/>
      <c r="BM816" s="430"/>
      <c r="BN816" s="430"/>
      <c r="BO816" s="430"/>
      <c r="BP816" s="430"/>
      <c r="BQ816" s="430"/>
      <c r="BR816" s="430"/>
      <c r="BS816" s="430"/>
      <c r="BT816" s="430"/>
      <c r="BU816" s="430"/>
      <c r="BV816" s="430"/>
      <c r="BW816" s="430"/>
      <c r="BX816" s="430"/>
      <c r="BY816" s="430"/>
      <c r="BZ816" s="430"/>
      <c r="CA816" s="430"/>
      <c r="CB816" s="430"/>
      <c r="CC816" s="430"/>
      <c r="CD816" s="430"/>
      <c r="CE816" s="430"/>
      <c r="CF816" s="430"/>
      <c r="CG816" s="430"/>
      <c r="CH816" s="430"/>
      <c r="CI816" s="430"/>
      <c r="CJ816" s="430"/>
      <c r="CK816" s="430"/>
      <c r="CL816" s="430"/>
    </row>
    <row r="817" spans="63:90" ht="14.25" customHeight="1">
      <c r="BK817" s="430"/>
      <c r="BL817" s="430"/>
      <c r="BM817" s="430"/>
      <c r="BN817" s="430"/>
      <c r="BO817" s="430"/>
      <c r="BP817" s="430"/>
      <c r="BQ817" s="430"/>
      <c r="BR817" s="430"/>
      <c r="BS817" s="430"/>
      <c r="BT817" s="430"/>
      <c r="BU817" s="430"/>
      <c r="BV817" s="430"/>
      <c r="BW817" s="430"/>
      <c r="BX817" s="430"/>
      <c r="BY817" s="430"/>
      <c r="BZ817" s="430"/>
      <c r="CA817" s="430"/>
      <c r="CB817" s="430"/>
      <c r="CC817" s="430"/>
      <c r="CD817" s="430"/>
      <c r="CE817" s="430"/>
      <c r="CF817" s="430"/>
      <c r="CG817" s="430"/>
      <c r="CH817" s="430"/>
      <c r="CI817" s="430"/>
      <c r="CJ817" s="430"/>
      <c r="CK817" s="430"/>
      <c r="CL817" s="430"/>
    </row>
    <row r="818" spans="63:90" ht="14.25" customHeight="1">
      <c r="BK818" s="430"/>
      <c r="BL818" s="430"/>
      <c r="BM818" s="430"/>
      <c r="BN818" s="430"/>
      <c r="BO818" s="430"/>
      <c r="BP818" s="430"/>
      <c r="BQ818" s="430"/>
      <c r="BR818" s="430"/>
      <c r="BS818" s="430"/>
      <c r="BT818" s="430"/>
      <c r="BU818" s="430"/>
      <c r="BV818" s="430"/>
      <c r="BW818" s="430"/>
      <c r="BX818" s="430"/>
      <c r="BY818" s="430"/>
      <c r="BZ818" s="430"/>
      <c r="CA818" s="430"/>
      <c r="CB818" s="430"/>
      <c r="CC818" s="430"/>
      <c r="CD818" s="430"/>
      <c r="CE818" s="430"/>
      <c r="CF818" s="430"/>
      <c r="CG818" s="430"/>
      <c r="CH818" s="430"/>
      <c r="CI818" s="430"/>
      <c r="CJ818" s="430"/>
      <c r="CK818" s="430"/>
      <c r="CL818" s="430"/>
    </row>
    <row r="819" spans="63:90" ht="14.25" customHeight="1">
      <c r="BK819" s="430"/>
      <c r="BL819" s="430"/>
      <c r="BM819" s="430"/>
      <c r="BN819" s="430"/>
      <c r="BO819" s="430"/>
      <c r="BP819" s="430"/>
      <c r="BQ819" s="430"/>
      <c r="BR819" s="430"/>
      <c r="BS819" s="430"/>
      <c r="BT819" s="430"/>
      <c r="BU819" s="430"/>
      <c r="BV819" s="430"/>
      <c r="BW819" s="430"/>
      <c r="BX819" s="430"/>
      <c r="BY819" s="430"/>
      <c r="BZ819" s="430"/>
      <c r="CA819" s="430"/>
      <c r="CB819" s="430"/>
      <c r="CC819" s="430"/>
      <c r="CD819" s="430"/>
      <c r="CE819" s="430"/>
      <c r="CF819" s="430"/>
      <c r="CG819" s="430"/>
      <c r="CH819" s="430"/>
      <c r="CI819" s="430"/>
      <c r="CJ819" s="430"/>
      <c r="CK819" s="430"/>
      <c r="CL819" s="430"/>
    </row>
    <row r="820" spans="63:90" ht="14.25" customHeight="1">
      <c r="BK820" s="430"/>
      <c r="BL820" s="430"/>
      <c r="BM820" s="430"/>
      <c r="BN820" s="430"/>
      <c r="BO820" s="430"/>
      <c r="BP820" s="430"/>
      <c r="BQ820" s="430"/>
      <c r="BR820" s="430"/>
      <c r="BS820" s="430"/>
      <c r="BT820" s="430"/>
      <c r="BU820" s="430"/>
      <c r="BV820" s="430"/>
      <c r="BW820" s="430"/>
      <c r="BX820" s="430"/>
      <c r="BY820" s="430"/>
      <c r="BZ820" s="430"/>
      <c r="CA820" s="430"/>
      <c r="CB820" s="430"/>
      <c r="CC820" s="430"/>
      <c r="CD820" s="430"/>
      <c r="CE820" s="430"/>
      <c r="CF820" s="430"/>
      <c r="CG820" s="430"/>
      <c r="CH820" s="430"/>
      <c r="CI820" s="430"/>
      <c r="CJ820" s="430"/>
      <c r="CK820" s="430"/>
      <c r="CL820" s="430"/>
    </row>
    <row r="821" spans="63:90" ht="14.25" customHeight="1">
      <c r="BK821" s="430"/>
      <c r="BL821" s="430"/>
      <c r="BM821" s="430"/>
      <c r="BN821" s="430"/>
      <c r="BO821" s="430"/>
      <c r="BP821" s="430"/>
      <c r="BQ821" s="430"/>
      <c r="BR821" s="430"/>
      <c r="BS821" s="430"/>
      <c r="BT821" s="430"/>
      <c r="BU821" s="430"/>
      <c r="BV821" s="430"/>
      <c r="BW821" s="430"/>
      <c r="BX821" s="430"/>
      <c r="BY821" s="430"/>
      <c r="BZ821" s="430"/>
      <c r="CA821" s="430"/>
      <c r="CB821" s="430"/>
      <c r="CC821" s="430"/>
      <c r="CD821" s="430"/>
      <c r="CE821" s="430"/>
      <c r="CF821" s="430"/>
      <c r="CG821" s="430"/>
      <c r="CH821" s="430"/>
      <c r="CI821" s="430"/>
      <c r="CJ821" s="430"/>
      <c r="CK821" s="430"/>
      <c r="CL821" s="430"/>
    </row>
    <row r="822" spans="63:90" ht="14.25" customHeight="1">
      <c r="BK822" s="430"/>
      <c r="BL822" s="430"/>
      <c r="BM822" s="430"/>
      <c r="BN822" s="430"/>
      <c r="BO822" s="430"/>
      <c r="BP822" s="430"/>
      <c r="BQ822" s="430"/>
      <c r="BR822" s="430"/>
      <c r="BS822" s="430"/>
      <c r="BT822" s="430"/>
      <c r="BU822" s="430"/>
      <c r="BV822" s="430"/>
      <c r="BW822" s="430"/>
      <c r="BX822" s="430"/>
      <c r="BY822" s="430"/>
      <c r="BZ822" s="430"/>
      <c r="CA822" s="430"/>
      <c r="CB822" s="430"/>
      <c r="CC822" s="430"/>
      <c r="CD822" s="430"/>
      <c r="CE822" s="430"/>
      <c r="CF822" s="430"/>
      <c r="CG822" s="430"/>
      <c r="CH822" s="430"/>
      <c r="CI822" s="430"/>
      <c r="CJ822" s="430"/>
      <c r="CK822" s="430"/>
      <c r="CL822" s="430"/>
    </row>
    <row r="823" spans="63:90" ht="14.25" customHeight="1">
      <c r="BK823" s="430"/>
      <c r="BL823" s="430"/>
      <c r="BM823" s="430"/>
      <c r="BN823" s="430"/>
      <c r="BO823" s="430"/>
      <c r="BP823" s="430"/>
      <c r="BQ823" s="430"/>
      <c r="BR823" s="430"/>
      <c r="BS823" s="430"/>
      <c r="BT823" s="430"/>
      <c r="BU823" s="430"/>
      <c r="BV823" s="430"/>
      <c r="BW823" s="430"/>
      <c r="BX823" s="430"/>
      <c r="BY823" s="430"/>
      <c r="BZ823" s="430"/>
      <c r="CA823" s="430"/>
      <c r="CB823" s="430"/>
      <c r="CC823" s="430"/>
      <c r="CD823" s="430"/>
      <c r="CE823" s="430"/>
      <c r="CF823" s="430"/>
      <c r="CG823" s="430"/>
      <c r="CH823" s="430"/>
      <c r="CI823" s="430"/>
      <c r="CJ823" s="430"/>
      <c r="CK823" s="430"/>
      <c r="CL823" s="430"/>
    </row>
    <row r="824" spans="63:90" ht="14.25" customHeight="1">
      <c r="BK824" s="430"/>
      <c r="BL824" s="430"/>
      <c r="BM824" s="430"/>
      <c r="BN824" s="430"/>
      <c r="BO824" s="430"/>
      <c r="BP824" s="430"/>
      <c r="BQ824" s="430"/>
      <c r="BR824" s="430"/>
      <c r="BS824" s="430"/>
      <c r="BT824" s="430"/>
      <c r="BU824" s="430"/>
      <c r="BV824" s="430"/>
      <c r="BW824" s="430"/>
      <c r="BX824" s="430"/>
      <c r="BY824" s="430"/>
      <c r="BZ824" s="430"/>
      <c r="CA824" s="430"/>
      <c r="CB824" s="430"/>
      <c r="CC824" s="430"/>
      <c r="CD824" s="430"/>
      <c r="CE824" s="430"/>
      <c r="CF824" s="430"/>
      <c r="CG824" s="430"/>
      <c r="CH824" s="430"/>
      <c r="CI824" s="430"/>
      <c r="CJ824" s="430"/>
      <c r="CK824" s="430"/>
      <c r="CL824" s="430"/>
    </row>
    <row r="825" spans="63:90" ht="14.25" customHeight="1">
      <c r="BK825" s="430"/>
      <c r="BL825" s="430"/>
      <c r="BM825" s="430"/>
      <c r="BN825" s="430"/>
      <c r="BO825" s="430"/>
      <c r="BP825" s="430"/>
      <c r="BQ825" s="430"/>
      <c r="BR825" s="430"/>
      <c r="BS825" s="430"/>
      <c r="BT825" s="430"/>
      <c r="BU825" s="430"/>
      <c r="BV825" s="430"/>
      <c r="BW825" s="430"/>
      <c r="BX825" s="430"/>
      <c r="BY825" s="430"/>
      <c r="BZ825" s="430"/>
      <c r="CA825" s="430"/>
      <c r="CB825" s="430"/>
      <c r="CC825" s="430"/>
      <c r="CD825" s="430"/>
      <c r="CE825" s="430"/>
      <c r="CF825" s="430"/>
      <c r="CG825" s="430"/>
      <c r="CH825" s="430"/>
      <c r="CI825" s="430"/>
      <c r="CJ825" s="430"/>
      <c r="CK825" s="430"/>
      <c r="CL825" s="430"/>
    </row>
    <row r="826" spans="63:90" ht="14.25" customHeight="1">
      <c r="BK826" s="430"/>
      <c r="BL826" s="430"/>
      <c r="BM826" s="430"/>
      <c r="BN826" s="430"/>
      <c r="BO826" s="430"/>
      <c r="BP826" s="430"/>
      <c r="BQ826" s="430"/>
      <c r="BR826" s="430"/>
      <c r="BS826" s="430"/>
      <c r="BT826" s="430"/>
      <c r="BU826" s="430"/>
      <c r="BV826" s="430"/>
      <c r="BW826" s="430"/>
      <c r="BX826" s="430"/>
      <c r="BY826" s="430"/>
      <c r="BZ826" s="430"/>
      <c r="CA826" s="430"/>
      <c r="CB826" s="430"/>
      <c r="CC826" s="430"/>
      <c r="CD826" s="430"/>
      <c r="CE826" s="430"/>
      <c r="CF826" s="430"/>
      <c r="CG826" s="430"/>
      <c r="CH826" s="430"/>
      <c r="CI826" s="430"/>
      <c r="CJ826" s="430"/>
      <c r="CK826" s="430"/>
      <c r="CL826" s="430"/>
    </row>
    <row r="827" spans="63:90" ht="14.25" customHeight="1">
      <c r="BK827" s="430"/>
      <c r="BL827" s="430"/>
      <c r="BM827" s="430"/>
      <c r="BN827" s="430"/>
      <c r="BO827" s="430"/>
      <c r="BP827" s="430"/>
      <c r="BQ827" s="430"/>
      <c r="BR827" s="430"/>
      <c r="BS827" s="430"/>
      <c r="BT827" s="430"/>
      <c r="BU827" s="430"/>
      <c r="BV827" s="430"/>
      <c r="BW827" s="430"/>
      <c r="BX827" s="430"/>
      <c r="BY827" s="430"/>
      <c r="BZ827" s="430"/>
      <c r="CA827" s="430"/>
      <c r="CB827" s="430"/>
      <c r="CC827" s="430"/>
      <c r="CD827" s="430"/>
      <c r="CE827" s="430"/>
      <c r="CF827" s="430"/>
      <c r="CG827" s="430"/>
      <c r="CH827" s="430"/>
      <c r="CI827" s="430"/>
      <c r="CJ827" s="430"/>
      <c r="CK827" s="430"/>
      <c r="CL827" s="430"/>
    </row>
    <row r="828" spans="63:90" ht="14.25" customHeight="1">
      <c r="BK828" s="430"/>
      <c r="BL828" s="430"/>
      <c r="BM828" s="430"/>
      <c r="BN828" s="430"/>
      <c r="BO828" s="430"/>
      <c r="BP828" s="430"/>
      <c r="BQ828" s="430"/>
      <c r="BR828" s="430"/>
      <c r="BS828" s="430"/>
      <c r="BT828" s="430"/>
      <c r="BU828" s="430"/>
      <c r="BV828" s="430"/>
      <c r="BW828" s="430"/>
      <c r="BX828" s="430"/>
      <c r="BY828" s="430"/>
      <c r="BZ828" s="430"/>
      <c r="CA828" s="430"/>
      <c r="CB828" s="430"/>
      <c r="CC828" s="430"/>
      <c r="CD828" s="430"/>
      <c r="CE828" s="430"/>
      <c r="CF828" s="430"/>
      <c r="CG828" s="430"/>
      <c r="CH828" s="430"/>
      <c r="CI828" s="430"/>
      <c r="CJ828" s="430"/>
      <c r="CK828" s="430"/>
      <c r="CL828" s="430"/>
    </row>
    <row r="829" spans="63:90" ht="14.25" customHeight="1">
      <c r="BK829" s="430"/>
      <c r="BL829" s="430"/>
      <c r="BM829" s="430"/>
      <c r="BN829" s="430"/>
      <c r="BO829" s="430"/>
      <c r="BP829" s="430"/>
      <c r="BQ829" s="430"/>
      <c r="BR829" s="430"/>
      <c r="BS829" s="430"/>
      <c r="BT829" s="430"/>
      <c r="BU829" s="430"/>
      <c r="BV829" s="430"/>
      <c r="BW829" s="430"/>
      <c r="BX829" s="430"/>
      <c r="BY829" s="430"/>
      <c r="BZ829" s="430"/>
      <c r="CA829" s="430"/>
      <c r="CB829" s="430"/>
      <c r="CC829" s="430"/>
      <c r="CD829" s="430"/>
      <c r="CE829" s="430"/>
      <c r="CF829" s="430"/>
      <c r="CG829" s="430"/>
      <c r="CH829" s="430"/>
      <c r="CI829" s="430"/>
      <c r="CJ829" s="430"/>
      <c r="CK829" s="430"/>
      <c r="CL829" s="430"/>
    </row>
    <row r="830" spans="63:90" ht="14.25" customHeight="1">
      <c r="BK830" s="430"/>
      <c r="BL830" s="430"/>
      <c r="BM830" s="430"/>
      <c r="BN830" s="430"/>
      <c r="BO830" s="430"/>
      <c r="BP830" s="430"/>
      <c r="BQ830" s="430"/>
      <c r="BR830" s="430"/>
      <c r="BS830" s="430"/>
      <c r="BT830" s="430"/>
      <c r="BU830" s="430"/>
      <c r="BV830" s="430"/>
      <c r="BW830" s="430"/>
      <c r="BX830" s="430"/>
      <c r="BY830" s="430"/>
      <c r="BZ830" s="430"/>
      <c r="CA830" s="430"/>
      <c r="CB830" s="430"/>
      <c r="CC830" s="430"/>
      <c r="CD830" s="430"/>
      <c r="CE830" s="430"/>
      <c r="CF830" s="430"/>
      <c r="CG830" s="430"/>
      <c r="CH830" s="430"/>
      <c r="CI830" s="430"/>
      <c r="CJ830" s="430"/>
      <c r="CK830" s="430"/>
      <c r="CL830" s="430"/>
    </row>
    <row r="831" spans="63:90" ht="14.25" customHeight="1">
      <c r="BK831" s="430"/>
      <c r="BL831" s="430"/>
      <c r="BM831" s="430"/>
      <c r="BN831" s="430"/>
      <c r="BO831" s="430"/>
      <c r="BP831" s="430"/>
      <c r="BQ831" s="430"/>
      <c r="BR831" s="430"/>
      <c r="BS831" s="430"/>
      <c r="BT831" s="430"/>
      <c r="BU831" s="430"/>
      <c r="BV831" s="430"/>
      <c r="BW831" s="430"/>
      <c r="BX831" s="430"/>
      <c r="BY831" s="430"/>
      <c r="BZ831" s="430"/>
      <c r="CA831" s="430"/>
      <c r="CB831" s="430"/>
      <c r="CC831" s="430"/>
      <c r="CD831" s="430"/>
      <c r="CE831" s="430"/>
      <c r="CF831" s="430"/>
      <c r="CG831" s="430"/>
      <c r="CH831" s="430"/>
      <c r="CI831" s="430"/>
      <c r="CJ831" s="430"/>
      <c r="CK831" s="430"/>
      <c r="CL831" s="430"/>
    </row>
    <row r="832" spans="63:90" ht="14.25" customHeight="1">
      <c r="BK832" s="430"/>
      <c r="BL832" s="430"/>
      <c r="BM832" s="430"/>
      <c r="BN832" s="430"/>
      <c r="BO832" s="430"/>
      <c r="BP832" s="430"/>
      <c r="BQ832" s="430"/>
      <c r="BR832" s="430"/>
      <c r="BS832" s="430"/>
      <c r="BT832" s="430"/>
      <c r="BU832" s="430"/>
      <c r="BV832" s="430"/>
      <c r="BW832" s="430"/>
      <c r="BX832" s="430"/>
      <c r="BY832" s="430"/>
      <c r="BZ832" s="430"/>
      <c r="CA832" s="430"/>
      <c r="CB832" s="430"/>
      <c r="CC832" s="430"/>
      <c r="CD832" s="430"/>
      <c r="CE832" s="430"/>
      <c r="CF832" s="430"/>
      <c r="CG832" s="430"/>
      <c r="CH832" s="430"/>
      <c r="CI832" s="430"/>
      <c r="CJ832" s="430"/>
      <c r="CK832" s="430"/>
      <c r="CL832" s="430"/>
    </row>
    <row r="833" spans="63:90" ht="14.25" customHeight="1">
      <c r="BK833" s="430"/>
      <c r="BL833" s="430"/>
      <c r="BM833" s="430"/>
      <c r="BN833" s="430"/>
      <c r="BO833" s="430"/>
      <c r="BP833" s="430"/>
      <c r="BQ833" s="430"/>
      <c r="BR833" s="430"/>
      <c r="BS833" s="430"/>
      <c r="BT833" s="430"/>
      <c r="BU833" s="430"/>
      <c r="BV833" s="430"/>
      <c r="BW833" s="430"/>
      <c r="BX833" s="430"/>
      <c r="BY833" s="430"/>
      <c r="BZ833" s="430"/>
      <c r="CA833" s="430"/>
      <c r="CB833" s="430"/>
      <c r="CC833" s="430"/>
      <c r="CD833" s="430"/>
      <c r="CE833" s="430"/>
      <c r="CF833" s="430"/>
      <c r="CG833" s="430"/>
      <c r="CH833" s="430"/>
      <c r="CI833" s="430"/>
      <c r="CJ833" s="430"/>
      <c r="CK833" s="430"/>
      <c r="CL833" s="430"/>
    </row>
    <row r="834" spans="63:90" ht="14.25" customHeight="1">
      <c r="BK834" s="430"/>
      <c r="BL834" s="430"/>
      <c r="BM834" s="430"/>
      <c r="BN834" s="430"/>
      <c r="BO834" s="430"/>
      <c r="BP834" s="430"/>
      <c r="BQ834" s="430"/>
      <c r="BR834" s="430"/>
      <c r="BS834" s="430"/>
      <c r="BT834" s="430"/>
      <c r="BU834" s="430"/>
      <c r="BV834" s="430"/>
      <c r="BW834" s="430"/>
      <c r="BX834" s="430"/>
      <c r="BY834" s="430"/>
      <c r="BZ834" s="430"/>
      <c r="CA834" s="430"/>
      <c r="CB834" s="430"/>
      <c r="CC834" s="430"/>
      <c r="CD834" s="430"/>
      <c r="CE834" s="430"/>
      <c r="CF834" s="430"/>
      <c r="CG834" s="430"/>
      <c r="CH834" s="430"/>
      <c r="CI834" s="430"/>
      <c r="CJ834" s="430"/>
      <c r="CK834" s="430"/>
      <c r="CL834" s="430"/>
    </row>
    <row r="835" spans="63:90" ht="14.25" customHeight="1">
      <c r="BK835" s="430"/>
      <c r="BL835" s="430"/>
      <c r="BM835" s="430"/>
      <c r="BN835" s="430"/>
      <c r="BO835" s="430"/>
      <c r="BP835" s="430"/>
      <c r="BQ835" s="430"/>
      <c r="BR835" s="430"/>
      <c r="BS835" s="430"/>
      <c r="BT835" s="430"/>
      <c r="BU835" s="430"/>
      <c r="BV835" s="430"/>
      <c r="BW835" s="430"/>
      <c r="BX835" s="430"/>
      <c r="BY835" s="430"/>
      <c r="BZ835" s="430"/>
      <c r="CA835" s="430"/>
      <c r="CB835" s="430"/>
      <c r="CC835" s="430"/>
      <c r="CD835" s="430"/>
      <c r="CE835" s="430"/>
      <c r="CF835" s="430"/>
      <c r="CG835" s="430"/>
      <c r="CH835" s="430"/>
      <c r="CI835" s="430"/>
      <c r="CJ835" s="430"/>
      <c r="CK835" s="430"/>
      <c r="CL835" s="430"/>
    </row>
    <row r="836" spans="63:90" ht="14.25" customHeight="1">
      <c r="BK836" s="430"/>
      <c r="BL836" s="430"/>
      <c r="BM836" s="430"/>
      <c r="BN836" s="430"/>
      <c r="BO836" s="430"/>
      <c r="BP836" s="430"/>
      <c r="BQ836" s="430"/>
      <c r="BR836" s="430"/>
      <c r="BS836" s="430"/>
      <c r="BT836" s="430"/>
      <c r="BU836" s="430"/>
      <c r="BV836" s="430"/>
      <c r="BW836" s="430"/>
      <c r="BX836" s="430"/>
      <c r="BY836" s="430"/>
      <c r="BZ836" s="430"/>
      <c r="CA836" s="430"/>
      <c r="CB836" s="430"/>
      <c r="CC836" s="430"/>
      <c r="CD836" s="430"/>
      <c r="CE836" s="430"/>
      <c r="CF836" s="430"/>
      <c r="CG836" s="430"/>
      <c r="CH836" s="430"/>
      <c r="CI836" s="430"/>
      <c r="CJ836" s="430"/>
      <c r="CK836" s="430"/>
      <c r="CL836" s="430"/>
    </row>
    <row r="837" spans="63:90" ht="14.25" customHeight="1">
      <c r="BK837" s="430"/>
      <c r="BL837" s="430"/>
      <c r="BM837" s="430"/>
      <c r="BN837" s="430"/>
      <c r="BO837" s="430"/>
      <c r="BP837" s="430"/>
      <c r="BQ837" s="430"/>
      <c r="BR837" s="430"/>
      <c r="BS837" s="430"/>
      <c r="BT837" s="430"/>
      <c r="BU837" s="430"/>
      <c r="BV837" s="430"/>
      <c r="BW837" s="430"/>
      <c r="BX837" s="430"/>
      <c r="BY837" s="430"/>
      <c r="BZ837" s="430"/>
      <c r="CA837" s="430"/>
      <c r="CB837" s="430"/>
      <c r="CC837" s="430"/>
      <c r="CD837" s="430"/>
      <c r="CE837" s="430"/>
      <c r="CF837" s="430"/>
      <c r="CG837" s="430"/>
      <c r="CH837" s="430"/>
      <c r="CI837" s="430"/>
      <c r="CJ837" s="430"/>
      <c r="CK837" s="430"/>
      <c r="CL837" s="430"/>
    </row>
    <row r="838" spans="63:90" ht="14.25" customHeight="1">
      <c r="BK838" s="430"/>
      <c r="BL838" s="430"/>
      <c r="BM838" s="430"/>
      <c r="BN838" s="430"/>
      <c r="BO838" s="430"/>
      <c r="BP838" s="430"/>
      <c r="BQ838" s="430"/>
      <c r="BR838" s="430"/>
      <c r="BS838" s="430"/>
      <c r="BT838" s="430"/>
      <c r="BU838" s="430"/>
      <c r="BV838" s="430"/>
      <c r="BW838" s="430"/>
      <c r="BX838" s="430"/>
      <c r="BY838" s="430"/>
      <c r="BZ838" s="430"/>
      <c r="CA838" s="430"/>
      <c r="CB838" s="430"/>
      <c r="CC838" s="430"/>
      <c r="CD838" s="430"/>
      <c r="CE838" s="430"/>
      <c r="CF838" s="430"/>
      <c r="CG838" s="430"/>
      <c r="CH838" s="430"/>
      <c r="CI838" s="430"/>
      <c r="CJ838" s="430"/>
      <c r="CK838" s="430"/>
      <c r="CL838" s="430"/>
    </row>
    <row r="839" spans="63:90" ht="14.25" customHeight="1">
      <c r="BK839" s="430"/>
      <c r="BL839" s="430"/>
      <c r="BM839" s="430"/>
      <c r="BN839" s="430"/>
      <c r="BO839" s="430"/>
      <c r="BP839" s="430"/>
      <c r="BQ839" s="430"/>
      <c r="BR839" s="430"/>
      <c r="BS839" s="430"/>
      <c r="BT839" s="430"/>
      <c r="BU839" s="430"/>
      <c r="BV839" s="430"/>
      <c r="BW839" s="430"/>
      <c r="BX839" s="430"/>
      <c r="BY839" s="430"/>
      <c r="BZ839" s="430"/>
      <c r="CA839" s="430"/>
      <c r="CB839" s="430"/>
      <c r="CC839" s="430"/>
      <c r="CD839" s="430"/>
      <c r="CE839" s="430"/>
      <c r="CF839" s="430"/>
      <c r="CG839" s="430"/>
      <c r="CH839" s="430"/>
      <c r="CI839" s="430"/>
      <c r="CJ839" s="430"/>
      <c r="CK839" s="430"/>
      <c r="CL839" s="430"/>
    </row>
    <row r="840" spans="63:90" ht="14.25" customHeight="1">
      <c r="BK840" s="430"/>
      <c r="BL840" s="430"/>
      <c r="BM840" s="430"/>
      <c r="BN840" s="430"/>
      <c r="BO840" s="430"/>
      <c r="BP840" s="430"/>
      <c r="BQ840" s="430"/>
      <c r="BR840" s="430"/>
      <c r="BS840" s="430"/>
      <c r="BT840" s="430"/>
      <c r="BU840" s="430"/>
      <c r="BV840" s="430"/>
      <c r="BW840" s="430"/>
      <c r="BX840" s="430"/>
      <c r="BY840" s="430"/>
      <c r="BZ840" s="430"/>
      <c r="CA840" s="430"/>
      <c r="CB840" s="430"/>
      <c r="CC840" s="430"/>
      <c r="CD840" s="430"/>
      <c r="CE840" s="430"/>
      <c r="CF840" s="430"/>
      <c r="CG840" s="430"/>
      <c r="CH840" s="430"/>
      <c r="CI840" s="430"/>
      <c r="CJ840" s="430"/>
      <c r="CK840" s="430"/>
      <c r="CL840" s="430"/>
    </row>
    <row r="841" spans="63:90" ht="14.25" customHeight="1">
      <c r="BK841" s="430"/>
      <c r="BL841" s="430"/>
      <c r="BM841" s="430"/>
      <c r="BN841" s="430"/>
      <c r="BO841" s="430"/>
      <c r="BP841" s="430"/>
      <c r="BQ841" s="430"/>
      <c r="BR841" s="430"/>
      <c r="BS841" s="430"/>
      <c r="BT841" s="430"/>
      <c r="BU841" s="430"/>
      <c r="BV841" s="430"/>
      <c r="BW841" s="430"/>
      <c r="BX841" s="430"/>
      <c r="BY841" s="430"/>
      <c r="BZ841" s="430"/>
      <c r="CA841" s="430"/>
      <c r="CB841" s="430"/>
      <c r="CC841" s="430"/>
      <c r="CD841" s="430"/>
      <c r="CE841" s="430"/>
      <c r="CF841" s="430"/>
      <c r="CG841" s="430"/>
      <c r="CH841" s="430"/>
      <c r="CI841" s="430"/>
      <c r="CJ841" s="430"/>
      <c r="CK841" s="430"/>
      <c r="CL841" s="430"/>
    </row>
    <row r="842" spans="63:90" ht="14.25" customHeight="1">
      <c r="BK842" s="430"/>
      <c r="BL842" s="430"/>
      <c r="BM842" s="430"/>
      <c r="BN842" s="430"/>
      <c r="BO842" s="430"/>
      <c r="BP842" s="430"/>
      <c r="BQ842" s="430"/>
      <c r="BR842" s="430"/>
      <c r="BS842" s="430"/>
      <c r="BT842" s="430"/>
      <c r="BU842" s="430"/>
      <c r="BV842" s="430"/>
      <c r="BW842" s="430"/>
      <c r="BX842" s="430"/>
      <c r="BY842" s="430"/>
      <c r="BZ842" s="430"/>
      <c r="CA842" s="430"/>
      <c r="CB842" s="430"/>
      <c r="CC842" s="430"/>
      <c r="CD842" s="430"/>
      <c r="CE842" s="430"/>
      <c r="CF842" s="430"/>
      <c r="CG842" s="430"/>
      <c r="CH842" s="430"/>
      <c r="CI842" s="430"/>
      <c r="CJ842" s="430"/>
      <c r="CK842" s="430"/>
      <c r="CL842" s="430"/>
    </row>
    <row r="843" spans="63:90" ht="14.25" customHeight="1">
      <c r="BK843" s="430"/>
      <c r="BL843" s="430"/>
      <c r="BM843" s="430"/>
      <c r="BN843" s="430"/>
      <c r="BO843" s="430"/>
      <c r="BP843" s="430"/>
      <c r="BQ843" s="430"/>
      <c r="BR843" s="430"/>
      <c r="BS843" s="430"/>
      <c r="BT843" s="430"/>
      <c r="BU843" s="430"/>
      <c r="BV843" s="430"/>
      <c r="BW843" s="430"/>
      <c r="BX843" s="430"/>
      <c r="BY843" s="430"/>
      <c r="BZ843" s="430"/>
      <c r="CA843" s="430"/>
      <c r="CB843" s="430"/>
      <c r="CC843" s="430"/>
      <c r="CD843" s="430"/>
      <c r="CE843" s="430"/>
      <c r="CF843" s="430"/>
      <c r="CG843" s="430"/>
      <c r="CH843" s="430"/>
      <c r="CI843" s="430"/>
      <c r="CJ843" s="430"/>
      <c r="CK843" s="430"/>
      <c r="CL843" s="430"/>
    </row>
    <row r="844" spans="63:90" ht="14.25" customHeight="1">
      <c r="BK844" s="430"/>
      <c r="BL844" s="430"/>
      <c r="BM844" s="430"/>
      <c r="BN844" s="430"/>
      <c r="BO844" s="430"/>
      <c r="BP844" s="430"/>
      <c r="BQ844" s="430"/>
      <c r="BR844" s="430"/>
      <c r="BS844" s="430"/>
      <c r="BT844" s="430"/>
      <c r="BU844" s="430"/>
      <c r="BV844" s="430"/>
      <c r="BW844" s="430"/>
      <c r="BX844" s="430"/>
      <c r="BY844" s="430"/>
      <c r="BZ844" s="430"/>
      <c r="CA844" s="430"/>
      <c r="CB844" s="430"/>
      <c r="CC844" s="430"/>
      <c r="CD844" s="430"/>
      <c r="CE844" s="430"/>
      <c r="CF844" s="430"/>
      <c r="CG844" s="430"/>
      <c r="CH844" s="430"/>
      <c r="CI844" s="430"/>
      <c r="CJ844" s="430"/>
      <c r="CK844" s="430"/>
      <c r="CL844" s="430"/>
    </row>
    <row r="845" spans="63:90" ht="14.25" customHeight="1">
      <c r="BK845" s="430"/>
      <c r="BL845" s="430"/>
      <c r="BM845" s="430"/>
      <c r="BN845" s="430"/>
      <c r="BO845" s="430"/>
      <c r="BP845" s="430"/>
      <c r="BQ845" s="430"/>
      <c r="BR845" s="430"/>
      <c r="BS845" s="430"/>
      <c r="BT845" s="430"/>
      <c r="BU845" s="430"/>
      <c r="BV845" s="430"/>
      <c r="BW845" s="430"/>
      <c r="BX845" s="430"/>
      <c r="BY845" s="430"/>
      <c r="BZ845" s="430"/>
      <c r="CA845" s="430"/>
      <c r="CB845" s="430"/>
      <c r="CC845" s="430"/>
      <c r="CD845" s="430"/>
      <c r="CE845" s="430"/>
      <c r="CF845" s="430"/>
      <c r="CG845" s="430"/>
      <c r="CH845" s="430"/>
      <c r="CI845" s="430"/>
      <c r="CJ845" s="430"/>
      <c r="CK845" s="430"/>
      <c r="CL845" s="430"/>
    </row>
    <row r="846" spans="63:90" ht="14.25" customHeight="1">
      <c r="BK846" s="430"/>
      <c r="BL846" s="430"/>
      <c r="BM846" s="430"/>
      <c r="BN846" s="430"/>
      <c r="BO846" s="430"/>
      <c r="BP846" s="430"/>
      <c r="BQ846" s="430"/>
      <c r="BR846" s="430"/>
      <c r="BS846" s="430"/>
      <c r="BT846" s="430"/>
      <c r="BU846" s="430"/>
      <c r="BV846" s="430"/>
      <c r="BW846" s="430"/>
      <c r="BX846" s="430"/>
      <c r="BY846" s="430"/>
      <c r="BZ846" s="430"/>
      <c r="CA846" s="430"/>
      <c r="CB846" s="430"/>
      <c r="CC846" s="430"/>
      <c r="CD846" s="430"/>
      <c r="CE846" s="430"/>
      <c r="CF846" s="430"/>
      <c r="CG846" s="430"/>
      <c r="CH846" s="430"/>
      <c r="CI846" s="430"/>
      <c r="CJ846" s="430"/>
      <c r="CK846" s="430"/>
      <c r="CL846" s="430"/>
    </row>
    <row r="847" spans="63:90" ht="14.25" customHeight="1">
      <c r="BK847" s="430"/>
      <c r="BL847" s="430"/>
      <c r="BM847" s="430"/>
      <c r="BN847" s="430"/>
      <c r="BO847" s="430"/>
      <c r="BP847" s="430"/>
      <c r="BQ847" s="430"/>
      <c r="BR847" s="430"/>
      <c r="BS847" s="430"/>
      <c r="BT847" s="430"/>
      <c r="BU847" s="430"/>
      <c r="BV847" s="430"/>
      <c r="BW847" s="430"/>
      <c r="BX847" s="430"/>
      <c r="BY847" s="430"/>
      <c r="BZ847" s="430"/>
      <c r="CA847" s="430"/>
      <c r="CB847" s="430"/>
      <c r="CC847" s="430"/>
      <c r="CD847" s="430"/>
      <c r="CE847" s="430"/>
      <c r="CF847" s="430"/>
      <c r="CG847" s="430"/>
      <c r="CH847" s="430"/>
      <c r="CI847" s="430"/>
      <c r="CJ847" s="430"/>
      <c r="CK847" s="430"/>
      <c r="CL847" s="430"/>
    </row>
    <row r="848" spans="63:90" ht="14.25" customHeight="1">
      <c r="BK848" s="430"/>
      <c r="BL848" s="430"/>
      <c r="BM848" s="430"/>
      <c r="BN848" s="430"/>
      <c r="BO848" s="430"/>
      <c r="BP848" s="430"/>
      <c r="BQ848" s="430"/>
      <c r="BR848" s="430"/>
      <c r="BS848" s="430"/>
      <c r="BT848" s="430"/>
      <c r="BU848" s="430"/>
      <c r="BV848" s="430"/>
      <c r="BW848" s="430"/>
      <c r="BX848" s="430"/>
      <c r="BY848" s="430"/>
      <c r="BZ848" s="430"/>
      <c r="CA848" s="430"/>
      <c r="CB848" s="430"/>
      <c r="CC848" s="430"/>
      <c r="CD848" s="430"/>
      <c r="CE848" s="430"/>
      <c r="CF848" s="430"/>
      <c r="CG848" s="430"/>
      <c r="CH848" s="430"/>
      <c r="CI848" s="430"/>
      <c r="CJ848" s="430"/>
      <c r="CK848" s="430"/>
      <c r="CL848" s="430"/>
    </row>
    <row r="849" spans="63:90" ht="14.25" customHeight="1">
      <c r="BK849" s="430"/>
      <c r="BL849" s="430"/>
      <c r="BM849" s="430"/>
      <c r="BN849" s="430"/>
      <c r="BO849" s="430"/>
      <c r="BP849" s="430"/>
      <c r="BQ849" s="430"/>
      <c r="BR849" s="430"/>
      <c r="BS849" s="430"/>
      <c r="BT849" s="430"/>
      <c r="BU849" s="430"/>
      <c r="BV849" s="430"/>
      <c r="BW849" s="430"/>
      <c r="BX849" s="430"/>
      <c r="BY849" s="430"/>
      <c r="BZ849" s="430"/>
      <c r="CA849" s="430"/>
      <c r="CB849" s="430"/>
      <c r="CC849" s="430"/>
      <c r="CD849" s="430"/>
      <c r="CE849" s="430"/>
      <c r="CF849" s="430"/>
      <c r="CG849" s="430"/>
      <c r="CH849" s="430"/>
      <c r="CI849" s="430"/>
      <c r="CJ849" s="430"/>
      <c r="CK849" s="430"/>
      <c r="CL849" s="430"/>
    </row>
    <row r="850" spans="63:90" ht="14.25" customHeight="1">
      <c r="BK850" s="430"/>
      <c r="BL850" s="430"/>
      <c r="BM850" s="430"/>
      <c r="BN850" s="430"/>
      <c r="BO850" s="430"/>
      <c r="BP850" s="430"/>
      <c r="BQ850" s="430"/>
      <c r="BR850" s="430"/>
      <c r="BS850" s="430"/>
      <c r="BT850" s="430"/>
      <c r="BU850" s="430"/>
      <c r="BV850" s="430"/>
      <c r="BW850" s="430"/>
      <c r="BX850" s="430"/>
      <c r="BY850" s="430"/>
      <c r="BZ850" s="430"/>
      <c r="CA850" s="430"/>
      <c r="CB850" s="430"/>
      <c r="CC850" s="430"/>
      <c r="CD850" s="430"/>
      <c r="CE850" s="430"/>
      <c r="CF850" s="430"/>
      <c r="CG850" s="430"/>
      <c r="CH850" s="430"/>
      <c r="CI850" s="430"/>
      <c r="CJ850" s="430"/>
      <c r="CK850" s="430"/>
      <c r="CL850" s="430"/>
    </row>
    <row r="851" spans="63:90" ht="14.25" customHeight="1">
      <c r="BK851" s="430"/>
      <c r="BL851" s="430"/>
      <c r="BM851" s="430"/>
      <c r="BN851" s="430"/>
      <c r="BO851" s="430"/>
      <c r="BP851" s="430"/>
      <c r="BQ851" s="430"/>
      <c r="BR851" s="430"/>
      <c r="BS851" s="430"/>
      <c r="BT851" s="430"/>
      <c r="BU851" s="430"/>
      <c r="BV851" s="430"/>
      <c r="BW851" s="430"/>
      <c r="BX851" s="430"/>
      <c r="BY851" s="430"/>
      <c r="BZ851" s="430"/>
      <c r="CA851" s="430"/>
      <c r="CB851" s="430"/>
      <c r="CC851" s="430"/>
      <c r="CD851" s="430"/>
      <c r="CE851" s="430"/>
      <c r="CF851" s="430"/>
      <c r="CG851" s="430"/>
      <c r="CH851" s="430"/>
      <c r="CI851" s="430"/>
      <c r="CJ851" s="430"/>
      <c r="CK851" s="430"/>
      <c r="CL851" s="430"/>
    </row>
    <row r="852" spans="63:90" ht="14.25" customHeight="1">
      <c r="BK852" s="430"/>
      <c r="BL852" s="430"/>
      <c r="BM852" s="430"/>
      <c r="BN852" s="430"/>
      <c r="BO852" s="430"/>
      <c r="BP852" s="430"/>
      <c r="BQ852" s="430"/>
      <c r="BR852" s="430"/>
      <c r="BS852" s="430"/>
      <c r="BT852" s="430"/>
      <c r="BU852" s="430"/>
      <c r="BV852" s="430"/>
      <c r="BW852" s="430"/>
      <c r="BX852" s="430"/>
      <c r="BY852" s="430"/>
      <c r="BZ852" s="430"/>
      <c r="CA852" s="430"/>
      <c r="CB852" s="430"/>
      <c r="CC852" s="430"/>
      <c r="CD852" s="430"/>
      <c r="CE852" s="430"/>
      <c r="CF852" s="430"/>
      <c r="CG852" s="430"/>
      <c r="CH852" s="430"/>
      <c r="CI852" s="430"/>
      <c r="CJ852" s="430"/>
      <c r="CK852" s="430"/>
      <c r="CL852" s="430"/>
    </row>
    <row r="853" spans="63:90" ht="14.25" customHeight="1">
      <c r="BK853" s="430"/>
      <c r="BL853" s="430"/>
      <c r="BM853" s="430"/>
      <c r="BN853" s="430"/>
      <c r="BO853" s="430"/>
      <c r="BP853" s="430"/>
      <c r="BQ853" s="430"/>
      <c r="BR853" s="430"/>
      <c r="BS853" s="430"/>
      <c r="BT853" s="430"/>
      <c r="BU853" s="430"/>
      <c r="BV853" s="430"/>
      <c r="BW853" s="430"/>
      <c r="BX853" s="430"/>
      <c r="BY853" s="430"/>
      <c r="BZ853" s="430"/>
      <c r="CA853" s="430"/>
      <c r="CB853" s="430"/>
      <c r="CC853" s="430"/>
      <c r="CD853" s="430"/>
      <c r="CE853" s="430"/>
      <c r="CF853" s="430"/>
      <c r="CG853" s="430"/>
      <c r="CH853" s="430"/>
      <c r="CI853" s="430"/>
      <c r="CJ853" s="430"/>
      <c r="CK853" s="430"/>
      <c r="CL853" s="430"/>
    </row>
    <row r="854" spans="63:90" ht="14.25" customHeight="1">
      <c r="BK854" s="430"/>
      <c r="BL854" s="430"/>
      <c r="BM854" s="430"/>
      <c r="BN854" s="430"/>
      <c r="BO854" s="430"/>
      <c r="BP854" s="430"/>
      <c r="BQ854" s="430"/>
      <c r="BR854" s="430"/>
      <c r="BS854" s="430"/>
      <c r="BT854" s="430"/>
      <c r="BU854" s="430"/>
      <c r="BV854" s="430"/>
      <c r="BW854" s="430"/>
      <c r="BX854" s="430"/>
      <c r="BY854" s="430"/>
      <c r="BZ854" s="430"/>
      <c r="CA854" s="430"/>
      <c r="CB854" s="430"/>
      <c r="CC854" s="430"/>
      <c r="CD854" s="430"/>
      <c r="CE854" s="430"/>
      <c r="CF854" s="430"/>
      <c r="CG854" s="430"/>
      <c r="CH854" s="430"/>
      <c r="CI854" s="430"/>
      <c r="CJ854" s="430"/>
      <c r="CK854" s="430"/>
      <c r="CL854" s="430"/>
    </row>
    <row r="855" spans="63:90" ht="14.25" customHeight="1">
      <c r="BK855" s="430"/>
      <c r="BL855" s="430"/>
      <c r="BM855" s="430"/>
      <c r="BN855" s="430"/>
      <c r="BO855" s="430"/>
      <c r="BP855" s="430"/>
      <c r="BQ855" s="430"/>
      <c r="BR855" s="430"/>
      <c r="BS855" s="430"/>
      <c r="BT855" s="430"/>
      <c r="BU855" s="430"/>
      <c r="BV855" s="430"/>
      <c r="BW855" s="430"/>
      <c r="BX855" s="430"/>
      <c r="BY855" s="430"/>
      <c r="BZ855" s="430"/>
      <c r="CA855" s="430"/>
      <c r="CB855" s="430"/>
      <c r="CC855" s="430"/>
      <c r="CD855" s="430"/>
      <c r="CE855" s="430"/>
      <c r="CF855" s="430"/>
      <c r="CG855" s="430"/>
      <c r="CH855" s="430"/>
      <c r="CI855" s="430"/>
      <c r="CJ855" s="430"/>
      <c r="CK855" s="430"/>
      <c r="CL855" s="430"/>
    </row>
    <row r="856" spans="63:90" ht="14.25" customHeight="1">
      <c r="BK856" s="430"/>
      <c r="BL856" s="430"/>
      <c r="BM856" s="430"/>
      <c r="BN856" s="430"/>
      <c r="BO856" s="430"/>
      <c r="BP856" s="430"/>
      <c r="BQ856" s="430"/>
      <c r="BR856" s="430"/>
      <c r="BS856" s="430"/>
      <c r="BT856" s="430"/>
      <c r="BU856" s="430"/>
      <c r="BV856" s="430"/>
      <c r="BW856" s="430"/>
      <c r="BX856" s="430"/>
      <c r="BY856" s="430"/>
      <c r="BZ856" s="430"/>
      <c r="CA856" s="430"/>
      <c r="CB856" s="430"/>
      <c r="CC856" s="430"/>
      <c r="CD856" s="430"/>
      <c r="CE856" s="430"/>
      <c r="CF856" s="430"/>
      <c r="CG856" s="430"/>
      <c r="CH856" s="430"/>
      <c r="CI856" s="430"/>
      <c r="CJ856" s="430"/>
      <c r="CK856" s="430"/>
      <c r="CL856" s="430"/>
    </row>
    <row r="857" spans="63:90" ht="14.25" customHeight="1">
      <c r="BK857" s="430"/>
      <c r="BL857" s="430"/>
      <c r="BM857" s="430"/>
      <c r="BN857" s="430"/>
      <c r="BO857" s="430"/>
      <c r="BP857" s="430"/>
      <c r="BQ857" s="430"/>
      <c r="BR857" s="430"/>
      <c r="BS857" s="430"/>
      <c r="BT857" s="430"/>
      <c r="BU857" s="430"/>
      <c r="BV857" s="430"/>
      <c r="BW857" s="430"/>
      <c r="BX857" s="430"/>
      <c r="BY857" s="430"/>
      <c r="BZ857" s="430"/>
      <c r="CA857" s="430"/>
      <c r="CB857" s="430"/>
      <c r="CC857" s="430"/>
      <c r="CD857" s="430"/>
      <c r="CE857" s="430"/>
      <c r="CF857" s="430"/>
      <c r="CG857" s="430"/>
      <c r="CH857" s="430"/>
      <c r="CI857" s="430"/>
      <c r="CJ857" s="430"/>
      <c r="CK857" s="430"/>
      <c r="CL857" s="430"/>
    </row>
    <row r="858" spans="63:90" ht="14.25" customHeight="1">
      <c r="BK858" s="430"/>
      <c r="BL858" s="430"/>
      <c r="BM858" s="430"/>
      <c r="BN858" s="430"/>
      <c r="BO858" s="430"/>
      <c r="BP858" s="430"/>
      <c r="BQ858" s="430"/>
      <c r="BR858" s="430"/>
      <c r="BS858" s="430"/>
      <c r="BT858" s="430"/>
      <c r="BU858" s="430"/>
      <c r="BV858" s="430"/>
      <c r="BW858" s="430"/>
      <c r="BX858" s="430"/>
      <c r="BY858" s="430"/>
      <c r="BZ858" s="430"/>
      <c r="CA858" s="430"/>
      <c r="CB858" s="430"/>
      <c r="CC858" s="430"/>
      <c r="CD858" s="430"/>
      <c r="CE858" s="430"/>
      <c r="CF858" s="430"/>
      <c r="CG858" s="430"/>
      <c r="CH858" s="430"/>
      <c r="CI858" s="430"/>
      <c r="CJ858" s="430"/>
      <c r="CK858" s="430"/>
      <c r="CL858" s="430"/>
    </row>
    <row r="859" spans="63:90" ht="14.25" customHeight="1">
      <c r="BK859" s="430"/>
      <c r="BL859" s="430"/>
      <c r="BM859" s="430"/>
      <c r="BN859" s="430"/>
      <c r="BO859" s="430"/>
      <c r="BP859" s="430"/>
      <c r="BQ859" s="430"/>
      <c r="BR859" s="430"/>
      <c r="BS859" s="430"/>
      <c r="BT859" s="430"/>
      <c r="BU859" s="430"/>
      <c r="BV859" s="430"/>
      <c r="BW859" s="430"/>
      <c r="BX859" s="430"/>
      <c r="BY859" s="430"/>
      <c r="BZ859" s="430"/>
      <c r="CA859" s="430"/>
      <c r="CB859" s="430"/>
      <c r="CC859" s="430"/>
      <c r="CD859" s="430"/>
      <c r="CE859" s="430"/>
      <c r="CF859" s="430"/>
      <c r="CG859" s="430"/>
      <c r="CH859" s="430"/>
      <c r="CI859" s="430"/>
      <c r="CJ859" s="430"/>
      <c r="CK859" s="430"/>
      <c r="CL859" s="430"/>
    </row>
    <row r="860" spans="63:90" ht="14.25" customHeight="1">
      <c r="BK860" s="430"/>
      <c r="BL860" s="430"/>
      <c r="BM860" s="430"/>
      <c r="BN860" s="430"/>
      <c r="BO860" s="430"/>
      <c r="BP860" s="430"/>
      <c r="BQ860" s="430"/>
      <c r="BR860" s="430"/>
      <c r="BS860" s="430"/>
      <c r="BT860" s="430"/>
      <c r="BU860" s="430"/>
      <c r="BV860" s="430"/>
      <c r="BW860" s="430"/>
      <c r="BX860" s="430"/>
      <c r="BY860" s="430"/>
      <c r="BZ860" s="430"/>
      <c r="CA860" s="430"/>
      <c r="CB860" s="430"/>
      <c r="CC860" s="430"/>
      <c r="CD860" s="430"/>
      <c r="CE860" s="430"/>
      <c r="CF860" s="430"/>
      <c r="CG860" s="430"/>
      <c r="CH860" s="430"/>
      <c r="CI860" s="430"/>
      <c r="CJ860" s="430"/>
      <c r="CK860" s="430"/>
      <c r="CL860" s="430"/>
    </row>
    <row r="861" spans="63:90" ht="14.25" customHeight="1">
      <c r="BK861" s="430"/>
      <c r="BL861" s="430"/>
      <c r="BM861" s="430"/>
      <c r="BN861" s="430"/>
      <c r="BO861" s="430"/>
      <c r="BP861" s="430"/>
      <c r="BQ861" s="430"/>
      <c r="BR861" s="430"/>
      <c r="BS861" s="430"/>
      <c r="BT861" s="430"/>
      <c r="BU861" s="430"/>
      <c r="BV861" s="430"/>
      <c r="BW861" s="430"/>
      <c r="BX861" s="430"/>
      <c r="BY861" s="430"/>
      <c r="BZ861" s="430"/>
      <c r="CA861" s="430"/>
      <c r="CB861" s="430"/>
      <c r="CC861" s="430"/>
      <c r="CD861" s="430"/>
      <c r="CE861" s="430"/>
      <c r="CF861" s="430"/>
      <c r="CG861" s="430"/>
      <c r="CH861" s="430"/>
      <c r="CI861" s="430"/>
      <c r="CJ861" s="430"/>
      <c r="CK861" s="430"/>
      <c r="CL861" s="430"/>
    </row>
    <row r="862" spans="63:90" ht="14.25" customHeight="1">
      <c r="BK862" s="430"/>
      <c r="BL862" s="430"/>
      <c r="BM862" s="430"/>
      <c r="BN862" s="430"/>
      <c r="BO862" s="430"/>
      <c r="BP862" s="430"/>
      <c r="BQ862" s="430"/>
      <c r="BR862" s="430"/>
      <c r="BS862" s="430"/>
      <c r="BT862" s="430"/>
      <c r="BU862" s="430"/>
      <c r="BV862" s="430"/>
      <c r="BW862" s="430"/>
      <c r="BX862" s="430"/>
      <c r="BY862" s="430"/>
      <c r="BZ862" s="430"/>
      <c r="CA862" s="430"/>
      <c r="CB862" s="430"/>
      <c r="CC862" s="430"/>
      <c r="CD862" s="430"/>
      <c r="CE862" s="430"/>
      <c r="CF862" s="430"/>
      <c r="CG862" s="430"/>
      <c r="CH862" s="430"/>
      <c r="CI862" s="430"/>
      <c r="CJ862" s="430"/>
      <c r="CK862" s="430"/>
      <c r="CL862" s="430"/>
    </row>
    <row r="863" spans="63:90" ht="14.25" customHeight="1">
      <c r="BK863" s="430"/>
      <c r="BL863" s="430"/>
      <c r="BM863" s="430"/>
      <c r="BN863" s="430"/>
      <c r="BO863" s="430"/>
      <c r="BP863" s="430"/>
      <c r="BQ863" s="430"/>
      <c r="BR863" s="430"/>
      <c r="BS863" s="430"/>
      <c r="BT863" s="430"/>
      <c r="BU863" s="430"/>
      <c r="BV863" s="430"/>
      <c r="BW863" s="430"/>
      <c r="BX863" s="430"/>
      <c r="BY863" s="430"/>
      <c r="BZ863" s="430"/>
      <c r="CA863" s="430"/>
      <c r="CB863" s="430"/>
      <c r="CC863" s="430"/>
      <c r="CD863" s="430"/>
      <c r="CE863" s="430"/>
      <c r="CF863" s="430"/>
      <c r="CG863" s="430"/>
      <c r="CH863" s="430"/>
      <c r="CI863" s="430"/>
      <c r="CJ863" s="430"/>
      <c r="CK863" s="430"/>
      <c r="CL863" s="430"/>
    </row>
    <row r="864" spans="63:90" ht="14.25" customHeight="1">
      <c r="BK864" s="430"/>
      <c r="BL864" s="430"/>
      <c r="BM864" s="430"/>
      <c r="BN864" s="430"/>
      <c r="BO864" s="430"/>
      <c r="BP864" s="430"/>
      <c r="BQ864" s="430"/>
      <c r="BR864" s="430"/>
      <c r="BS864" s="430"/>
      <c r="BT864" s="430"/>
      <c r="BU864" s="430"/>
      <c r="BV864" s="430"/>
      <c r="BW864" s="430"/>
      <c r="BX864" s="430"/>
      <c r="BY864" s="430"/>
      <c r="BZ864" s="430"/>
      <c r="CA864" s="430"/>
      <c r="CB864" s="430"/>
      <c r="CC864" s="430"/>
      <c r="CD864" s="430"/>
      <c r="CE864" s="430"/>
      <c r="CF864" s="430"/>
      <c r="CG864" s="430"/>
      <c r="CH864" s="430"/>
      <c r="CI864" s="430"/>
      <c r="CJ864" s="430"/>
      <c r="CK864" s="430"/>
      <c r="CL864" s="430"/>
    </row>
    <row r="865" spans="63:90" ht="14.25" customHeight="1">
      <c r="BK865" s="430"/>
      <c r="BL865" s="430"/>
      <c r="BM865" s="430"/>
      <c r="BN865" s="430"/>
      <c r="BO865" s="430"/>
      <c r="BP865" s="430"/>
      <c r="BQ865" s="430"/>
      <c r="BR865" s="430"/>
      <c r="BS865" s="430"/>
      <c r="BT865" s="430"/>
      <c r="BU865" s="430"/>
      <c r="BV865" s="430"/>
      <c r="BW865" s="430"/>
      <c r="BX865" s="430"/>
      <c r="BY865" s="430"/>
      <c r="BZ865" s="430"/>
      <c r="CA865" s="430"/>
      <c r="CB865" s="430"/>
      <c r="CC865" s="430"/>
      <c r="CD865" s="430"/>
      <c r="CE865" s="430"/>
      <c r="CF865" s="430"/>
      <c r="CG865" s="430"/>
      <c r="CH865" s="430"/>
      <c r="CI865" s="430"/>
      <c r="CJ865" s="430"/>
      <c r="CK865" s="430"/>
      <c r="CL865" s="430"/>
    </row>
    <row r="866" spans="63:90" ht="14.25" customHeight="1">
      <c r="BK866" s="430"/>
      <c r="BL866" s="430"/>
      <c r="BM866" s="430"/>
      <c r="BN866" s="430"/>
      <c r="BO866" s="430"/>
      <c r="BP866" s="430"/>
      <c r="BQ866" s="430"/>
      <c r="BR866" s="430"/>
      <c r="BS866" s="430"/>
      <c r="BT866" s="430"/>
      <c r="BU866" s="430"/>
      <c r="BV866" s="430"/>
      <c r="BW866" s="430"/>
      <c r="BX866" s="430"/>
      <c r="BY866" s="430"/>
      <c r="BZ866" s="430"/>
      <c r="CA866" s="430"/>
      <c r="CB866" s="430"/>
      <c r="CC866" s="430"/>
      <c r="CD866" s="430"/>
      <c r="CE866" s="430"/>
      <c r="CF866" s="430"/>
      <c r="CG866" s="430"/>
      <c r="CH866" s="430"/>
      <c r="CI866" s="430"/>
      <c r="CJ866" s="430"/>
      <c r="CK866" s="430"/>
      <c r="CL866" s="430"/>
    </row>
    <row r="867" spans="63:90" ht="14.25" customHeight="1">
      <c r="BK867" s="430"/>
      <c r="BL867" s="430"/>
      <c r="BM867" s="430"/>
      <c r="BN867" s="430"/>
      <c r="BO867" s="430"/>
      <c r="BP867" s="430"/>
      <c r="BQ867" s="430"/>
      <c r="BR867" s="430"/>
      <c r="BS867" s="430"/>
      <c r="BT867" s="430"/>
      <c r="BU867" s="430"/>
      <c r="BV867" s="430"/>
      <c r="BW867" s="430"/>
      <c r="BX867" s="430"/>
      <c r="BY867" s="430"/>
      <c r="BZ867" s="430"/>
      <c r="CA867" s="430"/>
      <c r="CB867" s="430"/>
      <c r="CC867" s="430"/>
      <c r="CD867" s="430"/>
      <c r="CE867" s="430"/>
      <c r="CF867" s="430"/>
      <c r="CG867" s="430"/>
      <c r="CH867" s="430"/>
      <c r="CI867" s="430"/>
      <c r="CJ867" s="430"/>
      <c r="CK867" s="430"/>
      <c r="CL867" s="430"/>
    </row>
    <row r="868" spans="63:90" ht="14.25" customHeight="1">
      <c r="BK868" s="430"/>
      <c r="BL868" s="430"/>
      <c r="BM868" s="430"/>
      <c r="BN868" s="430"/>
      <c r="BO868" s="430"/>
      <c r="BP868" s="430"/>
      <c r="BQ868" s="430"/>
      <c r="BR868" s="430"/>
      <c r="BS868" s="430"/>
      <c r="BT868" s="430"/>
      <c r="BU868" s="430"/>
      <c r="BV868" s="430"/>
      <c r="BW868" s="430"/>
      <c r="BX868" s="430"/>
      <c r="BY868" s="430"/>
      <c r="BZ868" s="430"/>
      <c r="CA868" s="430"/>
      <c r="CB868" s="430"/>
      <c r="CC868" s="430"/>
      <c r="CD868" s="430"/>
      <c r="CE868" s="430"/>
      <c r="CF868" s="430"/>
      <c r="CG868" s="430"/>
      <c r="CH868" s="430"/>
      <c r="CI868" s="430"/>
      <c r="CJ868" s="430"/>
      <c r="CK868" s="430"/>
      <c r="CL868" s="430"/>
    </row>
    <row r="869" spans="63:90" ht="14.25" customHeight="1">
      <c r="BK869" s="430"/>
      <c r="BL869" s="430"/>
      <c r="BM869" s="430"/>
      <c r="BN869" s="430"/>
      <c r="BO869" s="430"/>
      <c r="BP869" s="430"/>
      <c r="BQ869" s="430"/>
      <c r="BR869" s="430"/>
      <c r="BS869" s="430"/>
      <c r="BT869" s="430"/>
      <c r="BU869" s="430"/>
      <c r="BV869" s="430"/>
      <c r="BW869" s="430"/>
      <c r="BX869" s="430"/>
      <c r="BY869" s="430"/>
      <c r="BZ869" s="430"/>
      <c r="CA869" s="430"/>
      <c r="CB869" s="430"/>
      <c r="CC869" s="430"/>
      <c r="CD869" s="430"/>
      <c r="CE869" s="430"/>
      <c r="CF869" s="430"/>
      <c r="CG869" s="430"/>
      <c r="CH869" s="430"/>
      <c r="CI869" s="430"/>
      <c r="CJ869" s="430"/>
      <c r="CK869" s="430"/>
      <c r="CL869" s="430"/>
    </row>
    <row r="870" spans="63:90" ht="14.25" customHeight="1">
      <c r="BK870" s="430"/>
      <c r="BL870" s="430"/>
      <c r="BM870" s="430"/>
      <c r="BN870" s="430"/>
      <c r="BO870" s="430"/>
      <c r="BP870" s="430"/>
      <c r="BQ870" s="430"/>
      <c r="BR870" s="430"/>
      <c r="BS870" s="430"/>
      <c r="BT870" s="430"/>
      <c r="BU870" s="430"/>
      <c r="BV870" s="430"/>
      <c r="BW870" s="430"/>
      <c r="BX870" s="430"/>
      <c r="BY870" s="430"/>
      <c r="BZ870" s="430"/>
      <c r="CA870" s="430"/>
      <c r="CB870" s="430"/>
      <c r="CC870" s="430"/>
      <c r="CD870" s="430"/>
      <c r="CE870" s="430"/>
      <c r="CF870" s="430"/>
      <c r="CG870" s="430"/>
      <c r="CH870" s="430"/>
      <c r="CI870" s="430"/>
      <c r="CJ870" s="430"/>
      <c r="CK870" s="430"/>
      <c r="CL870" s="430"/>
    </row>
    <row r="871" spans="63:90" ht="14.25" customHeight="1">
      <c r="BK871" s="430"/>
      <c r="BL871" s="430"/>
      <c r="BM871" s="430"/>
      <c r="BN871" s="430"/>
      <c r="BO871" s="430"/>
      <c r="BP871" s="430"/>
      <c r="BQ871" s="430"/>
      <c r="BR871" s="430"/>
      <c r="BS871" s="430"/>
      <c r="BT871" s="430"/>
      <c r="BU871" s="430"/>
      <c r="BV871" s="430"/>
      <c r="BW871" s="430"/>
      <c r="BX871" s="430"/>
      <c r="BY871" s="430"/>
      <c r="BZ871" s="430"/>
      <c r="CA871" s="430"/>
      <c r="CB871" s="430"/>
      <c r="CC871" s="430"/>
      <c r="CD871" s="430"/>
      <c r="CE871" s="430"/>
      <c r="CF871" s="430"/>
      <c r="CG871" s="430"/>
      <c r="CH871" s="430"/>
      <c r="CI871" s="430"/>
      <c r="CJ871" s="430"/>
      <c r="CK871" s="430"/>
      <c r="CL871" s="430"/>
    </row>
    <row r="872" spans="63:90" ht="14.25" customHeight="1">
      <c r="BK872" s="430"/>
      <c r="BL872" s="430"/>
      <c r="BM872" s="430"/>
      <c r="BN872" s="430"/>
      <c r="BO872" s="430"/>
      <c r="BP872" s="430"/>
      <c r="BQ872" s="430"/>
      <c r="BR872" s="430"/>
      <c r="BS872" s="430"/>
      <c r="BT872" s="430"/>
      <c r="BU872" s="430"/>
      <c r="BV872" s="430"/>
      <c r="BW872" s="430"/>
      <c r="BX872" s="430"/>
      <c r="BY872" s="430"/>
      <c r="BZ872" s="430"/>
      <c r="CA872" s="430"/>
      <c r="CB872" s="430"/>
      <c r="CC872" s="430"/>
      <c r="CD872" s="430"/>
      <c r="CE872" s="430"/>
      <c r="CF872" s="430"/>
      <c r="CG872" s="430"/>
      <c r="CH872" s="430"/>
      <c r="CI872" s="430"/>
      <c r="CJ872" s="430"/>
      <c r="CK872" s="430"/>
      <c r="CL872" s="430"/>
    </row>
    <row r="873" spans="63:90" ht="14.25" customHeight="1">
      <c r="BK873" s="430"/>
      <c r="BL873" s="430"/>
      <c r="BM873" s="430"/>
      <c r="BN873" s="430"/>
      <c r="BO873" s="430"/>
      <c r="BP873" s="430"/>
      <c r="BQ873" s="430"/>
      <c r="BR873" s="430"/>
      <c r="BS873" s="430"/>
      <c r="BT873" s="430"/>
      <c r="BU873" s="430"/>
      <c r="BV873" s="430"/>
      <c r="BW873" s="430"/>
      <c r="BX873" s="430"/>
      <c r="BY873" s="430"/>
      <c r="BZ873" s="430"/>
      <c r="CA873" s="430"/>
      <c r="CB873" s="430"/>
      <c r="CC873" s="430"/>
      <c r="CD873" s="430"/>
      <c r="CE873" s="430"/>
      <c r="CF873" s="430"/>
      <c r="CG873" s="430"/>
      <c r="CH873" s="430"/>
      <c r="CI873" s="430"/>
      <c r="CJ873" s="430"/>
      <c r="CK873" s="430"/>
      <c r="CL873" s="430"/>
    </row>
    <row r="874" spans="63:90" ht="14.25" customHeight="1">
      <c r="BK874" s="430"/>
      <c r="BL874" s="430"/>
      <c r="BM874" s="430"/>
      <c r="BN874" s="430"/>
      <c r="BO874" s="430"/>
      <c r="BP874" s="430"/>
      <c r="BQ874" s="430"/>
      <c r="BR874" s="430"/>
      <c r="BS874" s="430"/>
      <c r="BT874" s="430"/>
      <c r="BU874" s="430"/>
      <c r="BV874" s="430"/>
      <c r="BW874" s="430"/>
      <c r="BX874" s="430"/>
      <c r="BY874" s="430"/>
      <c r="BZ874" s="430"/>
      <c r="CA874" s="430"/>
      <c r="CB874" s="430"/>
      <c r="CC874" s="430"/>
      <c r="CD874" s="430"/>
      <c r="CE874" s="430"/>
      <c r="CF874" s="430"/>
      <c r="CG874" s="430"/>
      <c r="CH874" s="430"/>
      <c r="CI874" s="430"/>
      <c r="CJ874" s="430"/>
      <c r="CK874" s="430"/>
      <c r="CL874" s="430"/>
    </row>
    <row r="875" spans="63:90" ht="14.25" customHeight="1">
      <c r="BK875" s="430"/>
      <c r="BL875" s="430"/>
      <c r="BM875" s="430"/>
      <c r="BN875" s="430"/>
      <c r="BO875" s="430"/>
      <c r="BP875" s="430"/>
      <c r="BQ875" s="430"/>
      <c r="BR875" s="430"/>
      <c r="BS875" s="430"/>
      <c r="BT875" s="430"/>
      <c r="BU875" s="430"/>
      <c r="BV875" s="430"/>
      <c r="BW875" s="430"/>
      <c r="BX875" s="430"/>
      <c r="BY875" s="430"/>
      <c r="BZ875" s="430"/>
      <c r="CA875" s="430"/>
      <c r="CB875" s="430"/>
      <c r="CC875" s="430"/>
      <c r="CD875" s="430"/>
      <c r="CE875" s="430"/>
      <c r="CF875" s="430"/>
      <c r="CG875" s="430"/>
      <c r="CH875" s="430"/>
      <c r="CI875" s="430"/>
      <c r="CJ875" s="430"/>
      <c r="CK875" s="430"/>
      <c r="CL875" s="430"/>
    </row>
    <row r="876" spans="63:90" ht="14.25" customHeight="1">
      <c r="BK876" s="430"/>
      <c r="BL876" s="430"/>
      <c r="BM876" s="430"/>
      <c r="BN876" s="430"/>
      <c r="BO876" s="430"/>
      <c r="BP876" s="430"/>
      <c r="BQ876" s="430"/>
      <c r="BR876" s="430"/>
      <c r="BS876" s="430"/>
      <c r="BT876" s="430"/>
      <c r="BU876" s="430"/>
      <c r="BV876" s="430"/>
      <c r="BW876" s="430"/>
      <c r="BX876" s="430"/>
      <c r="BY876" s="430"/>
      <c r="BZ876" s="430"/>
      <c r="CA876" s="430"/>
      <c r="CB876" s="430"/>
      <c r="CC876" s="430"/>
      <c r="CD876" s="430"/>
      <c r="CE876" s="430"/>
      <c r="CF876" s="430"/>
      <c r="CG876" s="430"/>
      <c r="CH876" s="430"/>
      <c r="CI876" s="430"/>
      <c r="CJ876" s="430"/>
      <c r="CK876" s="430"/>
      <c r="CL876" s="430"/>
    </row>
    <row r="877" spans="63:90" ht="14.25" customHeight="1">
      <c r="BK877" s="430"/>
      <c r="BL877" s="430"/>
      <c r="BM877" s="430"/>
      <c r="BN877" s="430"/>
      <c r="BO877" s="430"/>
      <c r="BP877" s="430"/>
      <c r="BQ877" s="430"/>
      <c r="BR877" s="430"/>
      <c r="BS877" s="430"/>
      <c r="BT877" s="430"/>
      <c r="BU877" s="430"/>
      <c r="BV877" s="430"/>
      <c r="BW877" s="430"/>
      <c r="BX877" s="430"/>
      <c r="BY877" s="430"/>
      <c r="BZ877" s="430"/>
      <c r="CA877" s="430"/>
      <c r="CB877" s="430"/>
      <c r="CC877" s="430"/>
      <c r="CD877" s="430"/>
      <c r="CE877" s="430"/>
      <c r="CF877" s="430"/>
      <c r="CG877" s="430"/>
      <c r="CH877" s="430"/>
      <c r="CI877" s="430"/>
      <c r="CJ877" s="430"/>
      <c r="CK877" s="430"/>
      <c r="CL877" s="430"/>
    </row>
    <row r="878" spans="63:90" ht="14.25" customHeight="1">
      <c r="BK878" s="430"/>
      <c r="BL878" s="430"/>
      <c r="BM878" s="430"/>
      <c r="BN878" s="430"/>
      <c r="BO878" s="430"/>
      <c r="BP878" s="430"/>
      <c r="BQ878" s="430"/>
      <c r="BR878" s="430"/>
      <c r="BS878" s="430"/>
      <c r="BT878" s="430"/>
      <c r="BU878" s="430"/>
      <c r="BV878" s="430"/>
      <c r="BW878" s="430"/>
      <c r="BX878" s="430"/>
      <c r="BY878" s="430"/>
      <c r="BZ878" s="430"/>
      <c r="CA878" s="430"/>
      <c r="CB878" s="430"/>
      <c r="CC878" s="430"/>
      <c r="CD878" s="430"/>
      <c r="CE878" s="430"/>
      <c r="CF878" s="430"/>
      <c r="CG878" s="430"/>
      <c r="CH878" s="430"/>
      <c r="CI878" s="430"/>
      <c r="CJ878" s="430"/>
      <c r="CK878" s="430"/>
      <c r="CL878" s="430"/>
    </row>
    <row r="879" spans="63:90" ht="14.25" customHeight="1">
      <c r="BK879" s="430"/>
      <c r="BL879" s="430"/>
      <c r="BM879" s="430"/>
      <c r="BN879" s="430"/>
      <c r="BO879" s="430"/>
      <c r="BP879" s="430"/>
      <c r="BQ879" s="430"/>
      <c r="BR879" s="430"/>
      <c r="BS879" s="430"/>
      <c r="BT879" s="430"/>
      <c r="BU879" s="430"/>
      <c r="BV879" s="430"/>
      <c r="BW879" s="430"/>
      <c r="BX879" s="430"/>
      <c r="BY879" s="430"/>
      <c r="BZ879" s="430"/>
      <c r="CA879" s="430"/>
      <c r="CB879" s="430"/>
      <c r="CC879" s="430"/>
      <c r="CD879" s="430"/>
      <c r="CE879" s="430"/>
      <c r="CF879" s="430"/>
      <c r="CG879" s="430"/>
      <c r="CH879" s="430"/>
      <c r="CI879" s="430"/>
      <c r="CJ879" s="430"/>
      <c r="CK879" s="430"/>
      <c r="CL879" s="430"/>
    </row>
    <row r="880" spans="63:90" ht="14.25" customHeight="1">
      <c r="BK880" s="430"/>
      <c r="BL880" s="430"/>
      <c r="BM880" s="430"/>
      <c r="BN880" s="430"/>
      <c r="BO880" s="430"/>
      <c r="BP880" s="430"/>
      <c r="BQ880" s="430"/>
      <c r="BR880" s="430"/>
      <c r="BS880" s="430"/>
      <c r="BT880" s="430"/>
      <c r="BU880" s="430"/>
      <c r="BV880" s="430"/>
      <c r="BW880" s="430"/>
      <c r="BX880" s="430"/>
      <c r="BY880" s="430"/>
      <c r="BZ880" s="430"/>
      <c r="CA880" s="430"/>
      <c r="CB880" s="430"/>
      <c r="CC880" s="430"/>
      <c r="CD880" s="430"/>
      <c r="CE880" s="430"/>
      <c r="CF880" s="430"/>
      <c r="CG880" s="430"/>
      <c r="CH880" s="430"/>
      <c r="CI880" s="430"/>
      <c r="CJ880" s="430"/>
      <c r="CK880" s="430"/>
      <c r="CL880" s="430"/>
    </row>
    <row r="881" spans="63:90" ht="14.25" customHeight="1">
      <c r="BK881" s="430"/>
      <c r="BL881" s="430"/>
      <c r="BM881" s="430"/>
      <c r="BN881" s="430"/>
      <c r="BO881" s="430"/>
      <c r="BP881" s="430"/>
      <c r="BQ881" s="430"/>
      <c r="BR881" s="430"/>
      <c r="BS881" s="430"/>
      <c r="BT881" s="430"/>
      <c r="BU881" s="430"/>
      <c r="BV881" s="430"/>
      <c r="BW881" s="430"/>
      <c r="BX881" s="430"/>
      <c r="BY881" s="430"/>
      <c r="BZ881" s="430"/>
      <c r="CA881" s="430"/>
      <c r="CB881" s="430"/>
      <c r="CC881" s="430"/>
      <c r="CD881" s="430"/>
      <c r="CE881" s="430"/>
      <c r="CF881" s="430"/>
      <c r="CG881" s="430"/>
      <c r="CH881" s="430"/>
      <c r="CI881" s="430"/>
      <c r="CJ881" s="430"/>
      <c r="CK881" s="430"/>
      <c r="CL881" s="430"/>
    </row>
    <row r="882" spans="63:90" ht="14.25" customHeight="1">
      <c r="BK882" s="430"/>
      <c r="BL882" s="430"/>
      <c r="BM882" s="430"/>
      <c r="BN882" s="430"/>
      <c r="BO882" s="430"/>
      <c r="BP882" s="430"/>
      <c r="BQ882" s="430"/>
      <c r="BR882" s="430"/>
      <c r="BS882" s="430"/>
      <c r="BT882" s="430"/>
      <c r="BU882" s="430"/>
      <c r="BV882" s="430"/>
      <c r="BW882" s="430"/>
      <c r="BX882" s="430"/>
      <c r="BY882" s="430"/>
      <c r="BZ882" s="430"/>
      <c r="CA882" s="430"/>
      <c r="CB882" s="430"/>
      <c r="CC882" s="430"/>
      <c r="CD882" s="430"/>
      <c r="CE882" s="430"/>
      <c r="CF882" s="430"/>
      <c r="CG882" s="430"/>
      <c r="CH882" s="430"/>
      <c r="CI882" s="430"/>
      <c r="CJ882" s="430"/>
      <c r="CK882" s="430"/>
      <c r="CL882" s="430"/>
    </row>
    <row r="883" spans="63:90" ht="14.25" customHeight="1">
      <c r="BK883" s="430"/>
      <c r="BL883" s="430"/>
      <c r="BM883" s="430"/>
      <c r="BN883" s="430"/>
      <c r="BO883" s="430"/>
      <c r="BP883" s="430"/>
      <c r="BQ883" s="430"/>
      <c r="BR883" s="430"/>
      <c r="BS883" s="430"/>
      <c r="BT883" s="430"/>
      <c r="BU883" s="430"/>
      <c r="BV883" s="430"/>
      <c r="BW883" s="430"/>
      <c r="BX883" s="430"/>
      <c r="BY883" s="430"/>
      <c r="BZ883" s="430"/>
      <c r="CA883" s="430"/>
      <c r="CB883" s="430"/>
      <c r="CC883" s="430"/>
      <c r="CD883" s="430"/>
      <c r="CE883" s="430"/>
      <c r="CF883" s="430"/>
      <c r="CG883" s="430"/>
      <c r="CH883" s="430"/>
      <c r="CI883" s="430"/>
      <c r="CJ883" s="430"/>
      <c r="CK883" s="430"/>
      <c r="CL883" s="430"/>
    </row>
    <row r="884" spans="63:90" ht="14.25" customHeight="1">
      <c r="BK884" s="430"/>
      <c r="BL884" s="430"/>
      <c r="BM884" s="430"/>
      <c r="BN884" s="430"/>
      <c r="BO884" s="430"/>
      <c r="BP884" s="430"/>
      <c r="BQ884" s="430"/>
      <c r="BR884" s="430"/>
      <c r="BS884" s="430"/>
      <c r="BT884" s="430"/>
      <c r="BU884" s="430"/>
      <c r="BV884" s="430"/>
      <c r="BW884" s="430"/>
      <c r="BX884" s="430"/>
      <c r="BY884" s="430"/>
      <c r="BZ884" s="430"/>
      <c r="CA884" s="430"/>
      <c r="CB884" s="430"/>
      <c r="CC884" s="430"/>
      <c r="CD884" s="430"/>
      <c r="CE884" s="430"/>
      <c r="CF884" s="430"/>
      <c r="CG884" s="430"/>
      <c r="CH884" s="430"/>
      <c r="CI884" s="430"/>
      <c r="CJ884" s="430"/>
      <c r="CK884" s="430"/>
      <c r="CL884" s="430"/>
    </row>
    <row r="885" spans="63:90" ht="14.25" customHeight="1">
      <c r="BK885" s="430"/>
      <c r="BL885" s="430"/>
      <c r="BM885" s="430"/>
      <c r="BN885" s="430"/>
      <c r="BO885" s="430"/>
      <c r="BP885" s="430"/>
      <c r="BQ885" s="430"/>
      <c r="BR885" s="430"/>
      <c r="BS885" s="430"/>
      <c r="BT885" s="430"/>
      <c r="BU885" s="430"/>
      <c r="BV885" s="430"/>
      <c r="BW885" s="430"/>
      <c r="BX885" s="430"/>
      <c r="BY885" s="430"/>
      <c r="BZ885" s="430"/>
      <c r="CA885" s="430"/>
      <c r="CB885" s="430"/>
      <c r="CC885" s="430"/>
      <c r="CD885" s="430"/>
      <c r="CE885" s="430"/>
      <c r="CF885" s="430"/>
      <c r="CG885" s="430"/>
      <c r="CH885" s="430"/>
      <c r="CI885" s="430"/>
      <c r="CJ885" s="430"/>
      <c r="CK885" s="430"/>
      <c r="CL885" s="430"/>
    </row>
    <row r="886" spans="63:90" ht="14.25" customHeight="1">
      <c r="BK886" s="430"/>
      <c r="BL886" s="430"/>
      <c r="BM886" s="430"/>
      <c r="BN886" s="430"/>
      <c r="BO886" s="430"/>
      <c r="BP886" s="430"/>
      <c r="BQ886" s="430"/>
      <c r="BR886" s="430"/>
      <c r="BS886" s="430"/>
      <c r="BT886" s="430"/>
      <c r="BU886" s="430"/>
      <c r="BV886" s="430"/>
      <c r="BW886" s="430"/>
      <c r="BX886" s="430"/>
      <c r="BY886" s="430"/>
      <c r="BZ886" s="430"/>
      <c r="CA886" s="430"/>
      <c r="CB886" s="430"/>
      <c r="CC886" s="430"/>
      <c r="CD886" s="430"/>
      <c r="CE886" s="430"/>
      <c r="CF886" s="430"/>
      <c r="CG886" s="430"/>
      <c r="CH886" s="430"/>
      <c r="CI886" s="430"/>
      <c r="CJ886" s="430"/>
      <c r="CK886" s="430"/>
      <c r="CL886" s="430"/>
    </row>
    <row r="887" spans="63:90" ht="14.25" customHeight="1">
      <c r="BK887" s="430"/>
      <c r="BL887" s="430"/>
      <c r="BM887" s="430"/>
      <c r="BN887" s="430"/>
      <c r="BO887" s="430"/>
      <c r="BP887" s="430"/>
      <c r="BQ887" s="430"/>
      <c r="BR887" s="430"/>
      <c r="BS887" s="430"/>
      <c r="BT887" s="430"/>
      <c r="BU887" s="430"/>
      <c r="BV887" s="430"/>
      <c r="BW887" s="430"/>
      <c r="BX887" s="430"/>
      <c r="BY887" s="430"/>
      <c r="BZ887" s="430"/>
      <c r="CA887" s="430"/>
      <c r="CB887" s="430"/>
      <c r="CC887" s="430"/>
      <c r="CD887" s="430"/>
      <c r="CE887" s="430"/>
      <c r="CF887" s="430"/>
      <c r="CG887" s="430"/>
      <c r="CH887" s="430"/>
      <c r="CI887" s="430"/>
      <c r="CJ887" s="430"/>
      <c r="CK887" s="430"/>
      <c r="CL887" s="430"/>
    </row>
    <row r="888" spans="63:90" ht="14.25" customHeight="1">
      <c r="BK888" s="430"/>
      <c r="BL888" s="430"/>
      <c r="BM888" s="430"/>
      <c r="BN888" s="430"/>
      <c r="BO888" s="430"/>
      <c r="BP888" s="430"/>
      <c r="BQ888" s="430"/>
      <c r="BR888" s="430"/>
      <c r="BS888" s="430"/>
      <c r="BT888" s="430"/>
      <c r="BU888" s="430"/>
      <c r="BV888" s="430"/>
      <c r="BW888" s="430"/>
      <c r="BX888" s="430"/>
      <c r="BY888" s="430"/>
      <c r="BZ888" s="430"/>
      <c r="CA888" s="430"/>
      <c r="CB888" s="430"/>
      <c r="CC888" s="430"/>
      <c r="CD888" s="430"/>
      <c r="CE888" s="430"/>
      <c r="CF888" s="430"/>
      <c r="CG888" s="430"/>
      <c r="CH888" s="430"/>
      <c r="CI888" s="430"/>
      <c r="CJ888" s="430"/>
      <c r="CK888" s="430"/>
      <c r="CL888" s="430"/>
    </row>
    <row r="889" spans="63:90" ht="14.25" customHeight="1">
      <c r="BK889" s="430"/>
      <c r="BL889" s="430"/>
      <c r="BM889" s="430"/>
      <c r="BN889" s="430"/>
      <c r="BO889" s="430"/>
      <c r="BP889" s="430"/>
      <c r="BQ889" s="430"/>
      <c r="BR889" s="430"/>
      <c r="BS889" s="430"/>
      <c r="BT889" s="430"/>
      <c r="BU889" s="430"/>
      <c r="BV889" s="430"/>
      <c r="BW889" s="430"/>
      <c r="BX889" s="430"/>
      <c r="BY889" s="430"/>
      <c r="BZ889" s="430"/>
      <c r="CA889" s="430"/>
      <c r="CB889" s="430"/>
      <c r="CC889" s="430"/>
      <c r="CD889" s="430"/>
      <c r="CE889" s="430"/>
      <c r="CF889" s="430"/>
      <c r="CG889" s="430"/>
      <c r="CH889" s="430"/>
      <c r="CI889" s="430"/>
      <c r="CJ889" s="430"/>
      <c r="CK889" s="430"/>
      <c r="CL889" s="430"/>
    </row>
    <row r="890" spans="63:90" ht="14.25" customHeight="1">
      <c r="BK890" s="430"/>
      <c r="BL890" s="430"/>
      <c r="BM890" s="430"/>
      <c r="BN890" s="430"/>
      <c r="BO890" s="430"/>
      <c r="BP890" s="430"/>
      <c r="BQ890" s="430"/>
      <c r="BR890" s="430"/>
      <c r="BS890" s="430"/>
      <c r="BT890" s="430"/>
      <c r="BU890" s="430"/>
      <c r="BV890" s="430"/>
      <c r="BW890" s="430"/>
      <c r="BX890" s="430"/>
      <c r="BY890" s="430"/>
      <c r="BZ890" s="430"/>
      <c r="CA890" s="430"/>
      <c r="CB890" s="430"/>
      <c r="CC890" s="430"/>
      <c r="CD890" s="430"/>
      <c r="CE890" s="430"/>
      <c r="CF890" s="430"/>
      <c r="CG890" s="430"/>
      <c r="CH890" s="430"/>
      <c r="CI890" s="430"/>
      <c r="CJ890" s="430"/>
      <c r="CK890" s="430"/>
      <c r="CL890" s="430"/>
    </row>
    <row r="891" spans="63:90" ht="14.25" customHeight="1">
      <c r="BK891" s="430"/>
      <c r="BL891" s="430"/>
      <c r="BM891" s="430"/>
      <c r="BN891" s="430"/>
      <c r="BO891" s="430"/>
      <c r="BP891" s="430"/>
      <c r="BQ891" s="430"/>
      <c r="BR891" s="430"/>
      <c r="BS891" s="430"/>
      <c r="BT891" s="430"/>
      <c r="BU891" s="430"/>
      <c r="BV891" s="430"/>
      <c r="BW891" s="430"/>
      <c r="BX891" s="430"/>
      <c r="BY891" s="430"/>
      <c r="BZ891" s="430"/>
      <c r="CA891" s="430"/>
      <c r="CB891" s="430"/>
      <c r="CC891" s="430"/>
      <c r="CD891" s="430"/>
      <c r="CE891" s="430"/>
      <c r="CF891" s="430"/>
      <c r="CG891" s="430"/>
      <c r="CH891" s="430"/>
      <c r="CI891" s="430"/>
      <c r="CJ891" s="430"/>
      <c r="CK891" s="430"/>
      <c r="CL891" s="430"/>
    </row>
    <row r="892" spans="63:90" ht="14.25" customHeight="1">
      <c r="BK892" s="430"/>
      <c r="BL892" s="430"/>
      <c r="BM892" s="430"/>
      <c r="BN892" s="430"/>
      <c r="BO892" s="430"/>
      <c r="BP892" s="430"/>
      <c r="BQ892" s="430"/>
      <c r="BR892" s="430"/>
      <c r="BS892" s="430"/>
      <c r="BT892" s="430"/>
      <c r="BU892" s="430"/>
      <c r="BV892" s="430"/>
      <c r="BW892" s="430"/>
      <c r="BX892" s="430"/>
      <c r="BY892" s="430"/>
      <c r="BZ892" s="430"/>
      <c r="CA892" s="430"/>
      <c r="CB892" s="430"/>
      <c r="CC892" s="430"/>
      <c r="CD892" s="430"/>
      <c r="CE892" s="430"/>
      <c r="CF892" s="430"/>
      <c r="CG892" s="430"/>
      <c r="CH892" s="430"/>
      <c r="CI892" s="430"/>
      <c r="CJ892" s="430"/>
      <c r="CK892" s="430"/>
      <c r="CL892" s="430"/>
    </row>
    <row r="893" spans="63:90" ht="14.25" customHeight="1">
      <c r="BK893" s="430"/>
      <c r="BL893" s="430"/>
      <c r="BM893" s="430"/>
      <c r="BN893" s="430"/>
      <c r="BO893" s="430"/>
      <c r="BP893" s="430"/>
      <c r="BQ893" s="430"/>
      <c r="BR893" s="430"/>
      <c r="BS893" s="430"/>
      <c r="BT893" s="430"/>
      <c r="BU893" s="430"/>
      <c r="BV893" s="430"/>
      <c r="BW893" s="430"/>
      <c r="BX893" s="430"/>
      <c r="BY893" s="430"/>
      <c r="BZ893" s="430"/>
      <c r="CA893" s="430"/>
      <c r="CB893" s="430"/>
      <c r="CC893" s="430"/>
      <c r="CD893" s="430"/>
      <c r="CE893" s="430"/>
      <c r="CF893" s="430"/>
      <c r="CG893" s="430"/>
      <c r="CH893" s="430"/>
      <c r="CI893" s="430"/>
      <c r="CJ893" s="430"/>
      <c r="CK893" s="430"/>
      <c r="CL893" s="430"/>
    </row>
    <row r="894" spans="63:90" ht="14.25" customHeight="1">
      <c r="BK894" s="430"/>
      <c r="BL894" s="430"/>
      <c r="BM894" s="430"/>
      <c r="BN894" s="430"/>
      <c r="BO894" s="430"/>
      <c r="BP894" s="430"/>
      <c r="BQ894" s="430"/>
      <c r="BR894" s="430"/>
      <c r="BS894" s="430"/>
      <c r="BT894" s="430"/>
      <c r="BU894" s="430"/>
      <c r="BV894" s="430"/>
      <c r="BW894" s="430"/>
      <c r="BX894" s="430"/>
      <c r="BY894" s="430"/>
      <c r="BZ894" s="430"/>
      <c r="CA894" s="430"/>
      <c r="CB894" s="430"/>
      <c r="CC894" s="430"/>
      <c r="CD894" s="430"/>
      <c r="CE894" s="430"/>
      <c r="CF894" s="430"/>
      <c r="CG894" s="430"/>
      <c r="CH894" s="430"/>
      <c r="CI894" s="430"/>
      <c r="CJ894" s="430"/>
      <c r="CK894" s="430"/>
      <c r="CL894" s="430"/>
    </row>
    <row r="895" spans="63:90" ht="14.25" customHeight="1">
      <c r="BK895" s="430"/>
      <c r="BL895" s="430"/>
      <c r="BM895" s="430"/>
      <c r="BN895" s="430"/>
      <c r="BO895" s="430"/>
      <c r="BP895" s="430"/>
      <c r="BQ895" s="430"/>
      <c r="BR895" s="430"/>
      <c r="BS895" s="430"/>
      <c r="BT895" s="430"/>
      <c r="BU895" s="430"/>
      <c r="BV895" s="430"/>
      <c r="BW895" s="430"/>
      <c r="BX895" s="430"/>
      <c r="BY895" s="430"/>
      <c r="BZ895" s="430"/>
      <c r="CA895" s="430"/>
      <c r="CB895" s="430"/>
      <c r="CC895" s="430"/>
      <c r="CD895" s="430"/>
      <c r="CE895" s="430"/>
      <c r="CF895" s="430"/>
      <c r="CG895" s="430"/>
      <c r="CH895" s="430"/>
      <c r="CI895" s="430"/>
      <c r="CJ895" s="430"/>
      <c r="CK895" s="430"/>
      <c r="CL895" s="430"/>
    </row>
    <row r="896" spans="63:90" ht="14.25" customHeight="1">
      <c r="BK896" s="430"/>
      <c r="BL896" s="430"/>
      <c r="BM896" s="430"/>
      <c r="BN896" s="430"/>
      <c r="BO896" s="430"/>
      <c r="BP896" s="430"/>
      <c r="BQ896" s="430"/>
      <c r="BR896" s="430"/>
      <c r="BS896" s="430"/>
      <c r="BT896" s="430"/>
      <c r="BU896" s="430"/>
      <c r="BV896" s="430"/>
      <c r="BW896" s="430"/>
      <c r="BX896" s="430"/>
      <c r="BY896" s="430"/>
      <c r="BZ896" s="430"/>
      <c r="CA896" s="430"/>
      <c r="CB896" s="430"/>
      <c r="CC896" s="430"/>
      <c r="CD896" s="430"/>
      <c r="CE896" s="430"/>
      <c r="CF896" s="430"/>
      <c r="CG896" s="430"/>
      <c r="CH896" s="430"/>
      <c r="CI896" s="430"/>
      <c r="CJ896" s="430"/>
      <c r="CK896" s="430"/>
      <c r="CL896" s="430"/>
    </row>
    <row r="897" spans="63:90" ht="14.25" customHeight="1">
      <c r="BK897" s="430"/>
      <c r="BL897" s="430"/>
      <c r="BM897" s="430"/>
      <c r="BN897" s="430"/>
      <c r="BO897" s="430"/>
      <c r="BP897" s="430"/>
      <c r="BQ897" s="430"/>
      <c r="BR897" s="430"/>
      <c r="BS897" s="430"/>
      <c r="BT897" s="430"/>
      <c r="BU897" s="430"/>
      <c r="BV897" s="430"/>
      <c r="BW897" s="430"/>
      <c r="BX897" s="430"/>
      <c r="BY897" s="430"/>
      <c r="BZ897" s="430"/>
      <c r="CA897" s="430"/>
      <c r="CB897" s="430"/>
      <c r="CC897" s="430"/>
      <c r="CD897" s="430"/>
      <c r="CE897" s="430"/>
      <c r="CF897" s="430"/>
      <c r="CG897" s="430"/>
      <c r="CH897" s="430"/>
      <c r="CI897" s="430"/>
      <c r="CJ897" s="430"/>
      <c r="CK897" s="430"/>
      <c r="CL897" s="430"/>
    </row>
    <row r="898" spans="63:90" ht="14.25" customHeight="1">
      <c r="BK898" s="430"/>
      <c r="BL898" s="430"/>
      <c r="BM898" s="430"/>
      <c r="BN898" s="430"/>
      <c r="BO898" s="430"/>
      <c r="BP898" s="430"/>
      <c r="BQ898" s="430"/>
      <c r="BR898" s="430"/>
      <c r="BS898" s="430"/>
      <c r="BT898" s="430"/>
      <c r="BU898" s="430"/>
      <c r="BV898" s="430"/>
      <c r="BW898" s="430"/>
      <c r="BX898" s="430"/>
      <c r="BY898" s="430"/>
      <c r="BZ898" s="430"/>
      <c r="CA898" s="430"/>
      <c r="CB898" s="430"/>
      <c r="CC898" s="430"/>
      <c r="CD898" s="430"/>
      <c r="CE898" s="430"/>
      <c r="CF898" s="430"/>
      <c r="CG898" s="430"/>
      <c r="CH898" s="430"/>
      <c r="CI898" s="430"/>
      <c r="CJ898" s="430"/>
      <c r="CK898" s="430"/>
      <c r="CL898" s="430"/>
    </row>
    <row r="899" spans="63:90" ht="14.25" customHeight="1">
      <c r="BK899" s="430"/>
      <c r="BL899" s="430"/>
      <c r="BM899" s="430"/>
      <c r="BN899" s="430"/>
      <c r="BO899" s="430"/>
      <c r="BP899" s="430"/>
      <c r="BQ899" s="430"/>
      <c r="BR899" s="430"/>
      <c r="BS899" s="430"/>
      <c r="BT899" s="430"/>
      <c r="BU899" s="430"/>
      <c r="BV899" s="430"/>
      <c r="BW899" s="430"/>
      <c r="BX899" s="430"/>
      <c r="BY899" s="430"/>
      <c r="BZ899" s="430"/>
      <c r="CA899" s="430"/>
      <c r="CB899" s="430"/>
      <c r="CC899" s="430"/>
      <c r="CD899" s="430"/>
      <c r="CE899" s="430"/>
      <c r="CF899" s="430"/>
      <c r="CG899" s="430"/>
      <c r="CH899" s="430"/>
      <c r="CI899" s="430"/>
      <c r="CJ899" s="430"/>
      <c r="CK899" s="430"/>
      <c r="CL899" s="430"/>
    </row>
    <row r="900" spans="63:90" ht="14.25" customHeight="1">
      <c r="BK900" s="430"/>
      <c r="BL900" s="430"/>
      <c r="BM900" s="430"/>
      <c r="BN900" s="430"/>
      <c r="BO900" s="430"/>
      <c r="BP900" s="430"/>
      <c r="BQ900" s="430"/>
      <c r="BR900" s="430"/>
      <c r="BS900" s="430"/>
      <c r="BT900" s="430"/>
      <c r="BU900" s="430"/>
      <c r="BV900" s="430"/>
      <c r="BW900" s="430"/>
      <c r="BX900" s="430"/>
      <c r="BY900" s="430"/>
      <c r="BZ900" s="430"/>
      <c r="CA900" s="430"/>
      <c r="CB900" s="430"/>
      <c r="CC900" s="430"/>
      <c r="CD900" s="430"/>
      <c r="CE900" s="430"/>
      <c r="CF900" s="430"/>
      <c r="CG900" s="430"/>
      <c r="CH900" s="430"/>
      <c r="CI900" s="430"/>
      <c r="CJ900" s="430"/>
      <c r="CK900" s="430"/>
      <c r="CL900" s="430"/>
    </row>
    <row r="901" spans="63:90" ht="14.25" customHeight="1">
      <c r="BK901" s="430"/>
      <c r="BL901" s="430"/>
      <c r="BM901" s="430"/>
      <c r="BN901" s="430"/>
      <c r="BO901" s="430"/>
      <c r="BP901" s="430"/>
      <c r="BQ901" s="430"/>
      <c r="BR901" s="430"/>
      <c r="BS901" s="430"/>
      <c r="BT901" s="430"/>
      <c r="BU901" s="430"/>
      <c r="BV901" s="430"/>
      <c r="BW901" s="430"/>
      <c r="BX901" s="430"/>
      <c r="BY901" s="430"/>
      <c r="BZ901" s="430"/>
      <c r="CA901" s="430"/>
      <c r="CB901" s="430"/>
      <c r="CC901" s="430"/>
      <c r="CD901" s="430"/>
      <c r="CE901" s="430"/>
      <c r="CF901" s="430"/>
      <c r="CG901" s="430"/>
      <c r="CH901" s="430"/>
      <c r="CI901" s="430"/>
      <c r="CJ901" s="430"/>
      <c r="CK901" s="430"/>
      <c r="CL901" s="430"/>
    </row>
    <row r="902" spans="63:90" ht="14.25" customHeight="1">
      <c r="BK902" s="430"/>
      <c r="BL902" s="430"/>
      <c r="BM902" s="430"/>
      <c r="BN902" s="430"/>
      <c r="BO902" s="430"/>
      <c r="BP902" s="430"/>
      <c r="BQ902" s="430"/>
      <c r="BR902" s="430"/>
      <c r="BS902" s="430"/>
      <c r="BT902" s="430"/>
      <c r="BU902" s="430"/>
      <c r="BV902" s="430"/>
      <c r="BW902" s="430"/>
      <c r="BX902" s="430"/>
      <c r="BY902" s="430"/>
      <c r="BZ902" s="430"/>
      <c r="CA902" s="430"/>
      <c r="CB902" s="430"/>
      <c r="CC902" s="430"/>
      <c r="CD902" s="430"/>
      <c r="CE902" s="430"/>
      <c r="CF902" s="430"/>
      <c r="CG902" s="430"/>
      <c r="CH902" s="430"/>
      <c r="CI902" s="430"/>
      <c r="CJ902" s="430"/>
      <c r="CK902" s="430"/>
      <c r="CL902" s="430"/>
    </row>
    <row r="903" spans="63:90" ht="14.25" customHeight="1">
      <c r="BK903" s="430"/>
      <c r="BL903" s="430"/>
      <c r="BM903" s="430"/>
      <c r="BN903" s="430"/>
      <c r="BO903" s="430"/>
      <c r="BP903" s="430"/>
      <c r="BQ903" s="430"/>
      <c r="BR903" s="430"/>
      <c r="BS903" s="430"/>
      <c r="BT903" s="430"/>
      <c r="BU903" s="430"/>
      <c r="BV903" s="430"/>
      <c r="BW903" s="430"/>
      <c r="BX903" s="430"/>
      <c r="BY903" s="430"/>
      <c r="BZ903" s="430"/>
      <c r="CA903" s="430"/>
      <c r="CB903" s="430"/>
      <c r="CC903" s="430"/>
      <c r="CD903" s="430"/>
      <c r="CE903" s="430"/>
      <c r="CF903" s="430"/>
      <c r="CG903" s="430"/>
      <c r="CH903" s="430"/>
      <c r="CI903" s="430"/>
      <c r="CJ903" s="430"/>
      <c r="CK903" s="430"/>
      <c r="CL903" s="430"/>
    </row>
    <row r="904" spans="63:90" ht="14.25" customHeight="1">
      <c r="BK904" s="430"/>
      <c r="BL904" s="430"/>
      <c r="BM904" s="430"/>
      <c r="BN904" s="430"/>
      <c r="BO904" s="430"/>
      <c r="BP904" s="430"/>
      <c r="BQ904" s="430"/>
      <c r="BR904" s="430"/>
      <c r="BS904" s="430"/>
      <c r="BT904" s="430"/>
      <c r="BU904" s="430"/>
      <c r="BV904" s="430"/>
      <c r="BW904" s="430"/>
      <c r="BX904" s="430"/>
      <c r="BY904" s="430"/>
      <c r="BZ904" s="430"/>
      <c r="CA904" s="430"/>
      <c r="CB904" s="430"/>
      <c r="CC904" s="430"/>
      <c r="CD904" s="430"/>
      <c r="CE904" s="430"/>
      <c r="CF904" s="430"/>
      <c r="CG904" s="430"/>
      <c r="CH904" s="430"/>
      <c r="CI904" s="430"/>
      <c r="CJ904" s="430"/>
      <c r="CK904" s="430"/>
      <c r="CL904" s="430"/>
    </row>
    <row r="905" spans="63:90" ht="14.25" customHeight="1">
      <c r="BK905" s="430"/>
      <c r="BL905" s="430"/>
      <c r="BM905" s="430"/>
      <c r="BN905" s="430"/>
      <c r="BO905" s="430"/>
      <c r="BP905" s="430"/>
      <c r="BQ905" s="430"/>
      <c r="BR905" s="430"/>
      <c r="BS905" s="430"/>
      <c r="BT905" s="430"/>
      <c r="BU905" s="430"/>
      <c r="BV905" s="430"/>
      <c r="BW905" s="430"/>
      <c r="BX905" s="430"/>
      <c r="BY905" s="430"/>
      <c r="BZ905" s="430"/>
      <c r="CA905" s="430"/>
      <c r="CB905" s="430"/>
      <c r="CC905" s="430"/>
      <c r="CD905" s="430"/>
      <c r="CE905" s="430"/>
      <c r="CF905" s="430"/>
      <c r="CG905" s="430"/>
      <c r="CH905" s="430"/>
      <c r="CI905" s="430"/>
      <c r="CJ905" s="430"/>
      <c r="CK905" s="430"/>
      <c r="CL905" s="430"/>
    </row>
    <row r="906" spans="63:90" ht="14.25" customHeight="1">
      <c r="BK906" s="430"/>
      <c r="BL906" s="430"/>
      <c r="BM906" s="430"/>
      <c r="BN906" s="430"/>
      <c r="BO906" s="430"/>
      <c r="BP906" s="430"/>
      <c r="BQ906" s="430"/>
      <c r="BR906" s="430"/>
      <c r="BS906" s="430"/>
      <c r="BT906" s="430"/>
      <c r="BU906" s="430"/>
      <c r="BV906" s="430"/>
      <c r="BW906" s="430"/>
      <c r="BX906" s="430"/>
      <c r="BY906" s="430"/>
      <c r="BZ906" s="430"/>
      <c r="CA906" s="430"/>
      <c r="CB906" s="430"/>
      <c r="CC906" s="430"/>
      <c r="CD906" s="430"/>
      <c r="CE906" s="430"/>
      <c r="CF906" s="430"/>
      <c r="CG906" s="430"/>
      <c r="CH906" s="430"/>
      <c r="CI906" s="430"/>
      <c r="CJ906" s="430"/>
      <c r="CK906" s="430"/>
      <c r="CL906" s="430"/>
    </row>
    <row r="907" spans="63:90" ht="14.25" customHeight="1">
      <c r="BK907" s="430"/>
      <c r="BL907" s="430"/>
      <c r="BM907" s="430"/>
      <c r="BN907" s="430"/>
      <c r="BO907" s="430"/>
      <c r="BP907" s="430"/>
      <c r="BQ907" s="430"/>
      <c r="BR907" s="430"/>
      <c r="BS907" s="430"/>
      <c r="BT907" s="430"/>
      <c r="BU907" s="430"/>
      <c r="BV907" s="430"/>
      <c r="BW907" s="430"/>
      <c r="BX907" s="430"/>
      <c r="BY907" s="430"/>
      <c r="BZ907" s="430"/>
      <c r="CA907" s="430"/>
      <c r="CB907" s="430"/>
      <c r="CC907" s="430"/>
      <c r="CD907" s="430"/>
      <c r="CE907" s="430"/>
      <c r="CF907" s="430"/>
      <c r="CG907" s="430"/>
      <c r="CH907" s="430"/>
      <c r="CI907" s="430"/>
      <c r="CJ907" s="430"/>
      <c r="CK907" s="430"/>
      <c r="CL907" s="430"/>
    </row>
    <row r="908" spans="63:90" ht="14.25" customHeight="1">
      <c r="BK908" s="430"/>
      <c r="BL908" s="430"/>
      <c r="BM908" s="430"/>
      <c r="BN908" s="430"/>
      <c r="BO908" s="430"/>
      <c r="BP908" s="430"/>
      <c r="BQ908" s="430"/>
      <c r="BR908" s="430"/>
      <c r="BS908" s="430"/>
      <c r="BT908" s="430"/>
      <c r="BU908" s="430"/>
      <c r="BV908" s="430"/>
      <c r="BW908" s="430"/>
      <c r="BX908" s="430"/>
      <c r="BY908" s="430"/>
      <c r="BZ908" s="430"/>
      <c r="CA908" s="430"/>
      <c r="CB908" s="430"/>
      <c r="CC908" s="430"/>
      <c r="CD908" s="430"/>
      <c r="CE908" s="430"/>
      <c r="CF908" s="430"/>
      <c r="CG908" s="430"/>
      <c r="CH908" s="430"/>
      <c r="CI908" s="430"/>
      <c r="CJ908" s="430"/>
      <c r="CK908" s="430"/>
      <c r="CL908" s="430"/>
    </row>
    <row r="909" spans="63:90" ht="14.25" customHeight="1">
      <c r="BK909" s="430"/>
      <c r="BL909" s="430"/>
      <c r="BM909" s="430"/>
      <c r="BN909" s="430"/>
      <c r="BO909" s="430"/>
      <c r="BP909" s="430"/>
      <c r="BQ909" s="430"/>
      <c r="BR909" s="430"/>
      <c r="BS909" s="430"/>
      <c r="BT909" s="430"/>
      <c r="BU909" s="430"/>
      <c r="BV909" s="430"/>
      <c r="BW909" s="430"/>
      <c r="BX909" s="430"/>
      <c r="BY909" s="430"/>
      <c r="BZ909" s="430"/>
      <c r="CA909" s="430"/>
      <c r="CB909" s="430"/>
      <c r="CC909" s="430"/>
      <c r="CD909" s="430"/>
      <c r="CE909" s="430"/>
      <c r="CF909" s="430"/>
      <c r="CG909" s="430"/>
      <c r="CH909" s="430"/>
      <c r="CI909" s="430"/>
      <c r="CJ909" s="430"/>
      <c r="CK909" s="430"/>
      <c r="CL909" s="430"/>
    </row>
    <row r="910" spans="63:90" ht="14.25" customHeight="1">
      <c r="BK910" s="430"/>
      <c r="BL910" s="430"/>
      <c r="BM910" s="430"/>
      <c r="BN910" s="430"/>
      <c r="BO910" s="430"/>
      <c r="BP910" s="430"/>
      <c r="BQ910" s="430"/>
      <c r="BR910" s="430"/>
      <c r="BS910" s="430"/>
      <c r="BT910" s="430"/>
      <c r="BU910" s="430"/>
      <c r="BV910" s="430"/>
      <c r="BW910" s="430"/>
      <c r="BX910" s="430"/>
      <c r="BY910" s="430"/>
      <c r="BZ910" s="430"/>
      <c r="CA910" s="430"/>
      <c r="CB910" s="430"/>
      <c r="CC910" s="430"/>
      <c r="CD910" s="430"/>
      <c r="CE910" s="430"/>
      <c r="CF910" s="430"/>
      <c r="CG910" s="430"/>
      <c r="CH910" s="430"/>
      <c r="CI910" s="430"/>
      <c r="CJ910" s="430"/>
      <c r="CK910" s="430"/>
      <c r="CL910" s="430"/>
    </row>
    <row r="911" spans="63:90" ht="14.25" customHeight="1">
      <c r="BK911" s="430"/>
      <c r="BL911" s="430"/>
      <c r="BM911" s="430"/>
      <c r="BN911" s="430"/>
      <c r="BO911" s="430"/>
      <c r="BP911" s="430"/>
      <c r="BQ911" s="430"/>
      <c r="BR911" s="430"/>
      <c r="BS911" s="430"/>
      <c r="BT911" s="430"/>
      <c r="BU911" s="430"/>
      <c r="BV911" s="430"/>
      <c r="BW911" s="430"/>
      <c r="BX911" s="430"/>
      <c r="BY911" s="430"/>
      <c r="BZ911" s="430"/>
      <c r="CA911" s="430"/>
      <c r="CB911" s="430"/>
      <c r="CC911" s="430"/>
      <c r="CD911" s="430"/>
      <c r="CE911" s="430"/>
      <c r="CF911" s="430"/>
      <c r="CG911" s="430"/>
      <c r="CH911" s="430"/>
      <c r="CI911" s="430"/>
      <c r="CJ911" s="430"/>
      <c r="CK911" s="430"/>
      <c r="CL911" s="430"/>
    </row>
    <row r="912" spans="63:90" ht="14.25" customHeight="1">
      <c r="BK912" s="430"/>
      <c r="BL912" s="430"/>
      <c r="BM912" s="430"/>
      <c r="BN912" s="430"/>
      <c r="BO912" s="430"/>
      <c r="BP912" s="430"/>
      <c r="BQ912" s="430"/>
      <c r="BR912" s="430"/>
      <c r="BS912" s="430"/>
      <c r="BT912" s="430"/>
      <c r="BU912" s="430"/>
      <c r="BV912" s="430"/>
      <c r="BW912" s="430"/>
      <c r="BX912" s="430"/>
      <c r="BY912" s="430"/>
      <c r="BZ912" s="430"/>
      <c r="CA912" s="430"/>
      <c r="CB912" s="430"/>
      <c r="CC912" s="430"/>
      <c r="CD912" s="430"/>
      <c r="CE912" s="430"/>
      <c r="CF912" s="430"/>
      <c r="CG912" s="430"/>
      <c r="CH912" s="430"/>
      <c r="CI912" s="430"/>
      <c r="CJ912" s="430"/>
      <c r="CK912" s="430"/>
      <c r="CL912" s="430"/>
    </row>
    <row r="913" spans="63:90" ht="14.25" customHeight="1">
      <c r="BK913" s="430"/>
      <c r="BL913" s="430"/>
      <c r="BM913" s="430"/>
      <c r="BN913" s="430"/>
      <c r="BO913" s="430"/>
      <c r="BP913" s="430"/>
      <c r="BQ913" s="430"/>
      <c r="BR913" s="430"/>
      <c r="BS913" s="430"/>
      <c r="BT913" s="430"/>
      <c r="BU913" s="430"/>
      <c r="BV913" s="430"/>
      <c r="BW913" s="430"/>
      <c r="BX913" s="430"/>
      <c r="BY913" s="430"/>
      <c r="BZ913" s="430"/>
      <c r="CA913" s="430"/>
      <c r="CB913" s="430"/>
      <c r="CC913" s="430"/>
      <c r="CD913" s="430"/>
      <c r="CE913" s="430"/>
      <c r="CF913" s="430"/>
      <c r="CG913" s="430"/>
      <c r="CH913" s="430"/>
      <c r="CI913" s="430"/>
      <c r="CJ913" s="430"/>
      <c r="CK913" s="430"/>
      <c r="CL913" s="430"/>
    </row>
    <row r="914" spans="63:90" ht="14.25" customHeight="1">
      <c r="BK914" s="430"/>
      <c r="BL914" s="430"/>
      <c r="BM914" s="430"/>
      <c r="BN914" s="430"/>
      <c r="BO914" s="430"/>
      <c r="BP914" s="430"/>
      <c r="BQ914" s="430"/>
      <c r="BR914" s="430"/>
      <c r="BS914" s="430"/>
      <c r="BT914" s="430"/>
      <c r="BU914" s="430"/>
      <c r="BV914" s="430"/>
      <c r="BW914" s="430"/>
      <c r="BX914" s="430"/>
      <c r="BY914" s="430"/>
      <c r="BZ914" s="430"/>
      <c r="CA914" s="430"/>
      <c r="CB914" s="430"/>
      <c r="CC914" s="430"/>
      <c r="CD914" s="430"/>
      <c r="CE914" s="430"/>
      <c r="CF914" s="430"/>
      <c r="CG914" s="430"/>
      <c r="CH914" s="430"/>
      <c r="CI914" s="430"/>
      <c r="CJ914" s="430"/>
      <c r="CK914" s="430"/>
      <c r="CL914" s="430"/>
    </row>
    <row r="915" spans="63:90" ht="14.25" customHeight="1">
      <c r="BK915" s="430"/>
      <c r="BL915" s="430"/>
      <c r="BM915" s="430"/>
      <c r="BN915" s="430"/>
      <c r="BO915" s="430"/>
      <c r="BP915" s="430"/>
      <c r="BQ915" s="430"/>
      <c r="BR915" s="430"/>
      <c r="BS915" s="430"/>
      <c r="BT915" s="430"/>
      <c r="BU915" s="430"/>
      <c r="BV915" s="430"/>
      <c r="BW915" s="430"/>
      <c r="BX915" s="430"/>
      <c r="BY915" s="430"/>
      <c r="BZ915" s="430"/>
      <c r="CA915" s="430"/>
      <c r="CB915" s="430"/>
      <c r="CC915" s="430"/>
      <c r="CD915" s="430"/>
      <c r="CE915" s="430"/>
      <c r="CF915" s="430"/>
      <c r="CG915" s="430"/>
      <c r="CH915" s="430"/>
      <c r="CI915" s="430"/>
      <c r="CJ915" s="430"/>
      <c r="CK915" s="430"/>
      <c r="CL915" s="430"/>
    </row>
    <row r="916" spans="63:90" ht="14.25" customHeight="1">
      <c r="BK916" s="430"/>
      <c r="BL916" s="430"/>
      <c r="BM916" s="430"/>
      <c r="BN916" s="430"/>
      <c r="BO916" s="430"/>
      <c r="BP916" s="430"/>
      <c r="BQ916" s="430"/>
      <c r="BR916" s="430"/>
      <c r="BS916" s="430"/>
      <c r="BT916" s="430"/>
      <c r="BU916" s="430"/>
      <c r="BV916" s="430"/>
      <c r="BW916" s="430"/>
      <c r="BX916" s="430"/>
      <c r="BY916" s="430"/>
      <c r="BZ916" s="430"/>
      <c r="CA916" s="430"/>
      <c r="CB916" s="430"/>
      <c r="CC916" s="430"/>
      <c r="CD916" s="430"/>
      <c r="CE916" s="430"/>
      <c r="CF916" s="430"/>
      <c r="CG916" s="430"/>
      <c r="CH916" s="430"/>
      <c r="CI916" s="430"/>
      <c r="CJ916" s="430"/>
      <c r="CK916" s="430"/>
      <c r="CL916" s="430"/>
    </row>
    <row r="917" spans="63:90" ht="14.25" customHeight="1">
      <c r="BK917" s="430"/>
      <c r="BL917" s="430"/>
      <c r="BM917" s="430"/>
      <c r="BN917" s="430"/>
      <c r="BO917" s="430"/>
      <c r="BP917" s="430"/>
      <c r="BQ917" s="430"/>
      <c r="BR917" s="430"/>
      <c r="BS917" s="430"/>
      <c r="BT917" s="430"/>
      <c r="BU917" s="430"/>
      <c r="BV917" s="430"/>
      <c r="BW917" s="430"/>
      <c r="BX917" s="430"/>
      <c r="BY917" s="430"/>
      <c r="BZ917" s="430"/>
      <c r="CA917" s="430"/>
      <c r="CB917" s="430"/>
      <c r="CC917" s="430"/>
      <c r="CD917" s="430"/>
      <c r="CE917" s="430"/>
      <c r="CF917" s="430"/>
      <c r="CG917" s="430"/>
      <c r="CH917" s="430"/>
      <c r="CI917" s="430"/>
      <c r="CJ917" s="430"/>
      <c r="CK917" s="430"/>
      <c r="CL917" s="430"/>
    </row>
    <row r="918" spans="63:90" ht="14.25" customHeight="1">
      <c r="BK918" s="430"/>
      <c r="BL918" s="430"/>
      <c r="BM918" s="430"/>
      <c r="BN918" s="430"/>
      <c r="BO918" s="430"/>
      <c r="BP918" s="430"/>
      <c r="BQ918" s="430"/>
      <c r="BR918" s="430"/>
      <c r="BS918" s="430"/>
      <c r="BT918" s="430"/>
      <c r="BU918" s="430"/>
      <c r="BV918" s="430"/>
      <c r="BW918" s="430"/>
      <c r="BX918" s="430"/>
      <c r="BY918" s="430"/>
      <c r="BZ918" s="430"/>
      <c r="CA918" s="430"/>
      <c r="CB918" s="430"/>
      <c r="CC918" s="430"/>
      <c r="CD918" s="430"/>
      <c r="CE918" s="430"/>
      <c r="CF918" s="430"/>
      <c r="CG918" s="430"/>
      <c r="CH918" s="430"/>
      <c r="CI918" s="430"/>
      <c r="CJ918" s="430"/>
      <c r="CK918" s="430"/>
      <c r="CL918" s="430"/>
    </row>
    <row r="919" spans="63:90" ht="14.25" customHeight="1">
      <c r="BK919" s="430"/>
      <c r="BL919" s="430"/>
      <c r="BM919" s="430"/>
      <c r="BN919" s="430"/>
      <c r="BO919" s="430"/>
      <c r="BP919" s="430"/>
      <c r="BQ919" s="430"/>
      <c r="BR919" s="430"/>
      <c r="BS919" s="430"/>
      <c r="BT919" s="430"/>
      <c r="BU919" s="430"/>
      <c r="BV919" s="430"/>
      <c r="BW919" s="430"/>
      <c r="BX919" s="430"/>
      <c r="BY919" s="430"/>
      <c r="BZ919" s="430"/>
      <c r="CA919" s="430"/>
      <c r="CB919" s="430"/>
      <c r="CC919" s="430"/>
      <c r="CD919" s="430"/>
      <c r="CE919" s="430"/>
      <c r="CF919" s="430"/>
      <c r="CG919" s="430"/>
      <c r="CH919" s="430"/>
      <c r="CI919" s="430"/>
      <c r="CJ919" s="430"/>
      <c r="CK919" s="430"/>
      <c r="CL919" s="430"/>
    </row>
    <row r="920" spans="63:90" ht="14.25" customHeight="1">
      <c r="BK920" s="430"/>
      <c r="BL920" s="430"/>
      <c r="BM920" s="430"/>
      <c r="BN920" s="430"/>
      <c r="BO920" s="430"/>
      <c r="BP920" s="430"/>
      <c r="BQ920" s="430"/>
      <c r="BR920" s="430"/>
      <c r="BS920" s="430"/>
      <c r="BT920" s="430"/>
      <c r="BU920" s="430"/>
      <c r="BV920" s="430"/>
      <c r="BW920" s="430"/>
      <c r="BX920" s="430"/>
      <c r="BY920" s="430"/>
      <c r="BZ920" s="430"/>
      <c r="CA920" s="430"/>
      <c r="CB920" s="430"/>
      <c r="CC920" s="430"/>
      <c r="CD920" s="430"/>
      <c r="CE920" s="430"/>
      <c r="CF920" s="430"/>
      <c r="CG920" s="430"/>
      <c r="CH920" s="430"/>
      <c r="CI920" s="430"/>
      <c r="CJ920" s="430"/>
      <c r="CK920" s="430"/>
      <c r="CL920" s="430"/>
    </row>
    <row r="921" spans="63:90" ht="14.25" customHeight="1">
      <c r="BK921" s="430"/>
      <c r="BL921" s="430"/>
      <c r="BM921" s="430"/>
      <c r="BN921" s="430"/>
      <c r="BO921" s="430"/>
      <c r="BP921" s="430"/>
      <c r="BQ921" s="430"/>
      <c r="BR921" s="430"/>
      <c r="BS921" s="430"/>
      <c r="BT921" s="430"/>
      <c r="BU921" s="430"/>
      <c r="BV921" s="430"/>
      <c r="BW921" s="430"/>
      <c r="BX921" s="430"/>
      <c r="BY921" s="430"/>
      <c r="BZ921" s="430"/>
      <c r="CA921" s="430"/>
      <c r="CB921" s="430"/>
      <c r="CC921" s="430"/>
      <c r="CD921" s="430"/>
      <c r="CE921" s="430"/>
      <c r="CF921" s="430"/>
      <c r="CG921" s="430"/>
      <c r="CH921" s="430"/>
      <c r="CI921" s="430"/>
      <c r="CJ921" s="430"/>
      <c r="CK921" s="430"/>
      <c r="CL921" s="430"/>
    </row>
    <row r="922" spans="63:90" ht="14.25" customHeight="1">
      <c r="BK922" s="430"/>
      <c r="BL922" s="430"/>
      <c r="BM922" s="430"/>
      <c r="BN922" s="430"/>
      <c r="BO922" s="430"/>
      <c r="BP922" s="430"/>
      <c r="BQ922" s="430"/>
      <c r="BR922" s="430"/>
      <c r="BS922" s="430"/>
      <c r="BT922" s="430"/>
      <c r="BU922" s="430"/>
      <c r="BV922" s="430"/>
      <c r="BW922" s="430"/>
      <c r="BX922" s="430"/>
      <c r="BY922" s="430"/>
      <c r="BZ922" s="430"/>
      <c r="CA922" s="430"/>
      <c r="CB922" s="430"/>
      <c r="CC922" s="430"/>
      <c r="CD922" s="430"/>
      <c r="CE922" s="430"/>
      <c r="CF922" s="430"/>
      <c r="CG922" s="430"/>
      <c r="CH922" s="430"/>
      <c r="CI922" s="430"/>
      <c r="CJ922" s="430"/>
      <c r="CK922" s="430"/>
      <c r="CL922" s="430"/>
    </row>
    <row r="923" spans="63:90" ht="14.25" customHeight="1">
      <c r="BK923" s="430"/>
      <c r="BL923" s="430"/>
      <c r="BM923" s="430"/>
      <c r="BN923" s="430"/>
      <c r="BO923" s="430"/>
      <c r="BP923" s="430"/>
      <c r="BQ923" s="430"/>
      <c r="BR923" s="430"/>
      <c r="BS923" s="430"/>
      <c r="BT923" s="430"/>
      <c r="BU923" s="430"/>
      <c r="BV923" s="430"/>
      <c r="BW923" s="430"/>
      <c r="BX923" s="430"/>
      <c r="BY923" s="430"/>
      <c r="BZ923" s="430"/>
      <c r="CA923" s="430"/>
      <c r="CB923" s="430"/>
      <c r="CC923" s="430"/>
      <c r="CD923" s="430"/>
      <c r="CE923" s="430"/>
      <c r="CF923" s="430"/>
      <c r="CG923" s="430"/>
      <c r="CH923" s="430"/>
      <c r="CI923" s="430"/>
      <c r="CJ923" s="430"/>
      <c r="CK923" s="430"/>
      <c r="CL923" s="430"/>
    </row>
    <row r="924" spans="63:90" ht="14.25" customHeight="1">
      <c r="BK924" s="430"/>
      <c r="BL924" s="430"/>
      <c r="BM924" s="430"/>
      <c r="BN924" s="430"/>
      <c r="BO924" s="430"/>
      <c r="BP924" s="430"/>
      <c r="BQ924" s="430"/>
      <c r="BR924" s="430"/>
      <c r="BS924" s="430"/>
      <c r="BT924" s="430"/>
      <c r="BU924" s="430"/>
      <c r="BV924" s="430"/>
      <c r="BW924" s="430"/>
      <c r="BX924" s="430"/>
      <c r="BY924" s="430"/>
      <c r="BZ924" s="430"/>
      <c r="CA924" s="430"/>
      <c r="CB924" s="430"/>
      <c r="CC924" s="430"/>
      <c r="CD924" s="430"/>
      <c r="CE924" s="430"/>
      <c r="CF924" s="430"/>
      <c r="CG924" s="430"/>
      <c r="CH924" s="430"/>
      <c r="CI924" s="430"/>
      <c r="CJ924" s="430"/>
      <c r="CK924" s="430"/>
      <c r="CL924" s="430"/>
    </row>
    <row r="925" spans="63:90" ht="14.25" customHeight="1">
      <c r="BK925" s="430"/>
      <c r="BL925" s="430"/>
      <c r="BM925" s="430"/>
      <c r="BN925" s="430"/>
      <c r="BO925" s="430"/>
      <c r="BP925" s="430"/>
      <c r="BQ925" s="430"/>
      <c r="BR925" s="430"/>
      <c r="BS925" s="430"/>
      <c r="BT925" s="430"/>
      <c r="BU925" s="430"/>
      <c r="BV925" s="430"/>
      <c r="BW925" s="430"/>
      <c r="BX925" s="430"/>
      <c r="BY925" s="430"/>
      <c r="BZ925" s="430"/>
      <c r="CA925" s="430"/>
      <c r="CB925" s="430"/>
      <c r="CC925" s="430"/>
      <c r="CD925" s="430"/>
      <c r="CE925" s="430"/>
      <c r="CF925" s="430"/>
      <c r="CG925" s="430"/>
      <c r="CH925" s="430"/>
      <c r="CI925" s="430"/>
      <c r="CJ925" s="430"/>
      <c r="CK925" s="430"/>
      <c r="CL925" s="430"/>
    </row>
    <row r="926" spans="63:90" ht="14.25" customHeight="1">
      <c r="BK926" s="430"/>
      <c r="BL926" s="430"/>
      <c r="BM926" s="430"/>
      <c r="BN926" s="430"/>
      <c r="BO926" s="430"/>
      <c r="BP926" s="430"/>
      <c r="BQ926" s="430"/>
      <c r="BR926" s="430"/>
      <c r="BS926" s="430"/>
      <c r="BT926" s="430"/>
      <c r="BU926" s="430"/>
      <c r="BV926" s="430"/>
      <c r="BW926" s="430"/>
      <c r="BX926" s="430"/>
      <c r="BY926" s="430"/>
      <c r="BZ926" s="430"/>
      <c r="CA926" s="430"/>
      <c r="CB926" s="430"/>
      <c r="CC926" s="430"/>
      <c r="CD926" s="430"/>
      <c r="CE926" s="430"/>
      <c r="CF926" s="430"/>
      <c r="CG926" s="430"/>
      <c r="CH926" s="430"/>
      <c r="CI926" s="430"/>
      <c r="CJ926" s="430"/>
      <c r="CK926" s="430"/>
      <c r="CL926" s="430"/>
    </row>
    <row r="927" spans="63:90" ht="14.25" customHeight="1">
      <c r="BK927" s="430"/>
      <c r="BL927" s="430"/>
      <c r="BM927" s="430"/>
      <c r="BN927" s="430"/>
      <c r="BO927" s="430"/>
      <c r="BP927" s="430"/>
      <c r="BQ927" s="430"/>
      <c r="BR927" s="430"/>
      <c r="BS927" s="430"/>
      <c r="BT927" s="430"/>
      <c r="BU927" s="430"/>
      <c r="BV927" s="430"/>
      <c r="BW927" s="430"/>
      <c r="BX927" s="430"/>
      <c r="BY927" s="430"/>
      <c r="BZ927" s="430"/>
      <c r="CA927" s="430"/>
      <c r="CB927" s="430"/>
      <c r="CC927" s="430"/>
      <c r="CD927" s="430"/>
      <c r="CE927" s="430"/>
      <c r="CF927" s="430"/>
      <c r="CG927" s="430"/>
      <c r="CH927" s="430"/>
      <c r="CI927" s="430"/>
      <c r="CJ927" s="430"/>
      <c r="CK927" s="430"/>
      <c r="CL927" s="430"/>
    </row>
    <row r="928" spans="63:90" ht="14.25" customHeight="1">
      <c r="BK928" s="430"/>
      <c r="BL928" s="430"/>
      <c r="BM928" s="430"/>
      <c r="BN928" s="430"/>
      <c r="BO928" s="430"/>
      <c r="BP928" s="430"/>
      <c r="BQ928" s="430"/>
      <c r="BR928" s="430"/>
      <c r="BS928" s="430"/>
      <c r="BT928" s="430"/>
      <c r="BU928" s="430"/>
      <c r="BV928" s="430"/>
      <c r="BW928" s="430"/>
      <c r="BX928" s="430"/>
      <c r="BY928" s="430"/>
      <c r="BZ928" s="430"/>
      <c r="CA928" s="430"/>
      <c r="CB928" s="430"/>
      <c r="CC928" s="430"/>
      <c r="CD928" s="430"/>
      <c r="CE928" s="430"/>
      <c r="CF928" s="430"/>
      <c r="CG928" s="430"/>
      <c r="CH928" s="430"/>
      <c r="CI928" s="430"/>
      <c r="CJ928" s="430"/>
      <c r="CK928" s="430"/>
      <c r="CL928" s="430"/>
    </row>
    <row r="929" spans="63:90" ht="14.25" customHeight="1">
      <c r="BK929" s="430"/>
      <c r="BL929" s="430"/>
      <c r="BM929" s="430"/>
      <c r="BN929" s="430"/>
      <c r="BO929" s="430"/>
      <c r="BP929" s="430"/>
      <c r="BQ929" s="430"/>
      <c r="BR929" s="430"/>
      <c r="BS929" s="430"/>
      <c r="BT929" s="430"/>
      <c r="BU929" s="430"/>
      <c r="BV929" s="430"/>
      <c r="BW929" s="430"/>
      <c r="BX929" s="430"/>
      <c r="BY929" s="430"/>
      <c r="BZ929" s="430"/>
      <c r="CA929" s="430"/>
      <c r="CB929" s="430"/>
      <c r="CC929" s="430"/>
      <c r="CD929" s="430"/>
      <c r="CE929" s="430"/>
      <c r="CF929" s="430"/>
      <c r="CG929" s="430"/>
      <c r="CH929" s="430"/>
      <c r="CI929" s="430"/>
      <c r="CJ929" s="430"/>
      <c r="CK929" s="430"/>
      <c r="CL929" s="430"/>
    </row>
    <row r="930" spans="63:90" ht="14.25" customHeight="1">
      <c r="BK930" s="430"/>
      <c r="BL930" s="430"/>
      <c r="BM930" s="430"/>
      <c r="BN930" s="430"/>
      <c r="BO930" s="430"/>
      <c r="BP930" s="430"/>
      <c r="BQ930" s="430"/>
      <c r="BR930" s="430"/>
      <c r="BS930" s="430"/>
      <c r="BT930" s="430"/>
      <c r="BU930" s="430"/>
      <c r="BV930" s="430"/>
      <c r="BW930" s="430"/>
      <c r="BX930" s="430"/>
      <c r="BY930" s="430"/>
      <c r="BZ930" s="430"/>
      <c r="CA930" s="430"/>
      <c r="CB930" s="430"/>
      <c r="CC930" s="430"/>
      <c r="CD930" s="430"/>
      <c r="CE930" s="430"/>
      <c r="CF930" s="430"/>
      <c r="CG930" s="430"/>
      <c r="CH930" s="430"/>
      <c r="CI930" s="430"/>
      <c r="CJ930" s="430"/>
      <c r="CK930" s="430"/>
      <c r="CL930" s="430"/>
    </row>
    <row r="931" spans="63:90" ht="14.25" customHeight="1">
      <c r="BK931" s="430"/>
      <c r="BL931" s="430"/>
      <c r="BM931" s="430"/>
      <c r="BN931" s="430"/>
      <c r="BO931" s="430"/>
      <c r="BP931" s="430"/>
      <c r="BQ931" s="430"/>
      <c r="BR931" s="430"/>
      <c r="BS931" s="430"/>
      <c r="BT931" s="430"/>
      <c r="BU931" s="430"/>
      <c r="BV931" s="430"/>
      <c r="BW931" s="430"/>
      <c r="BX931" s="430"/>
      <c r="BY931" s="430"/>
      <c r="BZ931" s="430"/>
      <c r="CA931" s="430"/>
      <c r="CB931" s="430"/>
      <c r="CC931" s="430"/>
      <c r="CD931" s="430"/>
      <c r="CE931" s="430"/>
      <c r="CF931" s="430"/>
      <c r="CG931" s="430"/>
      <c r="CH931" s="430"/>
      <c r="CI931" s="430"/>
      <c r="CJ931" s="430"/>
      <c r="CK931" s="430"/>
      <c r="CL931" s="430"/>
    </row>
    <row r="932" spans="63:90" ht="14.25" customHeight="1">
      <c r="BK932" s="430"/>
      <c r="BL932" s="430"/>
      <c r="BM932" s="430"/>
      <c r="BN932" s="430"/>
      <c r="BO932" s="430"/>
      <c r="BP932" s="430"/>
      <c r="BQ932" s="430"/>
      <c r="BR932" s="430"/>
      <c r="BS932" s="430"/>
      <c r="BT932" s="430"/>
      <c r="BU932" s="430"/>
      <c r="BV932" s="430"/>
      <c r="BW932" s="430"/>
      <c r="BX932" s="430"/>
      <c r="BY932" s="430"/>
      <c r="BZ932" s="430"/>
      <c r="CA932" s="430"/>
      <c r="CB932" s="430"/>
      <c r="CC932" s="430"/>
      <c r="CD932" s="430"/>
      <c r="CE932" s="430"/>
      <c r="CF932" s="430"/>
      <c r="CG932" s="430"/>
      <c r="CH932" s="430"/>
      <c r="CI932" s="430"/>
      <c r="CJ932" s="430"/>
      <c r="CK932" s="430"/>
      <c r="CL932" s="430"/>
    </row>
    <row r="933" spans="63:90" ht="14.25" customHeight="1">
      <c r="BK933" s="430"/>
      <c r="BL933" s="430"/>
      <c r="BM933" s="430"/>
      <c r="BN933" s="430"/>
      <c r="BO933" s="430"/>
      <c r="BP933" s="430"/>
      <c r="BQ933" s="430"/>
      <c r="BR933" s="430"/>
      <c r="BS933" s="430"/>
      <c r="BT933" s="430"/>
      <c r="BU933" s="430"/>
      <c r="BV933" s="430"/>
      <c r="BW933" s="430"/>
      <c r="BX933" s="430"/>
      <c r="BY933" s="430"/>
      <c r="BZ933" s="430"/>
      <c r="CA933" s="430"/>
      <c r="CB933" s="430"/>
      <c r="CC933" s="430"/>
      <c r="CD933" s="430"/>
      <c r="CE933" s="430"/>
      <c r="CF933" s="430"/>
      <c r="CG933" s="430"/>
      <c r="CH933" s="430"/>
      <c r="CI933" s="430"/>
      <c r="CJ933" s="430"/>
      <c r="CK933" s="430"/>
      <c r="CL933" s="430"/>
    </row>
    <row r="934" spans="63:90" ht="14.25" customHeight="1">
      <c r="BK934" s="430"/>
      <c r="BL934" s="430"/>
      <c r="BM934" s="430"/>
      <c r="BN934" s="430"/>
      <c r="BO934" s="430"/>
      <c r="BP934" s="430"/>
      <c r="BQ934" s="430"/>
      <c r="BR934" s="430"/>
      <c r="BS934" s="430"/>
      <c r="BT934" s="430"/>
      <c r="BU934" s="430"/>
      <c r="BV934" s="430"/>
      <c r="BW934" s="430"/>
      <c r="BX934" s="430"/>
      <c r="BY934" s="430"/>
      <c r="BZ934" s="430"/>
      <c r="CA934" s="430"/>
      <c r="CB934" s="430"/>
      <c r="CC934" s="430"/>
      <c r="CD934" s="430"/>
      <c r="CE934" s="430"/>
      <c r="CF934" s="430"/>
      <c r="CG934" s="430"/>
      <c r="CH934" s="430"/>
      <c r="CI934" s="430"/>
      <c r="CJ934" s="430"/>
      <c r="CK934" s="430"/>
      <c r="CL934" s="430"/>
    </row>
    <row r="935" spans="63:90" ht="14.25" customHeight="1">
      <c r="BK935" s="430"/>
      <c r="BL935" s="430"/>
      <c r="BM935" s="430"/>
      <c r="BN935" s="430"/>
      <c r="BO935" s="430"/>
      <c r="BP935" s="430"/>
      <c r="BQ935" s="430"/>
      <c r="BR935" s="430"/>
      <c r="BS935" s="430"/>
      <c r="BT935" s="430"/>
      <c r="BU935" s="430"/>
      <c r="BV935" s="430"/>
      <c r="BW935" s="430"/>
      <c r="BX935" s="430"/>
      <c r="BY935" s="430"/>
      <c r="BZ935" s="430"/>
      <c r="CA935" s="430"/>
      <c r="CB935" s="430"/>
      <c r="CC935" s="430"/>
      <c r="CD935" s="430"/>
      <c r="CE935" s="430"/>
      <c r="CF935" s="430"/>
      <c r="CG935" s="430"/>
      <c r="CH935" s="430"/>
      <c r="CI935" s="430"/>
      <c r="CJ935" s="430"/>
      <c r="CK935" s="430"/>
      <c r="CL935" s="430"/>
    </row>
    <row r="936" spans="63:90" ht="14.25" customHeight="1">
      <c r="BK936" s="430"/>
      <c r="BL936" s="430"/>
      <c r="BM936" s="430"/>
      <c r="BN936" s="430"/>
      <c r="BO936" s="430"/>
      <c r="BP936" s="430"/>
      <c r="BQ936" s="430"/>
      <c r="BR936" s="430"/>
      <c r="BS936" s="430"/>
      <c r="BT936" s="430"/>
      <c r="BU936" s="430"/>
      <c r="BV936" s="430"/>
      <c r="BW936" s="430"/>
      <c r="BX936" s="430"/>
      <c r="BY936" s="430"/>
      <c r="BZ936" s="430"/>
      <c r="CA936" s="430"/>
      <c r="CB936" s="430"/>
      <c r="CC936" s="430"/>
      <c r="CD936" s="430"/>
      <c r="CE936" s="430"/>
      <c r="CF936" s="430"/>
      <c r="CG936" s="430"/>
      <c r="CH936" s="430"/>
      <c r="CI936" s="430"/>
      <c r="CJ936" s="430"/>
      <c r="CK936" s="430"/>
      <c r="CL936" s="430"/>
    </row>
    <row r="937" spans="63:90" ht="14.25" customHeight="1">
      <c r="BK937" s="430"/>
      <c r="BL937" s="430"/>
      <c r="BM937" s="430"/>
      <c r="BN937" s="430"/>
      <c r="BO937" s="430"/>
      <c r="BP937" s="430"/>
      <c r="BQ937" s="430"/>
      <c r="BR937" s="430"/>
      <c r="BS937" s="430"/>
      <c r="BT937" s="430"/>
      <c r="BU937" s="430"/>
      <c r="BV937" s="430"/>
      <c r="BW937" s="430"/>
      <c r="BX937" s="430"/>
      <c r="BY937" s="430"/>
      <c r="BZ937" s="430"/>
      <c r="CA937" s="430"/>
      <c r="CB937" s="430"/>
      <c r="CC937" s="430"/>
      <c r="CD937" s="430"/>
      <c r="CE937" s="430"/>
      <c r="CF937" s="430"/>
      <c r="CG937" s="430"/>
      <c r="CH937" s="430"/>
      <c r="CI937" s="430"/>
      <c r="CJ937" s="430"/>
      <c r="CK937" s="430"/>
      <c r="CL937" s="430"/>
    </row>
    <row r="938" spans="63:90" ht="14.25" customHeight="1">
      <c r="BK938" s="430"/>
      <c r="BL938" s="430"/>
      <c r="BM938" s="430"/>
      <c r="BN938" s="430"/>
      <c r="BO938" s="430"/>
      <c r="BP938" s="430"/>
      <c r="BQ938" s="430"/>
      <c r="BR938" s="430"/>
      <c r="BS938" s="430"/>
      <c r="BT938" s="430"/>
      <c r="BU938" s="430"/>
      <c r="BV938" s="430"/>
      <c r="BW938" s="430"/>
      <c r="BX938" s="430"/>
      <c r="BY938" s="430"/>
      <c r="BZ938" s="430"/>
      <c r="CA938" s="430"/>
      <c r="CB938" s="430"/>
      <c r="CC938" s="430"/>
      <c r="CD938" s="430"/>
      <c r="CE938" s="430"/>
      <c r="CF938" s="430"/>
      <c r="CG938" s="430"/>
      <c r="CH938" s="430"/>
      <c r="CI938" s="430"/>
      <c r="CJ938" s="430"/>
      <c r="CK938" s="430"/>
      <c r="CL938" s="430"/>
    </row>
    <row r="939" spans="63:90" ht="14.25" customHeight="1">
      <c r="BK939" s="430"/>
      <c r="BL939" s="430"/>
      <c r="BM939" s="430"/>
      <c r="BN939" s="430"/>
      <c r="BO939" s="430"/>
      <c r="BP939" s="430"/>
      <c r="BQ939" s="430"/>
      <c r="BR939" s="430"/>
      <c r="BS939" s="430"/>
      <c r="BT939" s="430"/>
      <c r="BU939" s="430"/>
      <c r="BV939" s="430"/>
      <c r="BW939" s="430"/>
      <c r="BX939" s="430"/>
      <c r="BY939" s="430"/>
      <c r="BZ939" s="430"/>
      <c r="CA939" s="430"/>
      <c r="CB939" s="430"/>
      <c r="CC939" s="430"/>
      <c r="CD939" s="430"/>
      <c r="CE939" s="430"/>
      <c r="CF939" s="430"/>
      <c r="CG939" s="430"/>
      <c r="CH939" s="430"/>
      <c r="CI939" s="430"/>
      <c r="CJ939" s="430"/>
      <c r="CK939" s="430"/>
      <c r="CL939" s="430"/>
    </row>
    <row r="940" spans="63:90" ht="14.25" customHeight="1">
      <c r="BK940" s="430"/>
      <c r="BL940" s="430"/>
      <c r="BM940" s="430"/>
      <c r="BN940" s="430"/>
      <c r="BO940" s="430"/>
      <c r="BP940" s="430"/>
      <c r="BQ940" s="430"/>
      <c r="BR940" s="430"/>
      <c r="BS940" s="430"/>
      <c r="BT940" s="430"/>
      <c r="BU940" s="430"/>
      <c r="BV940" s="430"/>
      <c r="BW940" s="430"/>
      <c r="BX940" s="430"/>
      <c r="BY940" s="430"/>
      <c r="BZ940" s="430"/>
      <c r="CA940" s="430"/>
      <c r="CB940" s="430"/>
      <c r="CC940" s="430"/>
      <c r="CD940" s="430"/>
      <c r="CE940" s="430"/>
      <c r="CF940" s="430"/>
      <c r="CG940" s="430"/>
      <c r="CH940" s="430"/>
      <c r="CI940" s="430"/>
      <c r="CJ940" s="430"/>
      <c r="CK940" s="430"/>
      <c r="CL940" s="430"/>
    </row>
    <row r="941" spans="63:90" ht="14.25" customHeight="1">
      <c r="BK941" s="430"/>
      <c r="BL941" s="430"/>
      <c r="BM941" s="430"/>
      <c r="BN941" s="430"/>
      <c r="BO941" s="430"/>
      <c r="BP941" s="430"/>
      <c r="BQ941" s="430"/>
      <c r="BR941" s="430"/>
      <c r="BS941" s="430"/>
      <c r="BT941" s="430"/>
      <c r="BU941" s="430"/>
      <c r="BV941" s="430"/>
      <c r="BW941" s="430"/>
      <c r="BX941" s="430"/>
      <c r="BY941" s="430"/>
      <c r="BZ941" s="430"/>
      <c r="CA941" s="430"/>
      <c r="CB941" s="430"/>
      <c r="CC941" s="430"/>
      <c r="CD941" s="430"/>
      <c r="CE941" s="430"/>
      <c r="CF941" s="430"/>
      <c r="CG941" s="430"/>
      <c r="CH941" s="430"/>
      <c r="CI941" s="430"/>
      <c r="CJ941" s="430"/>
      <c r="CK941" s="430"/>
      <c r="CL941" s="430"/>
    </row>
    <row r="942" spans="63:90" ht="14.25" customHeight="1">
      <c r="BK942" s="430"/>
      <c r="BL942" s="430"/>
      <c r="BM942" s="430"/>
      <c r="BN942" s="430"/>
      <c r="BO942" s="430"/>
      <c r="BP942" s="430"/>
      <c r="BQ942" s="430"/>
      <c r="BR942" s="430"/>
      <c r="BS942" s="430"/>
      <c r="BT942" s="430"/>
      <c r="BU942" s="430"/>
      <c r="BV942" s="430"/>
      <c r="BW942" s="430"/>
      <c r="BX942" s="430"/>
      <c r="BY942" s="430"/>
      <c r="BZ942" s="430"/>
      <c r="CA942" s="430"/>
      <c r="CB942" s="430"/>
      <c r="CC942" s="430"/>
      <c r="CD942" s="430"/>
      <c r="CE942" s="430"/>
      <c r="CF942" s="430"/>
      <c r="CG942" s="430"/>
      <c r="CH942" s="430"/>
      <c r="CI942" s="430"/>
      <c r="CJ942" s="430"/>
      <c r="CK942" s="430"/>
      <c r="CL942" s="430"/>
    </row>
    <row r="943" spans="63:90" ht="14.25" customHeight="1">
      <c r="BK943" s="430"/>
      <c r="BL943" s="430"/>
      <c r="BM943" s="430"/>
      <c r="BN943" s="430"/>
      <c r="BO943" s="430"/>
      <c r="BP943" s="430"/>
      <c r="BQ943" s="430"/>
      <c r="BR943" s="430"/>
      <c r="BS943" s="430"/>
      <c r="BT943" s="430"/>
      <c r="BU943" s="430"/>
      <c r="BV943" s="430"/>
      <c r="BW943" s="430"/>
      <c r="BX943" s="430"/>
      <c r="BY943" s="430"/>
      <c r="BZ943" s="430"/>
      <c r="CA943" s="430"/>
      <c r="CB943" s="430"/>
      <c r="CC943" s="430"/>
      <c r="CD943" s="430"/>
      <c r="CE943" s="430"/>
      <c r="CF943" s="430"/>
      <c r="CG943" s="430"/>
      <c r="CH943" s="430"/>
      <c r="CI943" s="430"/>
      <c r="CJ943" s="430"/>
      <c r="CK943" s="430"/>
      <c r="CL943" s="430"/>
    </row>
    <row r="944" spans="63:90" ht="14.25" customHeight="1">
      <c r="BK944" s="430"/>
      <c r="BL944" s="430"/>
      <c r="BM944" s="430"/>
      <c r="BN944" s="430"/>
      <c r="BO944" s="430"/>
      <c r="BP944" s="430"/>
      <c r="BQ944" s="430"/>
      <c r="BR944" s="430"/>
      <c r="BS944" s="430"/>
      <c r="BT944" s="430"/>
      <c r="BU944" s="430"/>
      <c r="BV944" s="430"/>
      <c r="BW944" s="430"/>
      <c r="BX944" s="430"/>
      <c r="BY944" s="430"/>
      <c r="BZ944" s="430"/>
      <c r="CA944" s="430"/>
      <c r="CB944" s="430"/>
      <c r="CC944" s="430"/>
      <c r="CD944" s="430"/>
      <c r="CE944" s="430"/>
      <c r="CF944" s="430"/>
      <c r="CG944" s="430"/>
      <c r="CH944" s="430"/>
      <c r="CI944" s="430"/>
      <c r="CJ944" s="430"/>
      <c r="CK944" s="430"/>
      <c r="CL944" s="430"/>
    </row>
    <row r="945" spans="63:90" ht="14.25" customHeight="1">
      <c r="BK945" s="430"/>
      <c r="BL945" s="430"/>
      <c r="BM945" s="430"/>
      <c r="BN945" s="430"/>
      <c r="BO945" s="430"/>
      <c r="BP945" s="430"/>
      <c r="BQ945" s="430"/>
      <c r="BR945" s="430"/>
      <c r="BS945" s="430"/>
      <c r="BT945" s="430"/>
      <c r="BU945" s="430"/>
      <c r="BV945" s="430"/>
      <c r="BW945" s="430"/>
      <c r="BX945" s="430"/>
      <c r="BY945" s="430"/>
      <c r="BZ945" s="430"/>
      <c r="CA945" s="430"/>
      <c r="CB945" s="430"/>
      <c r="CC945" s="430"/>
      <c r="CD945" s="430"/>
      <c r="CE945" s="430"/>
      <c r="CF945" s="430"/>
      <c r="CG945" s="430"/>
      <c r="CH945" s="430"/>
      <c r="CI945" s="430"/>
      <c r="CJ945" s="430"/>
      <c r="CK945" s="430"/>
      <c r="CL945" s="430"/>
    </row>
    <row r="946" spans="63:90" ht="14.25" customHeight="1">
      <c r="BK946" s="430"/>
      <c r="BL946" s="430"/>
      <c r="BM946" s="430"/>
      <c r="BN946" s="430"/>
      <c r="BO946" s="430"/>
      <c r="BP946" s="430"/>
      <c r="BQ946" s="430"/>
      <c r="BR946" s="430"/>
      <c r="BS946" s="430"/>
      <c r="BT946" s="430"/>
      <c r="BU946" s="430"/>
      <c r="BV946" s="430"/>
      <c r="BW946" s="430"/>
      <c r="BX946" s="430"/>
      <c r="BY946" s="430"/>
      <c r="BZ946" s="430"/>
      <c r="CA946" s="430"/>
      <c r="CB946" s="430"/>
      <c r="CC946" s="430"/>
      <c r="CD946" s="430"/>
      <c r="CE946" s="430"/>
      <c r="CF946" s="430"/>
      <c r="CG946" s="430"/>
      <c r="CH946" s="430"/>
      <c r="CI946" s="430"/>
      <c r="CJ946" s="430"/>
      <c r="CK946" s="430"/>
      <c r="CL946" s="430"/>
    </row>
    <row r="947" spans="63:90" ht="14.25" customHeight="1">
      <c r="BK947" s="430"/>
      <c r="BL947" s="430"/>
      <c r="BM947" s="430"/>
      <c r="BN947" s="430"/>
      <c r="BO947" s="430"/>
      <c r="BP947" s="430"/>
      <c r="BQ947" s="430"/>
      <c r="BR947" s="430"/>
      <c r="BS947" s="430"/>
      <c r="BT947" s="430"/>
      <c r="BU947" s="430"/>
      <c r="BV947" s="430"/>
      <c r="BW947" s="430"/>
      <c r="BX947" s="430"/>
      <c r="BY947" s="430"/>
      <c r="BZ947" s="430"/>
      <c r="CA947" s="430"/>
      <c r="CB947" s="430"/>
      <c r="CC947" s="430"/>
      <c r="CD947" s="430"/>
      <c r="CE947" s="430"/>
      <c r="CF947" s="430"/>
      <c r="CG947" s="430"/>
      <c r="CH947" s="430"/>
      <c r="CI947" s="430"/>
      <c r="CJ947" s="430"/>
      <c r="CK947" s="430"/>
      <c r="CL947" s="430"/>
    </row>
    <row r="948" spans="63:90" ht="14.25" customHeight="1">
      <c r="BK948" s="430"/>
      <c r="BL948" s="430"/>
      <c r="BM948" s="430"/>
      <c r="BN948" s="430"/>
      <c r="BO948" s="430"/>
      <c r="BP948" s="430"/>
      <c r="BQ948" s="430"/>
      <c r="BR948" s="430"/>
      <c r="BS948" s="430"/>
      <c r="BT948" s="430"/>
      <c r="BU948" s="430"/>
      <c r="BV948" s="430"/>
      <c r="BW948" s="430"/>
      <c r="BX948" s="430"/>
      <c r="BY948" s="430"/>
      <c r="BZ948" s="430"/>
      <c r="CA948" s="430"/>
      <c r="CB948" s="430"/>
      <c r="CC948" s="430"/>
      <c r="CD948" s="430"/>
      <c r="CE948" s="430"/>
      <c r="CF948" s="430"/>
      <c r="CG948" s="430"/>
      <c r="CH948" s="430"/>
      <c r="CI948" s="430"/>
      <c r="CJ948" s="430"/>
      <c r="CK948" s="430"/>
      <c r="CL948" s="430"/>
    </row>
    <row r="949" spans="63:90" ht="14.25" customHeight="1">
      <c r="BK949" s="430"/>
      <c r="BL949" s="430"/>
      <c r="BM949" s="430"/>
      <c r="BN949" s="430"/>
      <c r="BO949" s="430"/>
      <c r="BP949" s="430"/>
      <c r="BQ949" s="430"/>
      <c r="BR949" s="430"/>
      <c r="BS949" s="430"/>
      <c r="BT949" s="430"/>
      <c r="BU949" s="430"/>
      <c r="BV949" s="430"/>
      <c r="BW949" s="430"/>
      <c r="BX949" s="430"/>
      <c r="BY949" s="430"/>
      <c r="BZ949" s="430"/>
      <c r="CA949" s="430"/>
      <c r="CB949" s="430"/>
      <c r="CC949" s="430"/>
      <c r="CD949" s="430"/>
      <c r="CE949" s="430"/>
      <c r="CF949" s="430"/>
      <c r="CG949" s="430"/>
      <c r="CH949" s="430"/>
      <c r="CI949" s="430"/>
      <c r="CJ949" s="430"/>
      <c r="CK949" s="430"/>
      <c r="CL949" s="430"/>
    </row>
    <row r="950" spans="63:90" ht="14.25" customHeight="1">
      <c r="BK950" s="430"/>
      <c r="BL950" s="430"/>
      <c r="BM950" s="430"/>
      <c r="BN950" s="430"/>
      <c r="BO950" s="430"/>
      <c r="BP950" s="430"/>
      <c r="BQ950" s="430"/>
      <c r="BR950" s="430"/>
      <c r="BS950" s="430"/>
      <c r="BT950" s="430"/>
      <c r="BU950" s="430"/>
      <c r="BV950" s="430"/>
      <c r="BW950" s="430"/>
      <c r="BX950" s="430"/>
      <c r="BY950" s="430"/>
      <c r="BZ950" s="430"/>
      <c r="CA950" s="430"/>
      <c r="CB950" s="430"/>
      <c r="CC950" s="430"/>
      <c r="CD950" s="430"/>
      <c r="CE950" s="430"/>
      <c r="CF950" s="430"/>
      <c r="CG950" s="430"/>
      <c r="CH950" s="430"/>
      <c r="CI950" s="430"/>
      <c r="CJ950" s="430"/>
      <c r="CK950" s="430"/>
      <c r="CL950" s="430"/>
    </row>
    <row r="951" spans="63:90" ht="14.25" customHeight="1">
      <c r="BK951" s="430"/>
      <c r="BL951" s="430"/>
      <c r="BM951" s="430"/>
      <c r="BN951" s="430"/>
      <c r="BO951" s="430"/>
      <c r="BP951" s="430"/>
      <c r="BQ951" s="430"/>
      <c r="BR951" s="430"/>
      <c r="BS951" s="430"/>
      <c r="BT951" s="430"/>
      <c r="BU951" s="430"/>
      <c r="BV951" s="430"/>
      <c r="BW951" s="430"/>
      <c r="BX951" s="430"/>
      <c r="BY951" s="430"/>
      <c r="BZ951" s="430"/>
      <c r="CA951" s="430"/>
      <c r="CB951" s="430"/>
      <c r="CC951" s="430"/>
      <c r="CD951" s="430"/>
      <c r="CE951" s="430"/>
      <c r="CF951" s="430"/>
      <c r="CG951" s="430"/>
      <c r="CH951" s="430"/>
      <c r="CI951" s="430"/>
      <c r="CJ951" s="430"/>
      <c r="CK951" s="430"/>
      <c r="CL951" s="430"/>
    </row>
    <row r="952" spans="63:90" ht="14.25" customHeight="1">
      <c r="BK952" s="430"/>
      <c r="BL952" s="430"/>
      <c r="BM952" s="430"/>
      <c r="BN952" s="430"/>
      <c r="BO952" s="430"/>
      <c r="BP952" s="430"/>
      <c r="BQ952" s="430"/>
      <c r="BR952" s="430"/>
      <c r="BS952" s="430"/>
      <c r="BT952" s="430"/>
      <c r="BU952" s="430"/>
      <c r="BV952" s="430"/>
      <c r="BW952" s="430"/>
      <c r="BX952" s="430"/>
      <c r="BY952" s="430"/>
      <c r="BZ952" s="430"/>
      <c r="CA952" s="430"/>
      <c r="CB952" s="430"/>
      <c r="CC952" s="430"/>
      <c r="CD952" s="430"/>
      <c r="CE952" s="430"/>
      <c r="CF952" s="430"/>
      <c r="CG952" s="430"/>
      <c r="CH952" s="430"/>
      <c r="CI952" s="430"/>
      <c r="CJ952" s="430"/>
      <c r="CK952" s="430"/>
      <c r="CL952" s="430"/>
    </row>
    <row r="953" spans="63:90" ht="14.25" customHeight="1">
      <c r="BK953" s="430"/>
      <c r="BL953" s="430"/>
      <c r="BM953" s="430"/>
      <c r="BN953" s="430"/>
      <c r="BO953" s="430"/>
      <c r="BP953" s="430"/>
      <c r="BQ953" s="430"/>
      <c r="BR953" s="430"/>
      <c r="BS953" s="430"/>
      <c r="BT953" s="430"/>
      <c r="BU953" s="430"/>
      <c r="BV953" s="430"/>
      <c r="BW953" s="430"/>
      <c r="BX953" s="430"/>
      <c r="BY953" s="430"/>
      <c r="BZ953" s="430"/>
      <c r="CA953" s="430"/>
      <c r="CB953" s="430"/>
      <c r="CC953" s="430"/>
      <c r="CD953" s="430"/>
      <c r="CE953" s="430"/>
      <c r="CF953" s="430"/>
      <c r="CG953" s="430"/>
      <c r="CH953" s="430"/>
      <c r="CI953" s="430"/>
      <c r="CJ953" s="430"/>
      <c r="CK953" s="430"/>
      <c r="CL953" s="430"/>
    </row>
    <row r="954" spans="63:90" ht="14.25" customHeight="1">
      <c r="BK954" s="430"/>
      <c r="BL954" s="430"/>
      <c r="BM954" s="430"/>
      <c r="BN954" s="430"/>
      <c r="BO954" s="430"/>
      <c r="BP954" s="430"/>
      <c r="BQ954" s="430"/>
      <c r="BR954" s="430"/>
      <c r="BS954" s="430"/>
      <c r="BT954" s="430"/>
      <c r="BU954" s="430"/>
      <c r="BV954" s="430"/>
      <c r="BW954" s="430"/>
      <c r="BX954" s="430"/>
      <c r="BY954" s="430"/>
      <c r="BZ954" s="430"/>
      <c r="CA954" s="430"/>
      <c r="CB954" s="430"/>
      <c r="CC954" s="430"/>
      <c r="CD954" s="430"/>
      <c r="CE954" s="430"/>
      <c r="CF954" s="430"/>
      <c r="CG954" s="430"/>
      <c r="CH954" s="430"/>
      <c r="CI954" s="430"/>
      <c r="CJ954" s="430"/>
      <c r="CK954" s="430"/>
      <c r="CL954" s="430"/>
    </row>
    <row r="955" spans="63:90" ht="14.25" customHeight="1">
      <c r="BK955" s="430"/>
      <c r="BL955" s="430"/>
      <c r="BM955" s="430"/>
      <c r="BN955" s="430"/>
      <c r="BO955" s="430"/>
      <c r="BP955" s="430"/>
      <c r="BQ955" s="430"/>
      <c r="BR955" s="430"/>
      <c r="BS955" s="430"/>
      <c r="BT955" s="430"/>
      <c r="BU955" s="430"/>
      <c r="BV955" s="430"/>
      <c r="BW955" s="430"/>
      <c r="BX955" s="430"/>
      <c r="BY955" s="430"/>
      <c r="BZ955" s="430"/>
      <c r="CA955" s="430"/>
      <c r="CB955" s="430"/>
      <c r="CC955" s="430"/>
      <c r="CD955" s="430"/>
      <c r="CE955" s="430"/>
      <c r="CF955" s="430"/>
      <c r="CG955" s="430"/>
      <c r="CH955" s="430"/>
      <c r="CI955" s="430"/>
      <c r="CJ955" s="430"/>
      <c r="CK955" s="430"/>
      <c r="CL955" s="430"/>
    </row>
    <row r="956" spans="63:90" ht="14.25" customHeight="1">
      <c r="BK956" s="430"/>
      <c r="BL956" s="430"/>
      <c r="BM956" s="430"/>
      <c r="BN956" s="430"/>
      <c r="BO956" s="430"/>
      <c r="BP956" s="430"/>
      <c r="BQ956" s="430"/>
      <c r="BR956" s="430"/>
      <c r="BS956" s="430"/>
      <c r="BT956" s="430"/>
      <c r="BU956" s="430"/>
      <c r="BV956" s="430"/>
      <c r="BW956" s="430"/>
      <c r="BX956" s="430"/>
      <c r="BY956" s="430"/>
      <c r="BZ956" s="430"/>
      <c r="CA956" s="430"/>
      <c r="CB956" s="430"/>
      <c r="CC956" s="430"/>
      <c r="CD956" s="430"/>
      <c r="CE956" s="430"/>
      <c r="CF956" s="430"/>
      <c r="CG956" s="430"/>
      <c r="CH956" s="430"/>
      <c r="CI956" s="430"/>
      <c r="CJ956" s="430"/>
      <c r="CK956" s="430"/>
      <c r="CL956" s="430"/>
    </row>
    <row r="957" spans="63:90" ht="14.25" customHeight="1">
      <c r="BK957" s="430"/>
      <c r="BL957" s="430"/>
      <c r="BM957" s="430"/>
      <c r="BN957" s="430"/>
      <c r="BO957" s="430"/>
      <c r="BP957" s="430"/>
      <c r="BQ957" s="430"/>
      <c r="BR957" s="430"/>
      <c r="BS957" s="430"/>
      <c r="BT957" s="430"/>
      <c r="BU957" s="430"/>
      <c r="BV957" s="430"/>
      <c r="BW957" s="430"/>
      <c r="BX957" s="430"/>
      <c r="BY957" s="430"/>
      <c r="BZ957" s="430"/>
      <c r="CA957" s="430"/>
      <c r="CB957" s="430"/>
      <c r="CC957" s="430"/>
      <c r="CD957" s="430"/>
      <c r="CE957" s="430"/>
      <c r="CF957" s="430"/>
      <c r="CG957" s="430"/>
      <c r="CH957" s="430"/>
      <c r="CI957" s="430"/>
      <c r="CJ957" s="430"/>
      <c r="CK957" s="430"/>
      <c r="CL957" s="430"/>
    </row>
    <row r="958" spans="63:90" ht="14.25" customHeight="1">
      <c r="BK958" s="430"/>
      <c r="BL958" s="430"/>
      <c r="BM958" s="430"/>
      <c r="BN958" s="430"/>
      <c r="BO958" s="430"/>
      <c r="BP958" s="430"/>
      <c r="BQ958" s="430"/>
      <c r="BR958" s="430"/>
      <c r="BS958" s="430"/>
      <c r="BT958" s="430"/>
      <c r="BU958" s="430"/>
      <c r="BV958" s="430"/>
      <c r="BW958" s="430"/>
      <c r="BX958" s="430"/>
      <c r="BY958" s="430"/>
      <c r="BZ958" s="430"/>
      <c r="CA958" s="430"/>
      <c r="CB958" s="430"/>
      <c r="CC958" s="430"/>
      <c r="CD958" s="430"/>
      <c r="CE958" s="430"/>
      <c r="CF958" s="430"/>
      <c r="CG958" s="430"/>
      <c r="CH958" s="430"/>
      <c r="CI958" s="430"/>
      <c r="CJ958" s="430"/>
      <c r="CK958" s="430"/>
      <c r="CL958" s="430"/>
    </row>
    <row r="959" spans="63:90" ht="14.25" customHeight="1">
      <c r="BK959" s="430"/>
      <c r="BL959" s="430"/>
      <c r="BM959" s="430"/>
      <c r="BN959" s="430"/>
      <c r="BO959" s="430"/>
      <c r="BP959" s="430"/>
      <c r="BQ959" s="430"/>
      <c r="BR959" s="430"/>
      <c r="BS959" s="430"/>
      <c r="BT959" s="430"/>
      <c r="BU959" s="430"/>
      <c r="BV959" s="430"/>
      <c r="BW959" s="430"/>
      <c r="BX959" s="430"/>
      <c r="BY959" s="430"/>
      <c r="BZ959" s="430"/>
      <c r="CA959" s="430"/>
      <c r="CB959" s="430"/>
      <c r="CC959" s="430"/>
      <c r="CD959" s="430"/>
      <c r="CE959" s="430"/>
      <c r="CF959" s="430"/>
      <c r="CG959" s="430"/>
      <c r="CH959" s="430"/>
      <c r="CI959" s="430"/>
      <c r="CJ959" s="430"/>
      <c r="CK959" s="430"/>
      <c r="CL959" s="430"/>
    </row>
    <row r="960" spans="63:90" ht="14.25" customHeight="1">
      <c r="BK960" s="430"/>
      <c r="BL960" s="430"/>
      <c r="BM960" s="430"/>
      <c r="BN960" s="430"/>
      <c r="BO960" s="430"/>
      <c r="BP960" s="430"/>
      <c r="BQ960" s="430"/>
      <c r="BR960" s="430"/>
      <c r="BS960" s="430"/>
      <c r="BT960" s="430"/>
      <c r="BU960" s="430"/>
      <c r="BV960" s="430"/>
      <c r="BW960" s="430"/>
      <c r="BX960" s="430"/>
      <c r="BY960" s="430"/>
      <c r="BZ960" s="430"/>
      <c r="CA960" s="430"/>
      <c r="CB960" s="430"/>
      <c r="CC960" s="430"/>
      <c r="CD960" s="430"/>
      <c r="CE960" s="430"/>
      <c r="CF960" s="430"/>
      <c r="CG960" s="430"/>
      <c r="CH960" s="430"/>
      <c r="CI960" s="430"/>
      <c r="CJ960" s="430"/>
      <c r="CK960" s="430"/>
      <c r="CL960" s="430"/>
    </row>
    <row r="961" spans="63:90" ht="14.25" customHeight="1">
      <c r="BK961" s="430"/>
      <c r="BL961" s="430"/>
      <c r="BM961" s="430"/>
      <c r="BN961" s="430"/>
      <c r="BO961" s="430"/>
      <c r="BP961" s="430"/>
      <c r="BQ961" s="430"/>
      <c r="BR961" s="430"/>
      <c r="BS961" s="430"/>
      <c r="BT961" s="430"/>
      <c r="BU961" s="430"/>
      <c r="BV961" s="430"/>
      <c r="BW961" s="430"/>
      <c r="BX961" s="430"/>
      <c r="BY961" s="430"/>
      <c r="BZ961" s="430"/>
      <c r="CA961" s="430"/>
      <c r="CB961" s="430"/>
      <c r="CC961" s="430"/>
      <c r="CD961" s="430"/>
      <c r="CE961" s="430"/>
      <c r="CF961" s="430"/>
      <c r="CG961" s="430"/>
      <c r="CH961" s="430"/>
      <c r="CI961" s="430"/>
      <c r="CJ961" s="430"/>
      <c r="CK961" s="430"/>
      <c r="CL961" s="430"/>
    </row>
    <row r="962" spans="63:90" ht="14.25" customHeight="1">
      <c r="BK962" s="430"/>
      <c r="BL962" s="430"/>
      <c r="BM962" s="430"/>
      <c r="BN962" s="430"/>
      <c r="BO962" s="430"/>
      <c r="BP962" s="430"/>
      <c r="BQ962" s="430"/>
      <c r="BR962" s="430"/>
      <c r="BS962" s="430"/>
      <c r="BT962" s="430"/>
      <c r="BU962" s="430"/>
      <c r="BV962" s="430"/>
      <c r="BW962" s="430"/>
      <c r="BX962" s="430"/>
      <c r="BY962" s="430"/>
      <c r="BZ962" s="430"/>
      <c r="CA962" s="430"/>
      <c r="CB962" s="430"/>
      <c r="CC962" s="430"/>
      <c r="CD962" s="430"/>
      <c r="CE962" s="430"/>
      <c r="CF962" s="430"/>
      <c r="CG962" s="430"/>
      <c r="CH962" s="430"/>
      <c r="CI962" s="430"/>
      <c r="CJ962" s="430"/>
      <c r="CK962" s="430"/>
      <c r="CL962" s="430"/>
    </row>
    <row r="963" spans="63:90" ht="14.25" customHeight="1">
      <c r="BK963" s="430"/>
      <c r="BL963" s="430"/>
      <c r="BM963" s="430"/>
      <c r="BN963" s="430"/>
      <c r="BO963" s="430"/>
      <c r="BP963" s="430"/>
      <c r="BQ963" s="430"/>
      <c r="BR963" s="430"/>
      <c r="BS963" s="430"/>
      <c r="BT963" s="430"/>
      <c r="BU963" s="430"/>
      <c r="BV963" s="430"/>
      <c r="BW963" s="430"/>
      <c r="BX963" s="430"/>
      <c r="BY963" s="430"/>
      <c r="BZ963" s="430"/>
      <c r="CA963" s="430"/>
      <c r="CB963" s="430"/>
      <c r="CC963" s="430"/>
      <c r="CD963" s="430"/>
      <c r="CE963" s="430"/>
      <c r="CF963" s="430"/>
      <c r="CG963" s="430"/>
      <c r="CH963" s="430"/>
      <c r="CI963" s="430"/>
      <c r="CJ963" s="430"/>
      <c r="CK963" s="430"/>
      <c r="CL963" s="430"/>
    </row>
    <row r="964" spans="63:90" ht="14.25" customHeight="1">
      <c r="BK964" s="430"/>
      <c r="BL964" s="430"/>
      <c r="BM964" s="430"/>
      <c r="BN964" s="430"/>
      <c r="BO964" s="430"/>
      <c r="BP964" s="430"/>
      <c r="BQ964" s="430"/>
      <c r="BR964" s="430"/>
      <c r="BS964" s="430"/>
      <c r="BT964" s="430"/>
      <c r="BU964" s="430"/>
      <c r="BV964" s="430"/>
      <c r="BW964" s="430"/>
      <c r="BX964" s="430"/>
      <c r="BY964" s="430"/>
      <c r="BZ964" s="430"/>
      <c r="CA964" s="430"/>
      <c r="CB964" s="430"/>
      <c r="CC964" s="430"/>
      <c r="CD964" s="430"/>
      <c r="CE964" s="430"/>
      <c r="CF964" s="430"/>
      <c r="CG964" s="430"/>
      <c r="CH964" s="430"/>
      <c r="CI964" s="430"/>
      <c r="CJ964" s="430"/>
      <c r="CK964" s="430"/>
      <c r="CL964" s="430"/>
    </row>
    <row r="965" spans="63:90" ht="14.25" customHeight="1">
      <c r="BK965" s="430"/>
      <c r="BL965" s="430"/>
      <c r="BM965" s="430"/>
      <c r="BN965" s="430"/>
      <c r="BO965" s="430"/>
      <c r="BP965" s="430"/>
      <c r="BQ965" s="430"/>
      <c r="BR965" s="430"/>
      <c r="BS965" s="430"/>
      <c r="BT965" s="430"/>
      <c r="BU965" s="430"/>
      <c r="BV965" s="430"/>
      <c r="BW965" s="430"/>
      <c r="BX965" s="430"/>
      <c r="BY965" s="430"/>
      <c r="BZ965" s="430"/>
      <c r="CA965" s="430"/>
      <c r="CB965" s="430"/>
      <c r="CC965" s="430"/>
      <c r="CD965" s="430"/>
      <c r="CE965" s="430"/>
      <c r="CF965" s="430"/>
      <c r="CG965" s="430"/>
      <c r="CH965" s="430"/>
      <c r="CI965" s="430"/>
      <c r="CJ965" s="430"/>
      <c r="CK965" s="430"/>
      <c r="CL965" s="430"/>
    </row>
    <row r="966" spans="63:90" ht="14.25" customHeight="1">
      <c r="BK966" s="430"/>
      <c r="BL966" s="430"/>
      <c r="BM966" s="430"/>
      <c r="BN966" s="430"/>
      <c r="BO966" s="430"/>
      <c r="BP966" s="430"/>
      <c r="BQ966" s="430"/>
      <c r="BR966" s="430"/>
      <c r="BS966" s="430"/>
      <c r="BT966" s="430"/>
      <c r="BU966" s="430"/>
      <c r="BV966" s="430"/>
      <c r="BW966" s="430"/>
      <c r="BX966" s="430"/>
      <c r="BY966" s="430"/>
      <c r="BZ966" s="430"/>
      <c r="CA966" s="430"/>
      <c r="CB966" s="430"/>
      <c r="CC966" s="430"/>
      <c r="CD966" s="430"/>
      <c r="CE966" s="430"/>
      <c r="CF966" s="430"/>
      <c r="CG966" s="430"/>
      <c r="CH966" s="430"/>
      <c r="CI966" s="430"/>
      <c r="CJ966" s="430"/>
      <c r="CK966" s="430"/>
      <c r="CL966" s="430"/>
    </row>
    <row r="967" spans="63:90" ht="14.25" customHeight="1">
      <c r="BK967" s="430"/>
      <c r="BL967" s="430"/>
      <c r="BM967" s="430"/>
      <c r="BN967" s="430"/>
      <c r="BO967" s="430"/>
      <c r="BP967" s="430"/>
      <c r="BQ967" s="430"/>
      <c r="BR967" s="430"/>
      <c r="BS967" s="430"/>
      <c r="BT967" s="430"/>
      <c r="BU967" s="430"/>
      <c r="BV967" s="430"/>
      <c r="BW967" s="430"/>
      <c r="BX967" s="430"/>
      <c r="BY967" s="430"/>
      <c r="BZ967" s="430"/>
      <c r="CA967" s="430"/>
      <c r="CB967" s="430"/>
      <c r="CC967" s="430"/>
      <c r="CD967" s="430"/>
      <c r="CE967" s="430"/>
      <c r="CF967" s="430"/>
      <c r="CG967" s="430"/>
      <c r="CH967" s="430"/>
      <c r="CI967" s="430"/>
      <c r="CJ967" s="430"/>
      <c r="CK967" s="430"/>
      <c r="CL967" s="430"/>
    </row>
    <row r="968" spans="63:90" ht="14.25" customHeight="1">
      <c r="BK968" s="430"/>
      <c r="BL968" s="430"/>
      <c r="BM968" s="430"/>
      <c r="BN968" s="430"/>
      <c r="BO968" s="430"/>
      <c r="BP968" s="430"/>
      <c r="BQ968" s="430"/>
      <c r="BR968" s="430"/>
      <c r="BS968" s="430"/>
      <c r="BT968" s="430"/>
      <c r="BU968" s="430"/>
      <c r="BV968" s="430"/>
      <c r="BW968" s="430"/>
      <c r="BX968" s="430"/>
      <c r="BY968" s="430"/>
      <c r="BZ968" s="430"/>
      <c r="CA968" s="430"/>
      <c r="CB968" s="430"/>
      <c r="CC968" s="430"/>
      <c r="CD968" s="430"/>
      <c r="CE968" s="430"/>
      <c r="CF968" s="430"/>
      <c r="CG968" s="430"/>
      <c r="CH968" s="430"/>
      <c r="CI968" s="430"/>
      <c r="CJ968" s="430"/>
      <c r="CK968" s="430"/>
      <c r="CL968" s="430"/>
    </row>
    <row r="969" spans="63:90" ht="14.25" customHeight="1">
      <c r="BK969" s="430"/>
      <c r="BL969" s="430"/>
      <c r="BM969" s="430"/>
      <c r="BN969" s="430"/>
      <c r="BO969" s="430"/>
      <c r="BP969" s="430"/>
      <c r="BQ969" s="430"/>
      <c r="BR969" s="430"/>
      <c r="BS969" s="430"/>
      <c r="BT969" s="430"/>
      <c r="BU969" s="430"/>
      <c r="BV969" s="430"/>
      <c r="BW969" s="430"/>
      <c r="BX969" s="430"/>
      <c r="BY969" s="430"/>
      <c r="BZ969" s="430"/>
      <c r="CA969" s="430"/>
      <c r="CB969" s="430"/>
      <c r="CC969" s="430"/>
      <c r="CD969" s="430"/>
      <c r="CE969" s="430"/>
      <c r="CF969" s="430"/>
      <c r="CG969" s="430"/>
      <c r="CH969" s="430"/>
      <c r="CI969" s="430"/>
      <c r="CJ969" s="430"/>
      <c r="CK969" s="430"/>
      <c r="CL969" s="430"/>
    </row>
    <row r="970" spans="63:90" ht="14.25" customHeight="1">
      <c r="BK970" s="430"/>
      <c r="BL970" s="430"/>
      <c r="BM970" s="430"/>
      <c r="BN970" s="430"/>
      <c r="BO970" s="430"/>
      <c r="BP970" s="430"/>
      <c r="BQ970" s="430"/>
      <c r="BR970" s="430"/>
      <c r="BS970" s="430"/>
      <c r="BT970" s="430"/>
      <c r="BU970" s="430"/>
      <c r="BV970" s="430"/>
      <c r="BW970" s="430"/>
      <c r="BX970" s="430"/>
      <c r="BY970" s="430"/>
      <c r="BZ970" s="430"/>
      <c r="CA970" s="430"/>
      <c r="CB970" s="430"/>
      <c r="CC970" s="430"/>
      <c r="CD970" s="430"/>
      <c r="CE970" s="430"/>
      <c r="CF970" s="430"/>
      <c r="CG970" s="430"/>
      <c r="CH970" s="430"/>
      <c r="CI970" s="430"/>
      <c r="CJ970" s="430"/>
      <c r="CK970" s="430"/>
      <c r="CL970" s="430"/>
    </row>
    <row r="971" spans="63:90" ht="14.25" customHeight="1">
      <c r="BK971" s="430"/>
      <c r="BL971" s="430"/>
      <c r="BM971" s="430"/>
      <c r="BN971" s="430"/>
      <c r="BO971" s="430"/>
      <c r="BP971" s="430"/>
      <c r="BQ971" s="430"/>
      <c r="BR971" s="430"/>
      <c r="BS971" s="430"/>
      <c r="BT971" s="430"/>
      <c r="BU971" s="430"/>
      <c r="BV971" s="430"/>
      <c r="BW971" s="430"/>
      <c r="BX971" s="430"/>
      <c r="BY971" s="430"/>
      <c r="BZ971" s="430"/>
      <c r="CA971" s="430"/>
      <c r="CB971" s="430"/>
      <c r="CC971" s="430"/>
      <c r="CD971" s="430"/>
      <c r="CE971" s="430"/>
      <c r="CF971" s="430"/>
      <c r="CG971" s="430"/>
      <c r="CH971" s="430"/>
      <c r="CI971" s="430"/>
      <c r="CJ971" s="430"/>
      <c r="CK971" s="430"/>
      <c r="CL971" s="430"/>
    </row>
    <row r="972" spans="63:90" ht="14.25" customHeight="1">
      <c r="BK972" s="430"/>
      <c r="BL972" s="430"/>
      <c r="BM972" s="430"/>
      <c r="BN972" s="430"/>
      <c r="BO972" s="430"/>
      <c r="BP972" s="430"/>
      <c r="BQ972" s="430"/>
      <c r="BR972" s="430"/>
      <c r="BS972" s="430"/>
      <c r="BT972" s="430"/>
      <c r="BU972" s="430"/>
      <c r="BV972" s="430"/>
      <c r="BW972" s="430"/>
      <c r="BX972" s="430"/>
      <c r="BY972" s="430"/>
      <c r="BZ972" s="430"/>
      <c r="CA972" s="430"/>
      <c r="CB972" s="430"/>
      <c r="CC972" s="430"/>
      <c r="CD972" s="430"/>
      <c r="CE972" s="430"/>
      <c r="CF972" s="430"/>
      <c r="CG972" s="430"/>
      <c r="CH972" s="430"/>
      <c r="CI972" s="430"/>
      <c r="CJ972" s="430"/>
      <c r="CK972" s="430"/>
      <c r="CL972" s="430"/>
    </row>
    <row r="973" spans="63:90" ht="14.25" customHeight="1">
      <c r="BK973" s="430"/>
      <c r="BL973" s="430"/>
      <c r="BM973" s="430"/>
      <c r="BN973" s="430"/>
      <c r="BO973" s="430"/>
      <c r="BP973" s="430"/>
      <c r="BQ973" s="430"/>
      <c r="BR973" s="430"/>
      <c r="BS973" s="430"/>
      <c r="BT973" s="430"/>
      <c r="BU973" s="430"/>
      <c r="BV973" s="430"/>
      <c r="BW973" s="430"/>
      <c r="BX973" s="430"/>
      <c r="BY973" s="430"/>
      <c r="BZ973" s="430"/>
      <c r="CA973" s="430"/>
      <c r="CB973" s="430"/>
      <c r="CC973" s="430"/>
      <c r="CD973" s="430"/>
      <c r="CE973" s="430"/>
      <c r="CF973" s="430"/>
      <c r="CG973" s="430"/>
      <c r="CH973" s="430"/>
      <c r="CI973" s="430"/>
      <c r="CJ973" s="430"/>
      <c r="CK973" s="430"/>
      <c r="CL973" s="430"/>
    </row>
    <row r="974" spans="63:90" ht="14.25" customHeight="1">
      <c r="BK974" s="430"/>
      <c r="BL974" s="430"/>
      <c r="BM974" s="430"/>
      <c r="BN974" s="430"/>
      <c r="BO974" s="430"/>
      <c r="BP974" s="430"/>
      <c r="BQ974" s="430"/>
      <c r="BR974" s="430"/>
      <c r="BS974" s="430"/>
      <c r="BT974" s="430"/>
      <c r="BU974" s="430"/>
      <c r="BV974" s="430"/>
      <c r="BW974" s="430"/>
      <c r="BX974" s="430"/>
      <c r="BY974" s="430"/>
      <c r="BZ974" s="430"/>
      <c r="CA974" s="430"/>
      <c r="CB974" s="430"/>
      <c r="CC974" s="430"/>
      <c r="CD974" s="430"/>
      <c r="CE974" s="430"/>
      <c r="CF974" s="430"/>
      <c r="CG974" s="430"/>
      <c r="CH974" s="430"/>
      <c r="CI974" s="430"/>
      <c r="CJ974" s="430"/>
      <c r="CK974" s="430"/>
      <c r="CL974" s="430"/>
    </row>
    <row r="975" spans="63:90" ht="14.25" customHeight="1">
      <c r="BK975" s="430"/>
      <c r="BL975" s="430"/>
      <c r="BM975" s="430"/>
      <c r="BN975" s="430"/>
      <c r="BO975" s="430"/>
      <c r="BP975" s="430"/>
      <c r="BQ975" s="430"/>
      <c r="BR975" s="430"/>
      <c r="BS975" s="430"/>
      <c r="BT975" s="430"/>
      <c r="BU975" s="430"/>
      <c r="BV975" s="430"/>
      <c r="BW975" s="430"/>
      <c r="BX975" s="430"/>
      <c r="BY975" s="430"/>
      <c r="BZ975" s="430"/>
      <c r="CA975" s="430"/>
      <c r="CB975" s="430"/>
      <c r="CC975" s="430"/>
      <c r="CD975" s="430"/>
      <c r="CE975" s="430"/>
      <c r="CF975" s="430"/>
      <c r="CG975" s="430"/>
      <c r="CH975" s="430"/>
      <c r="CI975" s="430"/>
      <c r="CJ975" s="430"/>
      <c r="CK975" s="430"/>
      <c r="CL975" s="430"/>
    </row>
    <row r="976" spans="63:90" ht="14.25" customHeight="1">
      <c r="BK976" s="430"/>
      <c r="BL976" s="430"/>
      <c r="BM976" s="430"/>
      <c r="BN976" s="430"/>
      <c r="BO976" s="430"/>
      <c r="BP976" s="430"/>
      <c r="BQ976" s="430"/>
      <c r="BR976" s="430"/>
      <c r="BS976" s="430"/>
      <c r="BT976" s="430"/>
      <c r="BU976" s="430"/>
      <c r="BV976" s="430"/>
      <c r="BW976" s="430"/>
      <c r="BX976" s="430"/>
      <c r="BY976" s="430"/>
      <c r="BZ976" s="430"/>
      <c r="CA976" s="430"/>
      <c r="CB976" s="430"/>
      <c r="CC976" s="430"/>
      <c r="CD976" s="430"/>
      <c r="CE976" s="430"/>
      <c r="CF976" s="430"/>
      <c r="CG976" s="430"/>
      <c r="CH976" s="430"/>
      <c r="CI976" s="430"/>
      <c r="CJ976" s="430"/>
      <c r="CK976" s="430"/>
      <c r="CL976" s="430"/>
    </row>
    <row r="977" spans="63:90" ht="14.25" customHeight="1">
      <c r="BK977" s="430"/>
      <c r="BL977" s="430"/>
      <c r="BM977" s="430"/>
      <c r="BN977" s="430"/>
      <c r="BO977" s="430"/>
      <c r="BP977" s="430"/>
      <c r="BQ977" s="430"/>
      <c r="BR977" s="430"/>
      <c r="BS977" s="430"/>
      <c r="BT977" s="430"/>
      <c r="BU977" s="430"/>
      <c r="BV977" s="430"/>
      <c r="BW977" s="430"/>
      <c r="BX977" s="430"/>
      <c r="BY977" s="430"/>
      <c r="BZ977" s="430"/>
      <c r="CA977" s="430"/>
      <c r="CB977" s="430"/>
      <c r="CC977" s="430"/>
      <c r="CD977" s="430"/>
      <c r="CE977" s="430"/>
      <c r="CF977" s="430"/>
      <c r="CG977" s="430"/>
      <c r="CH977" s="430"/>
      <c r="CI977" s="430"/>
      <c r="CJ977" s="430"/>
      <c r="CK977" s="430"/>
      <c r="CL977" s="430"/>
    </row>
    <row r="978" spans="63:90" ht="14.25" customHeight="1">
      <c r="BK978" s="430"/>
      <c r="BL978" s="430"/>
      <c r="BM978" s="430"/>
      <c r="BN978" s="430"/>
      <c r="BO978" s="430"/>
      <c r="BP978" s="430"/>
      <c r="BQ978" s="430"/>
      <c r="BR978" s="430"/>
      <c r="BS978" s="430"/>
      <c r="BT978" s="430"/>
      <c r="BU978" s="430"/>
      <c r="BV978" s="430"/>
      <c r="BW978" s="430"/>
      <c r="BX978" s="430"/>
      <c r="BY978" s="430"/>
      <c r="BZ978" s="430"/>
      <c r="CA978" s="430"/>
      <c r="CB978" s="430"/>
      <c r="CC978" s="430"/>
      <c r="CD978" s="430"/>
      <c r="CE978" s="430"/>
      <c r="CF978" s="430"/>
      <c r="CG978" s="430"/>
      <c r="CH978" s="430"/>
      <c r="CI978" s="430"/>
      <c r="CJ978" s="430"/>
      <c r="CK978" s="430"/>
      <c r="CL978" s="430"/>
    </row>
    <row r="979" spans="63:90" ht="14.25" customHeight="1">
      <c r="BK979" s="430"/>
      <c r="BL979" s="430"/>
      <c r="BM979" s="430"/>
      <c r="BN979" s="430"/>
      <c r="BO979" s="430"/>
      <c r="BP979" s="430"/>
      <c r="BQ979" s="430"/>
      <c r="BR979" s="430"/>
      <c r="BS979" s="430"/>
      <c r="BT979" s="430"/>
      <c r="BU979" s="430"/>
      <c r="BV979" s="430"/>
      <c r="BW979" s="430"/>
      <c r="BX979" s="430"/>
      <c r="BY979" s="430"/>
      <c r="BZ979" s="430"/>
      <c r="CA979" s="430"/>
      <c r="CB979" s="430"/>
      <c r="CC979" s="430"/>
      <c r="CD979" s="430"/>
      <c r="CE979" s="430"/>
      <c r="CF979" s="430"/>
      <c r="CG979" s="430"/>
      <c r="CH979" s="430"/>
      <c r="CI979" s="430"/>
      <c r="CJ979" s="430"/>
      <c r="CK979" s="430"/>
      <c r="CL979" s="430"/>
    </row>
    <row r="980" spans="63:90" ht="14.25" customHeight="1">
      <c r="BK980" s="430"/>
      <c r="BL980" s="430"/>
      <c r="BM980" s="430"/>
      <c r="BN980" s="430"/>
      <c r="BO980" s="430"/>
      <c r="BP980" s="430"/>
      <c r="BQ980" s="430"/>
      <c r="BR980" s="430"/>
      <c r="BS980" s="430"/>
      <c r="BT980" s="430"/>
      <c r="BU980" s="430"/>
      <c r="BV980" s="430"/>
      <c r="BW980" s="430"/>
      <c r="BX980" s="430"/>
      <c r="BY980" s="430"/>
      <c r="BZ980" s="430"/>
      <c r="CA980" s="430"/>
      <c r="CB980" s="430"/>
      <c r="CC980" s="430"/>
      <c r="CD980" s="430"/>
      <c r="CE980" s="430"/>
      <c r="CF980" s="430"/>
      <c r="CG980" s="430"/>
      <c r="CH980" s="430"/>
      <c r="CI980" s="430"/>
      <c r="CJ980" s="430"/>
      <c r="CK980" s="430"/>
      <c r="CL980" s="430"/>
    </row>
    <row r="981" spans="63:90" ht="14.25" customHeight="1">
      <c r="BK981" s="430"/>
      <c r="BL981" s="430"/>
      <c r="BM981" s="430"/>
      <c r="BN981" s="430"/>
      <c r="BO981" s="430"/>
      <c r="BP981" s="430"/>
      <c r="BQ981" s="430"/>
      <c r="BR981" s="430"/>
      <c r="BS981" s="430"/>
      <c r="BT981" s="430"/>
      <c r="BU981" s="430"/>
      <c r="BV981" s="430"/>
      <c r="BW981" s="430"/>
      <c r="BX981" s="430"/>
      <c r="BY981" s="430"/>
      <c r="BZ981" s="430"/>
      <c r="CA981" s="430"/>
      <c r="CB981" s="430"/>
      <c r="CC981" s="430"/>
      <c r="CD981" s="430"/>
      <c r="CE981" s="430"/>
      <c r="CF981" s="430"/>
      <c r="CG981" s="430"/>
      <c r="CH981" s="430"/>
      <c r="CI981" s="430"/>
      <c r="CJ981" s="430"/>
      <c r="CK981" s="430"/>
      <c r="CL981" s="430"/>
    </row>
    <row r="982" spans="63:90" ht="14.25" customHeight="1">
      <c r="BK982" s="430"/>
      <c r="BL982" s="430"/>
      <c r="BM982" s="430"/>
      <c r="BN982" s="430"/>
      <c r="BO982" s="430"/>
      <c r="BP982" s="430"/>
      <c r="BQ982" s="430"/>
      <c r="BR982" s="430"/>
      <c r="BS982" s="430"/>
      <c r="BT982" s="430"/>
      <c r="BU982" s="430"/>
      <c r="BV982" s="430"/>
      <c r="BW982" s="430"/>
      <c r="BX982" s="430"/>
      <c r="BY982" s="430"/>
      <c r="BZ982" s="430"/>
      <c r="CA982" s="430"/>
      <c r="CB982" s="430"/>
      <c r="CC982" s="430"/>
      <c r="CD982" s="430"/>
      <c r="CE982" s="430"/>
      <c r="CF982" s="430"/>
      <c r="CG982" s="430"/>
      <c r="CH982" s="430"/>
      <c r="CI982" s="430"/>
      <c r="CJ982" s="430"/>
      <c r="CK982" s="430"/>
      <c r="CL982" s="430"/>
    </row>
    <row r="983" spans="63:90" ht="14.25" customHeight="1">
      <c r="BK983" s="430"/>
      <c r="BL983" s="430"/>
      <c r="BM983" s="430"/>
      <c r="BN983" s="430"/>
      <c r="BO983" s="430"/>
      <c r="BP983" s="430"/>
      <c r="BQ983" s="430"/>
      <c r="BR983" s="430"/>
      <c r="BS983" s="430"/>
      <c r="BT983" s="430"/>
      <c r="BU983" s="430"/>
      <c r="BV983" s="430"/>
      <c r="BW983" s="430"/>
      <c r="BX983" s="430"/>
      <c r="BY983" s="430"/>
      <c r="BZ983" s="430"/>
      <c r="CA983" s="430"/>
      <c r="CB983" s="430"/>
      <c r="CC983" s="430"/>
      <c r="CD983" s="430"/>
      <c r="CE983" s="430"/>
      <c r="CF983" s="430"/>
      <c r="CG983" s="430"/>
      <c r="CH983" s="430"/>
      <c r="CI983" s="430"/>
      <c r="CJ983" s="430"/>
      <c r="CK983" s="430"/>
      <c r="CL983" s="430"/>
    </row>
    <row r="984" spans="63:90" ht="14.25" customHeight="1">
      <c r="BK984" s="430"/>
      <c r="BL984" s="430"/>
      <c r="BM984" s="430"/>
      <c r="BN984" s="430"/>
      <c r="BO984" s="430"/>
      <c r="BP984" s="430"/>
      <c r="BQ984" s="430"/>
      <c r="BR984" s="430"/>
      <c r="BS984" s="430"/>
      <c r="BT984" s="430"/>
      <c r="BU984" s="430"/>
      <c r="BV984" s="430"/>
      <c r="BW984" s="430"/>
      <c r="BX984" s="430"/>
      <c r="BY984" s="430"/>
      <c r="BZ984" s="430"/>
      <c r="CA984" s="430"/>
      <c r="CB984" s="430"/>
      <c r="CC984" s="430"/>
      <c r="CD984" s="430"/>
      <c r="CE984" s="430"/>
      <c r="CF984" s="430"/>
      <c r="CG984" s="430"/>
      <c r="CH984" s="430"/>
      <c r="CI984" s="430"/>
      <c r="CJ984" s="430"/>
      <c r="CK984" s="430"/>
      <c r="CL984" s="430"/>
    </row>
    <row r="985" spans="63:90" ht="14.25" customHeight="1">
      <c r="BK985" s="430"/>
      <c r="BL985" s="430"/>
      <c r="BM985" s="430"/>
      <c r="BN985" s="430"/>
      <c r="BO985" s="430"/>
      <c r="BP985" s="430"/>
      <c r="BQ985" s="430"/>
      <c r="BR985" s="430"/>
      <c r="BS985" s="430"/>
      <c r="BT985" s="430"/>
      <c r="BU985" s="430"/>
      <c r="BV985" s="430"/>
      <c r="BW985" s="430"/>
      <c r="BX985" s="430"/>
      <c r="BY985" s="430"/>
      <c r="BZ985" s="430"/>
      <c r="CA985" s="430"/>
      <c r="CB985" s="430"/>
      <c r="CC985" s="430"/>
      <c r="CD985" s="430"/>
      <c r="CE985" s="430"/>
      <c r="CF985" s="430"/>
      <c r="CG985" s="430"/>
      <c r="CH985" s="430"/>
      <c r="CI985" s="430"/>
      <c r="CJ985" s="430"/>
      <c r="CK985" s="430"/>
      <c r="CL985" s="430"/>
    </row>
    <row r="986" spans="63:90" ht="14.25" customHeight="1">
      <c r="BK986" s="430"/>
      <c r="BL986" s="430"/>
      <c r="BM986" s="430"/>
      <c r="BN986" s="430"/>
      <c r="BO986" s="430"/>
      <c r="BP986" s="430"/>
      <c r="BQ986" s="430"/>
      <c r="BR986" s="430"/>
      <c r="BS986" s="430"/>
      <c r="BT986" s="430"/>
      <c r="BU986" s="430"/>
      <c r="BV986" s="430"/>
      <c r="BW986" s="430"/>
      <c r="BX986" s="430"/>
      <c r="BY986" s="430"/>
      <c r="BZ986" s="430"/>
      <c r="CA986" s="430"/>
      <c r="CB986" s="430"/>
      <c r="CC986" s="430"/>
      <c r="CD986" s="430"/>
      <c r="CE986" s="430"/>
      <c r="CF986" s="430"/>
      <c r="CG986" s="430"/>
      <c r="CH986" s="430"/>
      <c r="CI986" s="430"/>
      <c r="CJ986" s="430"/>
      <c r="CK986" s="430"/>
      <c r="CL986" s="430"/>
    </row>
    <row r="987" spans="63:90" ht="14.25" customHeight="1">
      <c r="BK987" s="430"/>
      <c r="BL987" s="430"/>
      <c r="BM987" s="430"/>
      <c r="BN987" s="430"/>
      <c r="BO987" s="430"/>
      <c r="BP987" s="430"/>
      <c r="BQ987" s="430"/>
      <c r="BR987" s="430"/>
      <c r="BS987" s="430"/>
      <c r="BT987" s="430"/>
      <c r="BU987" s="430"/>
      <c r="BV987" s="430"/>
      <c r="BW987" s="430"/>
      <c r="BX987" s="430"/>
      <c r="BY987" s="430"/>
      <c r="BZ987" s="430"/>
      <c r="CA987" s="430"/>
      <c r="CB987" s="430"/>
      <c r="CC987" s="430"/>
      <c r="CD987" s="430"/>
      <c r="CE987" s="430"/>
      <c r="CF987" s="430"/>
      <c r="CG987" s="430"/>
      <c r="CH987" s="430"/>
      <c r="CI987" s="430"/>
      <c r="CJ987" s="430"/>
      <c r="CK987" s="430"/>
      <c r="CL987" s="430"/>
    </row>
    <row r="988" spans="63:90" ht="14.25" customHeight="1">
      <c r="BK988" s="430"/>
      <c r="BL988" s="430"/>
      <c r="BM988" s="430"/>
      <c r="BN988" s="430"/>
      <c r="BO988" s="430"/>
      <c r="BP988" s="430"/>
      <c r="BQ988" s="430"/>
      <c r="BR988" s="430"/>
      <c r="BS988" s="430"/>
      <c r="BT988" s="430"/>
      <c r="BU988" s="430"/>
      <c r="BV988" s="430"/>
      <c r="BW988" s="430"/>
      <c r="BX988" s="430"/>
      <c r="BY988" s="430"/>
      <c r="BZ988" s="430"/>
      <c r="CA988" s="430"/>
      <c r="CB988" s="430"/>
      <c r="CC988" s="430"/>
      <c r="CD988" s="430"/>
      <c r="CE988" s="430"/>
      <c r="CF988" s="430"/>
      <c r="CG988" s="430"/>
      <c r="CH988" s="430"/>
      <c r="CI988" s="430"/>
      <c r="CJ988" s="430"/>
      <c r="CK988" s="430"/>
      <c r="CL988" s="430"/>
    </row>
    <row r="989" spans="63:90" ht="14.25" customHeight="1">
      <c r="BK989" s="430"/>
      <c r="BL989" s="430"/>
      <c r="BM989" s="430"/>
      <c r="BN989" s="430"/>
      <c r="BO989" s="430"/>
      <c r="BP989" s="430"/>
      <c r="BQ989" s="430"/>
      <c r="BR989" s="430"/>
      <c r="BS989" s="430"/>
      <c r="BT989" s="430"/>
      <c r="BU989" s="430"/>
      <c r="BV989" s="430"/>
      <c r="BW989" s="430"/>
      <c r="BX989" s="430"/>
      <c r="BY989" s="430"/>
      <c r="BZ989" s="430"/>
      <c r="CA989" s="430"/>
      <c r="CB989" s="430"/>
      <c r="CC989" s="430"/>
      <c r="CD989" s="430"/>
      <c r="CE989" s="430"/>
      <c r="CF989" s="430"/>
      <c r="CG989" s="430"/>
      <c r="CH989" s="430"/>
      <c r="CI989" s="430"/>
      <c r="CJ989" s="430"/>
      <c r="CK989" s="430"/>
      <c r="CL989" s="430"/>
    </row>
    <row r="990" spans="63:90" ht="14.25" customHeight="1">
      <c r="BK990" s="430"/>
      <c r="BL990" s="430"/>
      <c r="BM990" s="430"/>
      <c r="BN990" s="430"/>
      <c r="BO990" s="430"/>
      <c r="BP990" s="430"/>
      <c r="BQ990" s="430"/>
      <c r="BR990" s="430"/>
      <c r="BS990" s="430"/>
      <c r="BT990" s="430"/>
      <c r="BU990" s="430"/>
      <c r="BV990" s="430"/>
      <c r="BW990" s="430"/>
      <c r="BX990" s="430"/>
      <c r="BY990" s="430"/>
      <c r="BZ990" s="430"/>
      <c r="CA990" s="430"/>
      <c r="CB990" s="430"/>
      <c r="CC990" s="430"/>
      <c r="CD990" s="430"/>
      <c r="CE990" s="430"/>
      <c r="CF990" s="430"/>
      <c r="CG990" s="430"/>
      <c r="CH990" s="430"/>
      <c r="CI990" s="430"/>
      <c r="CJ990" s="430"/>
      <c r="CK990" s="430"/>
      <c r="CL990" s="430"/>
    </row>
    <row r="991" spans="63:90" ht="14.25" customHeight="1">
      <c r="BK991" s="430"/>
      <c r="BL991" s="430"/>
      <c r="BM991" s="430"/>
      <c r="BN991" s="430"/>
      <c r="BO991" s="430"/>
      <c r="BP991" s="430"/>
      <c r="BQ991" s="430"/>
      <c r="BR991" s="430"/>
      <c r="BS991" s="430"/>
      <c r="BT991" s="430"/>
      <c r="BU991" s="430"/>
      <c r="BV991" s="430"/>
      <c r="BW991" s="430"/>
      <c r="BX991" s="430"/>
      <c r="BY991" s="430"/>
      <c r="BZ991" s="430"/>
      <c r="CA991" s="430"/>
      <c r="CB991" s="430"/>
      <c r="CC991" s="430"/>
      <c r="CD991" s="430"/>
      <c r="CE991" s="430"/>
      <c r="CF991" s="430"/>
      <c r="CG991" s="430"/>
      <c r="CH991" s="430"/>
      <c r="CI991" s="430"/>
      <c r="CJ991" s="430"/>
      <c r="CK991" s="430"/>
      <c r="CL991" s="430"/>
    </row>
    <row r="992" spans="63:90" ht="14.25" customHeight="1">
      <c r="BK992" s="430"/>
      <c r="BL992" s="430"/>
      <c r="BM992" s="430"/>
      <c r="BN992" s="430"/>
      <c r="BO992" s="430"/>
      <c r="BP992" s="430"/>
      <c r="BQ992" s="430"/>
      <c r="BR992" s="430"/>
      <c r="BS992" s="430"/>
      <c r="BT992" s="430"/>
      <c r="BU992" s="430"/>
      <c r="BV992" s="430"/>
      <c r="BW992" s="430"/>
      <c r="BX992" s="430"/>
      <c r="BY992" s="430"/>
      <c r="BZ992" s="430"/>
      <c r="CA992" s="430"/>
      <c r="CB992" s="430"/>
      <c r="CC992" s="430"/>
      <c r="CD992" s="430"/>
      <c r="CE992" s="430"/>
      <c r="CF992" s="430"/>
      <c r="CG992" s="430"/>
      <c r="CH992" s="430"/>
      <c r="CI992" s="430"/>
      <c r="CJ992" s="430"/>
      <c r="CK992" s="430"/>
      <c r="CL992" s="430"/>
    </row>
    <row r="993" spans="63:90" ht="14.25" customHeight="1">
      <c r="BK993" s="430"/>
      <c r="BL993" s="430"/>
      <c r="BM993" s="430"/>
      <c r="BN993" s="430"/>
      <c r="BO993" s="430"/>
      <c r="BP993" s="430"/>
      <c r="BQ993" s="430"/>
      <c r="BR993" s="430"/>
      <c r="BS993" s="430"/>
      <c r="BT993" s="430"/>
      <c r="BU993" s="430"/>
      <c r="BV993" s="430"/>
      <c r="BW993" s="430"/>
      <c r="BX993" s="430"/>
      <c r="BY993" s="430"/>
      <c r="BZ993" s="430"/>
      <c r="CA993" s="430"/>
      <c r="CB993" s="430"/>
      <c r="CC993" s="430"/>
      <c r="CD993" s="430"/>
      <c r="CE993" s="430"/>
      <c r="CF993" s="430"/>
      <c r="CG993" s="430"/>
      <c r="CH993" s="430"/>
      <c r="CI993" s="430"/>
      <c r="CJ993" s="430"/>
      <c r="CK993" s="430"/>
      <c r="CL993" s="430"/>
    </row>
    <row r="994" spans="63:90" ht="14.25" customHeight="1">
      <c r="BK994" s="430"/>
      <c r="BL994" s="430"/>
      <c r="BM994" s="430"/>
      <c r="BN994" s="430"/>
      <c r="BO994" s="430"/>
      <c r="BP994" s="430"/>
      <c r="BQ994" s="430"/>
      <c r="BR994" s="430"/>
      <c r="BS994" s="430"/>
      <c r="BT994" s="430"/>
      <c r="BU994" s="430"/>
      <c r="BV994" s="430"/>
      <c r="BW994" s="430"/>
      <c r="BX994" s="430"/>
      <c r="BY994" s="430"/>
      <c r="BZ994" s="430"/>
      <c r="CA994" s="430"/>
      <c r="CB994" s="430"/>
      <c r="CC994" s="430"/>
      <c r="CD994" s="430"/>
      <c r="CE994" s="430"/>
      <c r="CF994" s="430"/>
      <c r="CG994" s="430"/>
      <c r="CH994" s="430"/>
      <c r="CI994" s="430"/>
      <c r="CJ994" s="430"/>
      <c r="CK994" s="430"/>
      <c r="CL994" s="430"/>
    </row>
    <row r="995" spans="63:90" ht="14.25" customHeight="1">
      <c r="BK995" s="430"/>
      <c r="BL995" s="430"/>
      <c r="BM995" s="430"/>
      <c r="BN995" s="430"/>
      <c r="BO995" s="430"/>
      <c r="BP995" s="430"/>
      <c r="BQ995" s="430"/>
      <c r="BR995" s="430"/>
      <c r="BS995" s="430"/>
      <c r="BT995" s="430"/>
      <c r="BU995" s="430"/>
      <c r="BV995" s="430"/>
      <c r="BW995" s="430"/>
      <c r="BX995" s="430"/>
      <c r="BY995" s="430"/>
      <c r="BZ995" s="430"/>
      <c r="CA995" s="430"/>
      <c r="CB995" s="430"/>
      <c r="CC995" s="430"/>
      <c r="CD995" s="430"/>
      <c r="CE995" s="430"/>
      <c r="CF995" s="430"/>
      <c r="CG995" s="430"/>
      <c r="CH995" s="430"/>
      <c r="CI995" s="430"/>
      <c r="CJ995" s="430"/>
      <c r="CK995" s="430"/>
      <c r="CL995" s="430"/>
    </row>
    <row r="996" spans="63:90" ht="14.25" customHeight="1">
      <c r="BK996" s="430"/>
      <c r="BL996" s="430"/>
      <c r="BM996" s="430"/>
      <c r="BN996" s="430"/>
      <c r="BO996" s="430"/>
      <c r="BP996" s="430"/>
      <c r="BQ996" s="430"/>
      <c r="BR996" s="430"/>
      <c r="BS996" s="430"/>
      <c r="BT996" s="430"/>
      <c r="BU996" s="430"/>
      <c r="BV996" s="430"/>
      <c r="BW996" s="430"/>
      <c r="BX996" s="430"/>
      <c r="BY996" s="430"/>
      <c r="BZ996" s="430"/>
      <c r="CA996" s="430"/>
      <c r="CB996" s="430"/>
      <c r="CC996" s="430"/>
      <c r="CD996" s="430"/>
      <c r="CE996" s="430"/>
      <c r="CF996" s="430"/>
      <c r="CG996" s="430"/>
      <c r="CH996" s="430"/>
      <c r="CI996" s="430"/>
      <c r="CJ996" s="430"/>
      <c r="CK996" s="430"/>
      <c r="CL996" s="430"/>
    </row>
    <row r="997" spans="63:90" ht="14.25" customHeight="1">
      <c r="BK997" s="430"/>
      <c r="BL997" s="430"/>
      <c r="BM997" s="430"/>
      <c r="BN997" s="430"/>
      <c r="BO997" s="430"/>
      <c r="BP997" s="430"/>
      <c r="BQ997" s="430"/>
      <c r="BR997" s="430"/>
      <c r="BS997" s="430"/>
      <c r="BT997" s="430"/>
      <c r="BU997" s="430"/>
      <c r="BV997" s="430"/>
      <c r="BW997" s="430"/>
      <c r="BX997" s="430"/>
      <c r="BY997" s="430"/>
      <c r="BZ997" s="430"/>
      <c r="CA997" s="430"/>
      <c r="CB997" s="430"/>
      <c r="CC997" s="430"/>
      <c r="CD997" s="430"/>
      <c r="CE997" s="430"/>
      <c r="CF997" s="430"/>
      <c r="CG997" s="430"/>
      <c r="CH997" s="430"/>
      <c r="CI997" s="430"/>
      <c r="CJ997" s="430"/>
      <c r="CK997" s="430"/>
      <c r="CL997" s="430"/>
    </row>
    <row r="998" spans="63:90" ht="14.25" customHeight="1">
      <c r="BK998" s="430"/>
      <c r="BL998" s="430"/>
      <c r="BM998" s="430"/>
      <c r="BN998" s="430"/>
      <c r="BO998" s="430"/>
      <c r="BP998" s="430"/>
      <c r="BQ998" s="430"/>
      <c r="BR998" s="430"/>
      <c r="BS998" s="430"/>
      <c r="BT998" s="430"/>
      <c r="BU998" s="430"/>
      <c r="BV998" s="430"/>
      <c r="BW998" s="430"/>
      <c r="BX998" s="430"/>
      <c r="BY998" s="430"/>
      <c r="BZ998" s="430"/>
      <c r="CA998" s="430"/>
      <c r="CB998" s="430"/>
      <c r="CC998" s="430"/>
      <c r="CD998" s="430"/>
      <c r="CE998" s="430"/>
      <c r="CF998" s="430"/>
      <c r="CG998" s="430"/>
      <c r="CH998" s="430"/>
      <c r="CI998" s="430"/>
      <c r="CJ998" s="430"/>
      <c r="CK998" s="430"/>
      <c r="CL998" s="430"/>
    </row>
    <row r="999" spans="63:90" ht="14.25" customHeight="1">
      <c r="BK999" s="430"/>
      <c r="BL999" s="430"/>
      <c r="BM999" s="430"/>
      <c r="BN999" s="430"/>
      <c r="BO999" s="430"/>
      <c r="BP999" s="430"/>
      <c r="BQ999" s="430"/>
      <c r="BR999" s="430"/>
      <c r="BS999" s="430"/>
      <c r="BT999" s="430"/>
      <c r="BU999" s="430"/>
      <c r="BV999" s="430"/>
      <c r="BW999" s="430"/>
      <c r="BX999" s="430"/>
      <c r="BY999" s="430"/>
      <c r="BZ999" s="430"/>
      <c r="CA999" s="430"/>
      <c r="CB999" s="430"/>
      <c r="CC999" s="430"/>
      <c r="CD999" s="430"/>
      <c r="CE999" s="430"/>
      <c r="CF999" s="430"/>
      <c r="CG999" s="430"/>
      <c r="CH999" s="430"/>
      <c r="CI999" s="430"/>
      <c r="CJ999" s="430"/>
      <c r="CK999" s="430"/>
      <c r="CL999" s="430"/>
    </row>
    <row r="1000" spans="63:90" ht="14.25" customHeight="1">
      <c r="BK1000" s="430"/>
      <c r="BL1000" s="430"/>
      <c r="BM1000" s="430"/>
      <c r="BN1000" s="430"/>
      <c r="BO1000" s="430"/>
      <c r="BP1000" s="430"/>
      <c r="BQ1000" s="430"/>
      <c r="BR1000" s="430"/>
      <c r="BS1000" s="430"/>
      <c r="BT1000" s="430"/>
      <c r="BU1000" s="430"/>
      <c r="BV1000" s="430"/>
      <c r="BW1000" s="430"/>
      <c r="BX1000" s="430"/>
      <c r="BY1000" s="430"/>
      <c r="BZ1000" s="430"/>
      <c r="CA1000" s="430"/>
      <c r="CB1000" s="430"/>
      <c r="CC1000" s="430"/>
      <c r="CD1000" s="430"/>
      <c r="CE1000" s="430"/>
      <c r="CF1000" s="430"/>
      <c r="CG1000" s="430"/>
      <c r="CH1000" s="430"/>
      <c r="CI1000" s="430"/>
      <c r="CJ1000" s="430"/>
      <c r="CK1000" s="430"/>
      <c r="CL1000" s="430"/>
    </row>
    <row r="1001" spans="63:90" ht="14.25" customHeight="1">
      <c r="BK1001" s="430"/>
      <c r="BL1001" s="430"/>
      <c r="BM1001" s="430"/>
      <c r="BN1001" s="430"/>
      <c r="BO1001" s="430"/>
      <c r="BP1001" s="430"/>
      <c r="BQ1001" s="430"/>
      <c r="BR1001" s="430"/>
      <c r="BS1001" s="430"/>
      <c r="BT1001" s="430"/>
      <c r="BU1001" s="430"/>
      <c r="BV1001" s="430"/>
      <c r="BW1001" s="430"/>
      <c r="BX1001" s="430"/>
      <c r="BY1001" s="430"/>
      <c r="BZ1001" s="430"/>
      <c r="CA1001" s="430"/>
      <c r="CB1001" s="430"/>
      <c r="CC1001" s="430"/>
      <c r="CD1001" s="430"/>
      <c r="CE1001" s="430"/>
      <c r="CF1001" s="430"/>
      <c r="CG1001" s="430"/>
      <c r="CH1001" s="430"/>
      <c r="CI1001" s="430"/>
      <c r="CJ1001" s="430"/>
      <c r="CK1001" s="430"/>
      <c r="CL1001" s="430"/>
    </row>
    <row r="1002" spans="63:90" ht="14.25" customHeight="1">
      <c r="BK1002" s="430"/>
      <c r="BL1002" s="430"/>
      <c r="BM1002" s="430"/>
      <c r="BN1002" s="430"/>
      <c r="BO1002" s="430"/>
      <c r="BP1002" s="430"/>
      <c r="BQ1002" s="430"/>
      <c r="BR1002" s="430"/>
      <c r="BS1002" s="430"/>
      <c r="BT1002" s="430"/>
      <c r="BU1002" s="430"/>
      <c r="BV1002" s="430"/>
      <c r="BW1002" s="430"/>
      <c r="BX1002" s="430"/>
      <c r="BY1002" s="430"/>
      <c r="BZ1002" s="430"/>
      <c r="CA1002" s="430"/>
      <c r="CB1002" s="430"/>
      <c r="CC1002" s="430"/>
      <c r="CD1002" s="430"/>
      <c r="CE1002" s="430"/>
      <c r="CF1002" s="430"/>
      <c r="CG1002" s="430"/>
      <c r="CH1002" s="430"/>
      <c r="CI1002" s="430"/>
      <c r="CJ1002" s="430"/>
      <c r="CK1002" s="430"/>
      <c r="CL1002" s="430"/>
    </row>
    <row r="1003" spans="63:90" ht="14.25" customHeight="1">
      <c r="BK1003" s="430"/>
      <c r="BL1003" s="430"/>
      <c r="BM1003" s="430"/>
      <c r="BN1003" s="430"/>
      <c r="BO1003" s="430"/>
      <c r="BP1003" s="430"/>
      <c r="BQ1003" s="430"/>
      <c r="BR1003" s="430"/>
      <c r="BS1003" s="430"/>
      <c r="BT1003" s="430"/>
      <c r="BU1003" s="430"/>
      <c r="BV1003" s="430"/>
      <c r="BW1003" s="430"/>
      <c r="BX1003" s="430"/>
      <c r="BY1003" s="430"/>
      <c r="BZ1003" s="430"/>
      <c r="CA1003" s="430"/>
      <c r="CB1003" s="430"/>
      <c r="CC1003" s="430"/>
      <c r="CD1003" s="430"/>
      <c r="CE1003" s="430"/>
      <c r="CF1003" s="430"/>
      <c r="CG1003" s="430"/>
      <c r="CH1003" s="430"/>
      <c r="CI1003" s="430"/>
      <c r="CJ1003" s="430"/>
      <c r="CK1003" s="430"/>
      <c r="CL1003" s="430"/>
    </row>
    <row r="1004" spans="63:90" ht="14.25" customHeight="1">
      <c r="BK1004" s="430"/>
      <c r="BL1004" s="430"/>
      <c r="BM1004" s="430"/>
      <c r="BN1004" s="430"/>
      <c r="BO1004" s="430"/>
      <c r="BP1004" s="430"/>
      <c r="BQ1004" s="430"/>
      <c r="BR1004" s="430"/>
      <c r="BS1004" s="430"/>
      <c r="BT1004" s="430"/>
      <c r="BU1004" s="430"/>
      <c r="BV1004" s="430"/>
      <c r="BW1004" s="430"/>
      <c r="BX1004" s="430"/>
      <c r="BY1004" s="430"/>
      <c r="BZ1004" s="430"/>
      <c r="CA1004" s="430"/>
      <c r="CB1004" s="430"/>
      <c r="CC1004" s="430"/>
      <c r="CD1004" s="430"/>
      <c r="CE1004" s="430"/>
      <c r="CF1004" s="430"/>
      <c r="CG1004" s="430"/>
      <c r="CH1004" s="430"/>
      <c r="CI1004" s="430"/>
      <c r="CJ1004" s="430"/>
      <c r="CK1004" s="430"/>
      <c r="CL1004" s="430"/>
    </row>
    <row r="1005" spans="63:90" ht="14.25" customHeight="1">
      <c r="BK1005" s="1149"/>
      <c r="BL1005" s="1149"/>
      <c r="BM1005" s="1149"/>
      <c r="BN1005" s="1149"/>
      <c r="BO1005" s="1149"/>
      <c r="BP1005" s="1149"/>
      <c r="BQ1005" s="1149"/>
      <c r="BR1005" s="1149"/>
      <c r="BS1005" s="1149"/>
      <c r="BT1005" s="1149"/>
      <c r="BU1005" s="1149"/>
      <c r="BV1005" s="1149"/>
      <c r="BW1005" s="1149"/>
      <c r="BX1005" s="1149"/>
      <c r="BY1005" s="1149"/>
      <c r="BZ1005" s="1149"/>
      <c r="CA1005" s="1149"/>
      <c r="CB1005" s="1149"/>
      <c r="CC1005" s="1149"/>
      <c r="CD1005" s="1149"/>
      <c r="CE1005" s="1149"/>
      <c r="CF1005" s="1149"/>
      <c r="CG1005" s="1149"/>
      <c r="CH1005" s="1149"/>
      <c r="CI1005" s="1149"/>
      <c r="CJ1005" s="1149"/>
      <c r="CK1005" s="1149"/>
      <c r="CL1005" s="1149"/>
    </row>
  </sheetData>
  <mergeCells count="42">
    <mergeCell ref="AL6:AT6"/>
    <mergeCell ref="K8:L8"/>
    <mergeCell ref="M8:O8"/>
    <mergeCell ref="P8:S8"/>
    <mergeCell ref="T8:U8"/>
    <mergeCell ref="AL8:AM8"/>
    <mergeCell ref="AN8:AP8"/>
    <mergeCell ref="AQ8:AT8"/>
    <mergeCell ref="B6:B9"/>
    <mergeCell ref="C6:J8"/>
    <mergeCell ref="K6:S6"/>
    <mergeCell ref="T6:AB6"/>
    <mergeCell ref="AC6:AK6"/>
    <mergeCell ref="V8:X8"/>
    <mergeCell ref="Y8:AB8"/>
    <mergeCell ref="AC8:AD8"/>
    <mergeCell ref="AE8:AG8"/>
    <mergeCell ref="AH8:AK8"/>
    <mergeCell ref="CF6:CL7"/>
    <mergeCell ref="BM8:BO8"/>
    <mergeCell ref="BP8:BQ8"/>
    <mergeCell ref="BS8:BS9"/>
    <mergeCell ref="BT8:BT9"/>
    <mergeCell ref="CI8:CI9"/>
    <mergeCell ref="CJ8:CJ9"/>
    <mergeCell ref="CK8:CK9"/>
    <mergeCell ref="CL8:CL9"/>
    <mergeCell ref="CF8:CF9"/>
    <mergeCell ref="CG8:CG9"/>
    <mergeCell ref="CH8:CH9"/>
    <mergeCell ref="AU6:BC6"/>
    <mergeCell ref="BD6:BJ8"/>
    <mergeCell ref="BK6:BR6"/>
    <mergeCell ref="BS6:CA7"/>
    <mergeCell ref="CB6:CE7"/>
    <mergeCell ref="BK8:BL8"/>
    <mergeCell ref="AU8:AV8"/>
    <mergeCell ref="AW8:AY8"/>
    <mergeCell ref="AZ8:BC8"/>
    <mergeCell ref="BU8:BV8"/>
    <mergeCell ref="BW8:BX8"/>
    <mergeCell ref="BY8:BZ8"/>
  </mergeCells>
  <dataValidations count="10">
    <dataValidation type="list" allowBlank="1" showInputMessage="1" showErrorMessage="1" sqref="K7:BC7" xr:uid="{00000000-0002-0000-0700-000000000000}">
      <formula1>TYPE_Avion</formula1>
    </dataValidation>
    <dataValidation type="list" allowBlank="1" showInputMessage="1" showErrorMessage="1" sqref="BU8:CA8" xr:uid="{00000000-0002-0000-0700-000001000000}">
      <formula1>CARB</formula1>
    </dataValidation>
    <dataValidation type="list" allowBlank="1" showInputMessage="1" showErrorMessage="1" sqref="BM9 BO9:BP9" xr:uid="{00000000-0002-0000-0700-000002000000}">
      <formula1>BIOCARB_PARAM</formula1>
    </dataValidation>
    <dataValidation type="list" allowBlank="1" showInputMessage="1" showErrorMessage="1" sqref="M9:O9 V9:X9 AE9:AG9 AN9:AP9 AW9:AY9" xr:uid="{00000000-0002-0000-0700-000003000000}">
      <formula1>CAR_Avion</formula1>
    </dataValidation>
    <dataValidation type="list" allowBlank="1" showInputMessage="1" showErrorMessage="1" sqref="F2" xr:uid="{00000000-0002-0000-0700-000004000000}">
      <formula1>MIX</formula1>
    </dataValidation>
    <dataValidation type="list" allowBlank="1" showInputMessage="1" showErrorMessage="1" sqref="BM7:BP7" xr:uid="{00000000-0002-0000-0700-000005000000}">
      <formula1>BIOCARB</formula1>
    </dataValidation>
    <dataValidation type="list" allowBlank="1" showInputMessage="1" showErrorMessage="1" sqref="B2" xr:uid="{00000000-0002-0000-0700-000006000000}">
      <formula1>RM_Avion</formula1>
    </dataValidation>
    <dataValidation type="list" allowBlank="1" showInputMessage="1" showErrorMessage="1" sqref="A2" xr:uid="{00000000-0002-0000-0700-000007000000}">
      <formula1>SC_GLOB</formula1>
    </dataValidation>
    <dataValidation type="list" allowBlank="1" showInputMessage="1" showErrorMessage="1" sqref="G1:K1" xr:uid="{00000000-0002-0000-0700-000008000000}">
      <formula1>MIX_PARAM</formula1>
    </dataValidation>
    <dataValidation type="list" allowBlank="1" showInputMessage="1" showErrorMessage="1" sqref="C2" xr:uid="{3861D405-F237-5843-90FD-86D2AB8053C9}">
      <formula1>CA</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801F-55DA-CF45-B276-AE312F517A58}">
  <sheetPr>
    <tabColor rgb="FFC5E0B3"/>
  </sheetPr>
  <dimension ref="A1:CL1005"/>
  <sheetViews>
    <sheetView topLeftCell="A21" zoomScale="70" zoomScaleNormal="70" workbookViewId="0">
      <pane xSplit="2" topLeftCell="C1" activePane="topRight" state="frozen"/>
      <selection pane="topRight" activeCell="G1" sqref="G1:J2"/>
    </sheetView>
  </sheetViews>
  <sheetFormatPr defaultColWidth="12.625" defaultRowHeight="15" customHeight="1"/>
  <cols>
    <col min="1" max="1" width="26.375" style="743" customWidth="1"/>
    <col min="2" max="2" width="12.375" style="743" customWidth="1"/>
    <col min="3" max="8" width="10.875" style="357" customWidth="1"/>
    <col min="9" max="9" width="10.875" style="357" hidden="1" customWidth="1"/>
    <col min="10" max="62" width="10.875" style="357" customWidth="1"/>
    <col min="63" max="89" width="10.875" style="743" customWidth="1"/>
    <col min="90" max="90" width="14.625" style="743" customWidth="1"/>
    <col min="91" max="16384" width="12.625" style="743"/>
  </cols>
  <sheetData>
    <row r="1" spans="1:90" ht="45">
      <c r="A1" s="418" t="s">
        <v>494</v>
      </c>
      <c r="B1" s="419" t="s">
        <v>473</v>
      </c>
      <c r="C1" s="420" t="s">
        <v>474</v>
      </c>
      <c r="D1" s="420" t="s">
        <v>495</v>
      </c>
      <c r="E1" s="420" t="s">
        <v>476</v>
      </c>
      <c r="F1" s="420" t="s">
        <v>477</v>
      </c>
      <c r="G1" s="420" t="s">
        <v>207</v>
      </c>
      <c r="H1" s="420" t="s">
        <v>207</v>
      </c>
      <c r="I1" s="420"/>
      <c r="J1" s="420" t="s">
        <v>209</v>
      </c>
      <c r="BK1" s="357"/>
      <c r="BL1" s="357"/>
      <c r="BM1" s="1149"/>
      <c r="BN1" s="1149"/>
      <c r="BO1" s="1149"/>
      <c r="BP1" s="1149"/>
      <c r="BQ1" s="1149"/>
      <c r="BR1" s="1149"/>
      <c r="BS1" s="1149"/>
      <c r="BT1" s="1149"/>
      <c r="BU1" s="1149"/>
      <c r="BV1" s="1149"/>
      <c r="BW1" s="1149"/>
      <c r="BX1" s="1149"/>
      <c r="BY1" s="1149"/>
      <c r="BZ1" s="1149"/>
      <c r="CA1" s="1149"/>
      <c r="CB1" s="1149"/>
      <c r="CC1" s="1149"/>
      <c r="CD1" s="1149"/>
      <c r="CE1" s="1149"/>
      <c r="CF1" s="1149"/>
      <c r="CG1" s="1149"/>
      <c r="CH1" s="1149"/>
      <c r="CI1" s="1149"/>
      <c r="CJ1" s="1149"/>
      <c r="CK1" s="1149"/>
      <c r="CL1" s="1149"/>
    </row>
    <row r="2" spans="1:90" ht="15" customHeight="1" thickBot="1">
      <c r="A2" s="421" t="s">
        <v>285</v>
      </c>
      <c r="B2" s="422" t="str">
        <f>VLOOKUP($A$2,'Synthèse scénarios'!$B$3:$G$5,2,FALSE)</f>
        <v>INDUS+5</v>
      </c>
      <c r="C2" s="423" t="str">
        <f>VLOOKUP($A$2,'Synthèse scénarios'!$B$3:$G$5,3,FALSE)</f>
        <v>CAPA50</v>
      </c>
      <c r="D2" s="424">
        <f>IF(VLOOKUP($A$2,'Synthèse scénarios'!$B$3:$G$5,4,FALSE)="15 ans",15,25)</f>
        <v>15</v>
      </c>
      <c r="E2" s="424">
        <f>VLOOKUP($A$2,'Synthèse scénarios'!$B$3:$G$5,5,FALSE)</f>
        <v>2025</v>
      </c>
      <c r="F2" s="424" t="str">
        <f>VLOOKUP($A$2,'Synthèse scénarios'!$B$3:$G$5,6,FALSE)</f>
        <v>Eolien</v>
      </c>
      <c r="G2" s="425">
        <f>VLOOKUP($F$2,Hypothèses!$B$120:$F$123,3,FALSE)</f>
        <v>11</v>
      </c>
      <c r="H2" s="425">
        <f>VLOOKUP($F$2,Hypothèses!$B$120:$F$123,4,FALSE)</f>
        <v>651</v>
      </c>
      <c r="I2" s="425"/>
      <c r="J2" s="425">
        <f>VLOOKUP($F$2,Hypothèses!$B$120:$F$123,5,FALSE)</f>
        <v>1405</v>
      </c>
      <c r="BK2" s="357"/>
      <c r="BL2" s="357"/>
      <c r="BM2" s="1149"/>
      <c r="BN2" s="1149"/>
      <c r="BO2" s="1149"/>
      <c r="BP2" s="1149"/>
      <c r="BQ2" s="1149"/>
      <c r="BR2" s="1149"/>
      <c r="BS2" s="1149"/>
      <c r="BT2" s="1149"/>
      <c r="BU2" s="1149"/>
      <c r="BV2" s="1149"/>
      <c r="BW2" s="1149"/>
      <c r="BX2" s="1149"/>
      <c r="BY2" s="1149"/>
      <c r="BZ2" s="1149"/>
      <c r="CA2" s="1149"/>
      <c r="CB2" s="1149"/>
      <c r="CC2" s="1149"/>
      <c r="CD2" s="1149"/>
      <c r="CE2" s="1149"/>
      <c r="CF2" s="1149"/>
      <c r="CG2" s="1149"/>
      <c r="CH2" s="1149"/>
      <c r="CI2" s="1149"/>
      <c r="CJ2" s="1149"/>
      <c r="CK2" s="1149"/>
      <c r="CL2" s="1149"/>
    </row>
    <row r="3" spans="1:90" ht="14.25" customHeight="1">
      <c r="A3" s="426"/>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1149"/>
      <c r="BL3" s="1149"/>
      <c r="BM3" s="1149"/>
      <c r="BN3" s="1149"/>
      <c r="BO3" s="1149"/>
      <c r="BP3" s="1149"/>
      <c r="BQ3" s="1149"/>
      <c r="BR3" s="1149"/>
      <c r="BS3" s="1149"/>
      <c r="BT3" s="1149"/>
      <c r="BU3" s="1149"/>
      <c r="BV3" s="1149"/>
      <c r="BW3" s="1149"/>
      <c r="BX3" s="1149"/>
      <c r="BY3" s="1149"/>
      <c r="BZ3" s="1149"/>
      <c r="CA3" s="1149"/>
      <c r="CB3" s="1149"/>
      <c r="CC3" s="1149"/>
      <c r="CD3" s="1149"/>
      <c r="CE3" s="1149"/>
      <c r="CF3" s="1149"/>
      <c r="CG3" s="1149"/>
      <c r="CH3" s="1149"/>
      <c r="CI3" s="1149"/>
      <c r="CJ3" s="1149"/>
      <c r="CK3" s="1149"/>
      <c r="CL3" s="1149"/>
    </row>
    <row r="4" spans="1:90" ht="14.25" customHeight="1">
      <c r="A4" s="426"/>
      <c r="B4" s="331"/>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1149"/>
      <c r="BL4" s="1149"/>
      <c r="BM4" s="1149"/>
      <c r="BN4" s="1149"/>
      <c r="BO4" s="1149"/>
      <c r="BP4" s="1149"/>
      <c r="BQ4" s="1149"/>
      <c r="BR4" s="1149"/>
      <c r="BS4" s="1149"/>
      <c r="BT4" s="1149"/>
      <c r="BU4" s="1149"/>
      <c r="BV4" s="1149"/>
      <c r="BW4" s="1149"/>
      <c r="BX4" s="1149"/>
      <c r="BY4" s="1149"/>
      <c r="BZ4" s="1149"/>
      <c r="CA4" s="1149"/>
      <c r="CB4" s="1149"/>
      <c r="CC4" s="1149"/>
      <c r="CD4" s="1149"/>
      <c r="CE4" s="1149"/>
      <c r="CF4" s="1149"/>
      <c r="CG4" s="1149"/>
      <c r="CH4" s="1149"/>
      <c r="CI4" s="1149"/>
      <c r="CJ4" s="1149"/>
      <c r="CK4" s="1149"/>
      <c r="CL4" s="1149"/>
    </row>
    <row r="5" spans="1:90" ht="14.25" customHeight="1" thickBot="1">
      <c r="A5" s="426"/>
      <c r="B5" s="331"/>
      <c r="C5" s="332"/>
      <c r="D5" s="332"/>
      <c r="E5" s="332"/>
      <c r="F5" s="332"/>
      <c r="G5" s="332"/>
      <c r="H5" s="332"/>
      <c r="I5" s="332"/>
      <c r="J5" s="332"/>
      <c r="K5" s="332"/>
      <c r="L5" s="332"/>
      <c r="M5" s="332"/>
      <c r="N5" s="332"/>
      <c r="O5" s="332"/>
      <c r="P5" s="332"/>
      <c r="Q5" s="332"/>
      <c r="R5" s="332"/>
      <c r="S5" s="332"/>
      <c r="T5" s="1149"/>
      <c r="U5" s="1149"/>
      <c r="V5" s="1149"/>
      <c r="W5" s="1149"/>
      <c r="X5" s="1149"/>
      <c r="Y5" s="1149"/>
      <c r="Z5" s="1149"/>
      <c r="AA5" s="1149"/>
      <c r="AB5" s="1149"/>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427"/>
      <c r="BL5" s="427"/>
      <c r="BM5" s="428"/>
      <c r="BN5" s="427"/>
      <c r="BO5" s="427"/>
      <c r="BP5" s="429"/>
      <c r="BQ5" s="429"/>
      <c r="BR5" s="429"/>
      <c r="BS5" s="427"/>
      <c r="BT5" s="427"/>
      <c r="BU5" s="429"/>
      <c r="BV5" s="429"/>
      <c r="BW5" s="429"/>
      <c r="BX5" s="429"/>
      <c r="BY5" s="429"/>
      <c r="BZ5" s="429"/>
      <c r="CA5" s="429"/>
      <c r="CB5" s="429"/>
      <c r="CC5" s="429"/>
      <c r="CD5" s="429"/>
      <c r="CE5" s="429"/>
      <c r="CF5" s="429"/>
      <c r="CG5" s="429"/>
      <c r="CH5" s="429"/>
      <c r="CI5" s="429"/>
      <c r="CJ5" s="429"/>
      <c r="CK5" s="429"/>
      <c r="CL5" s="430"/>
    </row>
    <row r="6" spans="1:90" ht="14.25" customHeight="1" thickBot="1">
      <c r="A6" s="426"/>
      <c r="B6" s="1356" t="s">
        <v>496</v>
      </c>
      <c r="C6" s="1359" t="s">
        <v>497</v>
      </c>
      <c r="D6" s="1360"/>
      <c r="E6" s="1360"/>
      <c r="F6" s="1360"/>
      <c r="G6" s="1360"/>
      <c r="H6" s="1360"/>
      <c r="I6" s="1360"/>
      <c r="J6" s="1360"/>
      <c r="K6" s="1303" t="s">
        <v>498</v>
      </c>
      <c r="L6" s="1304"/>
      <c r="M6" s="1304"/>
      <c r="N6" s="1304"/>
      <c r="O6" s="1304"/>
      <c r="P6" s="1304"/>
      <c r="Q6" s="1304"/>
      <c r="R6" s="1304"/>
      <c r="S6" s="1305"/>
      <c r="T6" s="1303" t="s">
        <v>499</v>
      </c>
      <c r="U6" s="1304"/>
      <c r="V6" s="1304"/>
      <c r="W6" s="1304"/>
      <c r="X6" s="1304"/>
      <c r="Y6" s="1304"/>
      <c r="Z6" s="1304"/>
      <c r="AA6" s="1304"/>
      <c r="AB6" s="1305"/>
      <c r="AC6" s="1303" t="s">
        <v>500</v>
      </c>
      <c r="AD6" s="1304"/>
      <c r="AE6" s="1304"/>
      <c r="AF6" s="1304"/>
      <c r="AG6" s="1304"/>
      <c r="AH6" s="1304"/>
      <c r="AI6" s="1304"/>
      <c r="AJ6" s="1304"/>
      <c r="AK6" s="1305"/>
      <c r="AL6" s="1303" t="s">
        <v>501</v>
      </c>
      <c r="AM6" s="1304"/>
      <c r="AN6" s="1304"/>
      <c r="AO6" s="1304"/>
      <c r="AP6" s="1304"/>
      <c r="AQ6" s="1304"/>
      <c r="AR6" s="1304"/>
      <c r="AS6" s="1304"/>
      <c r="AT6" s="1305"/>
      <c r="AU6" s="1303" t="s">
        <v>502</v>
      </c>
      <c r="AV6" s="1304"/>
      <c r="AW6" s="1304"/>
      <c r="AX6" s="1304"/>
      <c r="AY6" s="1304"/>
      <c r="AZ6" s="1304"/>
      <c r="BA6" s="1304"/>
      <c r="BB6" s="1304"/>
      <c r="BC6" s="1305"/>
      <c r="BD6" s="1306" t="s">
        <v>503</v>
      </c>
      <c r="BE6" s="1307"/>
      <c r="BF6" s="1307"/>
      <c r="BG6" s="1307"/>
      <c r="BH6" s="1307"/>
      <c r="BI6" s="1307"/>
      <c r="BJ6" s="1307"/>
      <c r="BK6" s="1312" t="s">
        <v>504</v>
      </c>
      <c r="BL6" s="1313"/>
      <c r="BM6" s="1313"/>
      <c r="BN6" s="1313"/>
      <c r="BO6" s="1313"/>
      <c r="BP6" s="1313"/>
      <c r="BQ6" s="1313"/>
      <c r="BR6" s="1314"/>
      <c r="BS6" s="1315" t="s">
        <v>505</v>
      </c>
      <c r="BT6" s="1315"/>
      <c r="BU6" s="1315"/>
      <c r="BV6" s="1315"/>
      <c r="BW6" s="1315"/>
      <c r="BX6" s="1315"/>
      <c r="BY6" s="1315"/>
      <c r="BZ6" s="1315"/>
      <c r="CA6" s="1315"/>
      <c r="CB6" s="1318" t="s">
        <v>506</v>
      </c>
      <c r="CC6" s="1319"/>
      <c r="CD6" s="1319"/>
      <c r="CE6" s="1320"/>
      <c r="CF6" s="1335" t="s">
        <v>507</v>
      </c>
      <c r="CG6" s="1336"/>
      <c r="CH6" s="1336"/>
      <c r="CI6" s="1336"/>
      <c r="CJ6" s="1336"/>
      <c r="CK6" s="1336"/>
      <c r="CL6" s="1337"/>
    </row>
    <row r="7" spans="1:90" s="435" customFormat="1" ht="14.25" hidden="1" customHeight="1" thickBot="1">
      <c r="A7" s="431"/>
      <c r="B7" s="1357"/>
      <c r="C7" s="1361"/>
      <c r="D7" s="1362"/>
      <c r="E7" s="1362"/>
      <c r="F7" s="1362"/>
      <c r="G7" s="1362"/>
      <c r="H7" s="1362"/>
      <c r="I7" s="1362"/>
      <c r="J7" s="1362"/>
      <c r="K7" s="432"/>
      <c r="L7" s="432"/>
      <c r="M7" s="433" t="s">
        <v>371</v>
      </c>
      <c r="N7" s="433" t="s">
        <v>371</v>
      </c>
      <c r="O7" s="433" t="s">
        <v>371</v>
      </c>
      <c r="P7" s="432"/>
      <c r="Q7" s="432"/>
      <c r="R7" s="432"/>
      <c r="S7" s="432"/>
      <c r="T7" s="433"/>
      <c r="U7" s="432"/>
      <c r="V7" s="433" t="s">
        <v>372</v>
      </c>
      <c r="W7" s="433" t="s">
        <v>372</v>
      </c>
      <c r="X7" s="433" t="s">
        <v>372</v>
      </c>
      <c r="Y7" s="432"/>
      <c r="Z7" s="432"/>
      <c r="AA7" s="432"/>
      <c r="AB7" s="432"/>
      <c r="AC7" s="432"/>
      <c r="AD7" s="432"/>
      <c r="AE7" s="433" t="s">
        <v>373</v>
      </c>
      <c r="AF7" s="433" t="s">
        <v>373</v>
      </c>
      <c r="AG7" s="433" t="s">
        <v>373</v>
      </c>
      <c r="AH7" s="432"/>
      <c r="AI7" s="432"/>
      <c r="AJ7" s="432"/>
      <c r="AK7" s="432"/>
      <c r="AL7" s="432"/>
      <c r="AM7" s="432"/>
      <c r="AN7" s="433" t="s">
        <v>373</v>
      </c>
      <c r="AO7" s="433" t="s">
        <v>373</v>
      </c>
      <c r="AP7" s="433" t="s">
        <v>373</v>
      </c>
      <c r="AQ7" s="432"/>
      <c r="AR7" s="432"/>
      <c r="AS7" s="432"/>
      <c r="AT7" s="432"/>
      <c r="AU7" s="432"/>
      <c r="AV7" s="432"/>
      <c r="AW7" s="433" t="s">
        <v>374</v>
      </c>
      <c r="AX7" s="433" t="s">
        <v>374</v>
      </c>
      <c r="AY7" s="433" t="s">
        <v>374</v>
      </c>
      <c r="AZ7" s="432"/>
      <c r="BA7" s="432"/>
      <c r="BB7" s="432"/>
      <c r="BC7" s="432"/>
      <c r="BD7" s="1308"/>
      <c r="BE7" s="1309"/>
      <c r="BF7" s="1309"/>
      <c r="BG7" s="1309"/>
      <c r="BH7" s="1309"/>
      <c r="BI7" s="1309"/>
      <c r="BJ7" s="1309"/>
      <c r="BK7" s="434"/>
      <c r="BM7" s="431" t="s">
        <v>380</v>
      </c>
      <c r="BN7" s="431" t="s">
        <v>380</v>
      </c>
      <c r="BO7" s="431" t="s">
        <v>380</v>
      </c>
      <c r="BP7" s="431" t="s">
        <v>385</v>
      </c>
      <c r="BR7" s="434"/>
      <c r="BS7" s="1316"/>
      <c r="BT7" s="1316"/>
      <c r="BU7" s="1316"/>
      <c r="BV7" s="1316"/>
      <c r="BW7" s="1316"/>
      <c r="BX7" s="1316"/>
      <c r="BY7" s="1317"/>
      <c r="BZ7" s="1317"/>
      <c r="CA7" s="1316"/>
      <c r="CB7" s="1321"/>
      <c r="CC7" s="1322"/>
      <c r="CD7" s="1322"/>
      <c r="CE7" s="1323"/>
      <c r="CF7" s="1338"/>
      <c r="CG7" s="1339"/>
      <c r="CH7" s="1339"/>
      <c r="CI7" s="1339"/>
      <c r="CJ7" s="1339"/>
      <c r="CK7" s="1339"/>
      <c r="CL7" s="1340"/>
    </row>
    <row r="8" spans="1:90" ht="24" customHeight="1" thickBot="1">
      <c r="A8" s="331"/>
      <c r="B8" s="1357"/>
      <c r="C8" s="1363"/>
      <c r="D8" s="1364"/>
      <c r="E8" s="1364"/>
      <c r="F8" s="1364"/>
      <c r="G8" s="1364"/>
      <c r="H8" s="1364"/>
      <c r="I8" s="1364"/>
      <c r="J8" s="1364"/>
      <c r="K8" s="1366"/>
      <c r="L8" s="1327"/>
      <c r="M8" s="1328" t="s">
        <v>508</v>
      </c>
      <c r="N8" s="1326"/>
      <c r="O8" s="1327"/>
      <c r="P8" s="1329" t="s">
        <v>475</v>
      </c>
      <c r="Q8" s="1329"/>
      <c r="R8" s="1329"/>
      <c r="S8" s="1365"/>
      <c r="T8" s="1366"/>
      <c r="U8" s="1327"/>
      <c r="V8" s="1328" t="s">
        <v>508</v>
      </c>
      <c r="W8" s="1326"/>
      <c r="X8" s="1327"/>
      <c r="Y8" s="1329" t="s">
        <v>475</v>
      </c>
      <c r="Z8" s="1329"/>
      <c r="AA8" s="1329"/>
      <c r="AB8" s="1365"/>
      <c r="AC8" s="1366"/>
      <c r="AD8" s="1327"/>
      <c r="AE8" s="1328" t="s">
        <v>508</v>
      </c>
      <c r="AF8" s="1326"/>
      <c r="AG8" s="1327"/>
      <c r="AH8" s="1329" t="s">
        <v>475</v>
      </c>
      <c r="AI8" s="1329"/>
      <c r="AJ8" s="1329"/>
      <c r="AK8" s="1365"/>
      <c r="AL8" s="1366"/>
      <c r="AM8" s="1327"/>
      <c r="AN8" s="1328" t="s">
        <v>508</v>
      </c>
      <c r="AO8" s="1326"/>
      <c r="AP8" s="1327"/>
      <c r="AQ8" s="1329"/>
      <c r="AR8" s="1329"/>
      <c r="AS8" s="1329"/>
      <c r="AT8" s="1365"/>
      <c r="AU8" s="1326"/>
      <c r="AV8" s="1327"/>
      <c r="AW8" s="1328" t="s">
        <v>508</v>
      </c>
      <c r="AX8" s="1326"/>
      <c r="AY8" s="1327"/>
      <c r="AZ8" s="1329" t="s">
        <v>475</v>
      </c>
      <c r="BA8" s="1329"/>
      <c r="BB8" s="1329"/>
      <c r="BC8" s="1326"/>
      <c r="BD8" s="1310"/>
      <c r="BE8" s="1311"/>
      <c r="BF8" s="1311"/>
      <c r="BG8" s="1311"/>
      <c r="BH8" s="1311"/>
      <c r="BI8" s="1311"/>
      <c r="BJ8" s="1311"/>
      <c r="BK8" s="1324" t="s">
        <v>509</v>
      </c>
      <c r="BL8" s="1325"/>
      <c r="BM8" s="1341" t="s">
        <v>510</v>
      </c>
      <c r="BN8" s="1342"/>
      <c r="BO8" s="1343"/>
      <c r="BP8" s="1344" t="s">
        <v>385</v>
      </c>
      <c r="BQ8" s="1345"/>
      <c r="BR8" s="436" t="s">
        <v>511</v>
      </c>
      <c r="BS8" s="1346" t="s">
        <v>512</v>
      </c>
      <c r="BT8" s="1348" t="s">
        <v>513</v>
      </c>
      <c r="BU8" s="1330" t="s">
        <v>380</v>
      </c>
      <c r="BV8" s="1331"/>
      <c r="BW8" s="1330" t="s">
        <v>385</v>
      </c>
      <c r="BX8" s="1332"/>
      <c r="BY8" s="1333" t="s">
        <v>514</v>
      </c>
      <c r="BZ8" s="1334"/>
      <c r="CA8" s="437" t="s">
        <v>515</v>
      </c>
      <c r="CB8" s="438"/>
      <c r="CC8" s="439"/>
      <c r="CD8" s="439"/>
      <c r="CE8" s="440"/>
      <c r="CF8" s="1354" t="s">
        <v>516</v>
      </c>
      <c r="CG8" s="1350" t="s">
        <v>517</v>
      </c>
      <c r="CH8" s="1350" t="s">
        <v>518</v>
      </c>
      <c r="CI8" s="1350" t="s">
        <v>519</v>
      </c>
      <c r="CJ8" s="1350" t="s">
        <v>520</v>
      </c>
      <c r="CK8" s="1350" t="s">
        <v>521</v>
      </c>
      <c r="CL8" s="1352" t="s">
        <v>522</v>
      </c>
    </row>
    <row r="9" spans="1:90" ht="99" thickBot="1">
      <c r="A9" s="331"/>
      <c r="B9" s="1358"/>
      <c r="C9" s="441" t="s">
        <v>523</v>
      </c>
      <c r="D9" s="442" t="s">
        <v>524</v>
      </c>
      <c r="E9" s="442" t="s">
        <v>525</v>
      </c>
      <c r="F9" s="442" t="s">
        <v>526</v>
      </c>
      <c r="G9" s="442" t="s">
        <v>527</v>
      </c>
      <c r="H9" s="442" t="s">
        <v>528</v>
      </c>
      <c r="I9" s="443" t="s">
        <v>529</v>
      </c>
      <c r="J9" s="442" t="s">
        <v>530</v>
      </c>
      <c r="K9" s="444" t="s">
        <v>531</v>
      </c>
      <c r="L9" s="445" t="s">
        <v>532</v>
      </c>
      <c r="M9" s="446" t="s">
        <v>375</v>
      </c>
      <c r="N9" s="447" t="s">
        <v>376</v>
      </c>
      <c r="O9" s="445" t="s">
        <v>377</v>
      </c>
      <c r="P9" s="447" t="s">
        <v>533</v>
      </c>
      <c r="Q9" s="447" t="s">
        <v>532</v>
      </c>
      <c r="R9" s="448" t="s">
        <v>534</v>
      </c>
      <c r="S9" s="449" t="s">
        <v>535</v>
      </c>
      <c r="T9" s="444" t="s">
        <v>531</v>
      </c>
      <c r="U9" s="445" t="s">
        <v>532</v>
      </c>
      <c r="V9" s="446" t="s">
        <v>375</v>
      </c>
      <c r="W9" s="447" t="s">
        <v>376</v>
      </c>
      <c r="X9" s="445" t="s">
        <v>377</v>
      </c>
      <c r="Y9" s="447" t="s">
        <v>533</v>
      </c>
      <c r="Z9" s="447" t="s">
        <v>532</v>
      </c>
      <c r="AA9" s="448" t="s">
        <v>534</v>
      </c>
      <c r="AB9" s="449" t="s">
        <v>535</v>
      </c>
      <c r="AC9" s="444" t="s">
        <v>531</v>
      </c>
      <c r="AD9" s="445" t="s">
        <v>532</v>
      </c>
      <c r="AE9" s="446" t="s">
        <v>375</v>
      </c>
      <c r="AF9" s="447" t="s">
        <v>376</v>
      </c>
      <c r="AG9" s="445" t="s">
        <v>377</v>
      </c>
      <c r="AH9" s="447" t="s">
        <v>533</v>
      </c>
      <c r="AI9" s="447" t="s">
        <v>532</v>
      </c>
      <c r="AJ9" s="448" t="s">
        <v>534</v>
      </c>
      <c r="AK9" s="449" t="s">
        <v>535</v>
      </c>
      <c r="AL9" s="444" t="s">
        <v>531</v>
      </c>
      <c r="AM9" s="445" t="s">
        <v>532</v>
      </c>
      <c r="AN9" s="446" t="s">
        <v>375</v>
      </c>
      <c r="AO9" s="447" t="s">
        <v>376</v>
      </c>
      <c r="AP9" s="445" t="s">
        <v>377</v>
      </c>
      <c r="AQ9" s="447" t="s">
        <v>533</v>
      </c>
      <c r="AR9" s="447" t="s">
        <v>532</v>
      </c>
      <c r="AS9" s="448" t="s">
        <v>534</v>
      </c>
      <c r="AT9" s="449" t="s">
        <v>535</v>
      </c>
      <c r="AU9" s="447" t="s">
        <v>531</v>
      </c>
      <c r="AV9" s="445" t="s">
        <v>532</v>
      </c>
      <c r="AW9" s="446" t="s">
        <v>375</v>
      </c>
      <c r="AX9" s="447" t="s">
        <v>376</v>
      </c>
      <c r="AY9" s="445" t="s">
        <v>377</v>
      </c>
      <c r="AZ9" s="447" t="s">
        <v>533</v>
      </c>
      <c r="BA9" s="447" t="s">
        <v>532</v>
      </c>
      <c r="BB9" s="450" t="s">
        <v>534</v>
      </c>
      <c r="BC9" s="448" t="s">
        <v>535</v>
      </c>
      <c r="BD9" s="451" t="s">
        <v>536</v>
      </c>
      <c r="BE9" s="452" t="s">
        <v>537</v>
      </c>
      <c r="BF9" s="452" t="s">
        <v>538</v>
      </c>
      <c r="BG9" s="453" t="s">
        <v>539</v>
      </c>
      <c r="BH9" s="454" t="s">
        <v>540</v>
      </c>
      <c r="BI9" s="454" t="s">
        <v>535</v>
      </c>
      <c r="BJ9" s="454" t="s">
        <v>541</v>
      </c>
      <c r="BK9" s="455" t="s">
        <v>542</v>
      </c>
      <c r="BL9" s="456" t="s">
        <v>543</v>
      </c>
      <c r="BM9" s="457" t="s">
        <v>386</v>
      </c>
      <c r="BN9" s="458" t="s">
        <v>544</v>
      </c>
      <c r="BO9" s="458" t="s">
        <v>387</v>
      </c>
      <c r="BP9" s="457" t="s">
        <v>386</v>
      </c>
      <c r="BQ9" s="459" t="s">
        <v>544</v>
      </c>
      <c r="BR9" s="460" t="s">
        <v>545</v>
      </c>
      <c r="BS9" s="1347"/>
      <c r="BT9" s="1349"/>
      <c r="BU9" s="461" t="s">
        <v>545</v>
      </c>
      <c r="BV9" s="462" t="s">
        <v>513</v>
      </c>
      <c r="BW9" s="463" t="s">
        <v>545</v>
      </c>
      <c r="BX9" s="464" t="s">
        <v>513</v>
      </c>
      <c r="BY9" s="465" t="s">
        <v>548</v>
      </c>
      <c r="BZ9" s="466" t="s">
        <v>549</v>
      </c>
      <c r="CA9" s="467" t="s">
        <v>550</v>
      </c>
      <c r="CB9" s="468" t="s">
        <v>551</v>
      </c>
      <c r="CC9" s="469" t="s">
        <v>552</v>
      </c>
      <c r="CD9" s="469" t="s">
        <v>553</v>
      </c>
      <c r="CE9" s="470" t="s">
        <v>554</v>
      </c>
      <c r="CF9" s="1355"/>
      <c r="CG9" s="1351"/>
      <c r="CH9" s="1351"/>
      <c r="CI9" s="1351"/>
      <c r="CJ9" s="1351"/>
      <c r="CK9" s="1351"/>
      <c r="CL9" s="1353"/>
    </row>
    <row r="10" spans="1:90" ht="14.25" customHeight="1">
      <c r="A10" s="331"/>
      <c r="B10" s="471">
        <v>2014</v>
      </c>
      <c r="C10" s="653">
        <f>Trajectoires!AA6</f>
        <v>885.83864771181118</v>
      </c>
      <c r="D10" s="657">
        <f>C10/Hypothèses!$D$23</f>
        <v>236.22363938981633</v>
      </c>
      <c r="E10" s="657">
        <f>D10*Hypothèses!$B$23</f>
        <v>744.10446407792142</v>
      </c>
      <c r="F10" s="657">
        <f>D10*Hypothèses!$B$5</f>
        <v>328.35085875184467</v>
      </c>
      <c r="G10" s="657">
        <f>D10*Hypothèses!$B$6</f>
        <v>7.5591564604741226</v>
      </c>
      <c r="H10" s="472"/>
      <c r="I10" s="472"/>
      <c r="J10" s="472"/>
      <c r="K10" s="473">
        <f>Hypothèses!$G$77</f>
        <v>0.01</v>
      </c>
      <c r="L10" s="474">
        <f t="shared" ref="L10:L46" si="0">K10*$E10</f>
        <v>7.4410446407792143</v>
      </c>
      <c r="M10" s="475">
        <v>0</v>
      </c>
      <c r="N10" s="476">
        <v>0</v>
      </c>
      <c r="O10" s="477">
        <v>0</v>
      </c>
      <c r="P10" s="478">
        <v>0</v>
      </c>
      <c r="Q10" s="479">
        <f t="shared" ref="Q10:Q14" si="1">(1-P10)*L10</f>
        <v>7.4410446407792143</v>
      </c>
      <c r="R10" s="480">
        <f>SUMIFS(N$16:N$46,$B$16:$B$46,"&lt;="&amp;$B10,$B$16:$B$46,"&gt;"&amp;($B10-$D$2))*K10/$D$2</f>
        <v>0</v>
      </c>
      <c r="S10" s="481">
        <f>SUMIFS(O$16:O$46,$B$16:$B$46,"&lt;="&amp;$B10,$B$16:$B$46,"&gt;"&amp;($B10-$D$2))*K10/$D$2</f>
        <v>0</v>
      </c>
      <c r="T10" s="473">
        <f>Hypothèses!$G$78</f>
        <v>0.03</v>
      </c>
      <c r="U10" s="474">
        <f t="shared" ref="U10:U46" si="2">T10*$E10</f>
        <v>22.323133922337643</v>
      </c>
      <c r="V10" s="475">
        <v>0</v>
      </c>
      <c r="W10" s="476">
        <v>0</v>
      </c>
      <c r="X10" s="477">
        <v>0</v>
      </c>
      <c r="Y10" s="478">
        <v>0</v>
      </c>
      <c r="Z10" s="479">
        <f t="shared" ref="Z10:Z14" si="3">(1-Y10)*U10</f>
        <v>22.323133922337643</v>
      </c>
      <c r="AA10" s="480">
        <f>SUMIFS(W$16:W$46,$B$16:$B$46,"&lt;="&amp;$B10,$B$16:$B$46,"&gt;"&amp;($B10-$D$2))*T10/$D$2</f>
        <v>0</v>
      </c>
      <c r="AB10" s="481">
        <f>SUMIFS(X$16:X$46,$B$16:$B$46,"&lt;="&amp;$B10,$B$16:$B$46,"&gt;"&amp;($B10-$D$2))*T10/$D$2</f>
        <v>0</v>
      </c>
      <c r="AC10" s="473">
        <f>Hypothèses!$G$79</f>
        <v>0.24</v>
      </c>
      <c r="AD10" s="474">
        <f t="shared" ref="AD10:AD46" si="4">AC10*$E10</f>
        <v>178.58507137870114</v>
      </c>
      <c r="AE10" s="475">
        <v>0</v>
      </c>
      <c r="AF10" s="476">
        <v>0</v>
      </c>
      <c r="AG10" s="477">
        <v>0</v>
      </c>
      <c r="AH10" s="478">
        <v>0</v>
      </c>
      <c r="AI10" s="479">
        <f t="shared" ref="AI10:AI14" si="5">(1-AH10)*AD10</f>
        <v>178.58507137870114</v>
      </c>
      <c r="AJ10" s="480">
        <f>SUMIFS(AF$16:AF$46,$B$16:$B$46,"&lt;="&amp;$B10,$B$16:$B$46,"&gt;"&amp;($B10-$D$2))*AC10/$D$2</f>
        <v>0</v>
      </c>
      <c r="AK10" s="481">
        <f>SUMIFS(AG$16:AG$46,$B$16:$B$46,"&lt;="&amp;$B10,$B$16:$B$46,"&gt;"&amp;($B10-$D$2))*AC10/$D$2</f>
        <v>0</v>
      </c>
      <c r="AL10" s="473">
        <f>Hypothèses!$G$80</f>
        <v>0.42</v>
      </c>
      <c r="AM10" s="474">
        <f t="shared" ref="AM10:AM46" si="6">AL10*$E10</f>
        <v>312.52387491272697</v>
      </c>
      <c r="AN10" s="475">
        <v>0</v>
      </c>
      <c r="AO10" s="476">
        <v>0</v>
      </c>
      <c r="AP10" s="477">
        <v>0</v>
      </c>
      <c r="AQ10" s="478"/>
      <c r="AR10" s="479">
        <f t="shared" ref="AR10:AR15" si="7">(1-AQ10)*AM10</f>
        <v>312.52387491272697</v>
      </c>
      <c r="AS10" s="480">
        <f t="shared" ref="AS10:AS46" si="8">SUMIFS(AO$16:AO$46,$B$16:$B$46,"&lt;="&amp;$B10,$B$16:$B$46,"&gt;"&amp;($B10-$D$2))*AL10/$D$2</f>
        <v>0</v>
      </c>
      <c r="AT10" s="481">
        <f t="shared" ref="AT10:AT46" si="9">SUMIFS(AP$16:AP$46,$B$16:$B$46,"&lt;="&amp;$B10,$B$16:$B$46,"&gt;"&amp;($B10-$D$2))*AL10/$D$2</f>
        <v>0</v>
      </c>
      <c r="AU10" s="478">
        <f>Hypothèses!$G$81</f>
        <v>0.3</v>
      </c>
      <c r="AV10" s="474">
        <f t="shared" ref="AV10:AV46" si="10">AU10*$E10</f>
        <v>223.23133922337641</v>
      </c>
      <c r="AW10" s="475">
        <v>0</v>
      </c>
      <c r="AX10" s="476">
        <v>0</v>
      </c>
      <c r="AY10" s="477">
        <v>0</v>
      </c>
      <c r="AZ10" s="478">
        <v>0</v>
      </c>
      <c r="BA10" s="479">
        <f t="shared" ref="BA10:BA14" si="11">(1-AZ10)*AV10</f>
        <v>223.23133922337641</v>
      </c>
      <c r="BB10" s="480">
        <f>SUMIFS(AX$16:AX$46,$B$16:$B$46,"&lt;="&amp;$B10,$B$16:$B$46,"&gt;"&amp;($B10-$D$2))*AU10/$D$2</f>
        <v>0</v>
      </c>
      <c r="BC10" s="480">
        <f>SUMIFS(AY$16:AY$46,$B$16:$B$46,"&lt;="&amp;$B10,$B$16:$B$46,"&gt;"&amp;($B10-$D$2))*AU10/$D$2</f>
        <v>0</v>
      </c>
      <c r="BD10" s="482">
        <f t="shared" ref="BD10:BD46" si="12">Q10+Z10+AI10+AR10+BA10</f>
        <v>744.10446407792142</v>
      </c>
      <c r="BE10" s="483">
        <f>BD10*(Hypothèses!$D$23/Hypothèses!$B$23)</f>
        <v>885.83864771181118</v>
      </c>
      <c r="BF10" s="484">
        <f t="shared" ref="BF10:BF46" si="13">1-BE10/C10</f>
        <v>0</v>
      </c>
      <c r="BG10" s="483">
        <f>BD10/Hypothèses!$B$23</f>
        <v>236.22363938981633</v>
      </c>
      <c r="BH10" s="484">
        <f t="shared" ref="BH10:BI46" si="14">R10+AA10+AJ10+AS10+BB10</f>
        <v>0</v>
      </c>
      <c r="BI10" s="484">
        <f t="shared" si="14"/>
        <v>0</v>
      </c>
      <c r="BJ10" s="483">
        <f>BG10*BH10</f>
        <v>0</v>
      </c>
      <c r="BK10" s="485"/>
      <c r="BL10" s="486"/>
      <c r="BM10" s="487"/>
      <c r="BN10" s="488"/>
      <c r="BO10" s="489"/>
      <c r="BP10" s="490"/>
      <c r="BQ10" s="491"/>
      <c r="BR10" s="492"/>
      <c r="BS10" s="493"/>
      <c r="BT10" s="494"/>
      <c r="BU10" s="495"/>
      <c r="BV10" s="494"/>
      <c r="BW10" s="496"/>
      <c r="BX10" s="497"/>
      <c r="BY10" s="498"/>
      <c r="BZ10" s="499"/>
      <c r="CA10" s="500">
        <f t="shared" ref="CA10:CA15" si="15">BG10-BS10-BY10</f>
        <v>236.22363938981633</v>
      </c>
      <c r="CB10" s="501"/>
      <c r="CC10" s="498"/>
      <c r="CD10" s="498"/>
      <c r="CE10" s="502"/>
      <c r="CF10" s="503">
        <f>(CA10+BU10*BO10)*Hypothèses!$D$23+CE10</f>
        <v>885.83864771181118</v>
      </c>
      <c r="CG10" s="504">
        <f t="shared" ref="CG10:CG46" si="16">(BE10-CF10)/BE10</f>
        <v>0</v>
      </c>
      <c r="CH10" s="503">
        <f>(CA10+BU10*BO10)*Hypothèses!$B$23</f>
        <v>744.10446407792142</v>
      </c>
      <c r="CI10" s="503"/>
      <c r="CJ10" s="503"/>
      <c r="CK10" s="503"/>
      <c r="CL10" s="507">
        <f t="shared" ref="CL10:CL46" si="17">(C10-CF10)/C10</f>
        <v>0</v>
      </c>
    </row>
    <row r="11" spans="1:90" ht="14.25" customHeight="1">
      <c r="A11" s="331"/>
      <c r="B11" s="471">
        <v>2015</v>
      </c>
      <c r="C11" s="654">
        <f>Trajectoires!AA7</f>
        <v>930.26844806902204</v>
      </c>
      <c r="D11" s="658">
        <f>C11/Hypothèses!$D$23</f>
        <v>248.07158615173921</v>
      </c>
      <c r="E11" s="658">
        <f>D11*Hypothèses!$B$23</f>
        <v>781.42549637797845</v>
      </c>
      <c r="F11" s="658">
        <f>D11*Hypothèses!$B$5</f>
        <v>344.81950475091747</v>
      </c>
      <c r="G11" s="658">
        <f>D11*Hypothèses!$B$6</f>
        <v>7.9382907568556549</v>
      </c>
      <c r="H11" s="472"/>
      <c r="I11" s="472"/>
      <c r="J11" s="472"/>
      <c r="K11" s="473">
        <f>Hypothèses!$G$77</f>
        <v>0.01</v>
      </c>
      <c r="L11" s="474">
        <f t="shared" si="0"/>
        <v>7.8142549637797849</v>
      </c>
      <c r="M11" s="509">
        <v>0</v>
      </c>
      <c r="N11" s="510">
        <v>0</v>
      </c>
      <c r="O11" s="511">
        <v>0</v>
      </c>
      <c r="P11" s="478">
        <v>0</v>
      </c>
      <c r="Q11" s="479">
        <f t="shared" si="1"/>
        <v>7.8142549637797849</v>
      </c>
      <c r="R11" s="480">
        <f t="shared" ref="R11:R46" si="18">SUMIFS(N$16:N$46,$B$16:$B$46,"&lt;="&amp;$B11,$B$16:$B$46,"&gt;"&amp;($B11-$D$2))*K11/$D$2</f>
        <v>0</v>
      </c>
      <c r="S11" s="481">
        <f t="shared" ref="S11:S46" si="19">SUMIFS(O$16:O$46,$B$16:$B$46,"&lt;="&amp;$B11,$B$16:$B$46,"&gt;"&amp;($B11-$D$2))*K11/$D$2</f>
        <v>0</v>
      </c>
      <c r="T11" s="473">
        <f>Hypothèses!$G$78</f>
        <v>0.03</v>
      </c>
      <c r="U11" s="474">
        <f t="shared" si="2"/>
        <v>23.442764891339351</v>
      </c>
      <c r="V11" s="509">
        <v>0</v>
      </c>
      <c r="W11" s="510">
        <v>0</v>
      </c>
      <c r="X11" s="511">
        <v>0</v>
      </c>
      <c r="Y11" s="478">
        <v>0</v>
      </c>
      <c r="Z11" s="479">
        <f t="shared" si="3"/>
        <v>23.442764891339351</v>
      </c>
      <c r="AA11" s="480">
        <f t="shared" ref="AA11:AA46" si="20">SUMIFS(W$16:W$46,$B$16:$B$46,"&lt;="&amp;$B11,$B$16:$B$46,"&gt;"&amp;($B11-$D$2))*T11/$D$2</f>
        <v>0</v>
      </c>
      <c r="AB11" s="481">
        <f t="shared" ref="AB11:AB46" si="21">SUMIFS(X$16:X$46,$B$16:$B$46,"&lt;="&amp;$B11,$B$16:$B$46,"&gt;"&amp;($B11-$D$2))*T11/$D$2</f>
        <v>0</v>
      </c>
      <c r="AC11" s="473">
        <f>Hypothèses!$G$79</f>
        <v>0.24</v>
      </c>
      <c r="AD11" s="474">
        <f t="shared" si="4"/>
        <v>187.54211913071481</v>
      </c>
      <c r="AE11" s="509">
        <v>0</v>
      </c>
      <c r="AF11" s="510">
        <v>0</v>
      </c>
      <c r="AG11" s="511">
        <v>0</v>
      </c>
      <c r="AH11" s="478">
        <v>0</v>
      </c>
      <c r="AI11" s="479">
        <f t="shared" si="5"/>
        <v>187.54211913071481</v>
      </c>
      <c r="AJ11" s="480">
        <f t="shared" ref="AJ11:AJ46" si="22">SUMIFS(AF$16:AF$46,$B$16:$B$46,"&lt;="&amp;$B11,$B$16:$B$46,"&gt;"&amp;($B11-$D$2))*AC11/$D$2</f>
        <v>0</v>
      </c>
      <c r="AK11" s="481">
        <f t="shared" ref="AK11:AK46" si="23">SUMIFS(AG$16:AG$46,$B$16:$B$46,"&lt;="&amp;$B11,$B$16:$B$46,"&gt;"&amp;($B11-$D$2))*AC11/$D$2</f>
        <v>0</v>
      </c>
      <c r="AL11" s="473">
        <f>Hypothèses!$G$80</f>
        <v>0.42</v>
      </c>
      <c r="AM11" s="474">
        <f t="shared" si="6"/>
        <v>328.19870847875092</v>
      </c>
      <c r="AN11" s="509">
        <v>0</v>
      </c>
      <c r="AO11" s="510">
        <v>0</v>
      </c>
      <c r="AP11" s="511">
        <v>0</v>
      </c>
      <c r="AQ11" s="478"/>
      <c r="AR11" s="479">
        <f t="shared" si="7"/>
        <v>328.19870847875092</v>
      </c>
      <c r="AS11" s="480">
        <f t="shared" si="8"/>
        <v>0</v>
      </c>
      <c r="AT11" s="481">
        <f t="shared" si="9"/>
        <v>0</v>
      </c>
      <c r="AU11" s="478">
        <f>Hypothèses!$G$81</f>
        <v>0.3</v>
      </c>
      <c r="AV11" s="474">
        <f t="shared" si="10"/>
        <v>234.42764891339351</v>
      </c>
      <c r="AW11" s="509">
        <v>0</v>
      </c>
      <c r="AX11" s="510">
        <v>0</v>
      </c>
      <c r="AY11" s="511">
        <v>0</v>
      </c>
      <c r="AZ11" s="478">
        <v>0</v>
      </c>
      <c r="BA11" s="479">
        <f t="shared" si="11"/>
        <v>234.42764891339351</v>
      </c>
      <c r="BB11" s="480">
        <f t="shared" ref="BB11:BB46" si="24">SUMIFS(AX$16:AX$46,$B$16:$B$46,"&lt;="&amp;$B11,$B$16:$B$46,"&gt;"&amp;($B11-$D$2))*AU11/$D$2</f>
        <v>0</v>
      </c>
      <c r="BC11" s="480">
        <f t="shared" ref="BC11:BC46" si="25">SUMIFS(AY$16:AY$46,$B$16:$B$46,"&lt;="&amp;$B11,$B$16:$B$46,"&gt;"&amp;($B11-$D$2))*AU11/$D$2</f>
        <v>0</v>
      </c>
      <c r="BD11" s="508">
        <f t="shared" si="12"/>
        <v>781.42549637797833</v>
      </c>
      <c r="BE11" s="472">
        <f>BD11*(Hypothèses!$D$23/Hypothèses!$B$23)</f>
        <v>930.26844806902182</v>
      </c>
      <c r="BF11" s="512">
        <f t="shared" si="13"/>
        <v>0</v>
      </c>
      <c r="BG11" s="472">
        <f>BD11/Hypothèses!$B$23</f>
        <v>248.07158615173915</v>
      </c>
      <c r="BH11" s="512">
        <f t="shared" si="14"/>
        <v>0</v>
      </c>
      <c r="BI11" s="512">
        <f t="shared" si="14"/>
        <v>0</v>
      </c>
      <c r="BJ11" s="472">
        <f t="shared" ref="BJ11:BJ46" si="26">BG11*BH11</f>
        <v>0</v>
      </c>
      <c r="BK11" s="485"/>
      <c r="BL11" s="486"/>
      <c r="BM11" s="487"/>
      <c r="BN11" s="488"/>
      <c r="BO11" s="489"/>
      <c r="BP11" s="513"/>
      <c r="BQ11" s="499"/>
      <c r="BR11" s="492"/>
      <c r="BS11" s="486"/>
      <c r="BT11" s="514"/>
      <c r="BU11" s="515"/>
      <c r="BV11" s="514"/>
      <c r="BW11" s="496"/>
      <c r="BX11" s="497"/>
      <c r="BY11" s="498"/>
      <c r="BZ11" s="499"/>
      <c r="CA11" s="500">
        <f t="shared" si="15"/>
        <v>248.07158615173915</v>
      </c>
      <c r="CB11" s="501"/>
      <c r="CC11" s="498"/>
      <c r="CD11" s="498"/>
      <c r="CE11" s="502"/>
      <c r="CF11" s="503">
        <f>(CA11+BU11*BO11)*Hypothèses!$D$23+CE11</f>
        <v>930.26844806902182</v>
      </c>
      <c r="CG11" s="504">
        <f t="shared" si="16"/>
        <v>0</v>
      </c>
      <c r="CH11" s="503">
        <f>(CA11+BU11*BO11)*Hypothèses!$B$23</f>
        <v>781.42549637797833</v>
      </c>
      <c r="CI11" s="503"/>
      <c r="CJ11" s="503"/>
      <c r="CK11" s="503"/>
      <c r="CL11" s="507">
        <f t="shared" si="17"/>
        <v>2.4441727107395335E-16</v>
      </c>
    </row>
    <row r="12" spans="1:90" ht="14.25" customHeight="1">
      <c r="A12" s="331"/>
      <c r="B12" s="471">
        <v>2016</v>
      </c>
      <c r="C12" s="654">
        <f>Trajectoires!AA8</f>
        <v>976.92665329983004</v>
      </c>
      <c r="D12" s="658">
        <f>C12/Hypothèses!$D$23</f>
        <v>260.513774213288</v>
      </c>
      <c r="E12" s="658">
        <f>D12*Hypothèses!$B$23</f>
        <v>820.61838877185721</v>
      </c>
      <c r="F12" s="658">
        <f>D12*Hypothèses!$B$5</f>
        <v>362.11414615647027</v>
      </c>
      <c r="G12" s="658">
        <f>D12*Hypothèses!$B$6</f>
        <v>8.3364407748252169</v>
      </c>
      <c r="H12" s="472"/>
      <c r="I12" s="472"/>
      <c r="J12" s="472"/>
      <c r="K12" s="473">
        <f>Hypothèses!$G$77</f>
        <v>0.01</v>
      </c>
      <c r="L12" s="474">
        <f t="shared" si="0"/>
        <v>8.2061838877185718</v>
      </c>
      <c r="M12" s="509">
        <v>0</v>
      </c>
      <c r="N12" s="510">
        <v>0</v>
      </c>
      <c r="O12" s="511">
        <v>0</v>
      </c>
      <c r="P12" s="478">
        <v>0</v>
      </c>
      <c r="Q12" s="479">
        <f t="shared" si="1"/>
        <v>8.2061838877185718</v>
      </c>
      <c r="R12" s="480">
        <f t="shared" si="18"/>
        <v>0</v>
      </c>
      <c r="S12" s="481">
        <f t="shared" si="19"/>
        <v>0</v>
      </c>
      <c r="T12" s="473">
        <f>Hypothèses!$G$78</f>
        <v>0.03</v>
      </c>
      <c r="U12" s="474">
        <f t="shared" si="2"/>
        <v>24.618551663155717</v>
      </c>
      <c r="V12" s="509">
        <v>0</v>
      </c>
      <c r="W12" s="510">
        <v>0</v>
      </c>
      <c r="X12" s="511">
        <v>0</v>
      </c>
      <c r="Y12" s="478">
        <v>0</v>
      </c>
      <c r="Z12" s="479">
        <f t="shared" si="3"/>
        <v>24.618551663155717</v>
      </c>
      <c r="AA12" s="480">
        <f t="shared" si="20"/>
        <v>0</v>
      </c>
      <c r="AB12" s="481">
        <f t="shared" si="21"/>
        <v>0</v>
      </c>
      <c r="AC12" s="473">
        <f>Hypothèses!$G$79</f>
        <v>0.24</v>
      </c>
      <c r="AD12" s="474">
        <f t="shared" si="4"/>
        <v>196.94841330524574</v>
      </c>
      <c r="AE12" s="509">
        <v>0</v>
      </c>
      <c r="AF12" s="510">
        <v>0</v>
      </c>
      <c r="AG12" s="511">
        <v>0</v>
      </c>
      <c r="AH12" s="478">
        <v>0</v>
      </c>
      <c r="AI12" s="479">
        <f t="shared" si="5"/>
        <v>196.94841330524574</v>
      </c>
      <c r="AJ12" s="480">
        <f t="shared" si="22"/>
        <v>0</v>
      </c>
      <c r="AK12" s="481">
        <f t="shared" si="23"/>
        <v>0</v>
      </c>
      <c r="AL12" s="473">
        <f>Hypothèses!$G$80</f>
        <v>0.42</v>
      </c>
      <c r="AM12" s="474">
        <f t="shared" si="6"/>
        <v>344.65972328418002</v>
      </c>
      <c r="AN12" s="509">
        <v>0</v>
      </c>
      <c r="AO12" s="510">
        <v>0</v>
      </c>
      <c r="AP12" s="511">
        <v>0</v>
      </c>
      <c r="AQ12" s="478"/>
      <c r="AR12" s="479">
        <f t="shared" si="7"/>
        <v>344.65972328418002</v>
      </c>
      <c r="AS12" s="480">
        <f t="shared" si="8"/>
        <v>0</v>
      </c>
      <c r="AT12" s="481">
        <f t="shared" si="9"/>
        <v>0</v>
      </c>
      <c r="AU12" s="478">
        <f>Hypothèses!$G$81</f>
        <v>0.3</v>
      </c>
      <c r="AV12" s="474">
        <f t="shared" si="10"/>
        <v>246.18551663155716</v>
      </c>
      <c r="AW12" s="509">
        <v>0</v>
      </c>
      <c r="AX12" s="510">
        <v>0</v>
      </c>
      <c r="AY12" s="511">
        <v>0</v>
      </c>
      <c r="AZ12" s="478">
        <v>0</v>
      </c>
      <c r="BA12" s="479">
        <f t="shared" si="11"/>
        <v>246.18551663155716</v>
      </c>
      <c r="BB12" s="480">
        <f t="shared" si="24"/>
        <v>0</v>
      </c>
      <c r="BC12" s="480">
        <f t="shared" si="25"/>
        <v>0</v>
      </c>
      <c r="BD12" s="508">
        <f t="shared" si="12"/>
        <v>820.61838877185733</v>
      </c>
      <c r="BE12" s="472">
        <f>BD12*(Hypothèses!$D$23/Hypothèses!$B$23)</f>
        <v>976.92665329983015</v>
      </c>
      <c r="BF12" s="512">
        <f t="shared" si="13"/>
        <v>0</v>
      </c>
      <c r="BG12" s="472">
        <f>BD12/Hypothèses!$B$23</f>
        <v>260.51377421328806</v>
      </c>
      <c r="BH12" s="512">
        <f t="shared" si="14"/>
        <v>0</v>
      </c>
      <c r="BI12" s="512">
        <f t="shared" si="14"/>
        <v>0</v>
      </c>
      <c r="BJ12" s="472">
        <f t="shared" si="26"/>
        <v>0</v>
      </c>
      <c r="BK12" s="485"/>
      <c r="BL12" s="486"/>
      <c r="BM12" s="487"/>
      <c r="BN12" s="488"/>
      <c r="BO12" s="489"/>
      <c r="BP12" s="513"/>
      <c r="BQ12" s="499"/>
      <c r="BR12" s="492"/>
      <c r="BS12" s="486"/>
      <c r="BT12" s="514"/>
      <c r="BU12" s="515"/>
      <c r="BV12" s="514"/>
      <c r="BW12" s="496"/>
      <c r="BX12" s="497"/>
      <c r="BY12" s="498"/>
      <c r="BZ12" s="499"/>
      <c r="CA12" s="500">
        <f t="shared" si="15"/>
        <v>260.51377421328806</v>
      </c>
      <c r="CB12" s="501"/>
      <c r="CC12" s="498"/>
      <c r="CD12" s="498"/>
      <c r="CE12" s="502"/>
      <c r="CF12" s="503">
        <f>(CA12+BU12*BO12)*Hypothèses!$D$23+CE12</f>
        <v>976.92665329983026</v>
      </c>
      <c r="CG12" s="504">
        <f t="shared" si="16"/>
        <v>-1.1637192755219486E-16</v>
      </c>
      <c r="CH12" s="503">
        <f>(CA12+BU12*BO12)*Hypothèses!$B$23</f>
        <v>820.61838877185733</v>
      </c>
      <c r="CI12" s="503"/>
      <c r="CJ12" s="503"/>
      <c r="CK12" s="503"/>
      <c r="CL12" s="507">
        <f t="shared" si="17"/>
        <v>-2.3274385510438977E-16</v>
      </c>
    </row>
    <row r="13" spans="1:90" ht="14.25" customHeight="1">
      <c r="A13" s="331"/>
      <c r="B13" s="471">
        <v>2017</v>
      </c>
      <c r="C13" s="654">
        <f>Trajectoires!AA9</f>
        <v>1025.9250304668988</v>
      </c>
      <c r="D13" s="658">
        <f>C13/Hypothèses!$D$23</f>
        <v>273.58000812450632</v>
      </c>
      <c r="E13" s="658">
        <f>D13*Hypothèses!$B$23</f>
        <v>861.77702559219483</v>
      </c>
      <c r="F13" s="658">
        <f>D13*Hypothèses!$B$5</f>
        <v>380.27621129306374</v>
      </c>
      <c r="G13" s="658">
        <f>D13*Hypothèses!$B$6</f>
        <v>8.7545602599842027</v>
      </c>
      <c r="H13" s="472"/>
      <c r="I13" s="472"/>
      <c r="J13" s="472"/>
      <c r="K13" s="473">
        <f>Hypothèses!$G$77</f>
        <v>0.01</v>
      </c>
      <c r="L13" s="474">
        <f t="shared" si="0"/>
        <v>8.6177702559219487</v>
      </c>
      <c r="M13" s="509">
        <v>0</v>
      </c>
      <c r="N13" s="510">
        <v>0</v>
      </c>
      <c r="O13" s="511">
        <v>0</v>
      </c>
      <c r="P13" s="478">
        <v>0</v>
      </c>
      <c r="Q13" s="479">
        <f t="shared" si="1"/>
        <v>8.6177702559219487</v>
      </c>
      <c r="R13" s="480">
        <f t="shared" si="18"/>
        <v>0</v>
      </c>
      <c r="S13" s="481">
        <f t="shared" si="19"/>
        <v>0</v>
      </c>
      <c r="T13" s="473">
        <f>Hypothèses!$G$78</f>
        <v>0.03</v>
      </c>
      <c r="U13" s="474">
        <f t="shared" si="2"/>
        <v>25.853310767765844</v>
      </c>
      <c r="V13" s="509">
        <v>0</v>
      </c>
      <c r="W13" s="510">
        <v>0</v>
      </c>
      <c r="X13" s="511">
        <v>0</v>
      </c>
      <c r="Y13" s="478">
        <v>0</v>
      </c>
      <c r="Z13" s="479">
        <f t="shared" si="3"/>
        <v>25.853310767765844</v>
      </c>
      <c r="AA13" s="480">
        <f t="shared" si="20"/>
        <v>0</v>
      </c>
      <c r="AB13" s="481">
        <f t="shared" si="21"/>
        <v>0</v>
      </c>
      <c r="AC13" s="473">
        <f>Hypothèses!$G$79</f>
        <v>0.24</v>
      </c>
      <c r="AD13" s="474">
        <f t="shared" si="4"/>
        <v>206.82648614212675</v>
      </c>
      <c r="AE13" s="509">
        <v>0</v>
      </c>
      <c r="AF13" s="510">
        <v>0</v>
      </c>
      <c r="AG13" s="511">
        <v>0</v>
      </c>
      <c r="AH13" s="478">
        <v>0</v>
      </c>
      <c r="AI13" s="479">
        <f t="shared" si="5"/>
        <v>206.82648614212675</v>
      </c>
      <c r="AJ13" s="480">
        <f t="shared" si="22"/>
        <v>0</v>
      </c>
      <c r="AK13" s="481">
        <f t="shared" si="23"/>
        <v>0</v>
      </c>
      <c r="AL13" s="473">
        <f>Hypothèses!$G$80</f>
        <v>0.42</v>
      </c>
      <c r="AM13" s="474">
        <f t="shared" si="6"/>
        <v>361.94635074872184</v>
      </c>
      <c r="AN13" s="509">
        <v>0</v>
      </c>
      <c r="AO13" s="510">
        <v>0</v>
      </c>
      <c r="AP13" s="511">
        <v>0</v>
      </c>
      <c r="AQ13" s="478"/>
      <c r="AR13" s="479">
        <f t="shared" si="7"/>
        <v>361.94635074872184</v>
      </c>
      <c r="AS13" s="480">
        <f t="shared" si="8"/>
        <v>0</v>
      </c>
      <c r="AT13" s="481">
        <f t="shared" si="9"/>
        <v>0</v>
      </c>
      <c r="AU13" s="478">
        <f>Hypothèses!$G$81</f>
        <v>0.3</v>
      </c>
      <c r="AV13" s="474">
        <f t="shared" si="10"/>
        <v>258.53310767765845</v>
      </c>
      <c r="AW13" s="509">
        <v>0</v>
      </c>
      <c r="AX13" s="510">
        <v>0</v>
      </c>
      <c r="AY13" s="511">
        <v>0</v>
      </c>
      <c r="AZ13" s="478">
        <v>0</v>
      </c>
      <c r="BA13" s="479">
        <f t="shared" si="11"/>
        <v>258.53310767765845</v>
      </c>
      <c r="BB13" s="480">
        <f t="shared" si="24"/>
        <v>0</v>
      </c>
      <c r="BC13" s="480">
        <f t="shared" si="25"/>
        <v>0</v>
      </c>
      <c r="BD13" s="508">
        <f t="shared" si="12"/>
        <v>861.77702559219483</v>
      </c>
      <c r="BE13" s="472">
        <f>BD13*(Hypothèses!$D$23/Hypothèses!$B$23)</f>
        <v>1025.9250304668985</v>
      </c>
      <c r="BF13" s="512">
        <f t="shared" si="13"/>
        <v>0</v>
      </c>
      <c r="BG13" s="472">
        <f>BD13/Hypothèses!$B$23</f>
        <v>273.58000812450632</v>
      </c>
      <c r="BH13" s="512">
        <f t="shared" si="14"/>
        <v>0</v>
      </c>
      <c r="BI13" s="512">
        <f t="shared" si="14"/>
        <v>0</v>
      </c>
      <c r="BJ13" s="472">
        <f t="shared" si="26"/>
        <v>0</v>
      </c>
      <c r="BK13" s="485"/>
      <c r="BL13" s="486"/>
      <c r="BM13" s="487"/>
      <c r="BN13" s="488"/>
      <c r="BO13" s="489"/>
      <c r="BP13" s="513"/>
      <c r="BQ13" s="499"/>
      <c r="BR13" s="492"/>
      <c r="BS13" s="486"/>
      <c r="BT13" s="514"/>
      <c r="BU13" s="515"/>
      <c r="BV13" s="514"/>
      <c r="BW13" s="496"/>
      <c r="BX13" s="497"/>
      <c r="BY13" s="498"/>
      <c r="BZ13" s="499"/>
      <c r="CA13" s="500">
        <f t="shared" si="15"/>
        <v>273.58000812450632</v>
      </c>
      <c r="CB13" s="501"/>
      <c r="CC13" s="498"/>
      <c r="CD13" s="498"/>
      <c r="CE13" s="502"/>
      <c r="CF13" s="503">
        <f>(CA13+BU13*BO13)*Hypothèses!$D$23+CE13</f>
        <v>1025.9250304668988</v>
      </c>
      <c r="CG13" s="504">
        <f t="shared" si="16"/>
        <v>-2.2162796373118442E-16</v>
      </c>
      <c r="CH13" s="503">
        <f>(CA13+BU13*BO13)*Hypothèses!$B$23</f>
        <v>861.77702559219483</v>
      </c>
      <c r="CI13" s="503"/>
      <c r="CJ13" s="503"/>
      <c r="CK13" s="503"/>
      <c r="CL13" s="507">
        <f t="shared" si="17"/>
        <v>0</v>
      </c>
    </row>
    <row r="14" spans="1:90" ht="14.25" customHeight="1">
      <c r="A14" s="331"/>
      <c r="B14" s="471">
        <v>2018</v>
      </c>
      <c r="C14" s="654">
        <f>Trajectoires!AA10</f>
        <v>1077.3809523809523</v>
      </c>
      <c r="D14" s="658">
        <f>C14/Hypothèses!$D$23</f>
        <v>287.30158730158729</v>
      </c>
      <c r="E14" s="658">
        <f>D14*Hypothèses!$B$23</f>
        <v>904.99999999999989</v>
      </c>
      <c r="F14" s="658">
        <f>D14*Hypothèses!$B$5</f>
        <v>399.34920634920633</v>
      </c>
      <c r="G14" s="658">
        <f>D14*Hypothèses!$B$6</f>
        <v>9.193650793650793</v>
      </c>
      <c r="H14" s="472"/>
      <c r="I14" s="472"/>
      <c r="J14" s="472"/>
      <c r="K14" s="473">
        <f>Hypothèses!$G$77</f>
        <v>0.01</v>
      </c>
      <c r="L14" s="474">
        <f t="shared" si="0"/>
        <v>9.0499999999999989</v>
      </c>
      <c r="M14" s="509">
        <v>0</v>
      </c>
      <c r="N14" s="510">
        <v>0</v>
      </c>
      <c r="O14" s="511">
        <v>0</v>
      </c>
      <c r="P14" s="478">
        <v>0</v>
      </c>
      <c r="Q14" s="479">
        <f t="shared" si="1"/>
        <v>9.0499999999999989</v>
      </c>
      <c r="R14" s="480">
        <f t="shared" si="18"/>
        <v>0</v>
      </c>
      <c r="S14" s="481">
        <f t="shared" si="19"/>
        <v>0</v>
      </c>
      <c r="T14" s="473">
        <f>Hypothèses!$G$78</f>
        <v>0.03</v>
      </c>
      <c r="U14" s="474">
        <f t="shared" si="2"/>
        <v>27.149999999999995</v>
      </c>
      <c r="V14" s="509">
        <v>0</v>
      </c>
      <c r="W14" s="510">
        <v>0</v>
      </c>
      <c r="X14" s="511">
        <v>0</v>
      </c>
      <c r="Y14" s="478">
        <v>0</v>
      </c>
      <c r="Z14" s="479">
        <f t="shared" si="3"/>
        <v>27.149999999999995</v>
      </c>
      <c r="AA14" s="480">
        <f t="shared" si="20"/>
        <v>0</v>
      </c>
      <c r="AB14" s="481">
        <f t="shared" si="21"/>
        <v>0</v>
      </c>
      <c r="AC14" s="473">
        <f>Hypothèses!$G$79</f>
        <v>0.24</v>
      </c>
      <c r="AD14" s="474">
        <f t="shared" si="4"/>
        <v>217.19999999999996</v>
      </c>
      <c r="AE14" s="509">
        <v>0</v>
      </c>
      <c r="AF14" s="510">
        <v>0</v>
      </c>
      <c r="AG14" s="511">
        <v>0</v>
      </c>
      <c r="AH14" s="478">
        <v>0</v>
      </c>
      <c r="AI14" s="479">
        <f t="shared" si="5"/>
        <v>217.19999999999996</v>
      </c>
      <c r="AJ14" s="480">
        <f t="shared" si="22"/>
        <v>0</v>
      </c>
      <c r="AK14" s="481">
        <f t="shared" si="23"/>
        <v>0</v>
      </c>
      <c r="AL14" s="473">
        <f>Hypothèses!$G$80</f>
        <v>0.42</v>
      </c>
      <c r="AM14" s="474">
        <f t="shared" si="6"/>
        <v>380.09999999999997</v>
      </c>
      <c r="AN14" s="509">
        <v>0</v>
      </c>
      <c r="AO14" s="510">
        <v>0</v>
      </c>
      <c r="AP14" s="511">
        <v>0</v>
      </c>
      <c r="AQ14" s="478"/>
      <c r="AR14" s="479">
        <f t="shared" si="7"/>
        <v>380.09999999999997</v>
      </c>
      <c r="AS14" s="480">
        <f t="shared" si="8"/>
        <v>0</v>
      </c>
      <c r="AT14" s="481">
        <f t="shared" si="9"/>
        <v>0</v>
      </c>
      <c r="AU14" s="478">
        <f>Hypothèses!$G$81</f>
        <v>0.3</v>
      </c>
      <c r="AV14" s="474">
        <f t="shared" si="10"/>
        <v>271.49999999999994</v>
      </c>
      <c r="AW14" s="509">
        <v>0</v>
      </c>
      <c r="AX14" s="510">
        <v>0</v>
      </c>
      <c r="AY14" s="511">
        <v>0</v>
      </c>
      <c r="AZ14" s="478">
        <v>0</v>
      </c>
      <c r="BA14" s="479">
        <f t="shared" si="11"/>
        <v>271.49999999999994</v>
      </c>
      <c r="BB14" s="480">
        <f t="shared" si="24"/>
        <v>0</v>
      </c>
      <c r="BC14" s="480">
        <f t="shared" si="25"/>
        <v>0</v>
      </c>
      <c r="BD14" s="508">
        <f t="shared" si="12"/>
        <v>904.99999999999977</v>
      </c>
      <c r="BE14" s="472">
        <f>BD14*(Hypothèses!$D$23/Hypothèses!$B$23)</f>
        <v>1077.3809523809521</v>
      </c>
      <c r="BF14" s="512">
        <f t="shared" si="13"/>
        <v>0</v>
      </c>
      <c r="BG14" s="472">
        <f>BD14/Hypothèses!$B$23</f>
        <v>287.30158730158723</v>
      </c>
      <c r="BH14" s="512">
        <f t="shared" si="14"/>
        <v>0</v>
      </c>
      <c r="BI14" s="512">
        <f t="shared" si="14"/>
        <v>0</v>
      </c>
      <c r="BJ14" s="472">
        <f t="shared" si="26"/>
        <v>0</v>
      </c>
      <c r="BK14" s="485"/>
      <c r="BL14" s="486"/>
      <c r="BM14" s="487"/>
      <c r="BN14" s="488"/>
      <c r="BO14" s="489"/>
      <c r="BP14" s="513"/>
      <c r="BQ14" s="499"/>
      <c r="BR14" s="492"/>
      <c r="BS14" s="486"/>
      <c r="BT14" s="514"/>
      <c r="BU14" s="515"/>
      <c r="BV14" s="514"/>
      <c r="BW14" s="496"/>
      <c r="BX14" s="497"/>
      <c r="BY14" s="498"/>
      <c r="BZ14" s="499"/>
      <c r="CA14" s="500">
        <f t="shared" si="15"/>
        <v>287.30158730158723</v>
      </c>
      <c r="CB14" s="501"/>
      <c r="CC14" s="498"/>
      <c r="CD14" s="498"/>
      <c r="CE14" s="502"/>
      <c r="CF14" s="503">
        <f>(CA14+BU14*BO14)*Hypothèses!$D$23+CE14</f>
        <v>1077.3809523809521</v>
      </c>
      <c r="CG14" s="504">
        <f t="shared" si="16"/>
        <v>0</v>
      </c>
      <c r="CH14" s="503">
        <f>(CA14+BU14*BO14)*Hypothèses!$B$23</f>
        <v>904.99999999999977</v>
      </c>
      <c r="CI14" s="503"/>
      <c r="CJ14" s="503"/>
      <c r="CK14" s="503"/>
      <c r="CL14" s="507">
        <f t="shared" si="17"/>
        <v>2.110429694721712E-16</v>
      </c>
    </row>
    <row r="15" spans="1:90" ht="14.25" customHeight="1">
      <c r="A15" s="331"/>
      <c r="B15" s="471">
        <v>2019</v>
      </c>
      <c r="C15" s="654">
        <f>Trajectoires!AA11</f>
        <v>1088.0952380952381</v>
      </c>
      <c r="D15" s="658">
        <f>C15/Hypothèses!$D$23</f>
        <v>290.15873015873018</v>
      </c>
      <c r="E15" s="658">
        <f>D15*Hypothèses!$B$23</f>
        <v>914</v>
      </c>
      <c r="F15" s="658">
        <f>D15*Hypothèses!$B$5</f>
        <v>403.32063492063492</v>
      </c>
      <c r="G15" s="658">
        <f>D15*Hypothèses!$B$6</f>
        <v>9.2850793650793655</v>
      </c>
      <c r="H15" s="472"/>
      <c r="I15" s="472"/>
      <c r="J15" s="472"/>
      <c r="K15" s="473">
        <f>Hypothèses!$G$77</f>
        <v>0.01</v>
      </c>
      <c r="L15" s="474">
        <f t="shared" si="0"/>
        <v>9.14</v>
      </c>
      <c r="M15" s="509">
        <v>0</v>
      </c>
      <c r="N15" s="510">
        <v>0</v>
      </c>
      <c r="O15" s="511">
        <v>0</v>
      </c>
      <c r="P15" s="478">
        <v>0</v>
      </c>
      <c r="Q15" s="479">
        <f>(1-P15)*L15</f>
        <v>9.14</v>
      </c>
      <c r="R15" s="480">
        <f t="shared" si="18"/>
        <v>0</v>
      </c>
      <c r="S15" s="481">
        <f t="shared" si="19"/>
        <v>0</v>
      </c>
      <c r="T15" s="473">
        <f>Hypothèses!$G$78</f>
        <v>0.03</v>
      </c>
      <c r="U15" s="474">
        <f t="shared" si="2"/>
        <v>27.419999999999998</v>
      </c>
      <c r="V15" s="509">
        <v>0</v>
      </c>
      <c r="W15" s="510">
        <v>0</v>
      </c>
      <c r="X15" s="511">
        <v>0</v>
      </c>
      <c r="Y15" s="478">
        <v>0</v>
      </c>
      <c r="Z15" s="479">
        <f>(1-Y15)*U15</f>
        <v>27.419999999999998</v>
      </c>
      <c r="AA15" s="480">
        <f t="shared" si="20"/>
        <v>0</v>
      </c>
      <c r="AB15" s="481">
        <f t="shared" si="21"/>
        <v>0</v>
      </c>
      <c r="AC15" s="473">
        <f>Hypothèses!$G$79</f>
        <v>0.24</v>
      </c>
      <c r="AD15" s="474">
        <f t="shared" si="4"/>
        <v>219.35999999999999</v>
      </c>
      <c r="AE15" s="509">
        <v>0</v>
      </c>
      <c r="AF15" s="510">
        <v>0</v>
      </c>
      <c r="AG15" s="511">
        <v>0</v>
      </c>
      <c r="AH15" s="478">
        <v>0</v>
      </c>
      <c r="AI15" s="479">
        <f>(1-AH15)*AD15</f>
        <v>219.35999999999999</v>
      </c>
      <c r="AJ15" s="480">
        <f t="shared" si="22"/>
        <v>0</v>
      </c>
      <c r="AK15" s="481">
        <f t="shared" si="23"/>
        <v>0</v>
      </c>
      <c r="AL15" s="473">
        <f>Hypothèses!$G$80</f>
        <v>0.42</v>
      </c>
      <c r="AM15" s="474">
        <f t="shared" si="6"/>
        <v>383.88</v>
      </c>
      <c r="AN15" s="509">
        <v>0</v>
      </c>
      <c r="AO15" s="510">
        <v>0</v>
      </c>
      <c r="AP15" s="511">
        <v>0</v>
      </c>
      <c r="AQ15" s="478"/>
      <c r="AR15" s="479">
        <f t="shared" si="7"/>
        <v>383.88</v>
      </c>
      <c r="AS15" s="480">
        <f t="shared" si="8"/>
        <v>0</v>
      </c>
      <c r="AT15" s="481">
        <f t="shared" si="9"/>
        <v>0</v>
      </c>
      <c r="AU15" s="478">
        <f>Hypothèses!$G$81</f>
        <v>0.3</v>
      </c>
      <c r="AV15" s="474">
        <f t="shared" si="10"/>
        <v>274.2</v>
      </c>
      <c r="AW15" s="509">
        <v>0</v>
      </c>
      <c r="AX15" s="510">
        <v>0</v>
      </c>
      <c r="AY15" s="511">
        <v>0</v>
      </c>
      <c r="AZ15" s="478">
        <v>0</v>
      </c>
      <c r="BA15" s="479">
        <f>(1-AZ15)*AV15</f>
        <v>274.2</v>
      </c>
      <c r="BB15" s="480">
        <f t="shared" si="24"/>
        <v>0</v>
      </c>
      <c r="BC15" s="480">
        <f t="shared" si="25"/>
        <v>0</v>
      </c>
      <c r="BD15" s="508">
        <f t="shared" si="12"/>
        <v>914</v>
      </c>
      <c r="BE15" s="472">
        <f>BD15*(Hypothèses!$D$23/Hypothèses!$B$23)</f>
        <v>1088.0952380952381</v>
      </c>
      <c r="BF15" s="512">
        <f t="shared" si="13"/>
        <v>0</v>
      </c>
      <c r="BG15" s="472">
        <f>BD15/Hypothèses!$B$23</f>
        <v>290.15873015873018</v>
      </c>
      <c r="BH15" s="512">
        <f t="shared" si="14"/>
        <v>0</v>
      </c>
      <c r="BI15" s="512">
        <f t="shared" si="14"/>
        <v>0</v>
      </c>
      <c r="BJ15" s="472">
        <f t="shared" si="26"/>
        <v>0</v>
      </c>
      <c r="BK15" s="485"/>
      <c r="BL15" s="486"/>
      <c r="BM15" s="487"/>
      <c r="BN15" s="488"/>
      <c r="BO15" s="489"/>
      <c r="BP15" s="513"/>
      <c r="BQ15" s="499"/>
      <c r="BR15" s="492"/>
      <c r="BS15" s="486"/>
      <c r="BT15" s="514"/>
      <c r="BU15" s="515"/>
      <c r="BV15" s="514"/>
      <c r="BW15" s="496"/>
      <c r="BX15" s="497"/>
      <c r="BY15" s="498"/>
      <c r="BZ15" s="499"/>
      <c r="CA15" s="500">
        <f t="shared" si="15"/>
        <v>290.15873015873018</v>
      </c>
      <c r="CB15" s="501"/>
      <c r="CC15" s="498"/>
      <c r="CD15" s="498"/>
      <c r="CE15" s="502"/>
      <c r="CF15" s="503">
        <f>(CA15+BU15*BO15)*Hypothèses!$D$23+CE15</f>
        <v>1088.0952380952381</v>
      </c>
      <c r="CG15" s="504">
        <f t="shared" si="16"/>
        <v>0</v>
      </c>
      <c r="CH15" s="503">
        <f>(CA15+BU15*BO15)*Hypothèses!$B$23</f>
        <v>914</v>
      </c>
      <c r="CI15" s="503"/>
      <c r="CJ15" s="503"/>
      <c r="CK15" s="503"/>
      <c r="CL15" s="507">
        <f t="shared" si="17"/>
        <v>0</v>
      </c>
    </row>
    <row r="16" spans="1:90" ht="14.25" customHeight="1">
      <c r="A16" s="331"/>
      <c r="B16" s="516">
        <v>2020</v>
      </c>
      <c r="C16" s="655">
        <f>Trajectoires!AA12</f>
        <v>368.10261904761899</v>
      </c>
      <c r="D16" s="659">
        <f>C16/Hypothèses!$D$23</f>
        <v>98.160698412698395</v>
      </c>
      <c r="E16" s="659">
        <f>D16*Hypothèses!$B$23</f>
        <v>309.20619999999991</v>
      </c>
      <c r="F16" s="659">
        <f>D16*Hypothèses!$B$5</f>
        <v>136.44337079365076</v>
      </c>
      <c r="G16" s="659">
        <f>D16*Hypothèses!$B$6</f>
        <v>3.1411423492063486</v>
      </c>
      <c r="H16" s="519">
        <f>IF($B16&gt;=$E$2,1/$D$2,1/25)</f>
        <v>0.04</v>
      </c>
      <c r="I16" s="520">
        <f>IF(J16&gt;=1,ROUND(COUNTIFS($B$16:$B16,"&gt;"&amp;MAX($B16-$D$2,2019),H$16:H16,1/25)*(1/$D$2-1/25)*25,0),0)</f>
        <v>0</v>
      </c>
      <c r="J16" s="521">
        <f>H16</f>
        <v>0.04</v>
      </c>
      <c r="K16" s="522">
        <f>Hypothèses!$G$77</f>
        <v>0.01</v>
      </c>
      <c r="L16" s="523">
        <f t="shared" si="0"/>
        <v>3.092061999999999</v>
      </c>
      <c r="M16" s="524">
        <f t="array" ref="M16">1-SUM(IF((Roadmap_Avion!$B$8:$B$38=$B16)*(Roadmap_Avion!$C$4:$Z$4=$B$2)*(Roadmap_Avion!$C$6:$Z$6=M$7)*(Roadmap_Avion!$C$7:$Z$7=M$9),Roadmap_Avion!$C$8:$Z$38,0))</f>
        <v>0</v>
      </c>
      <c r="N16" s="525">
        <f t="array" ref="N16">SUM(IF((Roadmap_Avion!$B$8:$B$38=$B16)*(Roadmap_Avion!$C$4:$Z$4=$B$2)*(Roadmap_Avion!$C$6:$Z$6=N$7)*(Roadmap_Avion!$C$7:$Z$7=N$9),Roadmap_Avion!$C$8:$Z$38,0))</f>
        <v>0.5</v>
      </c>
      <c r="O16" s="526">
        <f t="array" ref="O16">SUM(IF((Roadmap_Avion!$B$8:$B$38=$B16)*(Roadmap_Avion!$C$4:$Z$4=$B$2)*(Roadmap_Avion!$C$6:$Z$6=O$7)*(Roadmap_Avion!$C$7:$Z$7=O$9),Roadmap_Avion!$C$8:$Z$38,0))</f>
        <v>0</v>
      </c>
      <c r="P16" s="527">
        <f t="array" ref="P16">IF($J16&lt;1,P15+$H16*M16,SUMPRODUCT(($B$16:$B$46&lt;=$B16)*($B$16:$B$46&gt;MAX($B16-$D$2-$I16,2019))*$H$16:$H$46*M$16:M$46))</f>
        <v>0</v>
      </c>
      <c r="Q16" s="528">
        <f>(1-P16)*L16</f>
        <v>3.092061999999999</v>
      </c>
      <c r="R16" s="529">
        <f t="shared" si="18"/>
        <v>3.3333333333333332E-4</v>
      </c>
      <c r="S16" s="530">
        <f t="shared" si="19"/>
        <v>0</v>
      </c>
      <c r="T16" s="522">
        <f>Hypothèses!$G$78</f>
        <v>0.03</v>
      </c>
      <c r="U16" s="523">
        <f t="shared" si="2"/>
        <v>9.2761859999999974</v>
      </c>
      <c r="V16" s="524">
        <f t="array" ref="V16">1-SUM(IF((Roadmap_Avion!$B$8:$B$38=$B16)*(Roadmap_Avion!$C$4:$Z$4=$B$2)*(Roadmap_Avion!$C$6:$Z$6=V$7)*(Roadmap_Avion!$C$7:$Z$7=V$9),Roadmap_Avion!$C$8:$Z$38,0))</f>
        <v>0</v>
      </c>
      <c r="W16" s="525">
        <f t="array" ref="W16">SUM(IF((Roadmap_Avion!$B$8:$B$38=$B16)*(Roadmap_Avion!$C$4:$Z$4=$B$2)*(Roadmap_Avion!$C$6:$Z$6=W$7)*(Roadmap_Avion!$C$7:$Z$7=W$9),Roadmap_Avion!$C$8:$Z$38,0))</f>
        <v>0.5</v>
      </c>
      <c r="X16" s="526">
        <f t="array" ref="X16">SUM(IF((Roadmap_Avion!$B$8:$B$38=$B16)*(Roadmap_Avion!$C$4:$Z$4=$B$2)*(Roadmap_Avion!$C$6:$Z$6=X$7)*(Roadmap_Avion!$C$7:$Z$7=X$9),Roadmap_Avion!$C$8:$Z$38,0))</f>
        <v>0</v>
      </c>
      <c r="Y16" s="527">
        <f t="array" ref="Y16">IF($J16&lt;1,Y15+$H16*V16,SUMPRODUCT(($B$16:$B$46&lt;=$B16)*($B$16:$B$46&gt;MAX($B16-$D$2-$I16,2019))*$H$16:$H$46*V$16:V$46))</f>
        <v>0</v>
      </c>
      <c r="Z16" s="528">
        <f>(1-Y16)*U16</f>
        <v>9.2761859999999974</v>
      </c>
      <c r="AA16" s="529">
        <f t="shared" si="20"/>
        <v>1E-3</v>
      </c>
      <c r="AB16" s="530">
        <f t="shared" si="21"/>
        <v>0</v>
      </c>
      <c r="AC16" s="522">
        <f>Hypothèses!$G$79</f>
        <v>0.24</v>
      </c>
      <c r="AD16" s="523">
        <f t="shared" si="4"/>
        <v>74.209487999999979</v>
      </c>
      <c r="AE16" s="524">
        <f t="array" ref="AE16">1-SUM(IF((Roadmap_Avion!$B$8:$B$38=$B16)*(Roadmap_Avion!$C$4:$Z$4=$B$2)*(Roadmap_Avion!$C$6:$Z$6=AE$7)*(Roadmap_Avion!$C$7:$Z$7=AE$9),Roadmap_Avion!$C$8:$Z$38,0))</f>
        <v>0.19999999999999996</v>
      </c>
      <c r="AF16" s="525">
        <f t="array" ref="AF16">SUM(IF((Roadmap_Avion!$B$8:$B$38=$B16)*(Roadmap_Avion!$C$4:$Z$4=$B$2)*(Roadmap_Avion!$C$6:$Z$6=AF$7)*(Roadmap_Avion!$C$7:$Z$7=AF$9),Roadmap_Avion!$C$8:$Z$38,0))</f>
        <v>0.5</v>
      </c>
      <c r="AG16" s="526">
        <f t="array" ref="AG16">SUM(IF((Roadmap_Avion!$B$8:$B$38=$B16)*(Roadmap_Avion!$C$4:$Z$4=$B$2)*(Roadmap_Avion!$C$6:$Z$6=AG$7)*(Roadmap_Avion!$C$7:$Z$7=AG$9),Roadmap_Avion!$C$8:$Z$38,0))</f>
        <v>0</v>
      </c>
      <c r="AH16" s="527">
        <f t="array" ref="AH16">IF($J16&lt;1,AH15+$H16*AE16,SUMPRODUCT(($B$16:$B$46&lt;=$B16)*($B$16:$B$46&gt;MAX($B16-$D$2-$I16,2019))*$H$16:$H$46*AE$16:AE$46))</f>
        <v>7.9999999999999984E-3</v>
      </c>
      <c r="AI16" s="528">
        <f>(1-AH16)*AD16</f>
        <v>73.615812095999985</v>
      </c>
      <c r="AJ16" s="529">
        <f t="shared" si="22"/>
        <v>8.0000000000000002E-3</v>
      </c>
      <c r="AK16" s="530">
        <f t="shared" si="23"/>
        <v>0</v>
      </c>
      <c r="AL16" s="522">
        <f>Hypothèses!$G$80</f>
        <v>0.42</v>
      </c>
      <c r="AM16" s="523">
        <f t="shared" si="6"/>
        <v>129.86660399999997</v>
      </c>
      <c r="AN16" s="524">
        <f t="array" ref="AN16">1-SUM(IF((Roadmap_Avion!$B$8:$B$38=$B16)*(Roadmap_Avion!$C$4:$Z$4=$B$2)*(Roadmap_Avion!$C$6:$Z$6=AN$7)*(Roadmap_Avion!$C$7:$Z$7=AN$9),Roadmap_Avion!$C$8:$Z$38,0))</f>
        <v>0.19999999999999996</v>
      </c>
      <c r="AO16" s="525">
        <f t="array" ref="AO16">SUM(IF((Roadmap_Avion!$B$8:$B$38=$B16)*(Roadmap_Avion!$C$4:$Z$4=$B$2)*(Roadmap_Avion!$C$6:$Z$6=AO$7)*(Roadmap_Avion!$C$7:$Z$7=AO$9),Roadmap_Avion!$C$8:$Z$38,0))</f>
        <v>0.5</v>
      </c>
      <c r="AP16" s="526">
        <f t="array" ref="AP16">SUM(IF((Roadmap_Avion!$B$8:$B$38=$B16)*(Roadmap_Avion!$C$4:$Z$4=$B$2)*(Roadmap_Avion!$C$6:$Z$6=AP$7)*(Roadmap_Avion!$C$7:$Z$7=AP$9),Roadmap_Avion!$C$8:$Z$38,0))</f>
        <v>0</v>
      </c>
      <c r="AQ16" s="527">
        <f t="array" ref="AQ16">IF($J16&lt;1,AQ15+$H16*AN16,SUMPRODUCT(($B$16:$B$46&lt;=$B16)*($B$16:$B$46&gt;MAX($B16-$D$2-$I16,2019))*$H$16:$H$46*AN$16:AN$46))</f>
        <v>7.9999999999999984E-3</v>
      </c>
      <c r="AR16" s="528">
        <f>(1-AQ16)*AM16</f>
        <v>128.82767116799997</v>
      </c>
      <c r="AS16" s="529">
        <f t="shared" si="8"/>
        <v>1.4E-2</v>
      </c>
      <c r="AT16" s="530">
        <f t="shared" si="9"/>
        <v>0</v>
      </c>
      <c r="AU16" s="531">
        <f>Hypothèses!$G$81</f>
        <v>0.3</v>
      </c>
      <c r="AV16" s="523">
        <f t="shared" si="10"/>
        <v>92.76185999999997</v>
      </c>
      <c r="AW16" s="524">
        <f t="array" ref="AW16">1-SUM(IF((Roadmap_Avion!$B$8:$B$38=$B16)*(Roadmap_Avion!$C$4:$Z$4=$B$2)*(Roadmap_Avion!$C$6:$Z$6=AW$7)*(Roadmap_Avion!$C$7:$Z$7=AW$9),Roadmap_Avion!$C$8:$Z$38,0))</f>
        <v>0.25</v>
      </c>
      <c r="AX16" s="525">
        <f t="array" ref="AX16">SUM(IF((Roadmap_Avion!$B$8:$B$38=$B16)*(Roadmap_Avion!$C$4:$Z$4=$B$2)*(Roadmap_Avion!$C$6:$Z$6=AX$7)*(Roadmap_Avion!$C$7:$Z$7=AX$9),Roadmap_Avion!$C$8:$Z$38,0))</f>
        <v>0.5</v>
      </c>
      <c r="AY16" s="526">
        <f t="array" ref="AY16">SUM(IF((Roadmap_Avion!$B$8:$B$38=$B16)*(Roadmap_Avion!$C$4:$Z$4=$B$2)*(Roadmap_Avion!$C$6:$Z$6=AY$7)*(Roadmap_Avion!$C$7:$Z$7=AY$9),Roadmap_Avion!$C$8:$Z$38,0))</f>
        <v>0</v>
      </c>
      <c r="AZ16" s="527">
        <f t="array" ref="AZ16">IF($J16&lt;1,AZ15+$H16*AW16,SUMPRODUCT(($B$16:$B$46&lt;=$B16)*($B$16:$B$46&gt;MAX($B16-$D$2-$I16,2019))*$H$16:$H$46*AW$16:AW$46))</f>
        <v>0.01</v>
      </c>
      <c r="BA16" s="528">
        <f>(1-AZ16)*AV16</f>
        <v>91.834241399999968</v>
      </c>
      <c r="BB16" s="529">
        <f t="shared" si="24"/>
        <v>0.01</v>
      </c>
      <c r="BC16" s="529">
        <f t="shared" si="25"/>
        <v>0</v>
      </c>
      <c r="BD16" s="517">
        <f t="shared" si="12"/>
        <v>306.64597266399994</v>
      </c>
      <c r="BE16" s="518">
        <f>BD16*(Hypothèses!$D$23/Hypothèses!$B$23)</f>
        <v>365.05472936190466</v>
      </c>
      <c r="BF16" s="532">
        <f t="shared" si="13"/>
        <v>8.2800000000000651E-3</v>
      </c>
      <c r="BG16" s="518">
        <f>BD16/Hypothèses!$B$23</f>
        <v>97.347927829841254</v>
      </c>
      <c r="BH16" s="532">
        <f t="shared" si="14"/>
        <v>3.3333333333333333E-2</v>
      </c>
      <c r="BI16" s="532">
        <f t="shared" si="14"/>
        <v>0</v>
      </c>
      <c r="BJ16" s="518">
        <f t="shared" si="26"/>
        <v>3.2449309276613749</v>
      </c>
      <c r="BK16" s="533">
        <f>BM16+BP16</f>
        <v>0</v>
      </c>
      <c r="BL16" s="534">
        <f>BK16/BJ16</f>
        <v>0</v>
      </c>
      <c r="BM16" s="535">
        <f t="array" ref="BM16">SUM(IF((Prod_Carburant_Alt!$A$7:$A$37=$B16)*(Prod_Carburant_Alt!$B$3:$AI$3=$C$2)*(Prod_Carburant_Alt!$B$5:$AI$5=BM$7)*(Prod_Carburant_Alt!$B$6:$AI$6=BM$9),Prod_Carburant_Alt!$B$7:$AI$37,0))</f>
        <v>0</v>
      </c>
      <c r="BN16" s="534">
        <f t="shared" ref="BN16:BN46" si="27">BL16/BF16</f>
        <v>0</v>
      </c>
      <c r="BO16" s="536">
        <f t="array" ref="BO16">SUM(IF((Prod_Carburant_Alt!$A$7:$A$37=$B16)*(Prod_Carburant_Alt!$B$3:$AI$3=$C$2)*(Prod_Carburant_Alt!$B$5:$AI$5=BO$7)*(Prod_Carburant_Alt!$B$6:$AI$6=BO$9),Prod_Carburant_Alt!$B$7:$AI$37,0))</f>
        <v>0</v>
      </c>
      <c r="BP16" s="535">
        <f t="array" ref="BP16">SUM(IF((Prod_Carburant_Alt!$A$7:$A$37=$B16)*(Prod_Carburant_Alt!$B$3:$AI$3=$C$2)*(Prod_Carburant_Alt!$B$5:$AI$5=BP$7)*(Prod_Carburant_Alt!$B$6:$AI$6=BP$9),Prod_Carburant_Alt!$B$7:$AI$37,0))</f>
        <v>0</v>
      </c>
      <c r="BQ16" s="536">
        <f>BP16/BJ16</f>
        <v>0</v>
      </c>
      <c r="BR16" s="537">
        <f>BG16-BK16</f>
        <v>97.347927829841254</v>
      </c>
      <c r="BS16" s="538">
        <f>MIN(BJ16,BK16)</f>
        <v>0</v>
      </c>
      <c r="BT16" s="539">
        <f>IF(BK16&gt;0,BS16/BK16,0)</f>
        <v>0</v>
      </c>
      <c r="BU16" s="535">
        <f t="shared" ref="BU16:BU46" si="28">IF(BM16&gt;0,(BM16/BK16)*BS16,0)</f>
        <v>0</v>
      </c>
      <c r="BV16" s="539">
        <f>IF(BM16&gt;0,BU16/BM16,0)</f>
        <v>0</v>
      </c>
      <c r="BW16" s="535">
        <f t="shared" ref="BW16:BW46" si="29">IF(BP16&gt;0,(BP16/BK16)*BS16,0)</f>
        <v>0</v>
      </c>
      <c r="BX16" s="539">
        <f>IF(BP16&gt;0,BW16/BP16,0)</f>
        <v>0</v>
      </c>
      <c r="BY16" s="538">
        <f>BI16*BG16</f>
        <v>0</v>
      </c>
      <c r="BZ16" s="540">
        <f>BY16*Hypothèses!$B$3/Hypothèses!$B$9</f>
        <v>0</v>
      </c>
      <c r="CA16" s="538">
        <f>BG16-BS16-BY16</f>
        <v>97.347927829841254</v>
      </c>
      <c r="CB16" s="533">
        <f>BW16*Prod_Carburant_Alt!$R$61+BZ16*Hypothèses!$B$13</f>
        <v>0</v>
      </c>
      <c r="CC16" s="538">
        <f>CB16*$H$2/$J$2</f>
        <v>0</v>
      </c>
      <c r="CD16" s="541">
        <f>CC16/$H$2</f>
        <v>0</v>
      </c>
      <c r="CE16" s="537">
        <f>$G$2*CB16/1000</f>
        <v>0</v>
      </c>
      <c r="CF16" s="503">
        <f>(CA16+BU16*BO16)*Hypothèses!$D$23+CE16</f>
        <v>365.05472936190472</v>
      </c>
      <c r="CG16" s="504">
        <f t="shared" si="16"/>
        <v>-1.5571204613666324E-16</v>
      </c>
      <c r="CH16" s="503">
        <f>(CA16+BU16*BO16)*Hypothèses!$B$23</f>
        <v>306.64597266399994</v>
      </c>
      <c r="CI16" s="503">
        <f>MAX(0,CH16-CH$15)</f>
        <v>0</v>
      </c>
      <c r="CJ16" s="503">
        <f>(BU16+BW16+CA16)*Hypothèses!$B$6+BZ16*Hypothèses!$B$11</f>
        <v>3.1151336905549201</v>
      </c>
      <c r="CK16" s="503">
        <f>(BU16+BW16+CA16)*Hypothèses!$B$5+BZ16*Hypothèses!$B$10</f>
        <v>135.31361968347935</v>
      </c>
      <c r="CL16" s="542">
        <f t="shared" si="17"/>
        <v>8.2799999999999506E-3</v>
      </c>
    </row>
    <row r="17" spans="1:90" ht="14.25" customHeight="1">
      <c r="A17" s="331"/>
      <c r="B17" s="516">
        <v>2021</v>
      </c>
      <c r="C17" s="655">
        <f>Trajectoires!AA13</f>
        <v>818.68285714285707</v>
      </c>
      <c r="D17" s="659">
        <f>C17/Hypothèses!$D$23</f>
        <v>218.31542857142855</v>
      </c>
      <c r="E17" s="659">
        <f>D17*Hypothèses!$B$23</f>
        <v>687.69359999999995</v>
      </c>
      <c r="F17" s="659">
        <f>D17*Hypothèses!$B$5</f>
        <v>303.45844571428569</v>
      </c>
      <c r="G17" s="659">
        <f>D17*Hypothèses!$B$6</f>
        <v>6.9860937142857136</v>
      </c>
      <c r="H17" s="519">
        <f t="shared" ref="H17:H46" si="30">IF($B17&gt;=$E$2,1/$D$2,1/25)</f>
        <v>0.04</v>
      </c>
      <c r="I17" s="520">
        <f>IF(J17&gt;=1,ROUND(COUNTIFS($B$16:$B17,"&gt;"&amp;MAX($B17-$D$2,2019),H$16:H17,1/25)*(1/$D$2-1/25)*25,0),0)</f>
        <v>0</v>
      </c>
      <c r="J17" s="521">
        <f>J16+H17</f>
        <v>0.08</v>
      </c>
      <c r="K17" s="522">
        <f>Hypothèses!$G$77</f>
        <v>0.01</v>
      </c>
      <c r="L17" s="523">
        <f t="shared" si="0"/>
        <v>6.8769359999999997</v>
      </c>
      <c r="M17" s="524">
        <f t="array" ref="M17">1-SUM(IF((Roadmap_Avion!$B$8:$B$38=$B17)*(Roadmap_Avion!$C$4:$Z$4=$B$2)*(Roadmap_Avion!$C$6:$Z$6=M$7)*(Roadmap_Avion!$C$7:$Z$7=M$9),Roadmap_Avion!$C$8:$Z$38,0))</f>
        <v>0</v>
      </c>
      <c r="N17" s="525">
        <f t="array" ref="N17">SUM(IF((Roadmap_Avion!$B$8:$B$38=$B17)*(Roadmap_Avion!$C$4:$Z$4=$B$2)*(Roadmap_Avion!$C$6:$Z$6=N$7)*(Roadmap_Avion!$C$7:$Z$7=N$9),Roadmap_Avion!$C$8:$Z$38,0))</f>
        <v>0.5</v>
      </c>
      <c r="O17" s="526">
        <f t="array" ref="O17">SUM(IF((Roadmap_Avion!$B$8:$B$38=$B17)*(Roadmap_Avion!$C$4:$Z$4=$B$2)*(Roadmap_Avion!$C$6:$Z$6=O$7)*(Roadmap_Avion!$C$7:$Z$7=O$9),Roadmap_Avion!$C$8:$Z$38,0))</f>
        <v>0</v>
      </c>
      <c r="P17" s="527">
        <f t="array" ref="P17">IF($J17&lt;1,P16+$H17*M17,SUMPRODUCT(($B$16:$B$46&lt;=$B17)*($B$16:$B$46&gt;MAX($B17-$D$2-$I17,2019))*$H$16:$H$46*M$16:M$46))</f>
        <v>0</v>
      </c>
      <c r="Q17" s="528">
        <f t="shared" ref="Q17:Q46" si="31">(1-P17)*L17</f>
        <v>6.8769359999999997</v>
      </c>
      <c r="R17" s="529">
        <f t="shared" si="18"/>
        <v>6.6666666666666664E-4</v>
      </c>
      <c r="S17" s="530">
        <f t="shared" si="19"/>
        <v>0</v>
      </c>
      <c r="T17" s="522">
        <f>Hypothèses!$G$78</f>
        <v>0.03</v>
      </c>
      <c r="U17" s="523">
        <f t="shared" si="2"/>
        <v>20.630807999999998</v>
      </c>
      <c r="V17" s="524">
        <f t="array" ref="V17">1-SUM(IF((Roadmap_Avion!$B$8:$B$38=$B17)*(Roadmap_Avion!$C$4:$Z$4=$B$2)*(Roadmap_Avion!$C$6:$Z$6=V$7)*(Roadmap_Avion!$C$7:$Z$7=V$9),Roadmap_Avion!$C$8:$Z$38,0))</f>
        <v>0</v>
      </c>
      <c r="W17" s="525">
        <f t="array" ref="W17">SUM(IF((Roadmap_Avion!$B$8:$B$38=$B17)*(Roadmap_Avion!$C$4:$Z$4=$B$2)*(Roadmap_Avion!$C$6:$Z$6=W$7)*(Roadmap_Avion!$C$7:$Z$7=W$9),Roadmap_Avion!$C$8:$Z$38,0))</f>
        <v>0.5</v>
      </c>
      <c r="X17" s="526">
        <f t="array" ref="X17">SUM(IF((Roadmap_Avion!$B$8:$B$38=$B17)*(Roadmap_Avion!$C$4:$Z$4=$B$2)*(Roadmap_Avion!$C$6:$Z$6=X$7)*(Roadmap_Avion!$C$7:$Z$7=X$9),Roadmap_Avion!$C$8:$Z$38,0))</f>
        <v>0</v>
      </c>
      <c r="Y17" s="527">
        <f t="array" ref="Y17">IF($J17&lt;1,Y16+$H17*V17,SUMPRODUCT(($B$16:$B$46&lt;=$B17)*($B$16:$B$46&gt;MAX($B17-$D$2-$I17,2019))*$H$16:$H$46*V$16:V$46))</f>
        <v>0</v>
      </c>
      <c r="Z17" s="528">
        <f t="shared" ref="Z17:Z46" si="32">(1-Y17)*U17</f>
        <v>20.630807999999998</v>
      </c>
      <c r="AA17" s="529">
        <f t="shared" si="20"/>
        <v>2E-3</v>
      </c>
      <c r="AB17" s="530">
        <f t="shared" si="21"/>
        <v>0</v>
      </c>
      <c r="AC17" s="522">
        <f>Hypothèses!$G$79</f>
        <v>0.24</v>
      </c>
      <c r="AD17" s="523">
        <f t="shared" si="4"/>
        <v>165.04646399999999</v>
      </c>
      <c r="AE17" s="524">
        <f t="array" ref="AE17">1-SUM(IF((Roadmap_Avion!$B$8:$B$38=$B17)*(Roadmap_Avion!$C$4:$Z$4=$B$2)*(Roadmap_Avion!$C$6:$Z$6=AE$7)*(Roadmap_Avion!$C$7:$Z$7=AE$9),Roadmap_Avion!$C$8:$Z$38,0))</f>
        <v>0.19999999999999996</v>
      </c>
      <c r="AF17" s="525">
        <f t="array" ref="AF17">SUM(IF((Roadmap_Avion!$B$8:$B$38=$B17)*(Roadmap_Avion!$C$4:$Z$4=$B$2)*(Roadmap_Avion!$C$6:$Z$6=AF$7)*(Roadmap_Avion!$C$7:$Z$7=AF$9),Roadmap_Avion!$C$8:$Z$38,0))</f>
        <v>0.5</v>
      </c>
      <c r="AG17" s="526">
        <f t="array" ref="AG17">SUM(IF((Roadmap_Avion!$B$8:$B$38=$B17)*(Roadmap_Avion!$C$4:$Z$4=$B$2)*(Roadmap_Avion!$C$6:$Z$6=AG$7)*(Roadmap_Avion!$C$7:$Z$7=AG$9),Roadmap_Avion!$C$8:$Z$38,0))</f>
        <v>0</v>
      </c>
      <c r="AH17" s="527">
        <f t="array" ref="AH17">IF($J17&lt;1,AH16+$H17*AE17,SUMPRODUCT(($B$16:$B$46&lt;=$B17)*($B$16:$B$46&gt;MAX($B17-$D$2-$I17,2019))*$H$16:$H$46*AE$16:AE$46))</f>
        <v>1.5999999999999997E-2</v>
      </c>
      <c r="AI17" s="528">
        <f t="shared" ref="AI17:AI46" si="33">(1-AH17)*AD17</f>
        <v>162.40572057599999</v>
      </c>
      <c r="AJ17" s="529">
        <f t="shared" si="22"/>
        <v>1.6E-2</v>
      </c>
      <c r="AK17" s="530">
        <f t="shared" si="23"/>
        <v>0</v>
      </c>
      <c r="AL17" s="522">
        <f>Hypothèses!$G$80</f>
        <v>0.42</v>
      </c>
      <c r="AM17" s="523">
        <f t="shared" si="6"/>
        <v>288.83131199999997</v>
      </c>
      <c r="AN17" s="524">
        <f t="array" ref="AN17">1-SUM(IF((Roadmap_Avion!$B$8:$B$38=$B17)*(Roadmap_Avion!$C$4:$Z$4=$B$2)*(Roadmap_Avion!$C$6:$Z$6=AN$7)*(Roadmap_Avion!$C$7:$Z$7=AN$9),Roadmap_Avion!$C$8:$Z$38,0))</f>
        <v>0.19999999999999996</v>
      </c>
      <c r="AO17" s="525">
        <f t="array" ref="AO17">SUM(IF((Roadmap_Avion!$B$8:$B$38=$B17)*(Roadmap_Avion!$C$4:$Z$4=$B$2)*(Roadmap_Avion!$C$6:$Z$6=AO$7)*(Roadmap_Avion!$C$7:$Z$7=AO$9),Roadmap_Avion!$C$8:$Z$38,0))</f>
        <v>0.5</v>
      </c>
      <c r="AP17" s="526">
        <f t="array" ref="AP17">SUM(IF((Roadmap_Avion!$B$8:$B$38=$B17)*(Roadmap_Avion!$C$4:$Z$4=$B$2)*(Roadmap_Avion!$C$6:$Z$6=AP$7)*(Roadmap_Avion!$C$7:$Z$7=AP$9),Roadmap_Avion!$C$8:$Z$38,0))</f>
        <v>0</v>
      </c>
      <c r="AQ17" s="527">
        <f t="array" ref="AQ17">IF($J17&lt;1,AQ16+$H17*AN17,SUMPRODUCT(($B$16:$B$46&lt;=$B17)*($B$16:$B$46&gt;MAX($B17-$D$2-$I17,2019))*$H$16:$H$46*AN$16:AN$46))</f>
        <v>1.5999999999999997E-2</v>
      </c>
      <c r="AR17" s="528">
        <f t="shared" ref="AR17:AR46" si="34">(1-AQ17)*AM17</f>
        <v>284.21001100799998</v>
      </c>
      <c r="AS17" s="529">
        <f t="shared" si="8"/>
        <v>2.8000000000000001E-2</v>
      </c>
      <c r="AT17" s="530">
        <f t="shared" si="9"/>
        <v>0</v>
      </c>
      <c r="AU17" s="531">
        <f>Hypothèses!$G$81</f>
        <v>0.3</v>
      </c>
      <c r="AV17" s="523">
        <f t="shared" si="10"/>
        <v>206.30807999999999</v>
      </c>
      <c r="AW17" s="524">
        <f t="array" ref="AW17">1-SUM(IF((Roadmap_Avion!$B$8:$B$38=$B17)*(Roadmap_Avion!$C$4:$Z$4=$B$2)*(Roadmap_Avion!$C$6:$Z$6=AW$7)*(Roadmap_Avion!$C$7:$Z$7=AW$9),Roadmap_Avion!$C$8:$Z$38,0))</f>
        <v>0.25</v>
      </c>
      <c r="AX17" s="525">
        <f t="array" ref="AX17">SUM(IF((Roadmap_Avion!$B$8:$B$38=$B17)*(Roadmap_Avion!$C$4:$Z$4=$B$2)*(Roadmap_Avion!$C$6:$Z$6=AX$7)*(Roadmap_Avion!$C$7:$Z$7=AX$9),Roadmap_Avion!$C$8:$Z$38,0))</f>
        <v>0.5</v>
      </c>
      <c r="AY17" s="526">
        <f t="array" ref="AY17">SUM(IF((Roadmap_Avion!$B$8:$B$38=$B17)*(Roadmap_Avion!$C$4:$Z$4=$B$2)*(Roadmap_Avion!$C$6:$Z$6=AY$7)*(Roadmap_Avion!$C$7:$Z$7=AY$9),Roadmap_Avion!$C$8:$Z$38,0))</f>
        <v>0</v>
      </c>
      <c r="AZ17" s="527">
        <f t="array" ref="AZ17">IF($J17&lt;1,AZ16+$H17*AW17,SUMPRODUCT(($B$16:$B$46&lt;=$B17)*($B$16:$B$46&gt;MAX($B17-$D$2-$I17,2019))*$H$16:$H$46*AW$16:AW$46))</f>
        <v>0.02</v>
      </c>
      <c r="BA17" s="528">
        <f t="shared" ref="BA17:BA46" si="35">(1-AZ17)*AV17</f>
        <v>202.18191839999997</v>
      </c>
      <c r="BB17" s="529">
        <f t="shared" si="24"/>
        <v>0.02</v>
      </c>
      <c r="BC17" s="529">
        <f t="shared" si="25"/>
        <v>0</v>
      </c>
      <c r="BD17" s="517">
        <f t="shared" si="12"/>
        <v>676.30539398399992</v>
      </c>
      <c r="BE17" s="518">
        <f>BD17*(Hypothèses!$D$23/Hypothèses!$B$23)</f>
        <v>805.12546902857127</v>
      </c>
      <c r="BF17" s="532">
        <f t="shared" si="13"/>
        <v>1.656000000000013E-2</v>
      </c>
      <c r="BG17" s="518">
        <f>BD17/Hypothèses!$B$23</f>
        <v>214.70012507428569</v>
      </c>
      <c r="BH17" s="532">
        <f t="shared" si="14"/>
        <v>6.6666666666666666E-2</v>
      </c>
      <c r="BI17" s="532">
        <f t="shared" si="14"/>
        <v>0</v>
      </c>
      <c r="BJ17" s="518">
        <f t="shared" si="26"/>
        <v>14.313341671619046</v>
      </c>
      <c r="BK17" s="533">
        <f t="shared" ref="BK17:BK46" si="36">BM17+BP17</f>
        <v>2.0501851548918237</v>
      </c>
      <c r="BL17" s="534">
        <f t="shared" ref="BL17:BL46" si="37">BK17/BJ17</f>
        <v>0.14323595439330541</v>
      </c>
      <c r="BM17" s="535">
        <f t="array" ref="BM17">SUM(IF((Prod_Carburant_Alt!$A$7:$A$37=$B17)*(Prod_Carburant_Alt!$B$3:$AI$3=$C$2)*(Prod_Carburant_Alt!$B$5:$AI$5=BM$7)*(Prod_Carburant_Alt!$B$6:$AI$6=BM$9),Prod_Carburant_Alt!$B$7:$AI$37,0))</f>
        <v>2.0501851548918237</v>
      </c>
      <c r="BN17" s="534">
        <f t="shared" si="27"/>
        <v>8.6495141541850415</v>
      </c>
      <c r="BO17" s="536">
        <f t="array" ref="BO17">SUM(IF((Prod_Carburant_Alt!$A$7:$A$37=$B17)*(Prod_Carburant_Alt!$B$3:$AI$3=$C$2)*(Prod_Carburant_Alt!$B$5:$AI$5=BO$7)*(Prod_Carburant_Alt!$B$6:$AI$6=BO$9),Prod_Carburant_Alt!$B$7:$AI$37,0))</f>
        <v>0.20438251753392206</v>
      </c>
      <c r="BP17" s="543">
        <f t="array" ref="BP17">SUM(IF((Prod_Carburant_Alt!$A$7:$A$37=$B17)*(Prod_Carburant_Alt!$B$3:$AI$3=$C$2)*(Prod_Carburant_Alt!$B$5:$AI$5=BP$7)*(Prod_Carburant_Alt!$B$6:$AI$6=BP$9),Prod_Carburant_Alt!$B$7:$AI$37,0))</f>
        <v>0</v>
      </c>
      <c r="BQ17" s="536">
        <f t="shared" ref="BQ17:BQ46" si="38">BP17/BJ17</f>
        <v>0</v>
      </c>
      <c r="BR17" s="537">
        <f t="shared" ref="BR17:BR46" si="39">BG17-BK17</f>
        <v>212.64993991939386</v>
      </c>
      <c r="BS17" s="538">
        <f t="shared" ref="BS17:BS46" si="40">MIN(BJ17,BK17)</f>
        <v>2.0501851548918237</v>
      </c>
      <c r="BT17" s="539">
        <f t="shared" ref="BT17:BT46" si="41">IF(BK17&gt;0,BS17/BK17,0)</f>
        <v>1</v>
      </c>
      <c r="BU17" s="535">
        <f t="shared" si="28"/>
        <v>2.0501851548918237</v>
      </c>
      <c r="BV17" s="539">
        <f t="shared" ref="BV17:BV46" si="42">IF(BM17&gt;0,BU17/BM17,0)</f>
        <v>1</v>
      </c>
      <c r="BW17" s="535">
        <f t="shared" si="29"/>
        <v>0</v>
      </c>
      <c r="BX17" s="539">
        <f t="shared" ref="BX17:BX46" si="43">IF(BP17&gt;0,BW17/BP17,0)</f>
        <v>0</v>
      </c>
      <c r="BY17" s="538">
        <f t="shared" ref="BY17:BY46" si="44">BI17*BG17</f>
        <v>0</v>
      </c>
      <c r="BZ17" s="540">
        <f>BY17*Hypothèses!$B$3/Hypothèses!$B$9</f>
        <v>0</v>
      </c>
      <c r="CA17" s="538">
        <f t="shared" ref="CA17:CA46" si="45">BG17-BS17-BY17</f>
        <v>212.64993991939386</v>
      </c>
      <c r="CB17" s="533">
        <f>BW17*Prod_Carburant_Alt!$R$61+BZ17*Hypothèses!$B$13</f>
        <v>0</v>
      </c>
      <c r="CC17" s="538">
        <f t="shared" ref="CC17:CC46" si="46">CB17*$H$2/$J$2</f>
        <v>0</v>
      </c>
      <c r="CD17" s="541">
        <f t="shared" ref="CD17:CD46" si="47">CC17/$H$2</f>
        <v>0</v>
      </c>
      <c r="CE17" s="537">
        <f t="shared" ref="CE17:CE46" si="48">$G$2*CB17/1000</f>
        <v>0</v>
      </c>
      <c r="CF17" s="503">
        <f>(CA17+BU17*BO17)*Hypothèses!$D$23+CE17</f>
        <v>799.00860721035497</v>
      </c>
      <c r="CG17" s="504">
        <f t="shared" si="16"/>
        <v>7.5974019622017941E-3</v>
      </c>
      <c r="CH17" s="503">
        <f>(CA17+BU17*BO17)*Hypothèses!$B$23</f>
        <v>671.16723005669814</v>
      </c>
      <c r="CI17" s="503">
        <f t="shared" ref="CI17:CI46" si="49">MAX(0,CH17-CH$15)</f>
        <v>0</v>
      </c>
      <c r="CJ17" s="503">
        <f>(BU17+BW17+CA17)*Hypothèses!$B$6+BZ17*Hypothèses!$B$11</f>
        <v>6.8704040023771427</v>
      </c>
      <c r="CK17" s="503">
        <f>(BU17+BW17+CA17)*Hypothèses!$B$5+BZ17*Hypothèses!$B$10</f>
        <v>298.43317385325707</v>
      </c>
      <c r="CL17" s="542">
        <f t="shared" si="17"/>
        <v>2.4031588985707838E-2</v>
      </c>
    </row>
    <row r="18" spans="1:90" ht="14.25" customHeight="1">
      <c r="A18" s="331"/>
      <c r="B18" s="516">
        <v>2022</v>
      </c>
      <c r="C18" s="655">
        <f>Trajectoires!AA14</f>
        <v>896.63172309222375</v>
      </c>
      <c r="D18" s="659">
        <f>C18/Hypothèses!$D$23</f>
        <v>239.10179282459299</v>
      </c>
      <c r="E18" s="659">
        <f>D18*Hypothèses!$B$23</f>
        <v>753.17064739746786</v>
      </c>
      <c r="F18" s="659">
        <f>D18*Hypothèses!$B$5</f>
        <v>332.35149202618425</v>
      </c>
      <c r="G18" s="659">
        <f>D18*Hypothèses!$B$6</f>
        <v>7.6512573703869755</v>
      </c>
      <c r="H18" s="519">
        <f t="shared" si="30"/>
        <v>0.04</v>
      </c>
      <c r="I18" s="520">
        <f>IF(J18&gt;=1,ROUND(COUNTIFS($B$16:$B18,"&gt;"&amp;MAX($B18-$D$2,2019),H$16:H18,1/25)*(1/$D$2-1/25)*25,0),0)</f>
        <v>0</v>
      </c>
      <c r="J18" s="521">
        <f t="shared" ref="J18:J46" si="50">J17+H18</f>
        <v>0.12</v>
      </c>
      <c r="K18" s="522">
        <f>Hypothèses!$G$77</f>
        <v>0.01</v>
      </c>
      <c r="L18" s="523">
        <f t="shared" si="0"/>
        <v>7.5317064739746789</v>
      </c>
      <c r="M18" s="524">
        <f t="array" ref="M18">1-SUM(IF((Roadmap_Avion!$B$8:$B$38=$B18)*(Roadmap_Avion!$C$4:$Z$4=$B$2)*(Roadmap_Avion!$C$6:$Z$6=M$7)*(Roadmap_Avion!$C$7:$Z$7=M$9),Roadmap_Avion!$C$8:$Z$38,0))</f>
        <v>0</v>
      </c>
      <c r="N18" s="525">
        <f t="array" ref="N18">SUM(IF((Roadmap_Avion!$B$8:$B$38=$B18)*(Roadmap_Avion!$C$4:$Z$4=$B$2)*(Roadmap_Avion!$C$6:$Z$6=N$7)*(Roadmap_Avion!$C$7:$Z$7=N$9),Roadmap_Avion!$C$8:$Z$38,0))</f>
        <v>0.5</v>
      </c>
      <c r="O18" s="526">
        <f t="array" ref="O18">SUM(IF((Roadmap_Avion!$B$8:$B$38=$B18)*(Roadmap_Avion!$C$4:$Z$4=$B$2)*(Roadmap_Avion!$C$6:$Z$6=O$7)*(Roadmap_Avion!$C$7:$Z$7=O$9),Roadmap_Avion!$C$8:$Z$38,0))</f>
        <v>0</v>
      </c>
      <c r="P18" s="527">
        <f t="array" ref="P18">IF($J18&lt;1,P17+$H18*M18,SUMPRODUCT(($B$16:$B$46&lt;=$B18)*($B$16:$B$46&gt;MAX($B18-$D$2-$I18,2019))*$H$16:$H$46*M$16:M$46))</f>
        <v>0</v>
      </c>
      <c r="Q18" s="528">
        <f t="shared" si="31"/>
        <v>7.5317064739746789</v>
      </c>
      <c r="R18" s="529">
        <f t="shared" si="18"/>
        <v>1E-3</v>
      </c>
      <c r="S18" s="530">
        <f t="shared" si="19"/>
        <v>0</v>
      </c>
      <c r="T18" s="522">
        <f>Hypothèses!$G$78</f>
        <v>0.03</v>
      </c>
      <c r="U18" s="523">
        <f t="shared" si="2"/>
        <v>22.595119421924036</v>
      </c>
      <c r="V18" s="524">
        <f t="array" ref="V18">1-SUM(IF((Roadmap_Avion!$B$8:$B$38=$B18)*(Roadmap_Avion!$C$4:$Z$4=$B$2)*(Roadmap_Avion!$C$6:$Z$6=V$7)*(Roadmap_Avion!$C$7:$Z$7=V$9),Roadmap_Avion!$C$8:$Z$38,0))</f>
        <v>0</v>
      </c>
      <c r="W18" s="525">
        <f t="array" ref="W18">SUM(IF((Roadmap_Avion!$B$8:$B$38=$B18)*(Roadmap_Avion!$C$4:$Z$4=$B$2)*(Roadmap_Avion!$C$6:$Z$6=W$7)*(Roadmap_Avion!$C$7:$Z$7=W$9),Roadmap_Avion!$C$8:$Z$38,0))</f>
        <v>0.5</v>
      </c>
      <c r="X18" s="526">
        <f t="array" ref="X18">SUM(IF((Roadmap_Avion!$B$8:$B$38=$B18)*(Roadmap_Avion!$C$4:$Z$4=$B$2)*(Roadmap_Avion!$C$6:$Z$6=X$7)*(Roadmap_Avion!$C$7:$Z$7=X$9),Roadmap_Avion!$C$8:$Z$38,0))</f>
        <v>0</v>
      </c>
      <c r="Y18" s="527">
        <f t="array" ref="Y18">IF($J18&lt;1,Y17+$H18*V18,SUMPRODUCT(($B$16:$B$46&lt;=$B18)*($B$16:$B$46&gt;MAX($B18-$D$2-$I18,2019))*$H$16:$H$46*V$16:V$46))</f>
        <v>0</v>
      </c>
      <c r="Z18" s="528">
        <f t="shared" si="32"/>
        <v>22.595119421924036</v>
      </c>
      <c r="AA18" s="529">
        <f t="shared" si="20"/>
        <v>3.0000000000000001E-3</v>
      </c>
      <c r="AB18" s="530">
        <f t="shared" si="21"/>
        <v>0</v>
      </c>
      <c r="AC18" s="522">
        <f>Hypothèses!$G$79</f>
        <v>0.24</v>
      </c>
      <c r="AD18" s="523">
        <f t="shared" si="4"/>
        <v>180.76095537539229</v>
      </c>
      <c r="AE18" s="524">
        <f t="array" ref="AE18">1-SUM(IF((Roadmap_Avion!$B$8:$B$38=$B18)*(Roadmap_Avion!$C$4:$Z$4=$B$2)*(Roadmap_Avion!$C$6:$Z$6=AE$7)*(Roadmap_Avion!$C$7:$Z$7=AE$9),Roadmap_Avion!$C$8:$Z$38,0))</f>
        <v>0.19999999999999996</v>
      </c>
      <c r="AF18" s="525">
        <f t="array" ref="AF18">SUM(IF((Roadmap_Avion!$B$8:$B$38=$B18)*(Roadmap_Avion!$C$4:$Z$4=$B$2)*(Roadmap_Avion!$C$6:$Z$6=AF$7)*(Roadmap_Avion!$C$7:$Z$7=AF$9),Roadmap_Avion!$C$8:$Z$38,0))</f>
        <v>0.5</v>
      </c>
      <c r="AG18" s="526">
        <f t="array" ref="AG18">SUM(IF((Roadmap_Avion!$B$8:$B$38=$B18)*(Roadmap_Avion!$C$4:$Z$4=$B$2)*(Roadmap_Avion!$C$6:$Z$6=AG$7)*(Roadmap_Avion!$C$7:$Z$7=AG$9),Roadmap_Avion!$C$8:$Z$38,0))</f>
        <v>0</v>
      </c>
      <c r="AH18" s="527">
        <f t="array" ref="AH18">IF($J18&lt;1,AH17+$H18*AE18,SUMPRODUCT(($B$16:$B$46&lt;=$B18)*($B$16:$B$46&gt;MAX($B18-$D$2-$I18,2019))*$H$16:$H$46*AE$16:AE$46))</f>
        <v>2.3999999999999994E-2</v>
      </c>
      <c r="AI18" s="528">
        <f t="shared" si="33"/>
        <v>176.42269244638285</v>
      </c>
      <c r="AJ18" s="529">
        <f t="shared" si="22"/>
        <v>2.4E-2</v>
      </c>
      <c r="AK18" s="530">
        <f t="shared" si="23"/>
        <v>0</v>
      </c>
      <c r="AL18" s="522">
        <f>Hypothèses!$G$80</f>
        <v>0.42</v>
      </c>
      <c r="AM18" s="523">
        <f t="shared" si="6"/>
        <v>316.33167190693649</v>
      </c>
      <c r="AN18" s="524">
        <f t="array" ref="AN18">1-SUM(IF((Roadmap_Avion!$B$8:$B$38=$B18)*(Roadmap_Avion!$C$4:$Z$4=$B$2)*(Roadmap_Avion!$C$6:$Z$6=AN$7)*(Roadmap_Avion!$C$7:$Z$7=AN$9),Roadmap_Avion!$C$8:$Z$38,0))</f>
        <v>0.19999999999999996</v>
      </c>
      <c r="AO18" s="525">
        <f t="array" ref="AO18">SUM(IF((Roadmap_Avion!$B$8:$B$38=$B18)*(Roadmap_Avion!$C$4:$Z$4=$B$2)*(Roadmap_Avion!$C$6:$Z$6=AO$7)*(Roadmap_Avion!$C$7:$Z$7=AO$9),Roadmap_Avion!$C$8:$Z$38,0))</f>
        <v>0.5</v>
      </c>
      <c r="AP18" s="526">
        <f t="array" ref="AP18">SUM(IF((Roadmap_Avion!$B$8:$B$38=$B18)*(Roadmap_Avion!$C$4:$Z$4=$B$2)*(Roadmap_Avion!$C$6:$Z$6=AP$7)*(Roadmap_Avion!$C$7:$Z$7=AP$9),Roadmap_Avion!$C$8:$Z$38,0))</f>
        <v>0</v>
      </c>
      <c r="AQ18" s="527">
        <f t="array" ref="AQ18">IF($J18&lt;1,AQ17+$H18*AN18,SUMPRODUCT(($B$16:$B$46&lt;=$B18)*($B$16:$B$46&gt;MAX($B18-$D$2-$I18,2019))*$H$16:$H$46*AN$16:AN$46))</f>
        <v>2.3999999999999994E-2</v>
      </c>
      <c r="AR18" s="528">
        <f t="shared" si="34"/>
        <v>308.73971178117</v>
      </c>
      <c r="AS18" s="529">
        <f t="shared" si="8"/>
        <v>4.2000000000000003E-2</v>
      </c>
      <c r="AT18" s="530">
        <f t="shared" si="9"/>
        <v>0</v>
      </c>
      <c r="AU18" s="531">
        <f>Hypothèses!$G$81</f>
        <v>0.3</v>
      </c>
      <c r="AV18" s="523">
        <f t="shared" si="10"/>
        <v>225.95119421924036</v>
      </c>
      <c r="AW18" s="524">
        <f t="array" ref="AW18">1-SUM(IF((Roadmap_Avion!$B$8:$B$38=$B18)*(Roadmap_Avion!$C$4:$Z$4=$B$2)*(Roadmap_Avion!$C$6:$Z$6=AW$7)*(Roadmap_Avion!$C$7:$Z$7=AW$9),Roadmap_Avion!$C$8:$Z$38,0))</f>
        <v>0.25</v>
      </c>
      <c r="AX18" s="525">
        <f t="array" ref="AX18">SUM(IF((Roadmap_Avion!$B$8:$B$38=$B18)*(Roadmap_Avion!$C$4:$Z$4=$B$2)*(Roadmap_Avion!$C$6:$Z$6=AX$7)*(Roadmap_Avion!$C$7:$Z$7=AX$9),Roadmap_Avion!$C$8:$Z$38,0))</f>
        <v>0.5</v>
      </c>
      <c r="AY18" s="526">
        <f t="array" ref="AY18">SUM(IF((Roadmap_Avion!$B$8:$B$38=$B18)*(Roadmap_Avion!$C$4:$Z$4=$B$2)*(Roadmap_Avion!$C$6:$Z$6=AY$7)*(Roadmap_Avion!$C$7:$Z$7=AY$9),Roadmap_Avion!$C$8:$Z$38,0))</f>
        <v>0</v>
      </c>
      <c r="AZ18" s="527">
        <f t="array" ref="AZ18">IF($J18&lt;1,AZ17+$H18*AW18,SUMPRODUCT(($B$16:$B$46&lt;=$B18)*($B$16:$B$46&gt;MAX($B18-$D$2-$I18,2019))*$H$16:$H$46*AW$16:AW$46))</f>
        <v>0.03</v>
      </c>
      <c r="BA18" s="528">
        <f t="shared" si="35"/>
        <v>219.17265839266315</v>
      </c>
      <c r="BB18" s="529">
        <f t="shared" si="24"/>
        <v>2.9999999999999995E-2</v>
      </c>
      <c r="BC18" s="529">
        <f t="shared" si="25"/>
        <v>0</v>
      </c>
      <c r="BD18" s="517">
        <f t="shared" si="12"/>
        <v>734.46188851611475</v>
      </c>
      <c r="BE18" s="518">
        <f>BD18*(Hypothèses!$D$23/Hypothèses!$B$23)</f>
        <v>874.3593910906128</v>
      </c>
      <c r="BF18" s="532">
        <f t="shared" si="13"/>
        <v>2.4840000000000084E-2</v>
      </c>
      <c r="BG18" s="518">
        <f>BD18/Hypothèses!$B$23</f>
        <v>233.1625042908301</v>
      </c>
      <c r="BH18" s="532">
        <f t="shared" si="14"/>
        <v>0.1</v>
      </c>
      <c r="BI18" s="532">
        <f t="shared" si="14"/>
        <v>0</v>
      </c>
      <c r="BJ18" s="518">
        <f t="shared" si="26"/>
        <v>23.316250429083013</v>
      </c>
      <c r="BK18" s="533">
        <f t="shared" si="36"/>
        <v>2.5627314436147799</v>
      </c>
      <c r="BL18" s="534">
        <f t="shared" si="37"/>
        <v>0.10991181671381489</v>
      </c>
      <c r="BM18" s="535">
        <f t="array" ref="BM18">SUM(IF((Prod_Carburant_Alt!$A$7:$A$37=$B18)*(Prod_Carburant_Alt!$B$3:$AI$3=$C$2)*(Prod_Carburant_Alt!$B$5:$AI$5=BM$7)*(Prod_Carburant_Alt!$B$6:$AI$6=BM$9),Prod_Carburant_Alt!$B$7:$AI$37,0))</f>
        <v>2.5627314436147799</v>
      </c>
      <c r="BN18" s="534">
        <f t="shared" si="27"/>
        <v>4.42479133308432</v>
      </c>
      <c r="BO18" s="536">
        <f t="array" ref="BO18">SUM(IF((Prod_Carburant_Alt!$A$7:$A$37=$B18)*(Prod_Carburant_Alt!$B$3:$AI$3=$C$2)*(Prod_Carburant_Alt!$B$5:$AI$5=BO$7)*(Prod_Carburant_Alt!$B$6:$AI$6=BO$9),Prod_Carburant_Alt!$B$7:$AI$37,0))</f>
        <v>0.204382517533922</v>
      </c>
      <c r="BP18" s="543">
        <f t="array" ref="BP18">SUM(IF((Prod_Carburant_Alt!$A$7:$A$37=$B18)*(Prod_Carburant_Alt!$B$3:$AI$3=$C$2)*(Prod_Carburant_Alt!$B$5:$AI$5=BP$7)*(Prod_Carburant_Alt!$B$6:$AI$6=BP$9),Prod_Carburant_Alt!$B$7:$AI$37,0))</f>
        <v>0</v>
      </c>
      <c r="BQ18" s="536">
        <f t="shared" si="38"/>
        <v>0</v>
      </c>
      <c r="BR18" s="537">
        <f t="shared" si="39"/>
        <v>230.59977284721532</v>
      </c>
      <c r="BS18" s="538">
        <f t="shared" si="40"/>
        <v>2.5627314436147799</v>
      </c>
      <c r="BT18" s="539">
        <f t="shared" si="41"/>
        <v>1</v>
      </c>
      <c r="BU18" s="535">
        <f t="shared" si="28"/>
        <v>2.5627314436147799</v>
      </c>
      <c r="BV18" s="539">
        <f t="shared" si="42"/>
        <v>1</v>
      </c>
      <c r="BW18" s="535">
        <f t="shared" si="29"/>
        <v>0</v>
      </c>
      <c r="BX18" s="539">
        <f t="shared" si="43"/>
        <v>0</v>
      </c>
      <c r="BY18" s="538">
        <f t="shared" si="44"/>
        <v>0</v>
      </c>
      <c r="BZ18" s="540">
        <f>BY18*Hypothèses!$B$3/Hypothèses!$B$9</f>
        <v>0</v>
      </c>
      <c r="CA18" s="538">
        <f t="shared" si="45"/>
        <v>230.59977284721532</v>
      </c>
      <c r="CB18" s="533">
        <f>BW18*Prod_Carburant_Alt!$R$61+BZ18*Hypothèses!$B$13</f>
        <v>0</v>
      </c>
      <c r="CC18" s="538">
        <f t="shared" si="46"/>
        <v>0</v>
      </c>
      <c r="CD18" s="541">
        <f t="shared" si="47"/>
        <v>0</v>
      </c>
      <c r="CE18" s="537">
        <f t="shared" si="48"/>
        <v>0</v>
      </c>
      <c r="CF18" s="503">
        <f>(CA18+BU18*BO18)*Hypothèses!$D$23+CE18</f>
        <v>866.7133138178425</v>
      </c>
      <c r="CG18" s="504">
        <f t="shared" si="16"/>
        <v>8.7447762907116883E-3</v>
      </c>
      <c r="CH18" s="503">
        <f>(CA18+BU18*BO18)*Hypothèses!$B$23</f>
        <v>728.03918360698765</v>
      </c>
      <c r="CI18" s="503">
        <f t="shared" si="49"/>
        <v>0</v>
      </c>
      <c r="CJ18" s="503">
        <f>(BU18+BW18+CA18)*Hypothèses!$B$6+BZ18*Hypothèses!$B$11</f>
        <v>7.4612001373065633</v>
      </c>
      <c r="CK18" s="503">
        <f>(BU18+BW18+CA18)*Hypothèses!$B$5+BZ18*Hypothèses!$B$10</f>
        <v>324.09588096425381</v>
      </c>
      <c r="CL18" s="542">
        <f t="shared" si="17"/>
        <v>3.3367556047650529E-2</v>
      </c>
    </row>
    <row r="19" spans="1:90" ht="14.25" customHeight="1">
      <c r="A19" s="331"/>
      <c r="B19" s="516">
        <v>2023</v>
      </c>
      <c r="C19" s="655">
        <f>Trajectoires!AA15</f>
        <v>981.94726922353914</v>
      </c>
      <c r="D19" s="659">
        <f>C19/Hypothèses!$D$23</f>
        <v>261.85260512627713</v>
      </c>
      <c r="E19" s="659">
        <f>D19*Hypothèses!$B$23</f>
        <v>824.83570614777295</v>
      </c>
      <c r="F19" s="659">
        <f>D19*Hypothèses!$B$5</f>
        <v>363.97512112552516</v>
      </c>
      <c r="G19" s="659">
        <f>D19*Hypothèses!$B$6</f>
        <v>8.3792833640408677</v>
      </c>
      <c r="H19" s="519">
        <f t="shared" si="30"/>
        <v>0.04</v>
      </c>
      <c r="I19" s="520">
        <f>IF(J19&gt;=1,ROUND(COUNTIFS($B$16:$B19,"&gt;"&amp;MAX($B19-$D$2,2019),H$16:H19,1/25)*(1/$D$2-1/25)*25,0),0)</f>
        <v>0</v>
      </c>
      <c r="J19" s="521">
        <f t="shared" si="50"/>
        <v>0.16</v>
      </c>
      <c r="K19" s="522">
        <f>Hypothèses!$G$77</f>
        <v>0.01</v>
      </c>
      <c r="L19" s="523">
        <f t="shared" si="0"/>
        <v>8.24835706147773</v>
      </c>
      <c r="M19" s="524">
        <f t="array" ref="M19">1-SUM(IF((Roadmap_Avion!$B$8:$B$38=$B19)*(Roadmap_Avion!$C$4:$Z$4=$B$2)*(Roadmap_Avion!$C$6:$Z$6=M$7)*(Roadmap_Avion!$C$7:$Z$7=M$9),Roadmap_Avion!$C$8:$Z$38,0))</f>
        <v>0</v>
      </c>
      <c r="N19" s="525">
        <f t="array" ref="N19">SUM(IF((Roadmap_Avion!$B$8:$B$38=$B19)*(Roadmap_Avion!$C$4:$Z$4=$B$2)*(Roadmap_Avion!$C$6:$Z$6=N$7)*(Roadmap_Avion!$C$7:$Z$7=N$9),Roadmap_Avion!$C$8:$Z$38,0))</f>
        <v>0.5</v>
      </c>
      <c r="O19" s="526">
        <f t="array" ref="O19">SUM(IF((Roadmap_Avion!$B$8:$B$38=$B19)*(Roadmap_Avion!$C$4:$Z$4=$B$2)*(Roadmap_Avion!$C$6:$Z$6=O$7)*(Roadmap_Avion!$C$7:$Z$7=O$9),Roadmap_Avion!$C$8:$Z$38,0))</f>
        <v>0</v>
      </c>
      <c r="P19" s="527">
        <f t="array" ref="P19">IF($J19&lt;1,P18+$H19*M19,SUMPRODUCT(($B$16:$B$46&lt;=$B19)*($B$16:$B$46&gt;MAX($B19-$D$2-$I19,2019))*$H$16:$H$46*M$16:M$46))</f>
        <v>0</v>
      </c>
      <c r="Q19" s="528">
        <f t="shared" si="31"/>
        <v>8.24835706147773</v>
      </c>
      <c r="R19" s="529">
        <f t="shared" si="18"/>
        <v>1.3333333333333333E-3</v>
      </c>
      <c r="S19" s="530">
        <f t="shared" si="19"/>
        <v>0</v>
      </c>
      <c r="T19" s="522">
        <f>Hypothèses!$G$78</f>
        <v>0.03</v>
      </c>
      <c r="U19" s="523">
        <f t="shared" si="2"/>
        <v>24.745071184433186</v>
      </c>
      <c r="V19" s="524">
        <f t="array" ref="V19">1-SUM(IF((Roadmap_Avion!$B$8:$B$38=$B19)*(Roadmap_Avion!$C$4:$Z$4=$B$2)*(Roadmap_Avion!$C$6:$Z$6=V$7)*(Roadmap_Avion!$C$7:$Z$7=V$9),Roadmap_Avion!$C$8:$Z$38,0))</f>
        <v>0</v>
      </c>
      <c r="W19" s="525">
        <f t="array" ref="W19">SUM(IF((Roadmap_Avion!$B$8:$B$38=$B19)*(Roadmap_Avion!$C$4:$Z$4=$B$2)*(Roadmap_Avion!$C$6:$Z$6=W$7)*(Roadmap_Avion!$C$7:$Z$7=W$9),Roadmap_Avion!$C$8:$Z$38,0))</f>
        <v>0.5</v>
      </c>
      <c r="X19" s="526">
        <f t="array" ref="X19">SUM(IF((Roadmap_Avion!$B$8:$B$38=$B19)*(Roadmap_Avion!$C$4:$Z$4=$B$2)*(Roadmap_Avion!$C$6:$Z$6=X$7)*(Roadmap_Avion!$C$7:$Z$7=X$9),Roadmap_Avion!$C$8:$Z$38,0))</f>
        <v>0</v>
      </c>
      <c r="Y19" s="527">
        <f t="array" ref="Y19">IF($J19&lt;1,Y18+$H19*V19,SUMPRODUCT(($B$16:$B$46&lt;=$B19)*($B$16:$B$46&gt;MAX($B19-$D$2-$I19,2019))*$H$16:$H$46*V$16:V$46))</f>
        <v>0</v>
      </c>
      <c r="Z19" s="528">
        <f t="shared" si="32"/>
        <v>24.745071184433186</v>
      </c>
      <c r="AA19" s="529">
        <f t="shared" si="20"/>
        <v>4.0000000000000001E-3</v>
      </c>
      <c r="AB19" s="530">
        <f t="shared" si="21"/>
        <v>0</v>
      </c>
      <c r="AC19" s="522">
        <f>Hypothèses!$G$79</f>
        <v>0.24</v>
      </c>
      <c r="AD19" s="523">
        <f t="shared" si="4"/>
        <v>197.96056947546549</v>
      </c>
      <c r="AE19" s="524">
        <f t="array" ref="AE19">1-SUM(IF((Roadmap_Avion!$B$8:$B$38=$B19)*(Roadmap_Avion!$C$4:$Z$4=$B$2)*(Roadmap_Avion!$C$6:$Z$6=AE$7)*(Roadmap_Avion!$C$7:$Z$7=AE$9),Roadmap_Avion!$C$8:$Z$38,0))</f>
        <v>0.19999999999999996</v>
      </c>
      <c r="AF19" s="525">
        <f t="array" ref="AF19">SUM(IF((Roadmap_Avion!$B$8:$B$38=$B19)*(Roadmap_Avion!$C$4:$Z$4=$B$2)*(Roadmap_Avion!$C$6:$Z$6=AF$7)*(Roadmap_Avion!$C$7:$Z$7=AF$9),Roadmap_Avion!$C$8:$Z$38,0))</f>
        <v>0.5</v>
      </c>
      <c r="AG19" s="526">
        <f t="array" ref="AG19">SUM(IF((Roadmap_Avion!$B$8:$B$38=$B19)*(Roadmap_Avion!$C$4:$Z$4=$B$2)*(Roadmap_Avion!$C$6:$Z$6=AG$7)*(Roadmap_Avion!$C$7:$Z$7=AG$9),Roadmap_Avion!$C$8:$Z$38,0))</f>
        <v>0</v>
      </c>
      <c r="AH19" s="527">
        <f t="array" ref="AH19">IF($J19&lt;1,AH18+$H19*AE19,SUMPRODUCT(($B$16:$B$46&lt;=$B19)*($B$16:$B$46&gt;MAX($B19-$D$2-$I19,2019))*$H$16:$H$46*AE$16:AE$46))</f>
        <v>3.1999999999999994E-2</v>
      </c>
      <c r="AI19" s="528">
        <f t="shared" si="33"/>
        <v>191.62583125225058</v>
      </c>
      <c r="AJ19" s="529">
        <f t="shared" si="22"/>
        <v>3.2000000000000001E-2</v>
      </c>
      <c r="AK19" s="530">
        <f t="shared" si="23"/>
        <v>0</v>
      </c>
      <c r="AL19" s="522">
        <f>Hypothèses!$G$80</f>
        <v>0.42</v>
      </c>
      <c r="AM19" s="523">
        <f t="shared" si="6"/>
        <v>346.43099658206461</v>
      </c>
      <c r="AN19" s="524">
        <f t="array" ref="AN19">1-SUM(IF((Roadmap_Avion!$B$8:$B$38=$B19)*(Roadmap_Avion!$C$4:$Z$4=$B$2)*(Roadmap_Avion!$C$6:$Z$6=AN$7)*(Roadmap_Avion!$C$7:$Z$7=AN$9),Roadmap_Avion!$C$8:$Z$38,0))</f>
        <v>0.19999999999999996</v>
      </c>
      <c r="AO19" s="525">
        <f t="array" ref="AO19">SUM(IF((Roadmap_Avion!$B$8:$B$38=$B19)*(Roadmap_Avion!$C$4:$Z$4=$B$2)*(Roadmap_Avion!$C$6:$Z$6=AO$7)*(Roadmap_Avion!$C$7:$Z$7=AO$9),Roadmap_Avion!$C$8:$Z$38,0))</f>
        <v>0.5</v>
      </c>
      <c r="AP19" s="526">
        <f t="array" ref="AP19">SUM(IF((Roadmap_Avion!$B$8:$B$38=$B19)*(Roadmap_Avion!$C$4:$Z$4=$B$2)*(Roadmap_Avion!$C$6:$Z$6=AP$7)*(Roadmap_Avion!$C$7:$Z$7=AP$9),Roadmap_Avion!$C$8:$Z$38,0))</f>
        <v>0</v>
      </c>
      <c r="AQ19" s="527">
        <f t="array" ref="AQ19">IF($J19&lt;1,AQ18+$H19*AN19,SUMPRODUCT(($B$16:$B$46&lt;=$B19)*($B$16:$B$46&gt;MAX($B19-$D$2-$I19,2019))*$H$16:$H$46*AN$16:AN$46))</f>
        <v>3.1999999999999994E-2</v>
      </c>
      <c r="AR19" s="528">
        <f t="shared" si="34"/>
        <v>335.34520469143854</v>
      </c>
      <c r="AS19" s="529">
        <f t="shared" si="8"/>
        <v>5.6000000000000001E-2</v>
      </c>
      <c r="AT19" s="530">
        <f t="shared" si="9"/>
        <v>0</v>
      </c>
      <c r="AU19" s="531">
        <f>Hypothèses!$G$81</f>
        <v>0.3</v>
      </c>
      <c r="AV19" s="523">
        <f t="shared" si="10"/>
        <v>247.45071184433186</v>
      </c>
      <c r="AW19" s="524">
        <f t="array" ref="AW19">1-SUM(IF((Roadmap_Avion!$B$8:$B$38=$B19)*(Roadmap_Avion!$C$4:$Z$4=$B$2)*(Roadmap_Avion!$C$6:$Z$6=AW$7)*(Roadmap_Avion!$C$7:$Z$7=AW$9),Roadmap_Avion!$C$8:$Z$38,0))</f>
        <v>0.25</v>
      </c>
      <c r="AX19" s="525">
        <f t="array" ref="AX19">SUM(IF((Roadmap_Avion!$B$8:$B$38=$B19)*(Roadmap_Avion!$C$4:$Z$4=$B$2)*(Roadmap_Avion!$C$6:$Z$6=AX$7)*(Roadmap_Avion!$C$7:$Z$7=AX$9),Roadmap_Avion!$C$8:$Z$38,0))</f>
        <v>0.5</v>
      </c>
      <c r="AY19" s="526">
        <f t="array" ref="AY19">SUM(IF((Roadmap_Avion!$B$8:$B$38=$B19)*(Roadmap_Avion!$C$4:$Z$4=$B$2)*(Roadmap_Avion!$C$6:$Z$6=AY$7)*(Roadmap_Avion!$C$7:$Z$7=AY$9),Roadmap_Avion!$C$8:$Z$38,0))</f>
        <v>0</v>
      </c>
      <c r="AZ19" s="527">
        <f t="array" ref="AZ19">IF($J19&lt;1,AZ18+$H19*AW19,SUMPRODUCT(($B$16:$B$46&lt;=$B19)*($B$16:$B$46&gt;MAX($B19-$D$2-$I19,2019))*$H$16:$H$46*AW$16:AW$46))</f>
        <v>0.04</v>
      </c>
      <c r="BA19" s="528">
        <f t="shared" si="35"/>
        <v>237.55268337055858</v>
      </c>
      <c r="BB19" s="529">
        <f t="shared" si="24"/>
        <v>0.04</v>
      </c>
      <c r="BC19" s="529">
        <f t="shared" si="25"/>
        <v>0</v>
      </c>
      <c r="BD19" s="517">
        <f t="shared" si="12"/>
        <v>797.51714756015861</v>
      </c>
      <c r="BE19" s="518">
        <f>BD19*(Hypothèses!$D$23/Hypothèses!$B$23)</f>
        <v>949.42517566685547</v>
      </c>
      <c r="BF19" s="532">
        <f t="shared" si="13"/>
        <v>3.3120000000000038E-2</v>
      </c>
      <c r="BG19" s="518">
        <f>BD19/Hypothèses!$B$23</f>
        <v>253.1800468444948</v>
      </c>
      <c r="BH19" s="532">
        <f t="shared" si="14"/>
        <v>0.13333333333333333</v>
      </c>
      <c r="BI19" s="532">
        <f t="shared" si="14"/>
        <v>0</v>
      </c>
      <c r="BJ19" s="518">
        <f t="shared" si="26"/>
        <v>33.757339579265974</v>
      </c>
      <c r="BK19" s="533">
        <f t="shared" si="36"/>
        <v>3.2034143045184749</v>
      </c>
      <c r="BL19" s="534">
        <f t="shared" si="37"/>
        <v>9.4895342596430121E-2</v>
      </c>
      <c r="BM19" s="535">
        <f t="array" ref="BM19">SUM(IF((Prod_Carburant_Alt!$A$7:$A$37=$B19)*(Prod_Carburant_Alt!$B$3:$AI$3=$C$2)*(Prod_Carburant_Alt!$B$5:$AI$5=BM$7)*(Prod_Carburant_Alt!$B$6:$AI$6=BM$9),Prod_Carburant_Alt!$B$7:$AI$37,0))</f>
        <v>3.2034143045184749</v>
      </c>
      <c r="BN19" s="534">
        <f t="shared" si="27"/>
        <v>2.865197542162742</v>
      </c>
      <c r="BO19" s="536">
        <f t="array" ref="BO19">SUM(IF((Prod_Carburant_Alt!$A$7:$A$37=$B19)*(Prod_Carburant_Alt!$B$3:$AI$3=$C$2)*(Prod_Carburant_Alt!$B$5:$AI$5=BO$7)*(Prod_Carburant_Alt!$B$6:$AI$6=BO$9),Prod_Carburant_Alt!$B$7:$AI$37,0))</f>
        <v>0.204382517533922</v>
      </c>
      <c r="BP19" s="543">
        <f t="array" ref="BP19">SUM(IF((Prod_Carburant_Alt!$A$7:$A$37=$B19)*(Prod_Carburant_Alt!$B$3:$AI$3=$C$2)*(Prod_Carburant_Alt!$B$5:$AI$5=BP$7)*(Prod_Carburant_Alt!$B$6:$AI$6=BP$9),Prod_Carburant_Alt!$B$7:$AI$37,0))</f>
        <v>0</v>
      </c>
      <c r="BQ19" s="536">
        <f t="shared" si="38"/>
        <v>0</v>
      </c>
      <c r="BR19" s="537">
        <f t="shared" si="39"/>
        <v>249.97663253997632</v>
      </c>
      <c r="BS19" s="538">
        <f t="shared" si="40"/>
        <v>3.2034143045184749</v>
      </c>
      <c r="BT19" s="539">
        <f t="shared" si="41"/>
        <v>1</v>
      </c>
      <c r="BU19" s="535">
        <f t="shared" si="28"/>
        <v>3.2034143045184749</v>
      </c>
      <c r="BV19" s="539">
        <f t="shared" si="42"/>
        <v>1</v>
      </c>
      <c r="BW19" s="535">
        <f t="shared" si="29"/>
        <v>0</v>
      </c>
      <c r="BX19" s="539">
        <f t="shared" si="43"/>
        <v>0</v>
      </c>
      <c r="BY19" s="538">
        <f t="shared" si="44"/>
        <v>0</v>
      </c>
      <c r="BZ19" s="540">
        <f>BY19*Hypothèses!$B$3/Hypothèses!$B$9</f>
        <v>0</v>
      </c>
      <c r="CA19" s="538">
        <f t="shared" si="45"/>
        <v>249.97663253997632</v>
      </c>
      <c r="CB19" s="533">
        <f>BW19*Prod_Carburant_Alt!$R$61+BZ19*Hypothèses!$B$13</f>
        <v>0</v>
      </c>
      <c r="CC19" s="538">
        <f t="shared" si="46"/>
        <v>0</v>
      </c>
      <c r="CD19" s="541">
        <f t="shared" si="47"/>
        <v>0</v>
      </c>
      <c r="CE19" s="537">
        <f t="shared" si="48"/>
        <v>0</v>
      </c>
      <c r="CF19" s="503">
        <f>(CA19+BU19*BO19)*Hypothèses!$D$23+CE19</f>
        <v>939.86757907589242</v>
      </c>
      <c r="CG19" s="504">
        <f t="shared" si="16"/>
        <v>1.0066719143243696E-2</v>
      </c>
      <c r="CH19" s="503">
        <f>(CA19+BU19*BO19)*Hypothèses!$B$23</f>
        <v>789.48876642374967</v>
      </c>
      <c r="CI19" s="503">
        <f t="shared" si="49"/>
        <v>0</v>
      </c>
      <c r="CJ19" s="503">
        <f>(BU19+BW19+CA19)*Hypothèses!$B$6+BZ19*Hypothèses!$B$11</f>
        <v>8.1017614990238336</v>
      </c>
      <c r="CK19" s="503">
        <f>(BU19+BW19+CA19)*Hypothèses!$B$5+BZ19*Hypothèses!$B$10</f>
        <v>351.92026511384773</v>
      </c>
      <c r="CL19" s="542">
        <f t="shared" si="17"/>
        <v>4.2853309405219524E-2</v>
      </c>
    </row>
    <row r="20" spans="1:90" ht="14.25" customHeight="1">
      <c r="A20" s="331"/>
      <c r="B20" s="516">
        <v>2024</v>
      </c>
      <c r="C20" s="655">
        <f>Trajectoires!AA16</f>
        <v>1075.3140206977764</v>
      </c>
      <c r="D20" s="659">
        <f>C20/Hypothèses!$D$23</f>
        <v>286.75040551940702</v>
      </c>
      <c r="E20" s="659">
        <f>D20*Hypothèses!$B$23</f>
        <v>903.26377738613212</v>
      </c>
      <c r="F20" s="659">
        <f>D20*Hypothèses!$B$5</f>
        <v>398.58306367197571</v>
      </c>
      <c r="G20" s="659">
        <f>D20*Hypothèses!$B$6</f>
        <v>9.1760129766210241</v>
      </c>
      <c r="H20" s="519">
        <f t="shared" si="30"/>
        <v>0.04</v>
      </c>
      <c r="I20" s="520">
        <f>IF(J20&gt;=1,ROUND(COUNTIFS($B$16:$B20,"&gt;"&amp;MAX($B20-$D$2,2019),H$16:H20,1/25)*(1/$D$2-1/25)*25,0),0)</f>
        <v>0</v>
      </c>
      <c r="J20" s="521">
        <f t="shared" si="50"/>
        <v>0.2</v>
      </c>
      <c r="K20" s="522">
        <f>Hypothèses!$G$77</f>
        <v>0.01</v>
      </c>
      <c r="L20" s="523">
        <f t="shared" si="0"/>
        <v>9.0326377738613211</v>
      </c>
      <c r="M20" s="524">
        <f t="array" ref="M20">1-SUM(IF((Roadmap_Avion!$B$8:$B$38=$B20)*(Roadmap_Avion!$C$4:$Z$4=$B$2)*(Roadmap_Avion!$C$6:$Z$6=M$7)*(Roadmap_Avion!$C$7:$Z$7=M$9),Roadmap_Avion!$C$8:$Z$38,0))</f>
        <v>0</v>
      </c>
      <c r="N20" s="525">
        <f t="array" ref="N20">SUM(IF((Roadmap_Avion!$B$8:$B$38=$B20)*(Roadmap_Avion!$C$4:$Z$4=$B$2)*(Roadmap_Avion!$C$6:$Z$6=N$7)*(Roadmap_Avion!$C$7:$Z$7=N$9),Roadmap_Avion!$C$8:$Z$38,0))</f>
        <v>0.5</v>
      </c>
      <c r="O20" s="526">
        <f t="array" ref="O20">SUM(IF((Roadmap_Avion!$B$8:$B$38=$B20)*(Roadmap_Avion!$C$4:$Z$4=$B$2)*(Roadmap_Avion!$C$6:$Z$6=O$7)*(Roadmap_Avion!$C$7:$Z$7=O$9),Roadmap_Avion!$C$8:$Z$38,0))</f>
        <v>0</v>
      </c>
      <c r="P20" s="527">
        <f t="array" ref="P20">IF($J20&lt;1,P19+$H20*M20,SUMPRODUCT(($B$16:$B$46&lt;=$B20)*($B$16:$B$46&gt;MAX($B20-$D$2-$I20,2019))*$H$16:$H$46*M$16:M$46))</f>
        <v>0</v>
      </c>
      <c r="Q20" s="528">
        <f t="shared" si="31"/>
        <v>9.0326377738613211</v>
      </c>
      <c r="R20" s="529">
        <f t="shared" si="18"/>
        <v>1.6666666666666668E-3</v>
      </c>
      <c r="S20" s="530">
        <f t="shared" si="19"/>
        <v>0</v>
      </c>
      <c r="T20" s="522">
        <f>Hypothèses!$G$78</f>
        <v>0.03</v>
      </c>
      <c r="U20" s="523">
        <f t="shared" si="2"/>
        <v>27.097913321583963</v>
      </c>
      <c r="V20" s="524">
        <f t="array" ref="V20">1-SUM(IF((Roadmap_Avion!$B$8:$B$38=$B20)*(Roadmap_Avion!$C$4:$Z$4=$B$2)*(Roadmap_Avion!$C$6:$Z$6=V$7)*(Roadmap_Avion!$C$7:$Z$7=V$9),Roadmap_Avion!$C$8:$Z$38,0))</f>
        <v>0</v>
      </c>
      <c r="W20" s="525">
        <f t="array" ref="W20">SUM(IF((Roadmap_Avion!$B$8:$B$38=$B20)*(Roadmap_Avion!$C$4:$Z$4=$B$2)*(Roadmap_Avion!$C$6:$Z$6=W$7)*(Roadmap_Avion!$C$7:$Z$7=W$9),Roadmap_Avion!$C$8:$Z$38,0))</f>
        <v>0.5</v>
      </c>
      <c r="X20" s="526">
        <f t="array" ref="X20">SUM(IF((Roadmap_Avion!$B$8:$B$38=$B20)*(Roadmap_Avion!$C$4:$Z$4=$B$2)*(Roadmap_Avion!$C$6:$Z$6=X$7)*(Roadmap_Avion!$C$7:$Z$7=X$9),Roadmap_Avion!$C$8:$Z$38,0))</f>
        <v>0</v>
      </c>
      <c r="Y20" s="527">
        <f t="array" ref="Y20">IF($J20&lt;1,Y19+$H20*V20,SUMPRODUCT(($B$16:$B$46&lt;=$B20)*($B$16:$B$46&gt;MAX($B20-$D$2-$I20,2019))*$H$16:$H$46*V$16:V$46))</f>
        <v>0</v>
      </c>
      <c r="Z20" s="528">
        <f t="shared" si="32"/>
        <v>27.097913321583963</v>
      </c>
      <c r="AA20" s="529">
        <f t="shared" si="20"/>
        <v>5.0000000000000001E-3</v>
      </c>
      <c r="AB20" s="530">
        <f t="shared" si="21"/>
        <v>0</v>
      </c>
      <c r="AC20" s="522">
        <f>Hypothèses!$G$79</f>
        <v>0.24</v>
      </c>
      <c r="AD20" s="523">
        <f t="shared" si="4"/>
        <v>216.78330657267171</v>
      </c>
      <c r="AE20" s="524">
        <f t="array" ref="AE20">1-SUM(IF((Roadmap_Avion!$B$8:$B$38=$B20)*(Roadmap_Avion!$C$4:$Z$4=$B$2)*(Roadmap_Avion!$C$6:$Z$6=AE$7)*(Roadmap_Avion!$C$7:$Z$7=AE$9),Roadmap_Avion!$C$8:$Z$38,0))</f>
        <v>0.19999999999999996</v>
      </c>
      <c r="AF20" s="525">
        <f t="array" ref="AF20">SUM(IF((Roadmap_Avion!$B$8:$B$38=$B20)*(Roadmap_Avion!$C$4:$Z$4=$B$2)*(Roadmap_Avion!$C$6:$Z$6=AF$7)*(Roadmap_Avion!$C$7:$Z$7=AF$9),Roadmap_Avion!$C$8:$Z$38,0))</f>
        <v>0.5</v>
      </c>
      <c r="AG20" s="526">
        <f t="array" ref="AG20">SUM(IF((Roadmap_Avion!$B$8:$B$38=$B20)*(Roadmap_Avion!$C$4:$Z$4=$B$2)*(Roadmap_Avion!$C$6:$Z$6=AG$7)*(Roadmap_Avion!$C$7:$Z$7=AG$9),Roadmap_Avion!$C$8:$Z$38,0))</f>
        <v>0</v>
      </c>
      <c r="AH20" s="527">
        <f t="array" ref="AH20">IF($J20&lt;1,AH19+$H20*AE20,SUMPRODUCT(($B$16:$B$46&lt;=$B20)*($B$16:$B$46&gt;MAX($B20-$D$2-$I20,2019))*$H$16:$H$46*AE$16:AE$46))</f>
        <v>3.9999999999999994E-2</v>
      </c>
      <c r="AI20" s="528">
        <f t="shared" si="33"/>
        <v>208.11197430976483</v>
      </c>
      <c r="AJ20" s="529">
        <f t="shared" si="22"/>
        <v>0.04</v>
      </c>
      <c r="AK20" s="530">
        <f t="shared" si="23"/>
        <v>0</v>
      </c>
      <c r="AL20" s="522">
        <f>Hypothèses!$G$80</f>
        <v>0.42</v>
      </c>
      <c r="AM20" s="523">
        <f t="shared" si="6"/>
        <v>379.37078650217546</v>
      </c>
      <c r="AN20" s="524">
        <f t="array" ref="AN20">1-SUM(IF((Roadmap_Avion!$B$8:$B$38=$B20)*(Roadmap_Avion!$C$4:$Z$4=$B$2)*(Roadmap_Avion!$C$6:$Z$6=AN$7)*(Roadmap_Avion!$C$7:$Z$7=AN$9),Roadmap_Avion!$C$8:$Z$38,0))</f>
        <v>0.19999999999999996</v>
      </c>
      <c r="AO20" s="525">
        <f t="array" ref="AO20">SUM(IF((Roadmap_Avion!$B$8:$B$38=$B20)*(Roadmap_Avion!$C$4:$Z$4=$B$2)*(Roadmap_Avion!$C$6:$Z$6=AO$7)*(Roadmap_Avion!$C$7:$Z$7=AO$9),Roadmap_Avion!$C$8:$Z$38,0))</f>
        <v>0.5</v>
      </c>
      <c r="AP20" s="526">
        <f t="array" ref="AP20">SUM(IF((Roadmap_Avion!$B$8:$B$38=$B20)*(Roadmap_Avion!$C$4:$Z$4=$B$2)*(Roadmap_Avion!$C$6:$Z$6=AP$7)*(Roadmap_Avion!$C$7:$Z$7=AP$9),Roadmap_Avion!$C$8:$Z$38,0))</f>
        <v>0</v>
      </c>
      <c r="AQ20" s="527">
        <f t="array" ref="AQ20">IF($J20&lt;1,AQ19+$H20*AN20,SUMPRODUCT(($B$16:$B$46&lt;=$B20)*($B$16:$B$46&gt;MAX($B20-$D$2-$I20,2019))*$H$16:$H$46*AN$16:AN$46))</f>
        <v>3.9999999999999994E-2</v>
      </c>
      <c r="AR20" s="528">
        <f t="shared" si="34"/>
        <v>364.19595504208843</v>
      </c>
      <c r="AS20" s="529">
        <f t="shared" si="8"/>
        <v>7.0000000000000007E-2</v>
      </c>
      <c r="AT20" s="530">
        <f t="shared" si="9"/>
        <v>0</v>
      </c>
      <c r="AU20" s="531">
        <f>Hypothèses!$G$81</f>
        <v>0.3</v>
      </c>
      <c r="AV20" s="523">
        <f t="shared" si="10"/>
        <v>270.97913321583962</v>
      </c>
      <c r="AW20" s="524">
        <f t="array" ref="AW20">1-SUM(IF((Roadmap_Avion!$B$8:$B$38=$B20)*(Roadmap_Avion!$C$4:$Z$4=$B$2)*(Roadmap_Avion!$C$6:$Z$6=AW$7)*(Roadmap_Avion!$C$7:$Z$7=AW$9),Roadmap_Avion!$C$8:$Z$38,0))</f>
        <v>0.25</v>
      </c>
      <c r="AX20" s="525">
        <f t="array" ref="AX20">SUM(IF((Roadmap_Avion!$B$8:$B$38=$B20)*(Roadmap_Avion!$C$4:$Z$4=$B$2)*(Roadmap_Avion!$C$6:$Z$6=AX$7)*(Roadmap_Avion!$C$7:$Z$7=AX$9),Roadmap_Avion!$C$8:$Z$38,0))</f>
        <v>0.5</v>
      </c>
      <c r="AY20" s="526">
        <f t="array" ref="AY20">SUM(IF((Roadmap_Avion!$B$8:$B$38=$B20)*(Roadmap_Avion!$C$4:$Z$4=$B$2)*(Roadmap_Avion!$C$6:$Z$6=AY$7)*(Roadmap_Avion!$C$7:$Z$7=AY$9),Roadmap_Avion!$C$8:$Z$38,0))</f>
        <v>0</v>
      </c>
      <c r="AZ20" s="527">
        <f t="array" ref="AZ20">IF($J20&lt;1,AZ19+$H20*AW20,SUMPRODUCT(($B$16:$B$46&lt;=$B20)*($B$16:$B$46&gt;MAX($B20-$D$2-$I20,2019))*$H$16:$H$46*AW$16:AW$46))</f>
        <v>0.05</v>
      </c>
      <c r="BA20" s="528">
        <f t="shared" si="35"/>
        <v>257.43017655504764</v>
      </c>
      <c r="BB20" s="529">
        <f t="shared" si="24"/>
        <v>0.05</v>
      </c>
      <c r="BC20" s="529">
        <f t="shared" si="25"/>
        <v>0</v>
      </c>
      <c r="BD20" s="517">
        <f t="shared" si="12"/>
        <v>865.86865700234625</v>
      </c>
      <c r="BE20" s="518">
        <f>BD20*(Hypothèses!$D$23/Hypothèses!$B$23)</f>
        <v>1030.7960202408883</v>
      </c>
      <c r="BF20" s="532">
        <f t="shared" si="13"/>
        <v>4.1400000000000103E-2</v>
      </c>
      <c r="BG20" s="518">
        <f>BD20/Hypothèses!$B$23</f>
        <v>274.8789387309036</v>
      </c>
      <c r="BH20" s="532">
        <f t="shared" si="14"/>
        <v>0.16666666666666669</v>
      </c>
      <c r="BI20" s="532">
        <f t="shared" si="14"/>
        <v>0</v>
      </c>
      <c r="BJ20" s="518">
        <f t="shared" si="26"/>
        <v>45.813156455150605</v>
      </c>
      <c r="BK20" s="533">
        <f t="shared" si="36"/>
        <v>4.0042678806480936</v>
      </c>
      <c r="BL20" s="534">
        <f t="shared" si="37"/>
        <v>8.7404322043780694E-2</v>
      </c>
      <c r="BM20" s="535">
        <f t="array" ref="BM20">SUM(IF((Prod_Carburant_Alt!$A$7:$A$37=$B20)*(Prod_Carburant_Alt!$B$3:$AI$3=$C$2)*(Prod_Carburant_Alt!$B$5:$AI$5=BM$7)*(Prod_Carburant_Alt!$B$6:$AI$6=BM$9),Prod_Carburant_Alt!$B$7:$AI$37,0))</f>
        <v>4.0042678806480936</v>
      </c>
      <c r="BN20" s="534">
        <f t="shared" si="27"/>
        <v>2.1112155083038764</v>
      </c>
      <c r="BO20" s="536">
        <f t="array" ref="BO20">SUM(IF((Prod_Carburant_Alt!$A$7:$A$37=$B20)*(Prod_Carburant_Alt!$B$3:$AI$3=$C$2)*(Prod_Carburant_Alt!$B$5:$AI$5=BO$7)*(Prod_Carburant_Alt!$B$6:$AI$6=BO$9),Prod_Carburant_Alt!$B$7:$AI$37,0))</f>
        <v>0.204382517533922</v>
      </c>
      <c r="BP20" s="543">
        <f t="array" ref="BP20">SUM(IF((Prod_Carburant_Alt!$A$7:$A$37=$B20)*(Prod_Carburant_Alt!$B$3:$AI$3=$C$2)*(Prod_Carburant_Alt!$B$5:$AI$5=BP$7)*(Prod_Carburant_Alt!$B$6:$AI$6=BP$9),Prod_Carburant_Alt!$B$7:$AI$37,0))</f>
        <v>0</v>
      </c>
      <c r="BQ20" s="536">
        <f t="shared" si="38"/>
        <v>0</v>
      </c>
      <c r="BR20" s="537">
        <f t="shared" si="39"/>
        <v>270.87467085025548</v>
      </c>
      <c r="BS20" s="538">
        <f t="shared" si="40"/>
        <v>4.0042678806480936</v>
      </c>
      <c r="BT20" s="539">
        <f t="shared" si="41"/>
        <v>1</v>
      </c>
      <c r="BU20" s="535">
        <f t="shared" si="28"/>
        <v>4.0042678806480936</v>
      </c>
      <c r="BV20" s="539">
        <f t="shared" si="42"/>
        <v>1</v>
      </c>
      <c r="BW20" s="535">
        <f t="shared" si="29"/>
        <v>0</v>
      </c>
      <c r="BX20" s="539">
        <f t="shared" si="43"/>
        <v>0</v>
      </c>
      <c r="BY20" s="538">
        <f t="shared" si="44"/>
        <v>0</v>
      </c>
      <c r="BZ20" s="540">
        <f>BY20*Hypothèses!$B$3/Hypothèses!$B$9</f>
        <v>0</v>
      </c>
      <c r="CA20" s="538">
        <f t="shared" si="45"/>
        <v>270.87467085025548</v>
      </c>
      <c r="CB20" s="533">
        <f>BW20*Prod_Carburant_Alt!$R$61+BZ20*Hypothèses!$B$13</f>
        <v>0</v>
      </c>
      <c r="CC20" s="538">
        <f t="shared" si="46"/>
        <v>0</v>
      </c>
      <c r="CD20" s="541">
        <f t="shared" si="47"/>
        <v>0</v>
      </c>
      <c r="CE20" s="537">
        <f t="shared" si="48"/>
        <v>0</v>
      </c>
      <c r="CF20" s="503">
        <f>(CA20+BU20*BO20)*Hypothèses!$D$23+CE20</f>
        <v>1018.8490245021845</v>
      </c>
      <c r="CG20" s="504">
        <f t="shared" si="16"/>
        <v>1.1590067776854498E-2</v>
      </c>
      <c r="CH20" s="503">
        <f>(CA20+BU20*BO20)*Hypothèses!$B$23</f>
        <v>855.83318058183499</v>
      </c>
      <c r="CI20" s="503">
        <f t="shared" si="49"/>
        <v>0</v>
      </c>
      <c r="CJ20" s="503">
        <f>(BU20+BW20+CA20)*Hypothèses!$B$6+BZ20*Hypothèses!$B$11</f>
        <v>8.7961260393889145</v>
      </c>
      <c r="CK20" s="503">
        <f>(BU20+BW20+CA20)*Hypothèses!$B$5+BZ20*Hypothèses!$B$10</f>
        <v>382.08172483595598</v>
      </c>
      <c r="CL20" s="542">
        <f t="shared" si="17"/>
        <v>5.2510238970892867E-2</v>
      </c>
    </row>
    <row r="21" spans="1:90" ht="14.25" customHeight="1">
      <c r="A21" s="331"/>
      <c r="B21" s="516">
        <v>2025</v>
      </c>
      <c r="C21" s="655">
        <f>Trajectoires!AA17</f>
        <v>1117.5248679159672</v>
      </c>
      <c r="D21" s="659">
        <f>C21/Hypothèses!$D$23</f>
        <v>298.00663144425795</v>
      </c>
      <c r="E21" s="659">
        <f>D21*Hypothèses!$B$23</f>
        <v>938.72088904941256</v>
      </c>
      <c r="F21" s="659">
        <f>D21*Hypothèses!$B$5</f>
        <v>414.2292177075185</v>
      </c>
      <c r="G21" s="659">
        <f>D21*Hypothèses!$B$6</f>
        <v>9.5362122062162538</v>
      </c>
      <c r="H21" s="519">
        <f t="shared" si="30"/>
        <v>6.6666666666666666E-2</v>
      </c>
      <c r="I21" s="520">
        <f>IF(J21&gt;=1,ROUND(COUNTIFS($B$16:$B21,"&gt;"&amp;MAX($B21-$D$2,2019),H$16:H21,1/25)*(1/$D$2-1/25)*25,0),0)</f>
        <v>0</v>
      </c>
      <c r="J21" s="521">
        <f t="shared" si="50"/>
        <v>0.26666666666666666</v>
      </c>
      <c r="K21" s="522">
        <f>Hypothèses!$G$77</f>
        <v>0.01</v>
      </c>
      <c r="L21" s="523">
        <f t="shared" si="0"/>
        <v>9.3872088904941258</v>
      </c>
      <c r="M21" s="524">
        <f t="array" ref="M21">1-SUM(IF((Roadmap_Avion!$B$8:$B$38=$B21)*(Roadmap_Avion!$C$4:$Z$4=$B$2)*(Roadmap_Avion!$C$6:$Z$6=M$7)*(Roadmap_Avion!$C$7:$Z$7=M$9),Roadmap_Avion!$C$8:$Z$38,0))</f>
        <v>0</v>
      </c>
      <c r="N21" s="525">
        <f t="array" ref="N21">SUM(IF((Roadmap_Avion!$B$8:$B$38=$B21)*(Roadmap_Avion!$C$4:$Z$4=$B$2)*(Roadmap_Avion!$C$6:$Z$6=N$7)*(Roadmap_Avion!$C$7:$Z$7=N$9),Roadmap_Avion!$C$8:$Z$38,0))</f>
        <v>0.5</v>
      </c>
      <c r="O21" s="526">
        <f t="array" ref="O21">SUM(IF((Roadmap_Avion!$B$8:$B$38=$B21)*(Roadmap_Avion!$C$4:$Z$4=$B$2)*(Roadmap_Avion!$C$6:$Z$6=O$7)*(Roadmap_Avion!$C$7:$Z$7=O$9),Roadmap_Avion!$C$8:$Z$38,0))</f>
        <v>0</v>
      </c>
      <c r="P21" s="527">
        <f t="array" ref="P21">IF($J21&lt;1,P20+$H21*M21,SUMPRODUCT(($B$16:$B$46&lt;=$B21)*($B$16:$B$46&gt;MAX($B21-$D$2-$I21,2019))*$H$16:$H$46*M$16:M$46))</f>
        <v>0</v>
      </c>
      <c r="Q21" s="528">
        <f t="shared" si="31"/>
        <v>9.3872088904941258</v>
      </c>
      <c r="R21" s="529">
        <f t="shared" si="18"/>
        <v>2E-3</v>
      </c>
      <c r="S21" s="530">
        <f t="shared" si="19"/>
        <v>0</v>
      </c>
      <c r="T21" s="522">
        <f>Hypothèses!$G$78</f>
        <v>0.03</v>
      </c>
      <c r="U21" s="523">
        <f t="shared" si="2"/>
        <v>28.161626671482377</v>
      </c>
      <c r="V21" s="524">
        <f t="array" ref="V21">1-SUM(IF((Roadmap_Avion!$B$8:$B$38=$B21)*(Roadmap_Avion!$C$4:$Z$4=$B$2)*(Roadmap_Avion!$C$6:$Z$6=V$7)*(Roadmap_Avion!$C$7:$Z$7=V$9),Roadmap_Avion!$C$8:$Z$38,0))</f>
        <v>0</v>
      </c>
      <c r="W21" s="525">
        <f t="array" ref="W21">SUM(IF((Roadmap_Avion!$B$8:$B$38=$B21)*(Roadmap_Avion!$C$4:$Z$4=$B$2)*(Roadmap_Avion!$C$6:$Z$6=W$7)*(Roadmap_Avion!$C$7:$Z$7=W$9),Roadmap_Avion!$C$8:$Z$38,0))</f>
        <v>0.5</v>
      </c>
      <c r="X21" s="526">
        <f t="array" ref="X21">SUM(IF((Roadmap_Avion!$B$8:$B$38=$B21)*(Roadmap_Avion!$C$4:$Z$4=$B$2)*(Roadmap_Avion!$C$6:$Z$6=X$7)*(Roadmap_Avion!$C$7:$Z$7=X$9),Roadmap_Avion!$C$8:$Z$38,0))</f>
        <v>0</v>
      </c>
      <c r="Y21" s="527">
        <f t="array" ref="Y21">IF($J21&lt;1,Y20+$H21*V21,SUMPRODUCT(($B$16:$B$46&lt;=$B21)*($B$16:$B$46&gt;MAX($B21-$D$2-$I21,2019))*$H$16:$H$46*V$16:V$46))</f>
        <v>0</v>
      </c>
      <c r="Z21" s="528">
        <f t="shared" si="32"/>
        <v>28.161626671482377</v>
      </c>
      <c r="AA21" s="529">
        <f t="shared" si="20"/>
        <v>6.0000000000000001E-3</v>
      </c>
      <c r="AB21" s="530">
        <f t="shared" si="21"/>
        <v>0</v>
      </c>
      <c r="AC21" s="522">
        <f>Hypothèses!$G$79</f>
        <v>0.24</v>
      </c>
      <c r="AD21" s="523">
        <f t="shared" si="4"/>
        <v>225.29301337185902</v>
      </c>
      <c r="AE21" s="524">
        <f t="array" ref="AE21">1-SUM(IF((Roadmap_Avion!$B$8:$B$38=$B21)*(Roadmap_Avion!$C$4:$Z$4=$B$2)*(Roadmap_Avion!$C$6:$Z$6=AE$7)*(Roadmap_Avion!$C$7:$Z$7=AE$9),Roadmap_Avion!$C$8:$Z$38,0))</f>
        <v>0.19999999999999996</v>
      </c>
      <c r="AF21" s="525">
        <f t="array" ref="AF21">SUM(IF((Roadmap_Avion!$B$8:$B$38=$B21)*(Roadmap_Avion!$C$4:$Z$4=$B$2)*(Roadmap_Avion!$C$6:$Z$6=AF$7)*(Roadmap_Avion!$C$7:$Z$7=AF$9),Roadmap_Avion!$C$8:$Z$38,0))</f>
        <v>0.5</v>
      </c>
      <c r="AG21" s="526">
        <f t="array" ref="AG21">SUM(IF((Roadmap_Avion!$B$8:$B$38=$B21)*(Roadmap_Avion!$C$4:$Z$4=$B$2)*(Roadmap_Avion!$C$6:$Z$6=AG$7)*(Roadmap_Avion!$C$7:$Z$7=AG$9),Roadmap_Avion!$C$8:$Z$38,0))</f>
        <v>0</v>
      </c>
      <c r="AH21" s="527">
        <f t="array" ref="AH21">IF($J21&lt;1,AH20+$H21*AE21,SUMPRODUCT(($B$16:$B$46&lt;=$B21)*($B$16:$B$46&gt;MAX($B21-$D$2-$I21,2019))*$H$16:$H$46*AE$16:AE$46))</f>
        <v>5.3333333333333323E-2</v>
      </c>
      <c r="AI21" s="528">
        <f t="shared" si="33"/>
        <v>213.27738599202652</v>
      </c>
      <c r="AJ21" s="529">
        <f t="shared" si="22"/>
        <v>4.8000000000000001E-2</v>
      </c>
      <c r="AK21" s="530">
        <f t="shared" si="23"/>
        <v>0</v>
      </c>
      <c r="AL21" s="522">
        <f>Hypothèses!$G$80</f>
        <v>0.42</v>
      </c>
      <c r="AM21" s="523">
        <f t="shared" si="6"/>
        <v>394.26277340075325</v>
      </c>
      <c r="AN21" s="524">
        <f t="array" ref="AN21">1-SUM(IF((Roadmap_Avion!$B$8:$B$38=$B21)*(Roadmap_Avion!$C$4:$Z$4=$B$2)*(Roadmap_Avion!$C$6:$Z$6=AN$7)*(Roadmap_Avion!$C$7:$Z$7=AN$9),Roadmap_Avion!$C$8:$Z$38,0))</f>
        <v>0.19999999999999996</v>
      </c>
      <c r="AO21" s="525">
        <f t="array" ref="AO21">SUM(IF((Roadmap_Avion!$B$8:$B$38=$B21)*(Roadmap_Avion!$C$4:$Z$4=$B$2)*(Roadmap_Avion!$C$6:$Z$6=AO$7)*(Roadmap_Avion!$C$7:$Z$7=AO$9),Roadmap_Avion!$C$8:$Z$38,0))</f>
        <v>0.5</v>
      </c>
      <c r="AP21" s="526">
        <f t="array" ref="AP21">SUM(IF((Roadmap_Avion!$B$8:$B$38=$B21)*(Roadmap_Avion!$C$4:$Z$4=$B$2)*(Roadmap_Avion!$C$6:$Z$6=AP$7)*(Roadmap_Avion!$C$7:$Z$7=AP$9),Roadmap_Avion!$C$8:$Z$38,0))</f>
        <v>0</v>
      </c>
      <c r="AQ21" s="527">
        <f t="array" ref="AQ21">IF($J21&lt;1,AQ20+$H21*AN21,SUMPRODUCT(($B$16:$B$46&lt;=$B21)*($B$16:$B$46&gt;MAX($B21-$D$2-$I21,2019))*$H$16:$H$46*AN$16:AN$46))</f>
        <v>5.3333333333333323E-2</v>
      </c>
      <c r="AR21" s="528">
        <f t="shared" si="34"/>
        <v>373.23542548604638</v>
      </c>
      <c r="AS21" s="529">
        <f t="shared" si="8"/>
        <v>8.4000000000000005E-2</v>
      </c>
      <c r="AT21" s="530">
        <f t="shared" si="9"/>
        <v>0</v>
      </c>
      <c r="AU21" s="531">
        <f>Hypothèses!$G$81</f>
        <v>0.3</v>
      </c>
      <c r="AV21" s="523">
        <f t="shared" si="10"/>
        <v>281.61626671482378</v>
      </c>
      <c r="AW21" s="524">
        <f t="array" ref="AW21">1-SUM(IF((Roadmap_Avion!$B$8:$B$38=$B21)*(Roadmap_Avion!$C$4:$Z$4=$B$2)*(Roadmap_Avion!$C$6:$Z$6=AW$7)*(Roadmap_Avion!$C$7:$Z$7=AW$9),Roadmap_Avion!$C$8:$Z$38,0))</f>
        <v>0.25</v>
      </c>
      <c r="AX21" s="525">
        <f t="array" ref="AX21">SUM(IF((Roadmap_Avion!$B$8:$B$38=$B21)*(Roadmap_Avion!$C$4:$Z$4=$B$2)*(Roadmap_Avion!$C$6:$Z$6=AX$7)*(Roadmap_Avion!$C$7:$Z$7=AX$9),Roadmap_Avion!$C$8:$Z$38,0))</f>
        <v>0.5</v>
      </c>
      <c r="AY21" s="526">
        <f t="array" ref="AY21">SUM(IF((Roadmap_Avion!$B$8:$B$38=$B21)*(Roadmap_Avion!$C$4:$Z$4=$B$2)*(Roadmap_Avion!$C$6:$Z$6=AY$7)*(Roadmap_Avion!$C$7:$Z$7=AY$9),Roadmap_Avion!$C$8:$Z$38,0))</f>
        <v>0</v>
      </c>
      <c r="AZ21" s="527">
        <f t="array" ref="AZ21">IF($J21&lt;1,AZ20+$H21*AW21,SUMPRODUCT(($B$16:$B$46&lt;=$B21)*($B$16:$B$46&gt;MAX($B21-$D$2-$I21,2019))*$H$16:$H$46*AW$16:AW$46))</f>
        <v>6.6666666666666666E-2</v>
      </c>
      <c r="BA21" s="528">
        <f t="shared" si="35"/>
        <v>262.84184893383554</v>
      </c>
      <c r="BB21" s="529">
        <f t="shared" si="24"/>
        <v>5.9999999999999991E-2</v>
      </c>
      <c r="BC21" s="529">
        <f t="shared" si="25"/>
        <v>0</v>
      </c>
      <c r="BD21" s="517">
        <f t="shared" si="12"/>
        <v>886.9034959738849</v>
      </c>
      <c r="BE21" s="518">
        <f>BD21*(Hypothèses!$D$23/Hypothèses!$B$23)</f>
        <v>1055.8374952070058</v>
      </c>
      <c r="BF21" s="532">
        <f t="shared" si="13"/>
        <v>5.5200000000000027E-2</v>
      </c>
      <c r="BG21" s="518">
        <f>BD21/Hypothèses!$B$23</f>
        <v>281.5566653885349</v>
      </c>
      <c r="BH21" s="532">
        <f t="shared" si="14"/>
        <v>0.2</v>
      </c>
      <c r="BI21" s="532">
        <f t="shared" si="14"/>
        <v>0</v>
      </c>
      <c r="BJ21" s="518">
        <f t="shared" si="26"/>
        <v>56.311333077706983</v>
      </c>
      <c r="BK21" s="533">
        <f t="shared" si="36"/>
        <v>5.005334850810117</v>
      </c>
      <c r="BL21" s="534">
        <f t="shared" si="37"/>
        <v>8.8886811539392804E-2</v>
      </c>
      <c r="BM21" s="535">
        <f t="array" ref="BM21">SUM(IF((Prod_Carburant_Alt!$A$7:$A$37=$B21)*(Prod_Carburant_Alt!$B$3:$AI$3=$C$2)*(Prod_Carburant_Alt!$B$5:$AI$5=BM$7)*(Prod_Carburant_Alt!$B$6:$AI$6=BM$9),Prod_Carburant_Alt!$B$7:$AI$37,0))</f>
        <v>5.005334850810117</v>
      </c>
      <c r="BN21" s="534">
        <f t="shared" si="27"/>
        <v>1.6102683249889993</v>
      </c>
      <c r="BO21" s="536">
        <f t="array" ref="BO21">SUM(IF((Prod_Carburant_Alt!$A$7:$A$37=$B21)*(Prod_Carburant_Alt!$B$3:$AI$3=$C$2)*(Prod_Carburant_Alt!$B$5:$AI$5=BO$7)*(Prod_Carburant_Alt!$B$6:$AI$6=BO$9),Prod_Carburant_Alt!$B$7:$AI$37,0))</f>
        <v>0.204382517533922</v>
      </c>
      <c r="BP21" s="543">
        <f t="array" ref="BP21">SUM(IF((Prod_Carburant_Alt!$A$7:$A$37=$B21)*(Prod_Carburant_Alt!$B$3:$AI$3=$C$2)*(Prod_Carburant_Alt!$B$5:$AI$5=BP$7)*(Prod_Carburant_Alt!$B$6:$AI$6=BP$9),Prod_Carburant_Alt!$B$7:$AI$37,0))</f>
        <v>0</v>
      </c>
      <c r="BQ21" s="536">
        <f t="shared" si="38"/>
        <v>0</v>
      </c>
      <c r="BR21" s="537">
        <f t="shared" si="39"/>
        <v>276.55133053772477</v>
      </c>
      <c r="BS21" s="538">
        <f t="shared" si="40"/>
        <v>5.005334850810117</v>
      </c>
      <c r="BT21" s="539">
        <f t="shared" si="41"/>
        <v>1</v>
      </c>
      <c r="BU21" s="535">
        <f t="shared" si="28"/>
        <v>5.005334850810117</v>
      </c>
      <c r="BV21" s="539">
        <f t="shared" si="42"/>
        <v>1</v>
      </c>
      <c r="BW21" s="535">
        <f t="shared" si="29"/>
        <v>0</v>
      </c>
      <c r="BX21" s="539">
        <f t="shared" si="43"/>
        <v>0</v>
      </c>
      <c r="BY21" s="538">
        <f t="shared" si="44"/>
        <v>0</v>
      </c>
      <c r="BZ21" s="540">
        <f>BY21*Hypothèses!$B$3/Hypothèses!$B$9</f>
        <v>0</v>
      </c>
      <c r="CA21" s="538">
        <f t="shared" si="45"/>
        <v>276.55133053772477</v>
      </c>
      <c r="CB21" s="533">
        <f>BW21*Prod_Carburant_Alt!$R$61+BZ21*Hypothèses!$B$13</f>
        <v>0</v>
      </c>
      <c r="CC21" s="538">
        <f t="shared" si="46"/>
        <v>0</v>
      </c>
      <c r="CD21" s="541">
        <f t="shared" si="47"/>
        <v>0</v>
      </c>
      <c r="CE21" s="537">
        <f t="shared" si="48"/>
        <v>0</v>
      </c>
      <c r="CF21" s="503">
        <f>(CA21+BU21*BO21)*Hypothèses!$D$23+CE21</f>
        <v>1040.9037505336262</v>
      </c>
      <c r="CG21" s="504">
        <f t="shared" si="16"/>
        <v>1.4143980244281524E-2</v>
      </c>
      <c r="CH21" s="503">
        <f>(CA21+BU21*BO21)*Hypothèses!$B$23</f>
        <v>874.35915044824594</v>
      </c>
      <c r="CI21" s="503">
        <f t="shared" si="49"/>
        <v>0</v>
      </c>
      <c r="CJ21" s="503">
        <f>(BU21+BW21+CA21)*Hypothèses!$B$6+BZ21*Hypothèses!$B$11</f>
        <v>9.0098132924331171</v>
      </c>
      <c r="CK21" s="503">
        <f>(BU21+BW21+CA21)*Hypothèses!$B$5+BZ21*Hypothèses!$B$10</f>
        <v>391.36376489006346</v>
      </c>
      <c r="CL21" s="542">
        <f t="shared" si="17"/>
        <v>6.8563232534797236E-2</v>
      </c>
    </row>
    <row r="22" spans="1:90" ht="14.25" customHeight="1">
      <c r="A22" s="331"/>
      <c r="B22" s="516">
        <v>2026</v>
      </c>
      <c r="C22" s="655">
        <f>Trajectoires!AA18</f>
        <v>1161.304521920868</v>
      </c>
      <c r="D22" s="659">
        <f>C22/Hypothèses!$D$23</f>
        <v>309.68120584556476</v>
      </c>
      <c r="E22" s="659">
        <f>D22*Hypothèses!$B$23</f>
        <v>975.49579841352897</v>
      </c>
      <c r="F22" s="659">
        <f>D22*Hypothèses!$B$5</f>
        <v>430.45687612533499</v>
      </c>
      <c r="G22" s="659">
        <f>D22*Hypothèses!$B$6</f>
        <v>9.9097985870580718</v>
      </c>
      <c r="H22" s="519">
        <f t="shared" si="30"/>
        <v>6.6666666666666666E-2</v>
      </c>
      <c r="I22" s="520">
        <f>IF(J22&gt;=1,ROUND(COUNTIFS($B$16:$B22,"&gt;"&amp;MAX($B22-$D$2,2019),H$16:H22,1/25)*(1/$D$2-1/25)*25,0),0)</f>
        <v>0</v>
      </c>
      <c r="J22" s="521">
        <f t="shared" si="50"/>
        <v>0.33333333333333331</v>
      </c>
      <c r="K22" s="522">
        <f>Hypothèses!$G$77</f>
        <v>0.01</v>
      </c>
      <c r="L22" s="523">
        <f t="shared" si="0"/>
        <v>9.7549579841352898</v>
      </c>
      <c r="M22" s="524">
        <f t="array" ref="M22">1-SUM(IF((Roadmap_Avion!$B$8:$B$38=$B22)*(Roadmap_Avion!$C$4:$Z$4=$B$2)*(Roadmap_Avion!$C$6:$Z$6=M$7)*(Roadmap_Avion!$C$7:$Z$7=M$9),Roadmap_Avion!$C$8:$Z$38,0))</f>
        <v>0</v>
      </c>
      <c r="N22" s="525">
        <f t="array" ref="N22">SUM(IF((Roadmap_Avion!$B$8:$B$38=$B22)*(Roadmap_Avion!$C$4:$Z$4=$B$2)*(Roadmap_Avion!$C$6:$Z$6=N$7)*(Roadmap_Avion!$C$7:$Z$7=N$9),Roadmap_Avion!$C$8:$Z$38,0))</f>
        <v>0.5</v>
      </c>
      <c r="O22" s="526">
        <f t="array" ref="O22">SUM(IF((Roadmap_Avion!$B$8:$B$38=$B22)*(Roadmap_Avion!$C$4:$Z$4=$B$2)*(Roadmap_Avion!$C$6:$Z$6=O$7)*(Roadmap_Avion!$C$7:$Z$7=O$9),Roadmap_Avion!$C$8:$Z$38,0))</f>
        <v>0</v>
      </c>
      <c r="P22" s="527">
        <f t="array" ref="P22">IF($J22&lt;1,P21+$H22*M22,SUMPRODUCT(($B$16:$B$46&lt;=$B22)*($B$16:$B$46&gt;MAX($B22-$D$2-$I22,2019))*$H$16:$H$46*M$16:M$46))</f>
        <v>0</v>
      </c>
      <c r="Q22" s="528">
        <f t="shared" si="31"/>
        <v>9.7549579841352898</v>
      </c>
      <c r="R22" s="529">
        <f t="shared" si="18"/>
        <v>2.3333333333333335E-3</v>
      </c>
      <c r="S22" s="530">
        <f t="shared" si="19"/>
        <v>0</v>
      </c>
      <c r="T22" s="522">
        <f>Hypothèses!$G$78</f>
        <v>0.03</v>
      </c>
      <c r="U22" s="523">
        <f t="shared" si="2"/>
        <v>29.264873952405868</v>
      </c>
      <c r="V22" s="524">
        <f t="array" ref="V22">1-SUM(IF((Roadmap_Avion!$B$8:$B$38=$B22)*(Roadmap_Avion!$C$4:$Z$4=$B$2)*(Roadmap_Avion!$C$6:$Z$6=V$7)*(Roadmap_Avion!$C$7:$Z$7=V$9),Roadmap_Avion!$C$8:$Z$38,0))</f>
        <v>0</v>
      </c>
      <c r="W22" s="525">
        <f t="array" ref="W22">SUM(IF((Roadmap_Avion!$B$8:$B$38=$B22)*(Roadmap_Avion!$C$4:$Z$4=$B$2)*(Roadmap_Avion!$C$6:$Z$6=W$7)*(Roadmap_Avion!$C$7:$Z$7=W$9),Roadmap_Avion!$C$8:$Z$38,0))</f>
        <v>0.5</v>
      </c>
      <c r="X22" s="526">
        <f t="array" ref="X22">SUM(IF((Roadmap_Avion!$B$8:$B$38=$B22)*(Roadmap_Avion!$C$4:$Z$4=$B$2)*(Roadmap_Avion!$C$6:$Z$6=X$7)*(Roadmap_Avion!$C$7:$Z$7=X$9),Roadmap_Avion!$C$8:$Z$38,0))</f>
        <v>0</v>
      </c>
      <c r="Y22" s="527">
        <f t="array" ref="Y22">IF($J22&lt;1,Y21+$H22*V22,SUMPRODUCT(($B$16:$B$46&lt;=$B22)*($B$16:$B$46&gt;MAX($B22-$D$2-$I22,2019))*$H$16:$H$46*V$16:V$46))</f>
        <v>0</v>
      </c>
      <c r="Z22" s="528">
        <f t="shared" si="32"/>
        <v>29.264873952405868</v>
      </c>
      <c r="AA22" s="529">
        <f t="shared" si="20"/>
        <v>7.0000000000000001E-3</v>
      </c>
      <c r="AB22" s="530">
        <f t="shared" si="21"/>
        <v>0</v>
      </c>
      <c r="AC22" s="522">
        <f>Hypothèses!$G$79</f>
        <v>0.24</v>
      </c>
      <c r="AD22" s="523">
        <f t="shared" si="4"/>
        <v>234.11899161924694</v>
      </c>
      <c r="AE22" s="524">
        <f t="array" ref="AE22">1-SUM(IF((Roadmap_Avion!$B$8:$B$38=$B22)*(Roadmap_Avion!$C$4:$Z$4=$B$2)*(Roadmap_Avion!$C$6:$Z$6=AE$7)*(Roadmap_Avion!$C$7:$Z$7=AE$9),Roadmap_Avion!$C$8:$Z$38,0))</f>
        <v>0.19999999999999996</v>
      </c>
      <c r="AF22" s="525">
        <f t="array" ref="AF22">SUM(IF((Roadmap_Avion!$B$8:$B$38=$B22)*(Roadmap_Avion!$C$4:$Z$4=$B$2)*(Roadmap_Avion!$C$6:$Z$6=AF$7)*(Roadmap_Avion!$C$7:$Z$7=AF$9),Roadmap_Avion!$C$8:$Z$38,0))</f>
        <v>0.5</v>
      </c>
      <c r="AG22" s="526">
        <f t="array" ref="AG22">SUM(IF((Roadmap_Avion!$B$8:$B$38=$B22)*(Roadmap_Avion!$C$4:$Z$4=$B$2)*(Roadmap_Avion!$C$6:$Z$6=AG$7)*(Roadmap_Avion!$C$7:$Z$7=AG$9),Roadmap_Avion!$C$8:$Z$38,0))</f>
        <v>0</v>
      </c>
      <c r="AH22" s="527">
        <f t="array" ref="AH22">IF($J22&lt;1,AH21+$H22*AE22,SUMPRODUCT(($B$16:$B$46&lt;=$B22)*($B$16:$B$46&gt;MAX($B22-$D$2-$I22,2019))*$H$16:$H$46*AE$16:AE$46))</f>
        <v>6.6666666666666652E-2</v>
      </c>
      <c r="AI22" s="528">
        <f t="shared" si="33"/>
        <v>218.51105884463047</v>
      </c>
      <c r="AJ22" s="529">
        <f t="shared" si="22"/>
        <v>5.6000000000000001E-2</v>
      </c>
      <c r="AK22" s="530">
        <f t="shared" si="23"/>
        <v>0</v>
      </c>
      <c r="AL22" s="522">
        <f>Hypothèses!$G$80</f>
        <v>0.42</v>
      </c>
      <c r="AM22" s="523">
        <f t="shared" si="6"/>
        <v>409.70823533368213</v>
      </c>
      <c r="AN22" s="524">
        <f t="array" ref="AN22">1-SUM(IF((Roadmap_Avion!$B$8:$B$38=$B22)*(Roadmap_Avion!$C$4:$Z$4=$B$2)*(Roadmap_Avion!$C$6:$Z$6=AN$7)*(Roadmap_Avion!$C$7:$Z$7=AN$9),Roadmap_Avion!$C$8:$Z$38,0))</f>
        <v>0.19999999999999996</v>
      </c>
      <c r="AO22" s="525">
        <f t="array" ref="AO22">SUM(IF((Roadmap_Avion!$B$8:$B$38=$B22)*(Roadmap_Avion!$C$4:$Z$4=$B$2)*(Roadmap_Avion!$C$6:$Z$6=AO$7)*(Roadmap_Avion!$C$7:$Z$7=AO$9),Roadmap_Avion!$C$8:$Z$38,0))</f>
        <v>0.5</v>
      </c>
      <c r="AP22" s="526">
        <f t="array" ref="AP22">SUM(IF((Roadmap_Avion!$B$8:$B$38=$B22)*(Roadmap_Avion!$C$4:$Z$4=$B$2)*(Roadmap_Avion!$C$6:$Z$6=AP$7)*(Roadmap_Avion!$C$7:$Z$7=AP$9),Roadmap_Avion!$C$8:$Z$38,0))</f>
        <v>0</v>
      </c>
      <c r="AQ22" s="527">
        <f t="array" ref="AQ22">IF($J22&lt;1,AQ21+$H22*AN22,SUMPRODUCT(($B$16:$B$46&lt;=$B22)*($B$16:$B$46&gt;MAX($B22-$D$2-$I22,2019))*$H$16:$H$46*AN$16:AN$46))</f>
        <v>6.6666666666666652E-2</v>
      </c>
      <c r="AR22" s="528">
        <f t="shared" si="34"/>
        <v>382.39435297810331</v>
      </c>
      <c r="AS22" s="529">
        <f t="shared" si="8"/>
        <v>9.8000000000000004E-2</v>
      </c>
      <c r="AT22" s="530">
        <f t="shared" si="9"/>
        <v>0</v>
      </c>
      <c r="AU22" s="531">
        <f>Hypothèses!$G$81</f>
        <v>0.3</v>
      </c>
      <c r="AV22" s="523">
        <f t="shared" si="10"/>
        <v>292.64873952405867</v>
      </c>
      <c r="AW22" s="524">
        <f t="array" ref="AW22">1-SUM(IF((Roadmap_Avion!$B$8:$B$38=$B22)*(Roadmap_Avion!$C$4:$Z$4=$B$2)*(Roadmap_Avion!$C$6:$Z$6=AW$7)*(Roadmap_Avion!$C$7:$Z$7=AW$9),Roadmap_Avion!$C$8:$Z$38,0))</f>
        <v>0.25</v>
      </c>
      <c r="AX22" s="525">
        <f t="array" ref="AX22">SUM(IF((Roadmap_Avion!$B$8:$B$38=$B22)*(Roadmap_Avion!$C$4:$Z$4=$B$2)*(Roadmap_Avion!$C$6:$Z$6=AX$7)*(Roadmap_Avion!$C$7:$Z$7=AX$9),Roadmap_Avion!$C$8:$Z$38,0))</f>
        <v>0.5</v>
      </c>
      <c r="AY22" s="526">
        <f t="array" ref="AY22">SUM(IF((Roadmap_Avion!$B$8:$B$38=$B22)*(Roadmap_Avion!$C$4:$Z$4=$B$2)*(Roadmap_Avion!$C$6:$Z$6=AY$7)*(Roadmap_Avion!$C$7:$Z$7=AY$9),Roadmap_Avion!$C$8:$Z$38,0))</f>
        <v>0</v>
      </c>
      <c r="AZ22" s="527">
        <f t="array" ref="AZ22">IF($J22&lt;1,AZ21+$H22*AW22,SUMPRODUCT(($B$16:$B$46&lt;=$B22)*($B$16:$B$46&gt;MAX($B22-$D$2-$I22,2019))*$H$16:$H$46*AW$16:AW$46))</f>
        <v>8.3333333333333329E-2</v>
      </c>
      <c r="BA22" s="528">
        <f t="shared" si="35"/>
        <v>268.26134456372046</v>
      </c>
      <c r="BB22" s="529">
        <f t="shared" si="24"/>
        <v>7.0000000000000007E-2</v>
      </c>
      <c r="BC22" s="529">
        <f t="shared" si="25"/>
        <v>0</v>
      </c>
      <c r="BD22" s="517">
        <f t="shared" si="12"/>
        <v>908.18658832299548</v>
      </c>
      <c r="BE22" s="518">
        <f>BD22*(Hypothèses!$D$23/Hypothèses!$B$23)</f>
        <v>1081.174509908328</v>
      </c>
      <c r="BF22" s="532">
        <f t="shared" si="13"/>
        <v>6.9000000000000061E-2</v>
      </c>
      <c r="BG22" s="518">
        <f>BD22/Hypothèses!$B$23</f>
        <v>288.3132026422208</v>
      </c>
      <c r="BH22" s="532">
        <f t="shared" si="14"/>
        <v>0.23333333333333334</v>
      </c>
      <c r="BI22" s="532">
        <f t="shared" si="14"/>
        <v>0</v>
      </c>
      <c r="BJ22" s="518">
        <f t="shared" si="26"/>
        <v>67.273080616518186</v>
      </c>
      <c r="BK22" s="533">
        <f t="shared" si="36"/>
        <v>6.2566685635126458</v>
      </c>
      <c r="BL22" s="534">
        <f t="shared" si="37"/>
        <v>9.3004044205705474E-2</v>
      </c>
      <c r="BM22" s="535">
        <f t="array" ref="BM22">SUM(IF((Prod_Carburant_Alt!$A$7:$A$37=$B22)*(Prod_Carburant_Alt!$B$3:$AI$3=$C$2)*(Prod_Carburant_Alt!$B$5:$AI$5=BM$7)*(Prod_Carburant_Alt!$B$6:$AI$6=BM$9),Prod_Carburant_Alt!$B$7:$AI$37,0))</f>
        <v>6.2566685635126458</v>
      </c>
      <c r="BN22" s="534">
        <f t="shared" si="27"/>
        <v>1.3478846986334114</v>
      </c>
      <c r="BO22" s="536">
        <f t="array" ref="BO22">SUM(IF((Prod_Carburant_Alt!$A$7:$A$37=$B22)*(Prod_Carburant_Alt!$B$3:$AI$3=$C$2)*(Prod_Carburant_Alt!$B$5:$AI$5=BO$7)*(Prod_Carburant_Alt!$B$6:$AI$6=BO$9),Prod_Carburant_Alt!$B$7:$AI$37,0))</f>
        <v>0.204382517533922</v>
      </c>
      <c r="BP22" s="543">
        <f t="array" ref="BP22">SUM(IF((Prod_Carburant_Alt!$A$7:$A$37=$B22)*(Prod_Carburant_Alt!$B$3:$AI$3=$C$2)*(Prod_Carburant_Alt!$B$5:$AI$5=BP$7)*(Prod_Carburant_Alt!$B$6:$AI$6=BP$9),Prod_Carburant_Alt!$B$7:$AI$37,0))</f>
        <v>0</v>
      </c>
      <c r="BQ22" s="536">
        <f t="shared" si="38"/>
        <v>0</v>
      </c>
      <c r="BR22" s="537">
        <f t="shared" si="39"/>
        <v>282.05653407870818</v>
      </c>
      <c r="BS22" s="538">
        <f t="shared" si="40"/>
        <v>6.2566685635126458</v>
      </c>
      <c r="BT22" s="539">
        <f t="shared" si="41"/>
        <v>1</v>
      </c>
      <c r="BU22" s="535">
        <f t="shared" si="28"/>
        <v>6.2566685635126458</v>
      </c>
      <c r="BV22" s="539">
        <f t="shared" si="42"/>
        <v>1</v>
      </c>
      <c r="BW22" s="535">
        <f t="shared" si="29"/>
        <v>0</v>
      </c>
      <c r="BX22" s="539">
        <f t="shared" si="43"/>
        <v>0</v>
      </c>
      <c r="BY22" s="538">
        <f t="shared" si="44"/>
        <v>0</v>
      </c>
      <c r="BZ22" s="540">
        <f>BY22*Hypothèses!$B$3/Hypothèses!$B$9</f>
        <v>0</v>
      </c>
      <c r="CA22" s="538">
        <f t="shared" si="45"/>
        <v>282.05653407870818</v>
      </c>
      <c r="CB22" s="533">
        <f>BW22*Prod_Carburant_Alt!$R$61+BZ22*Hypothèses!$B$13</f>
        <v>0</v>
      </c>
      <c r="CC22" s="538">
        <f t="shared" si="46"/>
        <v>0</v>
      </c>
      <c r="CD22" s="541">
        <f t="shared" si="47"/>
        <v>0</v>
      </c>
      <c r="CE22" s="537">
        <f t="shared" si="48"/>
        <v>0</v>
      </c>
      <c r="CF22" s="503">
        <f>(CA22+BU22*BO22)*Hypothèses!$D$23+CE22</f>
        <v>1062.5073290666035</v>
      </c>
      <c r="CG22" s="504">
        <f t="shared" si="16"/>
        <v>1.7265650152358203E-2</v>
      </c>
      <c r="CH22" s="503">
        <f>(CA22+BU22*BO22)*Hypothèses!$B$23</f>
        <v>892.50615641594686</v>
      </c>
      <c r="CI22" s="503">
        <f t="shared" si="49"/>
        <v>0</v>
      </c>
      <c r="CJ22" s="503">
        <f>(BU22+BW22+CA22)*Hypothèses!$B$6+BZ22*Hypothèses!$B$11</f>
        <v>9.2260224845510663</v>
      </c>
      <c r="CK22" s="503">
        <f>(BU22+BW22+CA22)*Hypothèses!$B$5+BZ22*Hypothèses!$B$10</f>
        <v>400.75535167268691</v>
      </c>
      <c r="CL22" s="542">
        <f t="shared" si="17"/>
        <v>8.5074320291845557E-2</v>
      </c>
    </row>
    <row r="23" spans="1:90" ht="14.25" customHeight="1">
      <c r="A23" s="331"/>
      <c r="B23" s="516">
        <v>2027</v>
      </c>
      <c r="C23" s="655">
        <f>Trajectoires!AA19</f>
        <v>1206.6978849145908</v>
      </c>
      <c r="D23" s="659">
        <f>C23/Hypothèses!$D$23</f>
        <v>321.78610264389084</v>
      </c>
      <c r="E23" s="659">
        <f>D23*Hypothèses!$B$23</f>
        <v>1013.6262233282562</v>
      </c>
      <c r="F23" s="659">
        <f>D23*Hypothèses!$B$5</f>
        <v>447.28268267500823</v>
      </c>
      <c r="G23" s="659">
        <f>D23*Hypothèses!$B$6</f>
        <v>10.297155284604507</v>
      </c>
      <c r="H23" s="519">
        <f t="shared" si="30"/>
        <v>6.6666666666666666E-2</v>
      </c>
      <c r="I23" s="520">
        <f>IF(J23&gt;=1,ROUND(COUNTIFS($B$16:$B23,"&gt;"&amp;MAX($B23-$D$2,2019),H$16:H23,1/25)*(1/$D$2-1/25)*25,0),0)</f>
        <v>0</v>
      </c>
      <c r="J23" s="521">
        <f t="shared" si="50"/>
        <v>0.39999999999999997</v>
      </c>
      <c r="K23" s="522">
        <f>Hypothèses!$G$77</f>
        <v>0.01</v>
      </c>
      <c r="L23" s="523">
        <f t="shared" si="0"/>
        <v>10.136262233282562</v>
      </c>
      <c r="M23" s="524">
        <f t="array" ref="M23">1-SUM(IF((Roadmap_Avion!$B$8:$B$38=$B23)*(Roadmap_Avion!$C$4:$Z$4=$B$2)*(Roadmap_Avion!$C$6:$Z$6=M$7)*(Roadmap_Avion!$C$7:$Z$7=M$9),Roadmap_Avion!$C$8:$Z$38,0))</f>
        <v>0</v>
      </c>
      <c r="N23" s="525">
        <f t="array" ref="N23">SUM(IF((Roadmap_Avion!$B$8:$B$38=$B23)*(Roadmap_Avion!$C$4:$Z$4=$B$2)*(Roadmap_Avion!$C$6:$Z$6=N$7)*(Roadmap_Avion!$C$7:$Z$7=N$9),Roadmap_Avion!$C$8:$Z$38,0))</f>
        <v>0.5</v>
      </c>
      <c r="O23" s="526">
        <f t="array" ref="O23">SUM(IF((Roadmap_Avion!$B$8:$B$38=$B23)*(Roadmap_Avion!$C$4:$Z$4=$B$2)*(Roadmap_Avion!$C$6:$Z$6=O$7)*(Roadmap_Avion!$C$7:$Z$7=O$9),Roadmap_Avion!$C$8:$Z$38,0))</f>
        <v>0</v>
      </c>
      <c r="P23" s="527">
        <f t="array" ref="P23">IF($J23&lt;1,P22+$H23*M23,SUMPRODUCT(($B$16:$B$46&lt;=$B23)*($B$16:$B$46&gt;MAX($B23-$D$2-$I23,2019))*$H$16:$H$46*M$16:M$46))</f>
        <v>0</v>
      </c>
      <c r="Q23" s="528">
        <f t="shared" si="31"/>
        <v>10.136262233282562</v>
      </c>
      <c r="R23" s="529">
        <f t="shared" si="18"/>
        <v>2.6666666666666666E-3</v>
      </c>
      <c r="S23" s="530">
        <f t="shared" si="19"/>
        <v>0</v>
      </c>
      <c r="T23" s="522">
        <f>Hypothèses!$G$78</f>
        <v>0.03</v>
      </c>
      <c r="U23" s="523">
        <f t="shared" si="2"/>
        <v>30.408786699847685</v>
      </c>
      <c r="V23" s="524">
        <f t="array" ref="V23">1-SUM(IF((Roadmap_Avion!$B$8:$B$38=$B23)*(Roadmap_Avion!$C$4:$Z$4=$B$2)*(Roadmap_Avion!$C$6:$Z$6=V$7)*(Roadmap_Avion!$C$7:$Z$7=V$9),Roadmap_Avion!$C$8:$Z$38,0))</f>
        <v>0</v>
      </c>
      <c r="W23" s="525">
        <f t="array" ref="W23">SUM(IF((Roadmap_Avion!$B$8:$B$38=$B23)*(Roadmap_Avion!$C$4:$Z$4=$B$2)*(Roadmap_Avion!$C$6:$Z$6=W$7)*(Roadmap_Avion!$C$7:$Z$7=W$9),Roadmap_Avion!$C$8:$Z$38,0))</f>
        <v>0.5</v>
      </c>
      <c r="X23" s="526">
        <f t="array" ref="X23">SUM(IF((Roadmap_Avion!$B$8:$B$38=$B23)*(Roadmap_Avion!$C$4:$Z$4=$B$2)*(Roadmap_Avion!$C$6:$Z$6=X$7)*(Roadmap_Avion!$C$7:$Z$7=X$9),Roadmap_Avion!$C$8:$Z$38,0))</f>
        <v>0</v>
      </c>
      <c r="Y23" s="527">
        <f t="array" ref="Y23">IF($J23&lt;1,Y22+$H23*V23,SUMPRODUCT(($B$16:$B$46&lt;=$B23)*($B$16:$B$46&gt;MAX($B23-$D$2-$I23,2019))*$H$16:$H$46*V$16:V$46))</f>
        <v>0</v>
      </c>
      <c r="Z23" s="528">
        <f t="shared" si="32"/>
        <v>30.408786699847685</v>
      </c>
      <c r="AA23" s="529">
        <f t="shared" si="20"/>
        <v>8.0000000000000002E-3</v>
      </c>
      <c r="AB23" s="530">
        <f t="shared" si="21"/>
        <v>0</v>
      </c>
      <c r="AC23" s="522">
        <f>Hypothèses!$G$79</f>
        <v>0.24</v>
      </c>
      <c r="AD23" s="523">
        <f t="shared" si="4"/>
        <v>243.27029359878148</v>
      </c>
      <c r="AE23" s="524">
        <f t="array" ref="AE23">1-SUM(IF((Roadmap_Avion!$B$8:$B$38=$B23)*(Roadmap_Avion!$C$4:$Z$4=$B$2)*(Roadmap_Avion!$C$6:$Z$6=AE$7)*(Roadmap_Avion!$C$7:$Z$7=AE$9),Roadmap_Avion!$C$8:$Z$38,0))</f>
        <v>0.19999999999999996</v>
      </c>
      <c r="AF23" s="525">
        <f t="array" ref="AF23">SUM(IF((Roadmap_Avion!$B$8:$B$38=$B23)*(Roadmap_Avion!$C$4:$Z$4=$B$2)*(Roadmap_Avion!$C$6:$Z$6=AF$7)*(Roadmap_Avion!$C$7:$Z$7=AF$9),Roadmap_Avion!$C$8:$Z$38,0))</f>
        <v>0.5</v>
      </c>
      <c r="AG23" s="526">
        <f t="array" ref="AG23">SUM(IF((Roadmap_Avion!$B$8:$B$38=$B23)*(Roadmap_Avion!$C$4:$Z$4=$B$2)*(Roadmap_Avion!$C$6:$Z$6=AG$7)*(Roadmap_Avion!$C$7:$Z$7=AG$9),Roadmap_Avion!$C$8:$Z$38,0))</f>
        <v>0</v>
      </c>
      <c r="AH23" s="527">
        <f t="array" ref="AH23">IF($J23&lt;1,AH22+$H23*AE23,SUMPRODUCT(($B$16:$B$46&lt;=$B23)*($B$16:$B$46&gt;MAX($B23-$D$2-$I23,2019))*$H$16:$H$46*AE$16:AE$46))</f>
        <v>7.9999999999999988E-2</v>
      </c>
      <c r="AI23" s="528">
        <f t="shared" si="33"/>
        <v>223.80867011087898</v>
      </c>
      <c r="AJ23" s="529">
        <f t="shared" si="22"/>
        <v>6.4000000000000001E-2</v>
      </c>
      <c r="AK23" s="530">
        <f t="shared" si="23"/>
        <v>0</v>
      </c>
      <c r="AL23" s="522">
        <f>Hypothèses!$G$80</f>
        <v>0.42</v>
      </c>
      <c r="AM23" s="523">
        <f t="shared" si="6"/>
        <v>425.72301379786757</v>
      </c>
      <c r="AN23" s="524">
        <f t="array" ref="AN23">1-SUM(IF((Roadmap_Avion!$B$8:$B$38=$B23)*(Roadmap_Avion!$C$4:$Z$4=$B$2)*(Roadmap_Avion!$C$6:$Z$6=AN$7)*(Roadmap_Avion!$C$7:$Z$7=AN$9),Roadmap_Avion!$C$8:$Z$38,0))</f>
        <v>0.19999999999999996</v>
      </c>
      <c r="AO23" s="525">
        <f t="array" ref="AO23">SUM(IF((Roadmap_Avion!$B$8:$B$38=$B23)*(Roadmap_Avion!$C$4:$Z$4=$B$2)*(Roadmap_Avion!$C$6:$Z$6=AO$7)*(Roadmap_Avion!$C$7:$Z$7=AO$9),Roadmap_Avion!$C$8:$Z$38,0))</f>
        <v>0.5</v>
      </c>
      <c r="AP23" s="526">
        <f t="array" ref="AP23">SUM(IF((Roadmap_Avion!$B$8:$B$38=$B23)*(Roadmap_Avion!$C$4:$Z$4=$B$2)*(Roadmap_Avion!$C$6:$Z$6=AP$7)*(Roadmap_Avion!$C$7:$Z$7=AP$9),Roadmap_Avion!$C$8:$Z$38,0))</f>
        <v>0</v>
      </c>
      <c r="AQ23" s="527">
        <f t="array" ref="AQ23">IF($J23&lt;1,AQ22+$H23*AN23,SUMPRODUCT(($B$16:$B$46&lt;=$B23)*($B$16:$B$46&gt;MAX($B23-$D$2-$I23,2019))*$H$16:$H$46*AN$16:AN$46))</f>
        <v>7.9999999999999988E-2</v>
      </c>
      <c r="AR23" s="528">
        <f t="shared" si="34"/>
        <v>391.66517269403818</v>
      </c>
      <c r="AS23" s="529">
        <f t="shared" si="8"/>
        <v>0.112</v>
      </c>
      <c r="AT23" s="530">
        <f t="shared" si="9"/>
        <v>0</v>
      </c>
      <c r="AU23" s="531">
        <f>Hypothèses!$G$81</f>
        <v>0.3</v>
      </c>
      <c r="AV23" s="523">
        <f t="shared" si="10"/>
        <v>304.08786699847684</v>
      </c>
      <c r="AW23" s="524">
        <f t="array" ref="AW23">1-SUM(IF((Roadmap_Avion!$B$8:$B$38=$B23)*(Roadmap_Avion!$C$4:$Z$4=$B$2)*(Roadmap_Avion!$C$6:$Z$6=AW$7)*(Roadmap_Avion!$C$7:$Z$7=AW$9),Roadmap_Avion!$C$8:$Z$38,0))</f>
        <v>0.25</v>
      </c>
      <c r="AX23" s="525">
        <f t="array" ref="AX23">SUM(IF((Roadmap_Avion!$B$8:$B$38=$B23)*(Roadmap_Avion!$C$4:$Z$4=$B$2)*(Roadmap_Avion!$C$6:$Z$6=AX$7)*(Roadmap_Avion!$C$7:$Z$7=AX$9),Roadmap_Avion!$C$8:$Z$38,0))</f>
        <v>0.5</v>
      </c>
      <c r="AY23" s="526">
        <f t="array" ref="AY23">SUM(IF((Roadmap_Avion!$B$8:$B$38=$B23)*(Roadmap_Avion!$C$4:$Z$4=$B$2)*(Roadmap_Avion!$C$6:$Z$6=AY$7)*(Roadmap_Avion!$C$7:$Z$7=AY$9),Roadmap_Avion!$C$8:$Z$38,0))</f>
        <v>0</v>
      </c>
      <c r="AZ23" s="527">
        <f t="array" ref="AZ23">IF($J23&lt;1,AZ22+$H23*AW23,SUMPRODUCT(($B$16:$B$46&lt;=$B23)*($B$16:$B$46&gt;MAX($B23-$D$2-$I23,2019))*$H$16:$H$46*AW$16:AW$46))</f>
        <v>9.9999999999999992E-2</v>
      </c>
      <c r="BA23" s="528">
        <f t="shared" si="35"/>
        <v>273.67908029862917</v>
      </c>
      <c r="BB23" s="529">
        <f t="shared" si="24"/>
        <v>0.08</v>
      </c>
      <c r="BC23" s="529">
        <f t="shared" si="25"/>
        <v>0</v>
      </c>
      <c r="BD23" s="517">
        <f t="shared" si="12"/>
        <v>929.69797203667656</v>
      </c>
      <c r="BE23" s="518">
        <f>BD23*(Hypothèses!$D$23/Hypothèses!$B$23)</f>
        <v>1106.7833000436626</v>
      </c>
      <c r="BF23" s="532">
        <f t="shared" si="13"/>
        <v>8.2799999999999985E-2</v>
      </c>
      <c r="BG23" s="518">
        <f>BD23/Hypothèses!$B$23</f>
        <v>295.14221334497671</v>
      </c>
      <c r="BH23" s="532">
        <f t="shared" si="14"/>
        <v>0.26666666666666666</v>
      </c>
      <c r="BI23" s="532">
        <f t="shared" si="14"/>
        <v>0</v>
      </c>
      <c r="BJ23" s="518">
        <f t="shared" si="26"/>
        <v>78.704590225327124</v>
      </c>
      <c r="BK23" s="533">
        <f t="shared" si="36"/>
        <v>7.8208357043908077</v>
      </c>
      <c r="BL23" s="534">
        <f t="shared" si="37"/>
        <v>9.9369499059713859E-2</v>
      </c>
      <c r="BM23" s="535">
        <f t="array" ref="BM23">SUM(IF((Prod_Carburant_Alt!$A$7:$A$37=$B23)*(Prod_Carburant_Alt!$B$3:$AI$3=$C$2)*(Prod_Carburant_Alt!$B$5:$AI$5=BM$7)*(Prod_Carburant_Alt!$B$6:$AI$6=BM$9),Prod_Carburant_Alt!$B$7:$AI$37,0))</f>
        <v>7.8208357043908077</v>
      </c>
      <c r="BN23" s="534">
        <f t="shared" si="27"/>
        <v>1.2001147229434044</v>
      </c>
      <c r="BO23" s="536">
        <f t="array" ref="BO23">SUM(IF((Prod_Carburant_Alt!$A$7:$A$37=$B23)*(Prod_Carburant_Alt!$B$3:$AI$3=$C$2)*(Prod_Carburant_Alt!$B$5:$AI$5=BO$7)*(Prod_Carburant_Alt!$B$6:$AI$6=BO$9),Prod_Carburant_Alt!$B$7:$AI$37,0))</f>
        <v>0.20438251753392203</v>
      </c>
      <c r="BP23" s="543">
        <f t="array" ref="BP23">SUM(IF((Prod_Carburant_Alt!$A$7:$A$37=$B23)*(Prod_Carburant_Alt!$B$3:$AI$3=$C$2)*(Prod_Carburant_Alt!$B$5:$AI$5=BP$7)*(Prod_Carburant_Alt!$B$6:$AI$6=BP$9),Prod_Carburant_Alt!$B$7:$AI$37,0))</f>
        <v>0</v>
      </c>
      <c r="BQ23" s="536">
        <f t="shared" si="38"/>
        <v>0</v>
      </c>
      <c r="BR23" s="537">
        <f t="shared" si="39"/>
        <v>287.32137764058592</v>
      </c>
      <c r="BS23" s="538">
        <f t="shared" si="40"/>
        <v>7.8208357043908077</v>
      </c>
      <c r="BT23" s="539">
        <f t="shared" si="41"/>
        <v>1</v>
      </c>
      <c r="BU23" s="535">
        <f t="shared" si="28"/>
        <v>7.8208357043908077</v>
      </c>
      <c r="BV23" s="539">
        <f t="shared" si="42"/>
        <v>1</v>
      </c>
      <c r="BW23" s="535">
        <f t="shared" si="29"/>
        <v>0</v>
      </c>
      <c r="BX23" s="539">
        <f t="shared" si="43"/>
        <v>0</v>
      </c>
      <c r="BY23" s="538">
        <f t="shared" si="44"/>
        <v>0</v>
      </c>
      <c r="BZ23" s="540">
        <f>BY23*Hypothèses!$B$3/Hypothèses!$B$9</f>
        <v>0</v>
      </c>
      <c r="CA23" s="538">
        <f t="shared" si="45"/>
        <v>287.32137764058592</v>
      </c>
      <c r="CB23" s="533">
        <f>BW23*Prod_Carburant_Alt!$R$61+BZ23*Hypothèses!$B$13</f>
        <v>0</v>
      </c>
      <c r="CC23" s="538">
        <f t="shared" si="46"/>
        <v>0</v>
      </c>
      <c r="CD23" s="541">
        <f t="shared" si="47"/>
        <v>0</v>
      </c>
      <c r="CE23" s="537">
        <f t="shared" si="48"/>
        <v>0</v>
      </c>
      <c r="CF23" s="503">
        <f>(CA23+BU23*BO23)*Hypothèses!$D$23+CE23</f>
        <v>1083.4493239915068</v>
      </c>
      <c r="CG23" s="504">
        <f t="shared" si="16"/>
        <v>2.1082696180214546E-2</v>
      </c>
      <c r="CH23" s="503">
        <f>(CA23+BU23*BO23)*Hypothèses!$B$23</f>
        <v>910.09743215286585</v>
      </c>
      <c r="CI23" s="503">
        <f t="shared" si="49"/>
        <v>0</v>
      </c>
      <c r="CJ23" s="503">
        <f>(BU23+BW23+CA23)*Hypothèses!$B$6+BZ23*Hypothèses!$B$11</f>
        <v>9.4445508270392544</v>
      </c>
      <c r="CK23" s="503">
        <f>(BU23+BW23+CA23)*Hypothèses!$B$5+BZ23*Hypothèses!$B$10</f>
        <v>410.24767654951762</v>
      </c>
      <c r="CL23" s="542">
        <f t="shared" si="17"/>
        <v>0.10213704893649279</v>
      </c>
    </row>
    <row r="24" spans="1:90" ht="14.25" customHeight="1">
      <c r="A24" s="331"/>
      <c r="B24" s="516">
        <v>2028</v>
      </c>
      <c r="C24" s="655">
        <f>Trajectoires!AA20</f>
        <v>1253.748991702465</v>
      </c>
      <c r="D24" s="659">
        <f>C24/Hypothèses!$D$23</f>
        <v>334.33306445399069</v>
      </c>
      <c r="E24" s="659">
        <f>D24*Hypothèses!$B$23</f>
        <v>1053.1491530300707</v>
      </c>
      <c r="F24" s="659">
        <f>D24*Hypothèses!$B$5</f>
        <v>464.72295959104702</v>
      </c>
      <c r="G24" s="659">
        <f>D24*Hypothèses!$B$6</f>
        <v>10.698658062527702</v>
      </c>
      <c r="H24" s="519">
        <f t="shared" si="30"/>
        <v>6.6666666666666666E-2</v>
      </c>
      <c r="I24" s="520">
        <f>IF(J24&gt;=1,ROUND(COUNTIFS($B$16:$B24,"&gt;"&amp;MAX($B24-$D$2,2019),H$16:H24,1/25)*(1/$D$2-1/25)*25,0),0)</f>
        <v>0</v>
      </c>
      <c r="J24" s="521">
        <f t="shared" si="50"/>
        <v>0.46666666666666662</v>
      </c>
      <c r="K24" s="522">
        <f>Hypothèses!$G$77</f>
        <v>0.01</v>
      </c>
      <c r="L24" s="523">
        <f t="shared" si="0"/>
        <v>10.531491530300707</v>
      </c>
      <c r="M24" s="524">
        <f t="array" ref="M24">1-SUM(IF((Roadmap_Avion!$B$8:$B$38=$B24)*(Roadmap_Avion!$C$4:$Z$4=$B$2)*(Roadmap_Avion!$C$6:$Z$6=M$7)*(Roadmap_Avion!$C$7:$Z$7=M$9),Roadmap_Avion!$C$8:$Z$38,0))</f>
        <v>0</v>
      </c>
      <c r="N24" s="525">
        <f t="array" ref="N24">SUM(IF((Roadmap_Avion!$B$8:$B$38=$B24)*(Roadmap_Avion!$C$4:$Z$4=$B$2)*(Roadmap_Avion!$C$6:$Z$6=N$7)*(Roadmap_Avion!$C$7:$Z$7=N$9),Roadmap_Avion!$C$8:$Z$38,0))</f>
        <v>0.5</v>
      </c>
      <c r="O24" s="526">
        <f t="array" ref="O24">SUM(IF((Roadmap_Avion!$B$8:$B$38=$B24)*(Roadmap_Avion!$C$4:$Z$4=$B$2)*(Roadmap_Avion!$C$6:$Z$6=O$7)*(Roadmap_Avion!$C$7:$Z$7=O$9),Roadmap_Avion!$C$8:$Z$38,0))</f>
        <v>0</v>
      </c>
      <c r="P24" s="527">
        <f t="array" ref="P24">IF($J24&lt;1,P23+$H24*M24,SUMPRODUCT(($B$16:$B$46&lt;=$B24)*($B$16:$B$46&gt;MAX($B24-$D$2-$I24,2019))*$H$16:$H$46*M$16:M$46))</f>
        <v>0</v>
      </c>
      <c r="Q24" s="528">
        <f t="shared" si="31"/>
        <v>10.531491530300707</v>
      </c>
      <c r="R24" s="529">
        <f t="shared" si="18"/>
        <v>3.0000000000000001E-3</v>
      </c>
      <c r="S24" s="530">
        <f t="shared" si="19"/>
        <v>0</v>
      </c>
      <c r="T24" s="522">
        <f>Hypothèses!$G$78</f>
        <v>0.03</v>
      </c>
      <c r="U24" s="523">
        <f t="shared" si="2"/>
        <v>31.59447459090212</v>
      </c>
      <c r="V24" s="524">
        <f t="array" ref="V24">1-SUM(IF((Roadmap_Avion!$B$8:$B$38=$B24)*(Roadmap_Avion!$C$4:$Z$4=$B$2)*(Roadmap_Avion!$C$6:$Z$6=V$7)*(Roadmap_Avion!$C$7:$Z$7=V$9),Roadmap_Avion!$C$8:$Z$38,0))</f>
        <v>0</v>
      </c>
      <c r="W24" s="525">
        <f t="array" ref="W24">SUM(IF((Roadmap_Avion!$B$8:$B$38=$B24)*(Roadmap_Avion!$C$4:$Z$4=$B$2)*(Roadmap_Avion!$C$6:$Z$6=W$7)*(Roadmap_Avion!$C$7:$Z$7=W$9),Roadmap_Avion!$C$8:$Z$38,0))</f>
        <v>0.5</v>
      </c>
      <c r="X24" s="526">
        <f t="array" ref="X24">SUM(IF((Roadmap_Avion!$B$8:$B$38=$B24)*(Roadmap_Avion!$C$4:$Z$4=$B$2)*(Roadmap_Avion!$C$6:$Z$6=X$7)*(Roadmap_Avion!$C$7:$Z$7=X$9),Roadmap_Avion!$C$8:$Z$38,0))</f>
        <v>0</v>
      </c>
      <c r="Y24" s="527">
        <f t="array" ref="Y24">IF($J24&lt;1,Y23+$H24*V24,SUMPRODUCT(($B$16:$B$46&lt;=$B24)*($B$16:$B$46&gt;MAX($B24-$D$2-$I24,2019))*$H$16:$H$46*V$16:V$46))</f>
        <v>0</v>
      </c>
      <c r="Z24" s="528">
        <f t="shared" si="32"/>
        <v>31.59447459090212</v>
      </c>
      <c r="AA24" s="529">
        <f t="shared" si="20"/>
        <v>9.0000000000000011E-3</v>
      </c>
      <c r="AB24" s="530">
        <f t="shared" si="21"/>
        <v>0</v>
      </c>
      <c r="AC24" s="522">
        <f>Hypothèses!$G$79</f>
        <v>0.24</v>
      </c>
      <c r="AD24" s="523">
        <f t="shared" si="4"/>
        <v>252.75579672721696</v>
      </c>
      <c r="AE24" s="524">
        <f t="array" ref="AE24">1-SUM(IF((Roadmap_Avion!$B$8:$B$38=$B24)*(Roadmap_Avion!$C$4:$Z$4=$B$2)*(Roadmap_Avion!$C$6:$Z$6=AE$7)*(Roadmap_Avion!$C$7:$Z$7=AE$9),Roadmap_Avion!$C$8:$Z$38,0))</f>
        <v>0.19999999999999996</v>
      </c>
      <c r="AF24" s="525">
        <f t="array" ref="AF24">SUM(IF((Roadmap_Avion!$B$8:$B$38=$B24)*(Roadmap_Avion!$C$4:$Z$4=$B$2)*(Roadmap_Avion!$C$6:$Z$6=AF$7)*(Roadmap_Avion!$C$7:$Z$7=AF$9),Roadmap_Avion!$C$8:$Z$38,0))</f>
        <v>0.5</v>
      </c>
      <c r="AG24" s="526">
        <f t="array" ref="AG24">SUM(IF((Roadmap_Avion!$B$8:$B$38=$B24)*(Roadmap_Avion!$C$4:$Z$4=$B$2)*(Roadmap_Avion!$C$6:$Z$6=AG$7)*(Roadmap_Avion!$C$7:$Z$7=AG$9),Roadmap_Avion!$C$8:$Z$38,0))</f>
        <v>0</v>
      </c>
      <c r="AH24" s="527">
        <f t="array" ref="AH24">IF($J24&lt;1,AH23+$H24*AE24,SUMPRODUCT(($B$16:$B$46&lt;=$B24)*($B$16:$B$46&gt;MAX($B24-$D$2-$I24,2019))*$H$16:$H$46*AE$16:AE$46))</f>
        <v>9.3333333333333324E-2</v>
      </c>
      <c r="AI24" s="528">
        <f t="shared" si="33"/>
        <v>229.16525569934339</v>
      </c>
      <c r="AJ24" s="529">
        <f t="shared" si="22"/>
        <v>7.2000000000000008E-2</v>
      </c>
      <c r="AK24" s="530">
        <f t="shared" si="23"/>
        <v>0</v>
      </c>
      <c r="AL24" s="522">
        <f>Hypothèses!$G$80</f>
        <v>0.42</v>
      </c>
      <c r="AM24" s="523">
        <f t="shared" si="6"/>
        <v>442.3226442726297</v>
      </c>
      <c r="AN24" s="524">
        <f t="array" ref="AN24">1-SUM(IF((Roadmap_Avion!$B$8:$B$38=$B24)*(Roadmap_Avion!$C$4:$Z$4=$B$2)*(Roadmap_Avion!$C$6:$Z$6=AN$7)*(Roadmap_Avion!$C$7:$Z$7=AN$9),Roadmap_Avion!$C$8:$Z$38,0))</f>
        <v>0.19999999999999996</v>
      </c>
      <c r="AO24" s="525">
        <f t="array" ref="AO24">SUM(IF((Roadmap_Avion!$B$8:$B$38=$B24)*(Roadmap_Avion!$C$4:$Z$4=$B$2)*(Roadmap_Avion!$C$6:$Z$6=AO$7)*(Roadmap_Avion!$C$7:$Z$7=AO$9),Roadmap_Avion!$C$8:$Z$38,0))</f>
        <v>0.5</v>
      </c>
      <c r="AP24" s="526">
        <f t="array" ref="AP24">SUM(IF((Roadmap_Avion!$B$8:$B$38=$B24)*(Roadmap_Avion!$C$4:$Z$4=$B$2)*(Roadmap_Avion!$C$6:$Z$6=AP$7)*(Roadmap_Avion!$C$7:$Z$7=AP$9),Roadmap_Avion!$C$8:$Z$38,0))</f>
        <v>0</v>
      </c>
      <c r="AQ24" s="527">
        <f t="array" ref="AQ24">IF($J24&lt;1,AQ23+$H24*AN24,SUMPRODUCT(($B$16:$B$46&lt;=$B24)*($B$16:$B$46&gt;MAX($B24-$D$2-$I24,2019))*$H$16:$H$46*AN$16:AN$46))</f>
        <v>9.3333333333333324E-2</v>
      </c>
      <c r="AR24" s="528">
        <f t="shared" si="34"/>
        <v>401.03919747385095</v>
      </c>
      <c r="AS24" s="529">
        <f t="shared" si="8"/>
        <v>0.126</v>
      </c>
      <c r="AT24" s="530">
        <f t="shared" si="9"/>
        <v>0</v>
      </c>
      <c r="AU24" s="531">
        <f>Hypothèses!$G$81</f>
        <v>0.3</v>
      </c>
      <c r="AV24" s="523">
        <f t="shared" si="10"/>
        <v>315.94474590902121</v>
      </c>
      <c r="AW24" s="524">
        <f t="array" ref="AW24">1-SUM(IF((Roadmap_Avion!$B$8:$B$38=$B24)*(Roadmap_Avion!$C$4:$Z$4=$B$2)*(Roadmap_Avion!$C$6:$Z$6=AW$7)*(Roadmap_Avion!$C$7:$Z$7=AW$9),Roadmap_Avion!$C$8:$Z$38,0))</f>
        <v>0.25</v>
      </c>
      <c r="AX24" s="525">
        <f t="array" ref="AX24">SUM(IF((Roadmap_Avion!$B$8:$B$38=$B24)*(Roadmap_Avion!$C$4:$Z$4=$B$2)*(Roadmap_Avion!$C$6:$Z$6=AX$7)*(Roadmap_Avion!$C$7:$Z$7=AX$9),Roadmap_Avion!$C$8:$Z$38,0))</f>
        <v>0.5</v>
      </c>
      <c r="AY24" s="526">
        <f t="array" ref="AY24">SUM(IF((Roadmap_Avion!$B$8:$B$38=$B24)*(Roadmap_Avion!$C$4:$Z$4=$B$2)*(Roadmap_Avion!$C$6:$Z$6=AY$7)*(Roadmap_Avion!$C$7:$Z$7=AY$9),Roadmap_Avion!$C$8:$Z$38,0))</f>
        <v>0</v>
      </c>
      <c r="AZ24" s="527">
        <f t="array" ref="AZ24">IF($J24&lt;1,AZ23+$H24*AW24,SUMPRODUCT(($B$16:$B$46&lt;=$B24)*($B$16:$B$46&gt;MAX($B24-$D$2-$I24,2019))*$H$16:$H$46*AW$16:AW$46))</f>
        <v>0.11666666666666665</v>
      </c>
      <c r="BA24" s="528">
        <f t="shared" si="35"/>
        <v>279.08452555296873</v>
      </c>
      <c r="BB24" s="529">
        <f t="shared" si="24"/>
        <v>0.09</v>
      </c>
      <c r="BC24" s="529">
        <f t="shared" si="25"/>
        <v>0</v>
      </c>
      <c r="BD24" s="517">
        <f t="shared" si="12"/>
        <v>951.41494484736586</v>
      </c>
      <c r="BE24" s="518">
        <f>BD24*(Hypothèses!$D$23/Hypothèses!$B$23)</f>
        <v>1132.6368391040069</v>
      </c>
      <c r="BF24" s="532">
        <f t="shared" si="13"/>
        <v>9.6600000000000019E-2</v>
      </c>
      <c r="BG24" s="518">
        <f>BD24/Hypothèses!$B$23</f>
        <v>302.0364904277352</v>
      </c>
      <c r="BH24" s="532">
        <f t="shared" si="14"/>
        <v>0.30000000000000004</v>
      </c>
      <c r="BI24" s="532">
        <f t="shared" si="14"/>
        <v>0</v>
      </c>
      <c r="BJ24" s="518">
        <f t="shared" si="26"/>
        <v>90.610947128320575</v>
      </c>
      <c r="BK24" s="533">
        <f t="shared" si="36"/>
        <v>9.77604463048851</v>
      </c>
      <c r="BL24" s="534">
        <f t="shared" si="37"/>
        <v>0.10789032606230196</v>
      </c>
      <c r="BM24" s="535">
        <f t="array" ref="BM24">SUM(IF((Prod_Carburant_Alt!$A$7:$A$37=$B24)*(Prod_Carburant_Alt!$B$3:$AI$3=$C$2)*(Prod_Carburant_Alt!$B$5:$AI$5=BM$7)*(Prod_Carburant_Alt!$B$6:$AI$6=BM$9),Prod_Carburant_Alt!$B$7:$AI$37,0))</f>
        <v>9.77604463048851</v>
      </c>
      <c r="BN24" s="534">
        <f t="shared" si="27"/>
        <v>1.1168770813902893</v>
      </c>
      <c r="BO24" s="536">
        <f t="array" ref="BO24">SUM(IF((Prod_Carburant_Alt!$A$7:$A$37=$B24)*(Prod_Carburant_Alt!$B$3:$AI$3=$C$2)*(Prod_Carburant_Alt!$B$5:$AI$5=BO$7)*(Prod_Carburant_Alt!$B$6:$AI$6=BO$9),Prod_Carburant_Alt!$B$7:$AI$37,0))</f>
        <v>0.20438251753392203</v>
      </c>
      <c r="BP24" s="543">
        <f t="array" ref="BP24">SUM(IF((Prod_Carburant_Alt!$A$7:$A$37=$B24)*(Prod_Carburant_Alt!$B$3:$AI$3=$C$2)*(Prod_Carburant_Alt!$B$5:$AI$5=BP$7)*(Prod_Carburant_Alt!$B$6:$AI$6=BP$9),Prod_Carburant_Alt!$B$7:$AI$37,0))</f>
        <v>0</v>
      </c>
      <c r="BQ24" s="536">
        <f t="shared" si="38"/>
        <v>0</v>
      </c>
      <c r="BR24" s="537">
        <f t="shared" si="39"/>
        <v>292.26044579724669</v>
      </c>
      <c r="BS24" s="538">
        <f t="shared" si="40"/>
        <v>9.77604463048851</v>
      </c>
      <c r="BT24" s="539">
        <f t="shared" si="41"/>
        <v>1</v>
      </c>
      <c r="BU24" s="535">
        <f t="shared" si="28"/>
        <v>9.77604463048851</v>
      </c>
      <c r="BV24" s="539">
        <f t="shared" si="42"/>
        <v>1</v>
      </c>
      <c r="BW24" s="535">
        <f t="shared" si="29"/>
        <v>0</v>
      </c>
      <c r="BX24" s="539">
        <f t="shared" si="43"/>
        <v>0</v>
      </c>
      <c r="BY24" s="538">
        <f t="shared" si="44"/>
        <v>0</v>
      </c>
      <c r="BZ24" s="540">
        <f>BY24*Hypothèses!$B$3/Hypothèses!$B$9</f>
        <v>0</v>
      </c>
      <c r="CA24" s="538">
        <f t="shared" si="45"/>
        <v>292.26044579724669</v>
      </c>
      <c r="CB24" s="533">
        <f>BW24*Prod_Carburant_Alt!$R$61+BZ24*Hypothèses!$B$13</f>
        <v>0</v>
      </c>
      <c r="CC24" s="538">
        <f t="shared" si="46"/>
        <v>0</v>
      </c>
      <c r="CD24" s="541">
        <f t="shared" si="47"/>
        <v>0</v>
      </c>
      <c r="CE24" s="537">
        <f t="shared" si="48"/>
        <v>0</v>
      </c>
      <c r="CF24" s="503">
        <f>(CA24+BU24*BO24)*Hypothèses!$D$23+CE24</f>
        <v>1103.4693690388121</v>
      </c>
      <c r="CG24" s="504">
        <f t="shared" si="16"/>
        <v>2.5751828881239801E-2</v>
      </c>
      <c r="CH24" s="503">
        <f>(CA24+BU24*BO24)*Hypothèses!$B$23</f>
        <v>926.91426999260216</v>
      </c>
      <c r="CI24" s="503">
        <f t="shared" si="49"/>
        <v>12.914269992602158</v>
      </c>
      <c r="CJ24" s="503">
        <f>(BU24+BW24+CA24)*Hypothèses!$B$6+BZ24*Hypothèses!$B$11</f>
        <v>9.6651676936875273</v>
      </c>
      <c r="CK24" s="503">
        <f>(BU24+BW24+CA24)*Hypothèses!$B$5+BZ24*Hypothèses!$B$10</f>
        <v>419.83072169455193</v>
      </c>
      <c r="CL24" s="542">
        <f t="shared" si="17"/>
        <v>0.11986420221131204</v>
      </c>
    </row>
    <row r="25" spans="1:90" ht="14.25" customHeight="1">
      <c r="A25" s="331"/>
      <c r="B25" s="516">
        <v>2029</v>
      </c>
      <c r="C25" s="655">
        <f>Trajectoires!AA21</f>
        <v>1302.5005775672441</v>
      </c>
      <c r="D25" s="659">
        <f>C25/Hypothèses!$D$23</f>
        <v>347.33348735126509</v>
      </c>
      <c r="E25" s="659">
        <f>D25*Hypothèses!$B$23</f>
        <v>1094.1004851564851</v>
      </c>
      <c r="F25" s="659">
        <f>D25*Hypothèses!$B$5</f>
        <v>482.79354741825847</v>
      </c>
      <c r="G25" s="659">
        <f>D25*Hypothèses!$B$6</f>
        <v>11.114671595240484</v>
      </c>
      <c r="H25" s="519">
        <f t="shared" si="30"/>
        <v>6.6666666666666666E-2</v>
      </c>
      <c r="I25" s="520">
        <f>IF(J25&gt;=1,ROUND(COUNTIFS($B$16:$B25,"&gt;"&amp;MAX($B25-$D$2,2019),H$16:H25,1/25)*(1/$D$2-1/25)*25,0),0)</f>
        <v>0</v>
      </c>
      <c r="J25" s="521">
        <f t="shared" si="50"/>
        <v>0.53333333333333333</v>
      </c>
      <c r="K25" s="522">
        <f>Hypothèses!$G$77</f>
        <v>0.01</v>
      </c>
      <c r="L25" s="523">
        <f t="shared" si="0"/>
        <v>10.941004851564852</v>
      </c>
      <c r="M25" s="524">
        <f t="array" ref="M25">1-SUM(IF((Roadmap_Avion!$B$8:$B$38=$B25)*(Roadmap_Avion!$C$4:$Z$4=$B$2)*(Roadmap_Avion!$C$6:$Z$6=M$7)*(Roadmap_Avion!$C$7:$Z$7=M$9),Roadmap_Avion!$C$8:$Z$38,0))</f>
        <v>0</v>
      </c>
      <c r="N25" s="525">
        <f t="array" ref="N25">SUM(IF((Roadmap_Avion!$B$8:$B$38=$B25)*(Roadmap_Avion!$C$4:$Z$4=$B$2)*(Roadmap_Avion!$C$6:$Z$6=N$7)*(Roadmap_Avion!$C$7:$Z$7=N$9),Roadmap_Avion!$C$8:$Z$38,0))</f>
        <v>0.5</v>
      </c>
      <c r="O25" s="526">
        <f t="array" ref="O25">SUM(IF((Roadmap_Avion!$B$8:$B$38=$B25)*(Roadmap_Avion!$C$4:$Z$4=$B$2)*(Roadmap_Avion!$C$6:$Z$6=O$7)*(Roadmap_Avion!$C$7:$Z$7=O$9),Roadmap_Avion!$C$8:$Z$38,0))</f>
        <v>0</v>
      </c>
      <c r="P25" s="527">
        <f t="array" ref="P25">IF($J25&lt;1,P24+$H25*M25,SUMPRODUCT(($B$16:$B$46&lt;=$B25)*($B$16:$B$46&gt;MAX($B25-$D$2-$I25,2019))*$H$16:$H$46*M$16:M$46))</f>
        <v>0</v>
      </c>
      <c r="Q25" s="528">
        <f t="shared" si="31"/>
        <v>10.941004851564852</v>
      </c>
      <c r="R25" s="529">
        <f t="shared" si="18"/>
        <v>3.3333333333333335E-3</v>
      </c>
      <c r="S25" s="530">
        <f t="shared" si="19"/>
        <v>0</v>
      </c>
      <c r="T25" s="522">
        <f>Hypothèses!$G$78</f>
        <v>0.03</v>
      </c>
      <c r="U25" s="523">
        <f t="shared" si="2"/>
        <v>32.823014554694552</v>
      </c>
      <c r="V25" s="524">
        <f t="array" ref="V25">1-SUM(IF((Roadmap_Avion!$B$8:$B$38=$B25)*(Roadmap_Avion!$C$4:$Z$4=$B$2)*(Roadmap_Avion!$C$6:$Z$6=V$7)*(Roadmap_Avion!$C$7:$Z$7=V$9),Roadmap_Avion!$C$8:$Z$38,0))</f>
        <v>0</v>
      </c>
      <c r="W25" s="525">
        <f t="array" ref="W25">SUM(IF((Roadmap_Avion!$B$8:$B$38=$B25)*(Roadmap_Avion!$C$4:$Z$4=$B$2)*(Roadmap_Avion!$C$6:$Z$6=W$7)*(Roadmap_Avion!$C$7:$Z$7=W$9),Roadmap_Avion!$C$8:$Z$38,0))</f>
        <v>0.5</v>
      </c>
      <c r="X25" s="526">
        <f t="array" ref="X25">SUM(IF((Roadmap_Avion!$B$8:$B$38=$B25)*(Roadmap_Avion!$C$4:$Z$4=$B$2)*(Roadmap_Avion!$C$6:$Z$6=X$7)*(Roadmap_Avion!$C$7:$Z$7=X$9),Roadmap_Avion!$C$8:$Z$38,0))</f>
        <v>0</v>
      </c>
      <c r="Y25" s="527">
        <f t="array" ref="Y25">IF($J25&lt;1,Y24+$H25*V25,SUMPRODUCT(($B$16:$B$46&lt;=$B25)*($B$16:$B$46&gt;MAX($B25-$D$2-$I25,2019))*$H$16:$H$46*V$16:V$46))</f>
        <v>0</v>
      </c>
      <c r="Z25" s="528">
        <f t="shared" si="32"/>
        <v>32.823014554694552</v>
      </c>
      <c r="AA25" s="529">
        <f t="shared" si="20"/>
        <v>0.01</v>
      </c>
      <c r="AB25" s="530">
        <f t="shared" si="21"/>
        <v>0</v>
      </c>
      <c r="AC25" s="522">
        <f>Hypothèses!$G$79</f>
        <v>0.24</v>
      </c>
      <c r="AD25" s="523">
        <f t="shared" si="4"/>
        <v>262.58411643755642</v>
      </c>
      <c r="AE25" s="524">
        <f t="array" ref="AE25">1-SUM(IF((Roadmap_Avion!$B$8:$B$38=$B25)*(Roadmap_Avion!$C$4:$Z$4=$B$2)*(Roadmap_Avion!$C$6:$Z$6=AE$7)*(Roadmap_Avion!$C$7:$Z$7=AE$9),Roadmap_Avion!$C$8:$Z$38,0))</f>
        <v>0.19999999999999996</v>
      </c>
      <c r="AF25" s="525">
        <f t="array" ref="AF25">SUM(IF((Roadmap_Avion!$B$8:$B$38=$B25)*(Roadmap_Avion!$C$4:$Z$4=$B$2)*(Roadmap_Avion!$C$6:$Z$6=AF$7)*(Roadmap_Avion!$C$7:$Z$7=AF$9),Roadmap_Avion!$C$8:$Z$38,0))</f>
        <v>0.5</v>
      </c>
      <c r="AG25" s="526">
        <f t="array" ref="AG25">SUM(IF((Roadmap_Avion!$B$8:$B$38=$B25)*(Roadmap_Avion!$C$4:$Z$4=$B$2)*(Roadmap_Avion!$C$6:$Z$6=AG$7)*(Roadmap_Avion!$C$7:$Z$7=AG$9),Roadmap_Avion!$C$8:$Z$38,0))</f>
        <v>0</v>
      </c>
      <c r="AH25" s="527">
        <f t="array" ref="AH25">IF($J25&lt;1,AH24+$H25*AE25,SUMPRODUCT(($B$16:$B$46&lt;=$B25)*($B$16:$B$46&gt;MAX($B25-$D$2-$I25,2019))*$H$16:$H$46*AE$16:AE$46))</f>
        <v>0.10666666666666666</v>
      </c>
      <c r="AI25" s="528">
        <f t="shared" si="33"/>
        <v>234.5751440175504</v>
      </c>
      <c r="AJ25" s="529">
        <f t="shared" si="22"/>
        <v>0.08</v>
      </c>
      <c r="AK25" s="530">
        <f t="shared" si="23"/>
        <v>0</v>
      </c>
      <c r="AL25" s="522">
        <f>Hypothèses!$G$80</f>
        <v>0.42</v>
      </c>
      <c r="AM25" s="523">
        <f t="shared" si="6"/>
        <v>459.5222037657237</v>
      </c>
      <c r="AN25" s="524">
        <f t="array" ref="AN25">1-SUM(IF((Roadmap_Avion!$B$8:$B$38=$B25)*(Roadmap_Avion!$C$4:$Z$4=$B$2)*(Roadmap_Avion!$C$6:$Z$6=AN$7)*(Roadmap_Avion!$C$7:$Z$7=AN$9),Roadmap_Avion!$C$8:$Z$38,0))</f>
        <v>0.19999999999999996</v>
      </c>
      <c r="AO25" s="525">
        <f t="array" ref="AO25">SUM(IF((Roadmap_Avion!$B$8:$B$38=$B25)*(Roadmap_Avion!$C$4:$Z$4=$B$2)*(Roadmap_Avion!$C$6:$Z$6=AO$7)*(Roadmap_Avion!$C$7:$Z$7=AO$9),Roadmap_Avion!$C$8:$Z$38,0))</f>
        <v>0.5</v>
      </c>
      <c r="AP25" s="526">
        <f t="array" ref="AP25">SUM(IF((Roadmap_Avion!$B$8:$B$38=$B25)*(Roadmap_Avion!$C$4:$Z$4=$B$2)*(Roadmap_Avion!$C$6:$Z$6=AP$7)*(Roadmap_Avion!$C$7:$Z$7=AP$9),Roadmap_Avion!$C$8:$Z$38,0))</f>
        <v>0</v>
      </c>
      <c r="AQ25" s="527">
        <f t="array" ref="AQ25">IF($J25&lt;1,AQ24+$H25*AN25,SUMPRODUCT(($B$16:$B$46&lt;=$B25)*($B$16:$B$46&gt;MAX($B25-$D$2-$I25,2019))*$H$16:$H$46*AN$16:AN$46))</f>
        <v>0.10666666666666666</v>
      </c>
      <c r="AR25" s="528">
        <f t="shared" si="34"/>
        <v>410.50650203071314</v>
      </c>
      <c r="AS25" s="529">
        <f t="shared" si="8"/>
        <v>0.14000000000000001</v>
      </c>
      <c r="AT25" s="530">
        <f t="shared" si="9"/>
        <v>0</v>
      </c>
      <c r="AU25" s="531">
        <f>Hypothèses!$G$81</f>
        <v>0.3</v>
      </c>
      <c r="AV25" s="523">
        <f t="shared" si="10"/>
        <v>328.23014554694549</v>
      </c>
      <c r="AW25" s="524">
        <f t="array" ref="AW25">1-SUM(IF((Roadmap_Avion!$B$8:$B$38=$B25)*(Roadmap_Avion!$C$4:$Z$4=$B$2)*(Roadmap_Avion!$C$6:$Z$6=AW$7)*(Roadmap_Avion!$C$7:$Z$7=AW$9),Roadmap_Avion!$C$8:$Z$38,0))</f>
        <v>0.25</v>
      </c>
      <c r="AX25" s="525">
        <f t="array" ref="AX25">SUM(IF((Roadmap_Avion!$B$8:$B$38=$B25)*(Roadmap_Avion!$C$4:$Z$4=$B$2)*(Roadmap_Avion!$C$6:$Z$6=AX$7)*(Roadmap_Avion!$C$7:$Z$7=AX$9),Roadmap_Avion!$C$8:$Z$38,0))</f>
        <v>0.5</v>
      </c>
      <c r="AY25" s="526">
        <f t="array" ref="AY25">SUM(IF((Roadmap_Avion!$B$8:$B$38=$B25)*(Roadmap_Avion!$C$4:$Z$4=$B$2)*(Roadmap_Avion!$C$6:$Z$6=AY$7)*(Roadmap_Avion!$C$7:$Z$7=AY$9),Roadmap_Avion!$C$8:$Z$38,0))</f>
        <v>0</v>
      </c>
      <c r="AZ25" s="527">
        <f t="array" ref="AZ25">IF($J25&lt;1,AZ24+$H25*AW25,SUMPRODUCT(($B$16:$B$46&lt;=$B25)*($B$16:$B$46&gt;MAX($B25-$D$2-$I25,2019))*$H$16:$H$46*AW$16:AW$46))</f>
        <v>0.13333333333333333</v>
      </c>
      <c r="BA25" s="528">
        <f t="shared" si="35"/>
        <v>284.46612614068613</v>
      </c>
      <c r="BB25" s="529">
        <f t="shared" si="24"/>
        <v>0.1</v>
      </c>
      <c r="BC25" s="529">
        <f t="shared" si="25"/>
        <v>0</v>
      </c>
      <c r="BD25" s="517">
        <f t="shared" si="12"/>
        <v>973.31179159520912</v>
      </c>
      <c r="BE25" s="518">
        <f>BD25*(Hypothèses!$D$23/Hypothèses!$B$23)</f>
        <v>1158.7045138038204</v>
      </c>
      <c r="BF25" s="532">
        <f t="shared" si="13"/>
        <v>0.11039999999999994</v>
      </c>
      <c r="BG25" s="518">
        <f>BD25/Hypothèses!$B$23</f>
        <v>308.98787034768543</v>
      </c>
      <c r="BH25" s="532">
        <f t="shared" si="14"/>
        <v>0.33333333333333337</v>
      </c>
      <c r="BI25" s="532">
        <f t="shared" si="14"/>
        <v>0</v>
      </c>
      <c r="BJ25" s="518">
        <f t="shared" si="26"/>
        <v>102.99595678256182</v>
      </c>
      <c r="BK25" s="533">
        <f t="shared" si="36"/>
        <v>12.220055788110637</v>
      </c>
      <c r="BL25" s="534">
        <f t="shared" si="37"/>
        <v>0.11864597572416169</v>
      </c>
      <c r="BM25" s="535">
        <f t="array" ref="BM25">SUM(IF((Prod_Carburant_Alt!$A$7:$A$37=$B25)*(Prod_Carburant_Alt!$B$3:$AI$3=$C$2)*(Prod_Carburant_Alt!$B$5:$AI$5=BM$7)*(Prod_Carburant_Alt!$B$6:$AI$6=BM$9),Prod_Carburant_Alt!$B$7:$AI$37,0))</f>
        <v>12.220055788110637</v>
      </c>
      <c r="BN25" s="534">
        <f t="shared" si="27"/>
        <v>1.0746918090956681</v>
      </c>
      <c r="BO25" s="536">
        <f t="array" ref="BO25">SUM(IF((Prod_Carburant_Alt!$A$7:$A$37=$B25)*(Prod_Carburant_Alt!$B$3:$AI$3=$C$2)*(Prod_Carburant_Alt!$B$5:$AI$5=BO$7)*(Prod_Carburant_Alt!$B$6:$AI$6=BO$9),Prod_Carburant_Alt!$B$7:$AI$37,0))</f>
        <v>0.20438251753392203</v>
      </c>
      <c r="BP25" s="543">
        <f t="array" ref="BP25">SUM(IF((Prod_Carburant_Alt!$A$7:$A$37=$B25)*(Prod_Carburant_Alt!$B$3:$AI$3=$C$2)*(Prod_Carburant_Alt!$B$5:$AI$5=BP$7)*(Prod_Carburant_Alt!$B$6:$AI$6=BP$9),Prod_Carburant_Alt!$B$7:$AI$37,0))</f>
        <v>0</v>
      </c>
      <c r="BQ25" s="536">
        <f t="shared" si="38"/>
        <v>0</v>
      </c>
      <c r="BR25" s="537">
        <f t="shared" si="39"/>
        <v>296.76781455957479</v>
      </c>
      <c r="BS25" s="538">
        <f t="shared" si="40"/>
        <v>12.220055788110637</v>
      </c>
      <c r="BT25" s="539">
        <f t="shared" si="41"/>
        <v>1</v>
      </c>
      <c r="BU25" s="535">
        <f t="shared" si="28"/>
        <v>12.220055788110637</v>
      </c>
      <c r="BV25" s="539">
        <f t="shared" si="42"/>
        <v>1</v>
      </c>
      <c r="BW25" s="535">
        <f t="shared" si="29"/>
        <v>0</v>
      </c>
      <c r="BX25" s="539">
        <f t="shared" si="43"/>
        <v>0</v>
      </c>
      <c r="BY25" s="538">
        <f t="shared" si="44"/>
        <v>0</v>
      </c>
      <c r="BZ25" s="540">
        <f>BY25*Hypothèses!$B$3/Hypothèses!$B$9</f>
        <v>0</v>
      </c>
      <c r="CA25" s="538">
        <f t="shared" si="45"/>
        <v>296.76781455957479</v>
      </c>
      <c r="CB25" s="533">
        <f>BW25*Prod_Carburant_Alt!$R$61+BZ25*Hypothèses!$B$13</f>
        <v>0</v>
      </c>
      <c r="CC25" s="538">
        <f t="shared" si="46"/>
        <v>0</v>
      </c>
      <c r="CD25" s="541">
        <f t="shared" si="47"/>
        <v>0</v>
      </c>
      <c r="CE25" s="537">
        <f t="shared" si="48"/>
        <v>0</v>
      </c>
      <c r="CF25" s="503">
        <f>(CA25+BU25*BO25)*Hypothèses!$D$23+CE25</f>
        <v>1122.2451762223268</v>
      </c>
      <c r="CG25" s="504">
        <f t="shared" si="16"/>
        <v>3.1465604170129724E-2</v>
      </c>
      <c r="CH25" s="503">
        <f>(CA25+BU25*BO25)*Hypothèses!$B$23</f>
        <v>942.68594802675443</v>
      </c>
      <c r="CI25" s="503">
        <f t="shared" si="49"/>
        <v>28.685948026754431</v>
      </c>
      <c r="CJ25" s="503">
        <f>(BU25+BW25+CA25)*Hypothèses!$B$6+BZ25*Hypothèses!$B$11</f>
        <v>9.8876118511259339</v>
      </c>
      <c r="CK25" s="503">
        <f>(BU25+BW25+CA25)*Hypothèses!$B$5+BZ25*Hypothèses!$B$10</f>
        <v>429.49313978328274</v>
      </c>
      <c r="CL25" s="542">
        <f t="shared" si="17"/>
        <v>0.13839180146974739</v>
      </c>
    </row>
    <row r="26" spans="1:90" ht="14.25" customHeight="1">
      <c r="A26" s="331"/>
      <c r="B26" s="516">
        <v>2030</v>
      </c>
      <c r="C26" s="655">
        <f>Trajectoires!AA22</f>
        <v>1352.9935695560737</v>
      </c>
      <c r="D26" s="659">
        <f>C26/Hypothèses!$D$23</f>
        <v>360.79828521495295</v>
      </c>
      <c r="E26" s="659">
        <f>D26*Hypothèses!$B$23</f>
        <v>1136.5145984271019</v>
      </c>
      <c r="F26" s="659">
        <f>D26*Hypothèses!$B$5</f>
        <v>501.50961644878458</v>
      </c>
      <c r="G26" s="659">
        <f>D26*Hypothèses!$B$6</f>
        <v>11.545545126878494</v>
      </c>
      <c r="H26" s="519">
        <f t="shared" si="30"/>
        <v>6.6666666666666666E-2</v>
      </c>
      <c r="I26" s="520">
        <f>IF(J26&gt;=1,ROUND(COUNTIFS($B$16:$B26,"&gt;"&amp;MAX($B26-$D$2,2019),H$16:H26,1/25)*(1/$D$2-1/25)*25,0),0)</f>
        <v>0</v>
      </c>
      <c r="J26" s="521">
        <f t="shared" si="50"/>
        <v>0.6</v>
      </c>
      <c r="K26" s="522">
        <f>Hypothèses!$G$77</f>
        <v>0.01</v>
      </c>
      <c r="L26" s="523">
        <f t="shared" si="0"/>
        <v>11.365145984271019</v>
      </c>
      <c r="M26" s="524">
        <f t="array" ref="M26">1-SUM(IF((Roadmap_Avion!$B$8:$B$38=$B26)*(Roadmap_Avion!$C$4:$Z$4=$B$2)*(Roadmap_Avion!$C$6:$Z$6=M$7)*(Roadmap_Avion!$C$7:$Z$7=M$9),Roadmap_Avion!$C$8:$Z$38,0))</f>
        <v>0.5</v>
      </c>
      <c r="N26" s="525">
        <f t="array" ref="N26">SUM(IF((Roadmap_Avion!$B$8:$B$38=$B26)*(Roadmap_Avion!$C$4:$Z$4=$B$2)*(Roadmap_Avion!$C$6:$Z$6=N$7)*(Roadmap_Avion!$C$7:$Z$7=N$9),Roadmap_Avion!$C$8:$Z$38,0))</f>
        <v>0.25</v>
      </c>
      <c r="O26" s="526">
        <f t="array" ref="O26">SUM(IF((Roadmap_Avion!$B$8:$B$38=$B26)*(Roadmap_Avion!$C$4:$Z$4=$B$2)*(Roadmap_Avion!$C$6:$Z$6=O$7)*(Roadmap_Avion!$C$7:$Z$7=O$9),Roadmap_Avion!$C$8:$Z$38,0))</f>
        <v>0</v>
      </c>
      <c r="P26" s="527">
        <f t="array" ref="P26">IF($J26&lt;1,P25+$H26*M26,SUMPRODUCT(($B$16:$B$46&lt;=$B26)*($B$16:$B$46&gt;MAX($B26-$D$2-$I26,2019))*$H$16:$H$46*M$16:M$46))</f>
        <v>3.3333333333333333E-2</v>
      </c>
      <c r="Q26" s="528">
        <f t="shared" si="31"/>
        <v>10.986307784795319</v>
      </c>
      <c r="R26" s="529">
        <f t="shared" si="18"/>
        <v>3.5000000000000001E-3</v>
      </c>
      <c r="S26" s="530">
        <f t="shared" si="19"/>
        <v>0</v>
      </c>
      <c r="T26" s="522">
        <f>Hypothèses!$G$78</f>
        <v>0.03</v>
      </c>
      <c r="U26" s="523">
        <f t="shared" si="2"/>
        <v>34.095437952813057</v>
      </c>
      <c r="V26" s="524">
        <f t="array" ref="V26">1-SUM(IF((Roadmap_Avion!$B$8:$B$38=$B26)*(Roadmap_Avion!$C$4:$Z$4=$B$2)*(Roadmap_Avion!$C$6:$Z$6=V$7)*(Roadmap_Avion!$C$7:$Z$7=V$9),Roadmap_Avion!$C$8:$Z$38,0))</f>
        <v>9.9999999999999978E-2</v>
      </c>
      <c r="W26" s="525">
        <f t="array" ref="W26">SUM(IF((Roadmap_Avion!$B$8:$B$38=$B26)*(Roadmap_Avion!$C$4:$Z$4=$B$2)*(Roadmap_Avion!$C$6:$Z$6=W$7)*(Roadmap_Avion!$C$7:$Z$7=W$9),Roadmap_Avion!$C$8:$Z$38,0))</f>
        <v>0.5</v>
      </c>
      <c r="X26" s="526">
        <f t="array" ref="X26">SUM(IF((Roadmap_Avion!$B$8:$B$38=$B26)*(Roadmap_Avion!$C$4:$Z$4=$B$2)*(Roadmap_Avion!$C$6:$Z$6=X$7)*(Roadmap_Avion!$C$7:$Z$7=X$9),Roadmap_Avion!$C$8:$Z$38,0))</f>
        <v>0</v>
      </c>
      <c r="Y26" s="527">
        <f t="array" ref="Y26">IF($J26&lt;1,Y25+$H26*V26,SUMPRODUCT(($B$16:$B$46&lt;=$B26)*($B$16:$B$46&gt;MAX($B26-$D$2-$I26,2019))*$H$16:$H$46*V$16:V$46))</f>
        <v>6.6666666666666654E-3</v>
      </c>
      <c r="Z26" s="528">
        <f t="shared" si="32"/>
        <v>33.868135033127636</v>
      </c>
      <c r="AA26" s="529">
        <f t="shared" si="20"/>
        <v>1.0999999999999999E-2</v>
      </c>
      <c r="AB26" s="530">
        <f t="shared" si="21"/>
        <v>0</v>
      </c>
      <c r="AC26" s="522">
        <f>Hypothèses!$G$79</f>
        <v>0.24</v>
      </c>
      <c r="AD26" s="523">
        <f t="shared" si="4"/>
        <v>272.76350362250446</v>
      </c>
      <c r="AE26" s="524">
        <f t="array" ref="AE26">1-SUM(IF((Roadmap_Avion!$B$8:$B$38=$B26)*(Roadmap_Avion!$C$4:$Z$4=$B$2)*(Roadmap_Avion!$C$6:$Z$6=AE$7)*(Roadmap_Avion!$C$7:$Z$7=AE$9),Roadmap_Avion!$C$8:$Z$38,0))</f>
        <v>0.19999999999999996</v>
      </c>
      <c r="AF26" s="525">
        <f t="array" ref="AF26">SUM(IF((Roadmap_Avion!$B$8:$B$38=$B26)*(Roadmap_Avion!$C$4:$Z$4=$B$2)*(Roadmap_Avion!$C$6:$Z$6=AF$7)*(Roadmap_Avion!$C$7:$Z$7=AF$9),Roadmap_Avion!$C$8:$Z$38,0))</f>
        <v>0.5</v>
      </c>
      <c r="AG26" s="526">
        <f t="array" ref="AG26">SUM(IF((Roadmap_Avion!$B$8:$B$38=$B26)*(Roadmap_Avion!$C$4:$Z$4=$B$2)*(Roadmap_Avion!$C$6:$Z$6=AG$7)*(Roadmap_Avion!$C$7:$Z$7=AG$9),Roadmap_Avion!$C$8:$Z$38,0))</f>
        <v>0</v>
      </c>
      <c r="AH26" s="527">
        <f t="array" ref="AH26">IF($J26&lt;1,AH25+$H26*AE26,SUMPRODUCT(($B$16:$B$46&lt;=$B26)*($B$16:$B$46&gt;MAX($B26-$D$2-$I26,2019))*$H$16:$H$46*AE$16:AE$46))</f>
        <v>0.12</v>
      </c>
      <c r="AI26" s="528">
        <f t="shared" si="33"/>
        <v>240.03188318780391</v>
      </c>
      <c r="AJ26" s="529">
        <f t="shared" si="22"/>
        <v>8.7999999999999995E-2</v>
      </c>
      <c r="AK26" s="530">
        <f t="shared" si="23"/>
        <v>0</v>
      </c>
      <c r="AL26" s="522">
        <f>Hypothèses!$G$80</f>
        <v>0.42</v>
      </c>
      <c r="AM26" s="523">
        <f t="shared" si="6"/>
        <v>477.33613133938275</v>
      </c>
      <c r="AN26" s="524">
        <f t="array" ref="AN26">1-SUM(IF((Roadmap_Avion!$B$8:$B$38=$B26)*(Roadmap_Avion!$C$4:$Z$4=$B$2)*(Roadmap_Avion!$C$6:$Z$6=AN$7)*(Roadmap_Avion!$C$7:$Z$7=AN$9),Roadmap_Avion!$C$8:$Z$38,0))</f>
        <v>0.19999999999999996</v>
      </c>
      <c r="AO26" s="525">
        <f t="array" ref="AO26">SUM(IF((Roadmap_Avion!$B$8:$B$38=$B26)*(Roadmap_Avion!$C$4:$Z$4=$B$2)*(Roadmap_Avion!$C$6:$Z$6=AO$7)*(Roadmap_Avion!$C$7:$Z$7=AO$9),Roadmap_Avion!$C$8:$Z$38,0))</f>
        <v>0.5</v>
      </c>
      <c r="AP26" s="526">
        <f t="array" ref="AP26">SUM(IF((Roadmap_Avion!$B$8:$B$38=$B26)*(Roadmap_Avion!$C$4:$Z$4=$B$2)*(Roadmap_Avion!$C$6:$Z$6=AP$7)*(Roadmap_Avion!$C$7:$Z$7=AP$9),Roadmap_Avion!$C$8:$Z$38,0))</f>
        <v>0</v>
      </c>
      <c r="AQ26" s="527">
        <f t="array" ref="AQ26">IF($J26&lt;1,AQ25+$H26*AN26,SUMPRODUCT(($B$16:$B$46&lt;=$B26)*($B$16:$B$46&gt;MAX($B26-$D$2-$I26,2019))*$H$16:$H$46*AN$16:AN$46))</f>
        <v>0.12</v>
      </c>
      <c r="AR26" s="528">
        <f t="shared" si="34"/>
        <v>420.05579557865684</v>
      </c>
      <c r="AS26" s="529">
        <f t="shared" si="8"/>
        <v>0.154</v>
      </c>
      <c r="AT26" s="530">
        <f t="shared" si="9"/>
        <v>0</v>
      </c>
      <c r="AU26" s="531">
        <f>Hypothèses!$G$81</f>
        <v>0.3</v>
      </c>
      <c r="AV26" s="523">
        <f t="shared" si="10"/>
        <v>340.95437952813057</v>
      </c>
      <c r="AW26" s="524">
        <f t="array" ref="AW26">1-SUM(IF((Roadmap_Avion!$B$8:$B$38=$B26)*(Roadmap_Avion!$C$4:$Z$4=$B$2)*(Roadmap_Avion!$C$6:$Z$6=AW$7)*(Roadmap_Avion!$C$7:$Z$7=AW$9),Roadmap_Avion!$C$8:$Z$38,0))</f>
        <v>0.25</v>
      </c>
      <c r="AX26" s="525">
        <f t="array" ref="AX26">SUM(IF((Roadmap_Avion!$B$8:$B$38=$B26)*(Roadmap_Avion!$C$4:$Z$4=$B$2)*(Roadmap_Avion!$C$6:$Z$6=AX$7)*(Roadmap_Avion!$C$7:$Z$7=AX$9),Roadmap_Avion!$C$8:$Z$38,0))</f>
        <v>0.5</v>
      </c>
      <c r="AY26" s="526">
        <f t="array" ref="AY26">SUM(IF((Roadmap_Avion!$B$8:$B$38=$B26)*(Roadmap_Avion!$C$4:$Z$4=$B$2)*(Roadmap_Avion!$C$6:$Z$6=AY$7)*(Roadmap_Avion!$C$7:$Z$7=AY$9),Roadmap_Avion!$C$8:$Z$38,0))</f>
        <v>0</v>
      </c>
      <c r="AZ26" s="527">
        <f t="array" ref="AZ26">IF($J26&lt;1,AZ25+$H26*AW26,SUMPRODUCT(($B$16:$B$46&lt;=$B26)*($B$16:$B$46&gt;MAX($B26-$D$2-$I26,2019))*$H$16:$H$46*AW$16:AW$46))</f>
        <v>0.15</v>
      </c>
      <c r="BA26" s="528">
        <f t="shared" si="35"/>
        <v>289.811222598911</v>
      </c>
      <c r="BB26" s="529">
        <f t="shared" si="24"/>
        <v>0.11</v>
      </c>
      <c r="BC26" s="529">
        <f t="shared" si="25"/>
        <v>0</v>
      </c>
      <c r="BD26" s="517">
        <f t="shared" si="12"/>
        <v>994.75334418329476</v>
      </c>
      <c r="BE26" s="518">
        <f>BD26*(Hypothèses!$D$23/Hypothèses!$B$23)</f>
        <v>1184.2301716467794</v>
      </c>
      <c r="BF26" s="532">
        <f t="shared" si="13"/>
        <v>0.12473333333333336</v>
      </c>
      <c r="BG26" s="518">
        <f>BD26/Hypothèses!$B$23</f>
        <v>315.79471243914122</v>
      </c>
      <c r="BH26" s="532">
        <f t="shared" si="14"/>
        <v>0.36649999999999999</v>
      </c>
      <c r="BI26" s="532">
        <f t="shared" si="14"/>
        <v>0</v>
      </c>
      <c r="BJ26" s="518">
        <f t="shared" si="26"/>
        <v>115.73876210894525</v>
      </c>
      <c r="BK26" s="533">
        <f t="shared" si="36"/>
        <v>18.32731414312455</v>
      </c>
      <c r="BL26" s="534">
        <f t="shared" si="37"/>
        <v>0.15835070126180364</v>
      </c>
      <c r="BM26" s="535">
        <f t="array" ref="BM26">SUM(IF((Prod_Carburant_Alt!$A$7:$A$37=$B26)*(Prod_Carburant_Alt!$B$3:$AI$3=$C$2)*(Prod_Carburant_Alt!$B$5:$AI$5=BM$7)*(Prod_Carburant_Alt!$B$6:$AI$6=BM$9),Prod_Carburant_Alt!$B$7:$AI$37,0))</f>
        <v>15.275069735138295</v>
      </c>
      <c r="BN26" s="534">
        <f t="shared" si="27"/>
        <v>1.2695139064281422</v>
      </c>
      <c r="BO26" s="536">
        <f t="array" ref="BO26">SUM(IF((Prod_Carburant_Alt!$A$7:$A$37=$B26)*(Prod_Carburant_Alt!$B$3:$AI$3=$C$2)*(Prod_Carburant_Alt!$B$5:$AI$5=BO$7)*(Prod_Carburant_Alt!$B$6:$AI$6=BO$9),Prod_Carburant_Alt!$B$7:$AI$37,0))</f>
        <v>0.204382517533922</v>
      </c>
      <c r="BP26" s="543">
        <f t="array" ref="BP26">SUM(IF((Prod_Carburant_Alt!$A$7:$A$37=$B26)*(Prod_Carburant_Alt!$B$3:$AI$3=$C$2)*(Prod_Carburant_Alt!$B$5:$AI$5=BP$7)*(Prod_Carburant_Alt!$B$6:$AI$6=BP$9),Prod_Carburant_Alt!$B$7:$AI$37,0))</f>
        <v>3.0522444079862554</v>
      </c>
      <c r="BQ26" s="536">
        <f t="shared" si="38"/>
        <v>2.6371842521636515E-2</v>
      </c>
      <c r="BR26" s="537">
        <f t="shared" si="39"/>
        <v>297.46739829601665</v>
      </c>
      <c r="BS26" s="538">
        <f t="shared" si="40"/>
        <v>18.32731414312455</v>
      </c>
      <c r="BT26" s="539">
        <f t="shared" si="41"/>
        <v>1</v>
      </c>
      <c r="BU26" s="535">
        <f t="shared" si="28"/>
        <v>15.275069735138295</v>
      </c>
      <c r="BV26" s="539">
        <f t="shared" si="42"/>
        <v>1</v>
      </c>
      <c r="BW26" s="535">
        <f t="shared" si="29"/>
        <v>3.0522444079862554</v>
      </c>
      <c r="BX26" s="539">
        <f t="shared" si="43"/>
        <v>1</v>
      </c>
      <c r="BY26" s="538">
        <f t="shared" si="44"/>
        <v>0</v>
      </c>
      <c r="BZ26" s="540">
        <f>BY26*Hypothèses!$B$3/Hypothèses!$B$9</f>
        <v>0</v>
      </c>
      <c r="CA26" s="538">
        <f t="shared" si="45"/>
        <v>297.46739829601665</v>
      </c>
      <c r="CB26" s="533">
        <f>BW26*Prod_Carburant_Alt!$R$61+BZ26*Hypothèses!$B$13</f>
        <v>138.21749663298201</v>
      </c>
      <c r="CC26" s="538">
        <f t="shared" si="46"/>
        <v>64.042413030655723</v>
      </c>
      <c r="CD26" s="541">
        <f t="shared" si="47"/>
        <v>9.8375442443403571E-2</v>
      </c>
      <c r="CE26" s="537">
        <f t="shared" si="48"/>
        <v>1.5203924629628021</v>
      </c>
      <c r="CF26" s="503">
        <f>(CA26+BU26*BO26)*Hypothèses!$D$23+CE26</f>
        <v>1128.7304756029268</v>
      </c>
      <c r="CG26" s="504">
        <f t="shared" si="16"/>
        <v>4.6865632520302326E-2</v>
      </c>
      <c r="CH26" s="503">
        <f>(CA26+BU26*BO26)*Hypothèses!$B$23</f>
        <v>946.85646983756976</v>
      </c>
      <c r="CI26" s="503">
        <f t="shared" si="49"/>
        <v>32.856469837569762</v>
      </c>
      <c r="CJ26" s="503">
        <f>(BU26+BW26+CA26)*Hypothèses!$B$6+BZ26*Hypothèses!$B$11</f>
        <v>10.105430798052518</v>
      </c>
      <c r="CK26" s="503">
        <f>(BU26+BW26+CA26)*Hypothèses!$B$5+BZ26*Hypothèses!$B$10</f>
        <v>438.95465029040628</v>
      </c>
      <c r="CL26" s="542">
        <f t="shared" si="17"/>
        <v>0.16575325929060333</v>
      </c>
    </row>
    <row r="27" spans="1:90" ht="14.25" customHeight="1">
      <c r="A27" s="331"/>
      <c r="B27" s="516">
        <v>2031</v>
      </c>
      <c r="C27" s="655">
        <f>Trajectoires!AA23</f>
        <v>1405.2664892679863</v>
      </c>
      <c r="D27" s="659">
        <f>C27/Hypothèses!$D$23</f>
        <v>374.73773047146301</v>
      </c>
      <c r="E27" s="659">
        <f>D27*Hypothèses!$B$23</f>
        <v>1180.4238509851084</v>
      </c>
      <c r="F27" s="659">
        <f>D27*Hypothèses!$B$5</f>
        <v>520.88544535533356</v>
      </c>
      <c r="G27" s="659">
        <f>D27*Hypothèses!$B$6</f>
        <v>11.991607375086817</v>
      </c>
      <c r="H27" s="519">
        <f t="shared" si="30"/>
        <v>6.6666666666666666E-2</v>
      </c>
      <c r="I27" s="544">
        <f>IF(J27&gt;=1,ROUND(COUNTIFS($B$16:$B27,"&gt;"&amp;MAX($B27-$D$2,2019),H$16:H27,1/25)*(1/$D$2-1/25)*25,0),0)</f>
        <v>0</v>
      </c>
      <c r="J27" s="521">
        <f t="shared" si="50"/>
        <v>0.66666666666666663</v>
      </c>
      <c r="K27" s="522">
        <f>Hypothèses!$G$77</f>
        <v>0.01</v>
      </c>
      <c r="L27" s="523">
        <f t="shared" si="0"/>
        <v>11.804238509851084</v>
      </c>
      <c r="M27" s="524">
        <f t="array" ref="M27">1-SUM(IF((Roadmap_Avion!$B$8:$B$38=$B27)*(Roadmap_Avion!$C$4:$Z$4=$B$2)*(Roadmap_Avion!$C$6:$Z$6=M$7)*(Roadmap_Avion!$C$7:$Z$7=M$9),Roadmap_Avion!$C$8:$Z$38,0))</f>
        <v>0.5</v>
      </c>
      <c r="N27" s="525">
        <f t="array" ref="N27">SUM(IF((Roadmap_Avion!$B$8:$B$38=$B27)*(Roadmap_Avion!$C$4:$Z$4=$B$2)*(Roadmap_Avion!$C$6:$Z$6=N$7)*(Roadmap_Avion!$C$7:$Z$7=N$9),Roadmap_Avion!$C$8:$Z$38,0))</f>
        <v>0.25</v>
      </c>
      <c r="O27" s="526">
        <f t="array" ref="O27">SUM(IF((Roadmap_Avion!$B$8:$B$38=$B27)*(Roadmap_Avion!$C$4:$Z$4=$B$2)*(Roadmap_Avion!$C$6:$Z$6=O$7)*(Roadmap_Avion!$C$7:$Z$7=O$9),Roadmap_Avion!$C$8:$Z$38,0))</f>
        <v>0</v>
      </c>
      <c r="P27" s="527">
        <f t="array" ref="P27">IF($J27&lt;1,P26+$H27*M27,SUMPRODUCT(($B$16:$B$46&lt;=$B27)*($B$16:$B$46&gt;MAX($B27-$D$2-$I27,2019))*$H$16:$H$46*M$16:M$46))</f>
        <v>6.6666666666666666E-2</v>
      </c>
      <c r="Q27" s="528">
        <f t="shared" si="31"/>
        <v>11.017289275861012</v>
      </c>
      <c r="R27" s="529">
        <f t="shared" si="18"/>
        <v>3.6666666666666666E-3</v>
      </c>
      <c r="S27" s="530">
        <f t="shared" si="19"/>
        <v>0</v>
      </c>
      <c r="T27" s="522">
        <f>Hypothèses!$G$78</f>
        <v>0.03</v>
      </c>
      <c r="U27" s="523">
        <f t="shared" si="2"/>
        <v>35.412715529553253</v>
      </c>
      <c r="V27" s="524">
        <f t="array" ref="V27">1-SUM(IF((Roadmap_Avion!$B$8:$B$38=$B27)*(Roadmap_Avion!$C$4:$Z$4=$B$2)*(Roadmap_Avion!$C$6:$Z$6=V$7)*(Roadmap_Avion!$C$7:$Z$7=V$9),Roadmap_Avion!$C$8:$Z$38,0))</f>
        <v>9.9999999999999978E-2</v>
      </c>
      <c r="W27" s="525">
        <f t="array" ref="W27">SUM(IF((Roadmap_Avion!$B$8:$B$38=$B27)*(Roadmap_Avion!$C$4:$Z$4=$B$2)*(Roadmap_Avion!$C$6:$Z$6=W$7)*(Roadmap_Avion!$C$7:$Z$7=W$9),Roadmap_Avion!$C$8:$Z$38,0))</f>
        <v>0.5</v>
      </c>
      <c r="X27" s="526">
        <f t="array" ref="X27">SUM(IF((Roadmap_Avion!$B$8:$B$38=$B27)*(Roadmap_Avion!$C$4:$Z$4=$B$2)*(Roadmap_Avion!$C$6:$Z$6=X$7)*(Roadmap_Avion!$C$7:$Z$7=X$9),Roadmap_Avion!$C$8:$Z$38,0))</f>
        <v>0</v>
      </c>
      <c r="Y27" s="527">
        <f t="array" ref="Y27">IF($J27&lt;1,Y26+$H27*V27,SUMPRODUCT(($B$16:$B$46&lt;=$B27)*($B$16:$B$46&gt;MAX($B27-$D$2-$I27,2019))*$H$16:$H$46*V$16:V$46))</f>
        <v>1.3333333333333331E-2</v>
      </c>
      <c r="Z27" s="528">
        <f t="shared" si="32"/>
        <v>34.940545989159212</v>
      </c>
      <c r="AA27" s="529">
        <f t="shared" si="20"/>
        <v>1.2E-2</v>
      </c>
      <c r="AB27" s="530">
        <f t="shared" si="21"/>
        <v>0</v>
      </c>
      <c r="AC27" s="522">
        <f>Hypothèses!$G$79</f>
        <v>0.24</v>
      </c>
      <c r="AD27" s="523">
        <f t="shared" si="4"/>
        <v>283.30172423642603</v>
      </c>
      <c r="AE27" s="524">
        <f t="array" ref="AE27">1-SUM(IF((Roadmap_Avion!$B$8:$B$38=$B27)*(Roadmap_Avion!$C$4:$Z$4=$B$2)*(Roadmap_Avion!$C$6:$Z$6=AE$7)*(Roadmap_Avion!$C$7:$Z$7=AE$9),Roadmap_Avion!$C$8:$Z$38,0))</f>
        <v>0.19999999999999996</v>
      </c>
      <c r="AF27" s="525">
        <f t="array" ref="AF27">SUM(IF((Roadmap_Avion!$B$8:$B$38=$B27)*(Roadmap_Avion!$C$4:$Z$4=$B$2)*(Roadmap_Avion!$C$6:$Z$6=AF$7)*(Roadmap_Avion!$C$7:$Z$7=AF$9),Roadmap_Avion!$C$8:$Z$38,0))</f>
        <v>0.5</v>
      </c>
      <c r="AG27" s="526">
        <f t="array" ref="AG27">SUM(IF((Roadmap_Avion!$B$8:$B$38=$B27)*(Roadmap_Avion!$C$4:$Z$4=$B$2)*(Roadmap_Avion!$C$6:$Z$6=AG$7)*(Roadmap_Avion!$C$7:$Z$7=AG$9),Roadmap_Avion!$C$8:$Z$38,0))</f>
        <v>0</v>
      </c>
      <c r="AH27" s="527">
        <f t="array" ref="AH27">IF($J27&lt;1,AH26+$H27*AE27,SUMPRODUCT(($B$16:$B$46&lt;=$B27)*($B$16:$B$46&gt;MAX($B27-$D$2-$I27,2019))*$H$16:$H$46*AE$16:AE$46))</f>
        <v>0.13333333333333333</v>
      </c>
      <c r="AI27" s="528">
        <f t="shared" si="33"/>
        <v>245.52816100490256</v>
      </c>
      <c r="AJ27" s="529">
        <f t="shared" si="22"/>
        <v>9.6000000000000002E-2</v>
      </c>
      <c r="AK27" s="530">
        <f t="shared" si="23"/>
        <v>0</v>
      </c>
      <c r="AL27" s="522">
        <f>Hypothèses!$G$80</f>
        <v>0.42</v>
      </c>
      <c r="AM27" s="523">
        <f t="shared" si="6"/>
        <v>495.77801741374549</v>
      </c>
      <c r="AN27" s="524">
        <f t="array" ref="AN27">1-SUM(IF((Roadmap_Avion!$B$8:$B$38=$B27)*(Roadmap_Avion!$C$4:$Z$4=$B$2)*(Roadmap_Avion!$C$6:$Z$6=AN$7)*(Roadmap_Avion!$C$7:$Z$7=AN$9),Roadmap_Avion!$C$8:$Z$38,0))</f>
        <v>0.19999999999999996</v>
      </c>
      <c r="AO27" s="525">
        <f t="array" ref="AO27">SUM(IF((Roadmap_Avion!$B$8:$B$38=$B27)*(Roadmap_Avion!$C$4:$Z$4=$B$2)*(Roadmap_Avion!$C$6:$Z$6=AO$7)*(Roadmap_Avion!$C$7:$Z$7=AO$9),Roadmap_Avion!$C$8:$Z$38,0))</f>
        <v>0.5</v>
      </c>
      <c r="AP27" s="526">
        <f t="array" ref="AP27">SUM(IF((Roadmap_Avion!$B$8:$B$38=$B27)*(Roadmap_Avion!$C$4:$Z$4=$B$2)*(Roadmap_Avion!$C$6:$Z$6=AP$7)*(Roadmap_Avion!$C$7:$Z$7=AP$9),Roadmap_Avion!$C$8:$Z$38,0))</f>
        <v>0</v>
      </c>
      <c r="AQ27" s="527">
        <f t="array" ref="AQ27">IF($J27&lt;1,AQ26+$H27*AN27,SUMPRODUCT(($B$16:$B$46&lt;=$B27)*($B$16:$B$46&gt;MAX($B27-$D$2-$I27,2019))*$H$16:$H$46*AN$16:AN$46))</f>
        <v>0.13333333333333333</v>
      </c>
      <c r="AR27" s="528">
        <f t="shared" si="34"/>
        <v>429.67428175857941</v>
      </c>
      <c r="AS27" s="529">
        <f t="shared" si="8"/>
        <v>0.16800000000000001</v>
      </c>
      <c r="AT27" s="530">
        <f t="shared" si="9"/>
        <v>0</v>
      </c>
      <c r="AU27" s="531">
        <f>Hypothèses!$G$81</f>
        <v>0.3</v>
      </c>
      <c r="AV27" s="523">
        <f t="shared" si="10"/>
        <v>354.12715529553253</v>
      </c>
      <c r="AW27" s="524">
        <f t="array" ref="AW27">1-SUM(IF((Roadmap_Avion!$B$8:$B$38=$B27)*(Roadmap_Avion!$C$4:$Z$4=$B$2)*(Roadmap_Avion!$C$6:$Z$6=AW$7)*(Roadmap_Avion!$C$7:$Z$7=AW$9),Roadmap_Avion!$C$8:$Z$38,0))</f>
        <v>0.25</v>
      </c>
      <c r="AX27" s="525">
        <f t="array" ref="AX27">SUM(IF((Roadmap_Avion!$B$8:$B$38=$B27)*(Roadmap_Avion!$C$4:$Z$4=$B$2)*(Roadmap_Avion!$C$6:$Z$6=AX$7)*(Roadmap_Avion!$C$7:$Z$7=AX$9),Roadmap_Avion!$C$8:$Z$38,0))</f>
        <v>0.5</v>
      </c>
      <c r="AY27" s="526">
        <f t="array" ref="AY27">SUM(IF((Roadmap_Avion!$B$8:$B$38=$B27)*(Roadmap_Avion!$C$4:$Z$4=$B$2)*(Roadmap_Avion!$C$6:$Z$6=AY$7)*(Roadmap_Avion!$C$7:$Z$7=AY$9),Roadmap_Avion!$C$8:$Z$38,0))</f>
        <v>0</v>
      </c>
      <c r="AZ27" s="527">
        <f t="array" ref="AZ27">IF($J27&lt;1,AZ26+$H27*AW27,SUMPRODUCT(($B$16:$B$46&lt;=$B27)*($B$16:$B$46&gt;MAX($B27-$D$2-$I27,2019))*$H$16:$H$46*AW$16:AW$46))</f>
        <v>0.16666666666666666</v>
      </c>
      <c r="BA27" s="528">
        <f t="shared" si="35"/>
        <v>295.1059627462771</v>
      </c>
      <c r="BB27" s="529">
        <f t="shared" si="24"/>
        <v>0.11999999999999998</v>
      </c>
      <c r="BC27" s="529">
        <f t="shared" si="25"/>
        <v>0</v>
      </c>
      <c r="BD27" s="517">
        <f t="shared" si="12"/>
        <v>1016.2662407747794</v>
      </c>
      <c r="BE27" s="518">
        <f>BD27*(Hypothèses!$D$23/Hypothèses!$B$23)</f>
        <v>1209.8407628271182</v>
      </c>
      <c r="BF27" s="532">
        <f t="shared" si="13"/>
        <v>0.13906666666666678</v>
      </c>
      <c r="BG27" s="518">
        <f>BD27/Hypothèses!$B$23</f>
        <v>322.62420342056487</v>
      </c>
      <c r="BH27" s="532">
        <f t="shared" si="14"/>
        <v>0.39966666666666667</v>
      </c>
      <c r="BI27" s="532">
        <f t="shared" si="14"/>
        <v>0</v>
      </c>
      <c r="BJ27" s="518">
        <f t="shared" si="26"/>
        <v>128.94213996708575</v>
      </c>
      <c r="BK27" s="533">
        <f t="shared" si="36"/>
        <v>21.381635705391858</v>
      </c>
      <c r="BL27" s="534">
        <f t="shared" si="37"/>
        <v>0.1658234903721143</v>
      </c>
      <c r="BM27" s="535">
        <f t="array" ref="BM27">SUM(IF((Prod_Carburant_Alt!$A$7:$A$37=$B27)*(Prod_Carburant_Alt!$B$3:$AI$3=$C$2)*(Prod_Carburant_Alt!$B$5:$AI$5=BM$7)*(Prod_Carburant_Alt!$B$6:$AI$6=BM$9),Prod_Carburant_Alt!$B$7:$AI$37,0))</f>
        <v>17.566330195409037</v>
      </c>
      <c r="BN27" s="534">
        <f t="shared" si="27"/>
        <v>1.1924028550247903</v>
      </c>
      <c r="BO27" s="536">
        <f t="array" ref="BO27">SUM(IF((Prod_Carburant_Alt!$A$7:$A$37=$B27)*(Prod_Carburant_Alt!$B$3:$AI$3=$C$2)*(Prod_Carburant_Alt!$B$5:$AI$5=BO$7)*(Prod_Carburant_Alt!$B$6:$AI$6=BO$9),Prod_Carburant_Alt!$B$7:$AI$37,0))</f>
        <v>0.20438251753392203</v>
      </c>
      <c r="BP27" s="543">
        <f t="array" ref="BP27">SUM(IF((Prod_Carburant_Alt!$A$7:$A$37=$B27)*(Prod_Carburant_Alt!$B$3:$AI$3=$C$2)*(Prod_Carburant_Alt!$B$5:$AI$5=BP$7)*(Prod_Carburant_Alt!$B$6:$AI$6=BP$9),Prod_Carburant_Alt!$B$7:$AI$37,0))</f>
        <v>3.815305509982819</v>
      </c>
      <c r="BQ27" s="536">
        <f t="shared" si="38"/>
        <v>2.9589283309217049E-2</v>
      </c>
      <c r="BR27" s="537">
        <f t="shared" si="39"/>
        <v>301.24256771517298</v>
      </c>
      <c r="BS27" s="538">
        <f t="shared" si="40"/>
        <v>21.381635705391858</v>
      </c>
      <c r="BT27" s="539">
        <f t="shared" si="41"/>
        <v>1</v>
      </c>
      <c r="BU27" s="535">
        <f t="shared" si="28"/>
        <v>17.566330195409037</v>
      </c>
      <c r="BV27" s="539">
        <f t="shared" si="42"/>
        <v>1</v>
      </c>
      <c r="BW27" s="535">
        <f t="shared" si="29"/>
        <v>3.8153055099828195</v>
      </c>
      <c r="BX27" s="539">
        <f t="shared" si="43"/>
        <v>1.0000000000000002</v>
      </c>
      <c r="BY27" s="538">
        <f t="shared" si="44"/>
        <v>0</v>
      </c>
      <c r="BZ27" s="540">
        <f>BY27*Hypothèses!$B$3/Hypothèses!$B$9</f>
        <v>0</v>
      </c>
      <c r="CA27" s="538">
        <f t="shared" si="45"/>
        <v>301.24256771517298</v>
      </c>
      <c r="CB27" s="533">
        <f>BW27*Prod_Carburant_Alt!$R$61+BZ27*Hypothèses!$B$13</f>
        <v>172.77187079122751</v>
      </c>
      <c r="CC27" s="538">
        <f t="shared" si="46"/>
        <v>80.053016288319654</v>
      </c>
      <c r="CD27" s="541">
        <f t="shared" si="47"/>
        <v>0.12296930305425446</v>
      </c>
      <c r="CE27" s="537">
        <f t="shared" si="48"/>
        <v>1.9004905787035027</v>
      </c>
      <c r="CF27" s="503">
        <f>(CA27+BU27*BO27)*Hypothèses!$D$23+CE27</f>
        <v>1145.023559969989</v>
      </c>
      <c r="CG27" s="504">
        <f t="shared" si="16"/>
        <v>5.3574986765751148E-2</v>
      </c>
      <c r="CH27" s="503">
        <f>(CA27+BU27*BO27)*Hypothèses!$B$23</f>
        <v>960.22337828867978</v>
      </c>
      <c r="CI27" s="503">
        <f t="shared" si="49"/>
        <v>46.223378288679783</v>
      </c>
      <c r="CJ27" s="503">
        <f>(BU27+BW27+CA27)*Hypothèses!$B$6+BZ27*Hypothèses!$B$11</f>
        <v>10.323974509458075</v>
      </c>
      <c r="CK27" s="503">
        <f>(BU27+BW27+CA27)*Hypothèses!$B$5+BZ27*Hypothèses!$B$10</f>
        <v>448.44764275458516</v>
      </c>
      <c r="CL27" s="542">
        <f t="shared" si="17"/>
        <v>0.18519115860619417</v>
      </c>
    </row>
    <row r="28" spans="1:90" ht="14.25" customHeight="1">
      <c r="A28" s="331"/>
      <c r="B28" s="516">
        <v>2032</v>
      </c>
      <c r="C28" s="655">
        <f>Trajectoires!AA24</f>
        <v>1459.3547534328625</v>
      </c>
      <c r="D28" s="659">
        <f>C28/Hypothèses!$D$23</f>
        <v>389.16126758209668</v>
      </c>
      <c r="E28" s="659">
        <f>D28*Hypothèses!$B$23</f>
        <v>1225.8579928836045</v>
      </c>
      <c r="F28" s="659">
        <f>D28*Hypothèses!$B$5</f>
        <v>540.93416193911435</v>
      </c>
      <c r="G28" s="659">
        <f>D28*Hypothèses!$B$6</f>
        <v>12.453160562627094</v>
      </c>
      <c r="H28" s="519">
        <f t="shared" si="30"/>
        <v>6.6666666666666666E-2</v>
      </c>
      <c r="I28" s="520">
        <f>IF(J28&gt;=1,ROUND(COUNTIFS($B$16:$B28,"&gt;"&amp;MAX($B28-$D$2,2019),H$16:H28,1/25)*(1/$D$2-1/25)*25,0),0)</f>
        <v>0</v>
      </c>
      <c r="J28" s="521">
        <f t="shared" si="50"/>
        <v>0.73333333333333328</v>
      </c>
      <c r="K28" s="522">
        <f>Hypothèses!$G$77</f>
        <v>0.01</v>
      </c>
      <c r="L28" s="523">
        <f t="shared" si="0"/>
        <v>12.258579928836046</v>
      </c>
      <c r="M28" s="524">
        <f t="array" ref="M28">1-SUM(IF((Roadmap_Avion!$B$8:$B$38=$B28)*(Roadmap_Avion!$C$4:$Z$4=$B$2)*(Roadmap_Avion!$C$6:$Z$6=M$7)*(Roadmap_Avion!$C$7:$Z$7=M$9),Roadmap_Avion!$C$8:$Z$38,0))</f>
        <v>0.5</v>
      </c>
      <c r="N28" s="525">
        <f t="array" ref="N28">SUM(IF((Roadmap_Avion!$B$8:$B$38=$B28)*(Roadmap_Avion!$C$4:$Z$4=$B$2)*(Roadmap_Avion!$C$6:$Z$6=N$7)*(Roadmap_Avion!$C$7:$Z$7=N$9),Roadmap_Avion!$C$8:$Z$38,0))</f>
        <v>0.25</v>
      </c>
      <c r="O28" s="526">
        <f t="array" ref="O28">SUM(IF((Roadmap_Avion!$B$8:$B$38=$B28)*(Roadmap_Avion!$C$4:$Z$4=$B$2)*(Roadmap_Avion!$C$6:$Z$6=O$7)*(Roadmap_Avion!$C$7:$Z$7=O$9),Roadmap_Avion!$C$8:$Z$38,0))</f>
        <v>0</v>
      </c>
      <c r="P28" s="527">
        <f t="array" ref="P28">IF($J28&lt;1,P27+$H28*M28,SUMPRODUCT(($B$16:$B$46&lt;=$B28)*($B$16:$B$46&gt;MAX($B28-$D$2-$I28,2019))*$H$16:$H$46*M$16:M$46))</f>
        <v>0.1</v>
      </c>
      <c r="Q28" s="528">
        <f t="shared" si="31"/>
        <v>11.032721935952441</v>
      </c>
      <c r="R28" s="529">
        <f t="shared" si="18"/>
        <v>3.8333333333333336E-3</v>
      </c>
      <c r="S28" s="530">
        <f t="shared" si="19"/>
        <v>0</v>
      </c>
      <c r="T28" s="522">
        <f>Hypothèses!$G$78</f>
        <v>0.03</v>
      </c>
      <c r="U28" s="523">
        <f t="shared" si="2"/>
        <v>36.775739786508133</v>
      </c>
      <c r="V28" s="524">
        <f t="array" ref="V28">1-SUM(IF((Roadmap_Avion!$B$8:$B$38=$B28)*(Roadmap_Avion!$C$4:$Z$4=$B$2)*(Roadmap_Avion!$C$6:$Z$6=V$7)*(Roadmap_Avion!$C$7:$Z$7=V$9),Roadmap_Avion!$C$8:$Z$38,0))</f>
        <v>9.9999999999999978E-2</v>
      </c>
      <c r="W28" s="525">
        <f t="array" ref="W28">SUM(IF((Roadmap_Avion!$B$8:$B$38=$B28)*(Roadmap_Avion!$C$4:$Z$4=$B$2)*(Roadmap_Avion!$C$6:$Z$6=W$7)*(Roadmap_Avion!$C$7:$Z$7=W$9),Roadmap_Avion!$C$8:$Z$38,0))</f>
        <v>0.5</v>
      </c>
      <c r="X28" s="526">
        <f t="array" ref="X28">SUM(IF((Roadmap_Avion!$B$8:$B$38=$B28)*(Roadmap_Avion!$C$4:$Z$4=$B$2)*(Roadmap_Avion!$C$6:$Z$6=X$7)*(Roadmap_Avion!$C$7:$Z$7=X$9),Roadmap_Avion!$C$8:$Z$38,0))</f>
        <v>0</v>
      </c>
      <c r="Y28" s="527">
        <f t="array" ref="Y28">IF($J28&lt;1,Y27+$H28*V28,SUMPRODUCT(($B$16:$B$46&lt;=$B28)*($B$16:$B$46&gt;MAX($B28-$D$2-$I28,2019))*$H$16:$H$46*V$16:V$46))</f>
        <v>1.9999999999999997E-2</v>
      </c>
      <c r="Z28" s="528">
        <f t="shared" si="32"/>
        <v>36.040224990777972</v>
      </c>
      <c r="AA28" s="529">
        <f t="shared" si="20"/>
        <v>1.3000000000000001E-2</v>
      </c>
      <c r="AB28" s="530">
        <f t="shared" si="21"/>
        <v>0</v>
      </c>
      <c r="AC28" s="522">
        <f>Hypothèses!$G$79</f>
        <v>0.24</v>
      </c>
      <c r="AD28" s="523">
        <f t="shared" si="4"/>
        <v>294.20591829206506</v>
      </c>
      <c r="AE28" s="524">
        <f t="array" ref="AE28">1-SUM(IF((Roadmap_Avion!$B$8:$B$38=$B28)*(Roadmap_Avion!$C$4:$Z$4=$B$2)*(Roadmap_Avion!$C$6:$Z$6=AE$7)*(Roadmap_Avion!$C$7:$Z$7=AE$9),Roadmap_Avion!$C$8:$Z$38,0))</f>
        <v>0.25</v>
      </c>
      <c r="AF28" s="525">
        <f t="array" ref="AF28">SUM(IF((Roadmap_Avion!$B$8:$B$38=$B28)*(Roadmap_Avion!$C$4:$Z$4=$B$2)*(Roadmap_Avion!$C$6:$Z$6=AF$7)*(Roadmap_Avion!$C$7:$Z$7=AF$9),Roadmap_Avion!$C$8:$Z$38,0))</f>
        <v>0.5</v>
      </c>
      <c r="AG28" s="526">
        <f t="array" ref="AG28">SUM(IF((Roadmap_Avion!$B$8:$B$38=$B28)*(Roadmap_Avion!$C$4:$Z$4=$B$2)*(Roadmap_Avion!$C$6:$Z$6=AG$7)*(Roadmap_Avion!$C$7:$Z$7=AG$9),Roadmap_Avion!$C$8:$Z$38,0))</f>
        <v>0</v>
      </c>
      <c r="AH28" s="527">
        <f t="array" ref="AH28">IF($J28&lt;1,AH27+$H28*AE28,SUMPRODUCT(($B$16:$B$46&lt;=$B28)*($B$16:$B$46&gt;MAX($B28-$D$2-$I28,2019))*$H$16:$H$46*AE$16:AE$46))</f>
        <v>0.15</v>
      </c>
      <c r="AI28" s="528">
        <f t="shared" si="33"/>
        <v>250.07503054825528</v>
      </c>
      <c r="AJ28" s="529">
        <f t="shared" si="22"/>
        <v>0.10400000000000001</v>
      </c>
      <c r="AK28" s="530">
        <f t="shared" si="23"/>
        <v>0</v>
      </c>
      <c r="AL28" s="522">
        <f>Hypothèses!$G$80</f>
        <v>0.42</v>
      </c>
      <c r="AM28" s="523">
        <f t="shared" si="6"/>
        <v>514.86035701111393</v>
      </c>
      <c r="AN28" s="524">
        <f t="array" ref="AN28">1-SUM(IF((Roadmap_Avion!$B$8:$B$38=$B28)*(Roadmap_Avion!$C$4:$Z$4=$B$2)*(Roadmap_Avion!$C$6:$Z$6=AN$7)*(Roadmap_Avion!$C$7:$Z$7=AN$9),Roadmap_Avion!$C$8:$Z$38,0))</f>
        <v>0.25</v>
      </c>
      <c r="AO28" s="525">
        <f t="array" ref="AO28">SUM(IF((Roadmap_Avion!$B$8:$B$38=$B28)*(Roadmap_Avion!$C$4:$Z$4=$B$2)*(Roadmap_Avion!$C$6:$Z$6=AO$7)*(Roadmap_Avion!$C$7:$Z$7=AO$9),Roadmap_Avion!$C$8:$Z$38,0))</f>
        <v>0.5</v>
      </c>
      <c r="AP28" s="526">
        <f t="array" ref="AP28">SUM(IF((Roadmap_Avion!$B$8:$B$38=$B28)*(Roadmap_Avion!$C$4:$Z$4=$B$2)*(Roadmap_Avion!$C$6:$Z$6=AP$7)*(Roadmap_Avion!$C$7:$Z$7=AP$9),Roadmap_Avion!$C$8:$Z$38,0))</f>
        <v>0</v>
      </c>
      <c r="AQ28" s="527">
        <f t="array" ref="AQ28">IF($J28&lt;1,AQ27+$H28*AN28,SUMPRODUCT(($B$16:$B$46&lt;=$B28)*($B$16:$B$46&gt;MAX($B28-$D$2-$I28,2019))*$H$16:$H$46*AN$16:AN$46))</f>
        <v>0.15</v>
      </c>
      <c r="AR28" s="528">
        <f t="shared" si="34"/>
        <v>437.63130345944683</v>
      </c>
      <c r="AS28" s="529">
        <f t="shared" si="8"/>
        <v>0.182</v>
      </c>
      <c r="AT28" s="530">
        <f t="shared" si="9"/>
        <v>0</v>
      </c>
      <c r="AU28" s="531">
        <f>Hypothèses!$G$81</f>
        <v>0.3</v>
      </c>
      <c r="AV28" s="523">
        <f t="shared" si="10"/>
        <v>367.75739786508137</v>
      </c>
      <c r="AW28" s="524">
        <f t="array" ref="AW28">1-SUM(IF((Roadmap_Avion!$B$8:$B$38=$B28)*(Roadmap_Avion!$C$4:$Z$4=$B$2)*(Roadmap_Avion!$C$6:$Z$6=AW$7)*(Roadmap_Avion!$C$7:$Z$7=AW$9),Roadmap_Avion!$C$8:$Z$38,0))</f>
        <v>0.25</v>
      </c>
      <c r="AX28" s="525">
        <f t="array" ref="AX28">SUM(IF((Roadmap_Avion!$B$8:$B$38=$B28)*(Roadmap_Avion!$C$4:$Z$4=$B$2)*(Roadmap_Avion!$C$6:$Z$6=AX$7)*(Roadmap_Avion!$C$7:$Z$7=AX$9),Roadmap_Avion!$C$8:$Z$38,0))</f>
        <v>0.5</v>
      </c>
      <c r="AY28" s="526">
        <f t="array" ref="AY28">SUM(IF((Roadmap_Avion!$B$8:$B$38=$B28)*(Roadmap_Avion!$C$4:$Z$4=$B$2)*(Roadmap_Avion!$C$6:$Z$6=AY$7)*(Roadmap_Avion!$C$7:$Z$7=AY$9),Roadmap_Avion!$C$8:$Z$38,0))</f>
        <v>0</v>
      </c>
      <c r="AZ28" s="527">
        <f t="array" ref="AZ28">IF($J28&lt;1,AZ27+$H28*AW28,SUMPRODUCT(($B$16:$B$46&lt;=$B28)*($B$16:$B$46&gt;MAX($B28-$D$2-$I28,2019))*$H$16:$H$46*AW$16:AW$46))</f>
        <v>0.18333333333333332</v>
      </c>
      <c r="BA28" s="528">
        <f t="shared" si="35"/>
        <v>300.3352082564831</v>
      </c>
      <c r="BB28" s="529">
        <f t="shared" si="24"/>
        <v>0.13</v>
      </c>
      <c r="BC28" s="529">
        <f t="shared" si="25"/>
        <v>0</v>
      </c>
      <c r="BD28" s="517">
        <f t="shared" si="12"/>
        <v>1035.1144891909157</v>
      </c>
      <c r="BE28" s="518">
        <f>BD28*(Hypothèses!$D$23/Hypothèses!$B$23)</f>
        <v>1232.2791537987091</v>
      </c>
      <c r="BF28" s="532">
        <f t="shared" si="13"/>
        <v>0.15559999999999996</v>
      </c>
      <c r="BG28" s="518">
        <f>BD28/Hypothèses!$B$23</f>
        <v>328.60777434632246</v>
      </c>
      <c r="BH28" s="532">
        <f t="shared" si="14"/>
        <v>0.43283333333333335</v>
      </c>
      <c r="BI28" s="532">
        <f t="shared" si="14"/>
        <v>0</v>
      </c>
      <c r="BJ28" s="518">
        <f t="shared" si="26"/>
        <v>142.23239832956656</v>
      </c>
      <c r="BK28" s="533">
        <f t="shared" si="36"/>
        <v>24.970411612198916</v>
      </c>
      <c r="BL28" s="534">
        <f t="shared" si="37"/>
        <v>0.17556064515160602</v>
      </c>
      <c r="BM28" s="535">
        <f t="array" ref="BM28">SUM(IF((Prod_Carburant_Alt!$A$7:$A$37=$B28)*(Prod_Carburant_Alt!$B$3:$AI$3=$C$2)*(Prod_Carburant_Alt!$B$5:$AI$5=BM$7)*(Prod_Carburant_Alt!$B$6:$AI$6=BM$9),Prod_Carburant_Alt!$B$7:$AI$37,0))</f>
        <v>20.201279724720393</v>
      </c>
      <c r="BN28" s="534">
        <f t="shared" si="27"/>
        <v>1.1282817811799877</v>
      </c>
      <c r="BO28" s="536">
        <f t="array" ref="BO28">SUM(IF((Prod_Carburant_Alt!$A$7:$A$37=$B28)*(Prod_Carburant_Alt!$B$3:$AI$3=$C$2)*(Prod_Carburant_Alt!$B$5:$AI$5=BO$7)*(Prod_Carburant_Alt!$B$6:$AI$6=BO$9),Prod_Carburant_Alt!$B$7:$AI$37,0))</f>
        <v>0.20438251753392198</v>
      </c>
      <c r="BP28" s="543">
        <f t="array" ref="BP28">SUM(IF((Prod_Carburant_Alt!$A$7:$A$37=$B28)*(Prod_Carburant_Alt!$B$3:$AI$3=$C$2)*(Prod_Carburant_Alt!$B$5:$AI$5=BP$7)*(Prod_Carburant_Alt!$B$6:$AI$6=BP$9),Prod_Carburant_Alt!$B$7:$AI$37,0))</f>
        <v>4.7691318874785242</v>
      </c>
      <c r="BQ28" s="536">
        <f t="shared" si="38"/>
        <v>3.3530559446997253E-2</v>
      </c>
      <c r="BR28" s="537">
        <f t="shared" si="39"/>
        <v>303.63736273412354</v>
      </c>
      <c r="BS28" s="538">
        <f t="shared" si="40"/>
        <v>24.970411612198916</v>
      </c>
      <c r="BT28" s="539">
        <f t="shared" si="41"/>
        <v>1</v>
      </c>
      <c r="BU28" s="535">
        <f t="shared" si="28"/>
        <v>20.201279724720393</v>
      </c>
      <c r="BV28" s="539">
        <f t="shared" si="42"/>
        <v>1</v>
      </c>
      <c r="BW28" s="535">
        <f t="shared" si="29"/>
        <v>4.7691318874785242</v>
      </c>
      <c r="BX28" s="539">
        <f t="shared" si="43"/>
        <v>1</v>
      </c>
      <c r="BY28" s="538">
        <f t="shared" si="44"/>
        <v>0</v>
      </c>
      <c r="BZ28" s="540">
        <f>BY28*Hypothèses!$B$3/Hypothèses!$B$9</f>
        <v>0</v>
      </c>
      <c r="CA28" s="538">
        <f t="shared" si="45"/>
        <v>303.63736273412354</v>
      </c>
      <c r="CB28" s="533">
        <f>BW28*Prod_Carburant_Alt!$R$61+BZ28*Hypothèses!$B$13</f>
        <v>215.96483848903441</v>
      </c>
      <c r="CC28" s="538">
        <f t="shared" si="46"/>
        <v>100.06627036039957</v>
      </c>
      <c r="CD28" s="541">
        <f t="shared" si="47"/>
        <v>0.15371162881781808</v>
      </c>
      <c r="CE28" s="537">
        <f t="shared" si="48"/>
        <v>2.3756132233793781</v>
      </c>
      <c r="CF28" s="503">
        <f>(CA28+BU28*BO28)*Hypothèses!$D$23+CE28</f>
        <v>1156.4986800046374</v>
      </c>
      <c r="CG28" s="504">
        <f t="shared" si="16"/>
        <v>6.1496190664644068E-2</v>
      </c>
      <c r="CH28" s="503">
        <f>(CA28+BU28*BO28)*Hypothèses!$B$23</f>
        <v>969.46337609625687</v>
      </c>
      <c r="CI28" s="503">
        <f t="shared" si="49"/>
        <v>55.463376096256866</v>
      </c>
      <c r="CJ28" s="503">
        <f>(BU28+BW28+CA28)*Hypothèses!$B$6+BZ28*Hypothèses!$B$11</f>
        <v>10.51544877908232</v>
      </c>
      <c r="CK28" s="503">
        <f>(BU28+BW28+CA28)*Hypothèses!$B$5+BZ28*Hypothèses!$B$10</f>
        <v>456.76480634138818</v>
      </c>
      <c r="CL28" s="542">
        <f t="shared" si="17"/>
        <v>0.20752738339722543</v>
      </c>
    </row>
    <row r="29" spans="1:90" ht="14.25" customHeight="1">
      <c r="A29" s="331"/>
      <c r="B29" s="516">
        <v>2033</v>
      </c>
      <c r="C29" s="655">
        <f>Trajectoires!AA25</f>
        <v>1515.2898565070404</v>
      </c>
      <c r="D29" s="659">
        <f>C29/Hypothèses!$D$23</f>
        <v>404.07729506854412</v>
      </c>
      <c r="E29" s="659">
        <f>D29*Hypothèses!$B$23</f>
        <v>1272.843479465914</v>
      </c>
      <c r="F29" s="659">
        <f>D29*Hypothèses!$B$5</f>
        <v>561.66744014527626</v>
      </c>
      <c r="G29" s="659">
        <f>D29*Hypothèses!$B$6</f>
        <v>12.930473442193412</v>
      </c>
      <c r="H29" s="519">
        <f t="shared" si="30"/>
        <v>6.6666666666666666E-2</v>
      </c>
      <c r="I29" s="520">
        <f>IF(J29&gt;=1,ROUND(COUNTIFS($B$16:$B29,"&gt;"&amp;MAX($B29-$D$2,2019),H$16:H29,1/25)*(1/$D$2-1/25)*25,0),0)</f>
        <v>0</v>
      </c>
      <c r="J29" s="521">
        <f t="shared" si="50"/>
        <v>0.79999999999999993</v>
      </c>
      <c r="K29" s="522">
        <f>Hypothèses!$G$77</f>
        <v>0.01</v>
      </c>
      <c r="L29" s="523">
        <f t="shared" si="0"/>
        <v>12.72843479465914</v>
      </c>
      <c r="M29" s="524">
        <f t="array" ref="M29">1-SUM(IF((Roadmap_Avion!$B$8:$B$38=$B29)*(Roadmap_Avion!$C$4:$Z$4=$B$2)*(Roadmap_Avion!$C$6:$Z$6=M$7)*(Roadmap_Avion!$C$7:$Z$7=M$9),Roadmap_Avion!$C$8:$Z$38,0))</f>
        <v>0.5</v>
      </c>
      <c r="N29" s="525">
        <f t="array" ref="N29">SUM(IF((Roadmap_Avion!$B$8:$B$38=$B29)*(Roadmap_Avion!$C$4:$Z$4=$B$2)*(Roadmap_Avion!$C$6:$Z$6=N$7)*(Roadmap_Avion!$C$7:$Z$7=N$9),Roadmap_Avion!$C$8:$Z$38,0))</f>
        <v>0.25</v>
      </c>
      <c r="O29" s="526">
        <f t="array" ref="O29">SUM(IF((Roadmap_Avion!$B$8:$B$38=$B29)*(Roadmap_Avion!$C$4:$Z$4=$B$2)*(Roadmap_Avion!$C$6:$Z$6=O$7)*(Roadmap_Avion!$C$7:$Z$7=O$9),Roadmap_Avion!$C$8:$Z$38,0))</f>
        <v>0</v>
      </c>
      <c r="P29" s="527">
        <f t="array" ref="P29">IF($J29&lt;1,P28+$H29*M29,SUMPRODUCT(($B$16:$B$46&lt;=$B29)*($B$16:$B$46&gt;MAX($B29-$D$2-$I29,2019))*$H$16:$H$46*M$16:M$46))</f>
        <v>0.13333333333333333</v>
      </c>
      <c r="Q29" s="528">
        <f t="shared" si="31"/>
        <v>11.031310155371255</v>
      </c>
      <c r="R29" s="529">
        <f t="shared" si="18"/>
        <v>4.0000000000000001E-3</v>
      </c>
      <c r="S29" s="530">
        <f t="shared" si="19"/>
        <v>0</v>
      </c>
      <c r="T29" s="522">
        <f>Hypothèses!$G$78</f>
        <v>0.03</v>
      </c>
      <c r="U29" s="523">
        <f t="shared" si="2"/>
        <v>38.185304383977417</v>
      </c>
      <c r="V29" s="524">
        <f t="array" ref="V29">1-SUM(IF((Roadmap_Avion!$B$8:$B$38=$B29)*(Roadmap_Avion!$C$4:$Z$4=$B$2)*(Roadmap_Avion!$C$6:$Z$6=V$7)*(Roadmap_Avion!$C$7:$Z$7=V$9),Roadmap_Avion!$C$8:$Z$38,0))</f>
        <v>9.9999999999999978E-2</v>
      </c>
      <c r="W29" s="525">
        <f t="array" ref="W29">SUM(IF((Roadmap_Avion!$B$8:$B$38=$B29)*(Roadmap_Avion!$C$4:$Z$4=$B$2)*(Roadmap_Avion!$C$6:$Z$6=W$7)*(Roadmap_Avion!$C$7:$Z$7=W$9),Roadmap_Avion!$C$8:$Z$38,0))</f>
        <v>0.5</v>
      </c>
      <c r="X29" s="526">
        <f t="array" ref="X29">SUM(IF((Roadmap_Avion!$B$8:$B$38=$B29)*(Roadmap_Avion!$C$4:$Z$4=$B$2)*(Roadmap_Avion!$C$6:$Z$6=X$7)*(Roadmap_Avion!$C$7:$Z$7=X$9),Roadmap_Avion!$C$8:$Z$38,0))</f>
        <v>0</v>
      </c>
      <c r="Y29" s="527">
        <f t="array" ref="Y29">IF($J29&lt;1,Y28+$H29*V29,SUMPRODUCT(($B$16:$B$46&lt;=$B29)*($B$16:$B$46&gt;MAX($B29-$D$2-$I29,2019))*$H$16:$H$46*V$16:V$46))</f>
        <v>2.6666666666666661E-2</v>
      </c>
      <c r="Z29" s="528">
        <f t="shared" si="32"/>
        <v>37.167029600404689</v>
      </c>
      <c r="AA29" s="529">
        <f t="shared" si="20"/>
        <v>1.4E-2</v>
      </c>
      <c r="AB29" s="530">
        <f t="shared" si="21"/>
        <v>0</v>
      </c>
      <c r="AC29" s="522">
        <f>Hypothèses!$G$79</f>
        <v>0.24</v>
      </c>
      <c r="AD29" s="523">
        <f t="shared" si="4"/>
        <v>305.48243507181934</v>
      </c>
      <c r="AE29" s="524">
        <f t="array" ref="AE29">1-SUM(IF((Roadmap_Avion!$B$8:$B$38=$B29)*(Roadmap_Avion!$C$4:$Z$4=$B$2)*(Roadmap_Avion!$C$6:$Z$6=AE$7)*(Roadmap_Avion!$C$7:$Z$7=AE$9),Roadmap_Avion!$C$8:$Z$38,0))</f>
        <v>0.25</v>
      </c>
      <c r="AF29" s="525">
        <f t="array" ref="AF29">SUM(IF((Roadmap_Avion!$B$8:$B$38=$B29)*(Roadmap_Avion!$C$4:$Z$4=$B$2)*(Roadmap_Avion!$C$6:$Z$6=AF$7)*(Roadmap_Avion!$C$7:$Z$7=AF$9),Roadmap_Avion!$C$8:$Z$38,0))</f>
        <v>0.5</v>
      </c>
      <c r="AG29" s="526">
        <f t="array" ref="AG29">SUM(IF((Roadmap_Avion!$B$8:$B$38=$B29)*(Roadmap_Avion!$C$4:$Z$4=$B$2)*(Roadmap_Avion!$C$6:$Z$6=AG$7)*(Roadmap_Avion!$C$7:$Z$7=AG$9),Roadmap_Avion!$C$8:$Z$38,0))</f>
        <v>0</v>
      </c>
      <c r="AH29" s="527">
        <f t="array" ref="AH29">IF($J29&lt;1,AH28+$H29*AE29,SUMPRODUCT(($B$16:$B$46&lt;=$B29)*($B$16:$B$46&gt;MAX($B29-$D$2-$I29,2019))*$H$16:$H$46*AE$16:AE$46))</f>
        <v>0.16666666666666666</v>
      </c>
      <c r="AI29" s="528">
        <f t="shared" si="33"/>
        <v>254.56869589318279</v>
      </c>
      <c r="AJ29" s="529">
        <f t="shared" si="22"/>
        <v>0.112</v>
      </c>
      <c r="AK29" s="530">
        <f t="shared" si="23"/>
        <v>0</v>
      </c>
      <c r="AL29" s="522">
        <f>Hypothèses!$G$80</f>
        <v>0.42</v>
      </c>
      <c r="AM29" s="523">
        <f t="shared" si="6"/>
        <v>534.59426137568391</v>
      </c>
      <c r="AN29" s="524">
        <f t="array" ref="AN29">1-SUM(IF((Roadmap_Avion!$B$8:$B$38=$B29)*(Roadmap_Avion!$C$4:$Z$4=$B$2)*(Roadmap_Avion!$C$6:$Z$6=AN$7)*(Roadmap_Avion!$C$7:$Z$7=AN$9),Roadmap_Avion!$C$8:$Z$38,0))</f>
        <v>0.25</v>
      </c>
      <c r="AO29" s="525">
        <f t="array" ref="AO29">SUM(IF((Roadmap_Avion!$B$8:$B$38=$B29)*(Roadmap_Avion!$C$4:$Z$4=$B$2)*(Roadmap_Avion!$C$6:$Z$6=AO$7)*(Roadmap_Avion!$C$7:$Z$7=AO$9),Roadmap_Avion!$C$8:$Z$38,0))</f>
        <v>0.5</v>
      </c>
      <c r="AP29" s="526">
        <f t="array" ref="AP29">SUM(IF((Roadmap_Avion!$B$8:$B$38=$B29)*(Roadmap_Avion!$C$4:$Z$4=$B$2)*(Roadmap_Avion!$C$6:$Z$6=AP$7)*(Roadmap_Avion!$C$7:$Z$7=AP$9),Roadmap_Avion!$C$8:$Z$38,0))</f>
        <v>0</v>
      </c>
      <c r="AQ29" s="527">
        <f t="array" ref="AQ29">IF($J29&lt;1,AQ28+$H29*AN29,SUMPRODUCT(($B$16:$B$46&lt;=$B29)*($B$16:$B$46&gt;MAX($B29-$D$2-$I29,2019))*$H$16:$H$46*AN$16:AN$46))</f>
        <v>0.16666666666666666</v>
      </c>
      <c r="AR29" s="528">
        <f t="shared" si="34"/>
        <v>445.49521781306993</v>
      </c>
      <c r="AS29" s="529">
        <f t="shared" si="8"/>
        <v>0.19600000000000001</v>
      </c>
      <c r="AT29" s="530">
        <f t="shared" si="9"/>
        <v>0</v>
      </c>
      <c r="AU29" s="531">
        <f>Hypothèses!$G$81</f>
        <v>0.3</v>
      </c>
      <c r="AV29" s="523">
        <f t="shared" si="10"/>
        <v>381.85304383977422</v>
      </c>
      <c r="AW29" s="524">
        <f t="array" ref="AW29">1-SUM(IF((Roadmap_Avion!$B$8:$B$38=$B29)*(Roadmap_Avion!$C$4:$Z$4=$B$2)*(Roadmap_Avion!$C$6:$Z$6=AW$7)*(Roadmap_Avion!$C$7:$Z$7=AW$9),Roadmap_Avion!$C$8:$Z$38,0))</f>
        <v>0.25</v>
      </c>
      <c r="AX29" s="525">
        <f t="array" ref="AX29">SUM(IF((Roadmap_Avion!$B$8:$B$38=$B29)*(Roadmap_Avion!$C$4:$Z$4=$B$2)*(Roadmap_Avion!$C$6:$Z$6=AX$7)*(Roadmap_Avion!$C$7:$Z$7=AX$9),Roadmap_Avion!$C$8:$Z$38,0))</f>
        <v>0.5</v>
      </c>
      <c r="AY29" s="526">
        <f t="array" ref="AY29">SUM(IF((Roadmap_Avion!$B$8:$B$38=$B29)*(Roadmap_Avion!$C$4:$Z$4=$B$2)*(Roadmap_Avion!$C$6:$Z$6=AY$7)*(Roadmap_Avion!$C$7:$Z$7=AY$9),Roadmap_Avion!$C$8:$Z$38,0))</f>
        <v>0</v>
      </c>
      <c r="AZ29" s="527">
        <f t="array" ref="AZ29">IF($J29&lt;1,AZ28+$H29*AW29,SUMPRODUCT(($B$16:$B$46&lt;=$B29)*($B$16:$B$46&gt;MAX($B29-$D$2-$I29,2019))*$H$16:$H$46*AW$16:AW$46))</f>
        <v>0.19999999999999998</v>
      </c>
      <c r="BA29" s="528">
        <f t="shared" si="35"/>
        <v>305.4824350718194</v>
      </c>
      <c r="BB29" s="529">
        <f t="shared" si="24"/>
        <v>0.14000000000000001</v>
      </c>
      <c r="BC29" s="529">
        <f t="shared" si="25"/>
        <v>0</v>
      </c>
      <c r="BD29" s="517">
        <f t="shared" si="12"/>
        <v>1053.7446885338481</v>
      </c>
      <c r="BE29" s="518">
        <f>BD29*(Hypothèses!$D$23/Hypothèses!$B$23)</f>
        <v>1254.4579625402955</v>
      </c>
      <c r="BF29" s="532">
        <f t="shared" si="13"/>
        <v>0.17213333333333314</v>
      </c>
      <c r="BG29" s="518">
        <f>BD29/Hypothèses!$B$23</f>
        <v>334.52212334407881</v>
      </c>
      <c r="BH29" s="532">
        <f t="shared" si="14"/>
        <v>0.46600000000000003</v>
      </c>
      <c r="BI29" s="532">
        <f t="shared" si="14"/>
        <v>0</v>
      </c>
      <c r="BJ29" s="518">
        <f t="shared" si="26"/>
        <v>155.88730947834074</v>
      </c>
      <c r="BK29" s="533">
        <f t="shared" si="36"/>
        <v>29.192886542776598</v>
      </c>
      <c r="BL29" s="534">
        <f t="shared" si="37"/>
        <v>0.18726916668500659</v>
      </c>
      <c r="BM29" s="535">
        <f t="array" ref="BM29">SUM(IF((Prod_Carburant_Alt!$A$7:$A$37=$B29)*(Prod_Carburant_Alt!$B$3:$AI$3=$C$2)*(Prod_Carburant_Alt!$B$5:$AI$5=BM$7)*(Prod_Carburant_Alt!$B$6:$AI$6=BM$9),Prod_Carburant_Alt!$B$7:$AI$37,0))</f>
        <v>23.231471683428445</v>
      </c>
      <c r="BN29" s="534">
        <f t="shared" si="27"/>
        <v>1.0879308676510853</v>
      </c>
      <c r="BO29" s="536">
        <f t="array" ref="BO29">SUM(IF((Prod_Carburant_Alt!$A$7:$A$37=$B29)*(Prod_Carburant_Alt!$B$3:$AI$3=$C$2)*(Prod_Carburant_Alt!$B$5:$AI$5=BO$7)*(Prod_Carburant_Alt!$B$6:$AI$6=BO$9),Prod_Carburant_Alt!$B$7:$AI$37,0))</f>
        <v>0.20438251753392206</v>
      </c>
      <c r="BP29" s="543">
        <f t="array" ref="BP29">SUM(IF((Prod_Carburant_Alt!$A$7:$A$37=$B29)*(Prod_Carburant_Alt!$B$3:$AI$3=$C$2)*(Prod_Carburant_Alt!$B$5:$AI$5=BP$7)*(Prod_Carburant_Alt!$B$6:$AI$6=BP$9),Prod_Carburant_Alt!$B$7:$AI$37,0))</f>
        <v>5.9614148593481548</v>
      </c>
      <c r="BQ29" s="536">
        <f t="shared" si="38"/>
        <v>3.8241822758358947E-2</v>
      </c>
      <c r="BR29" s="537">
        <f t="shared" si="39"/>
        <v>305.32923680130222</v>
      </c>
      <c r="BS29" s="538">
        <f t="shared" si="40"/>
        <v>29.192886542776598</v>
      </c>
      <c r="BT29" s="539">
        <f t="shared" si="41"/>
        <v>1</v>
      </c>
      <c r="BU29" s="535">
        <f t="shared" si="28"/>
        <v>23.231471683428445</v>
      </c>
      <c r="BV29" s="539">
        <f t="shared" si="42"/>
        <v>1</v>
      </c>
      <c r="BW29" s="535">
        <f t="shared" si="29"/>
        <v>5.9614148593481548</v>
      </c>
      <c r="BX29" s="539">
        <f t="shared" si="43"/>
        <v>1</v>
      </c>
      <c r="BY29" s="538">
        <f t="shared" si="44"/>
        <v>0</v>
      </c>
      <c r="BZ29" s="540">
        <f>BY29*Hypothèses!$B$3/Hypothèses!$B$9</f>
        <v>0</v>
      </c>
      <c r="CA29" s="538">
        <f t="shared" si="45"/>
        <v>305.32923680130222</v>
      </c>
      <c r="CB29" s="533">
        <f>BW29*Prod_Carburant_Alt!$R$61+BZ29*Hypothèses!$B$13</f>
        <v>269.956048111293</v>
      </c>
      <c r="CC29" s="538">
        <f t="shared" si="46"/>
        <v>125.08283795049945</v>
      </c>
      <c r="CD29" s="541">
        <f t="shared" si="47"/>
        <v>0.19213953602227257</v>
      </c>
      <c r="CE29" s="537">
        <f t="shared" si="48"/>
        <v>2.9695165292242232</v>
      </c>
      <c r="CF29" s="503">
        <f>(CA29+BU29*BO29)*Hypothèses!$D$23+CE29</f>
        <v>1165.7595545416466</v>
      </c>
      <c r="CG29" s="504">
        <f t="shared" si="16"/>
        <v>7.0706560639970231E-2</v>
      </c>
      <c r="CH29" s="503">
        <f>(CA29+BU29*BO29)*Hypothèses!$B$23</f>
        <v>976.74363193043484</v>
      </c>
      <c r="CI29" s="503">
        <f t="shared" si="49"/>
        <v>62.743631930434844</v>
      </c>
      <c r="CJ29" s="503">
        <f>(BU29+BW29+CA29)*Hypothèses!$B$6+BZ29*Hypothèses!$B$11</f>
        <v>10.704707947010522</v>
      </c>
      <c r="CK29" s="503">
        <f>(BU29+BW29+CA29)*Hypothèses!$B$5+BZ29*Hypothèses!$B$10</f>
        <v>464.98575144826953</v>
      </c>
      <c r="CL29" s="542">
        <f t="shared" si="17"/>
        <v>0.23066893800180985</v>
      </c>
    </row>
    <row r="30" spans="1:90" ht="14.25" customHeight="1">
      <c r="A30" s="331"/>
      <c r="B30" s="516">
        <v>2034</v>
      </c>
      <c r="C30" s="655">
        <f>Trajectoires!AA26</f>
        <v>1573.0984171359921</v>
      </c>
      <c r="D30" s="659">
        <f>C30/Hypothèses!$D$23</f>
        <v>419.49291123626455</v>
      </c>
      <c r="E30" s="659">
        <f>D30*Hypothèses!$B$23</f>
        <v>1321.4026703942334</v>
      </c>
      <c r="F30" s="659">
        <f>D30*Hypothèses!$B$5</f>
        <v>583.09514661840763</v>
      </c>
      <c r="G30" s="659">
        <f>D30*Hypothèses!$B$6</f>
        <v>13.423773159560465</v>
      </c>
      <c r="H30" s="519">
        <f t="shared" si="30"/>
        <v>6.6666666666666666E-2</v>
      </c>
      <c r="I30" s="520">
        <f>IF(J30&gt;=1,ROUND(COUNTIFS($B$16:$B30,"&gt;"&amp;MAX($B30-$D$2,2019),H$16:H30,1/25)*(1/$D$2-1/25)*25,0),0)</f>
        <v>0</v>
      </c>
      <c r="J30" s="521">
        <f t="shared" si="50"/>
        <v>0.86666666666666659</v>
      </c>
      <c r="K30" s="522">
        <f>Hypothèses!$G$77</f>
        <v>0.01</v>
      </c>
      <c r="L30" s="523">
        <f t="shared" si="0"/>
        <v>13.214026703942334</v>
      </c>
      <c r="M30" s="524">
        <f t="array" ref="M30">1-SUM(IF((Roadmap_Avion!$B$8:$B$38=$B30)*(Roadmap_Avion!$C$4:$Z$4=$B$2)*(Roadmap_Avion!$C$6:$Z$6=M$7)*(Roadmap_Avion!$C$7:$Z$7=M$9),Roadmap_Avion!$C$8:$Z$38,0))</f>
        <v>0.5</v>
      </c>
      <c r="N30" s="525">
        <f t="array" ref="N30">SUM(IF((Roadmap_Avion!$B$8:$B$38=$B30)*(Roadmap_Avion!$C$4:$Z$4=$B$2)*(Roadmap_Avion!$C$6:$Z$6=N$7)*(Roadmap_Avion!$C$7:$Z$7=N$9),Roadmap_Avion!$C$8:$Z$38,0))</f>
        <v>0.25</v>
      </c>
      <c r="O30" s="526">
        <f t="array" ref="O30">SUM(IF((Roadmap_Avion!$B$8:$B$38=$B30)*(Roadmap_Avion!$C$4:$Z$4=$B$2)*(Roadmap_Avion!$C$6:$Z$6=O$7)*(Roadmap_Avion!$C$7:$Z$7=O$9),Roadmap_Avion!$C$8:$Z$38,0))</f>
        <v>0</v>
      </c>
      <c r="P30" s="527">
        <f t="array" ref="P30">IF($J30&lt;1,P29+$H30*M30,SUMPRODUCT(($B$16:$B$46&lt;=$B30)*($B$16:$B$46&gt;MAX($B30-$D$2-$I30,2019))*$H$16:$H$46*M$16:M$46))</f>
        <v>0.16666666666666666</v>
      </c>
      <c r="Q30" s="528">
        <f t="shared" si="31"/>
        <v>11.011688919951945</v>
      </c>
      <c r="R30" s="529">
        <f t="shared" si="18"/>
        <v>4.1666666666666666E-3</v>
      </c>
      <c r="S30" s="530">
        <f t="shared" si="19"/>
        <v>0</v>
      </c>
      <c r="T30" s="522">
        <f>Hypothèses!$G$78</f>
        <v>0.03</v>
      </c>
      <c r="U30" s="523">
        <f t="shared" si="2"/>
        <v>39.642080111826999</v>
      </c>
      <c r="V30" s="524">
        <f t="array" ref="V30">1-SUM(IF((Roadmap_Avion!$B$8:$B$38=$B30)*(Roadmap_Avion!$C$4:$Z$4=$B$2)*(Roadmap_Avion!$C$6:$Z$6=V$7)*(Roadmap_Avion!$C$7:$Z$7=V$9),Roadmap_Avion!$C$8:$Z$38,0))</f>
        <v>9.9999999999999978E-2</v>
      </c>
      <c r="W30" s="525">
        <f t="array" ref="W30">SUM(IF((Roadmap_Avion!$B$8:$B$38=$B30)*(Roadmap_Avion!$C$4:$Z$4=$B$2)*(Roadmap_Avion!$C$6:$Z$6=W$7)*(Roadmap_Avion!$C$7:$Z$7=W$9),Roadmap_Avion!$C$8:$Z$38,0))</f>
        <v>0.5</v>
      </c>
      <c r="X30" s="526">
        <f t="array" ref="X30">SUM(IF((Roadmap_Avion!$B$8:$B$38=$B30)*(Roadmap_Avion!$C$4:$Z$4=$B$2)*(Roadmap_Avion!$C$6:$Z$6=X$7)*(Roadmap_Avion!$C$7:$Z$7=X$9),Roadmap_Avion!$C$8:$Z$38,0))</f>
        <v>0</v>
      </c>
      <c r="Y30" s="527">
        <f t="array" ref="Y30">IF($J30&lt;1,Y29+$H30*V30,SUMPRODUCT(($B$16:$B$46&lt;=$B30)*($B$16:$B$46&gt;MAX($B30-$D$2-$I30,2019))*$H$16:$H$46*V$16:V$46))</f>
        <v>3.3333333333333326E-2</v>
      </c>
      <c r="Z30" s="528">
        <f t="shared" si="32"/>
        <v>38.320677441432764</v>
      </c>
      <c r="AA30" s="529">
        <f t="shared" si="20"/>
        <v>1.4999999999999998E-2</v>
      </c>
      <c r="AB30" s="530">
        <f t="shared" si="21"/>
        <v>0</v>
      </c>
      <c r="AC30" s="522">
        <f>Hypothèses!$G$79</f>
        <v>0.24</v>
      </c>
      <c r="AD30" s="523">
        <f t="shared" si="4"/>
        <v>317.13664089461599</v>
      </c>
      <c r="AE30" s="524">
        <f t="array" ref="AE30">1-SUM(IF((Roadmap_Avion!$B$8:$B$38=$B30)*(Roadmap_Avion!$C$4:$Z$4=$B$2)*(Roadmap_Avion!$C$6:$Z$6=AE$7)*(Roadmap_Avion!$C$7:$Z$7=AE$9),Roadmap_Avion!$C$8:$Z$38,0))</f>
        <v>0.25</v>
      </c>
      <c r="AF30" s="525">
        <f t="array" ref="AF30">SUM(IF((Roadmap_Avion!$B$8:$B$38=$B30)*(Roadmap_Avion!$C$4:$Z$4=$B$2)*(Roadmap_Avion!$C$6:$Z$6=AF$7)*(Roadmap_Avion!$C$7:$Z$7=AF$9),Roadmap_Avion!$C$8:$Z$38,0))</f>
        <v>0.5</v>
      </c>
      <c r="AG30" s="526">
        <f t="array" ref="AG30">SUM(IF((Roadmap_Avion!$B$8:$B$38=$B30)*(Roadmap_Avion!$C$4:$Z$4=$B$2)*(Roadmap_Avion!$C$6:$Z$6=AG$7)*(Roadmap_Avion!$C$7:$Z$7=AG$9),Roadmap_Avion!$C$8:$Z$38,0))</f>
        <v>0</v>
      </c>
      <c r="AH30" s="527">
        <f t="array" ref="AH30">IF($J30&lt;1,AH29+$H30*AE30,SUMPRODUCT(($B$16:$B$46&lt;=$B30)*($B$16:$B$46&gt;MAX($B30-$D$2-$I30,2019))*$H$16:$H$46*AE$16:AE$46))</f>
        <v>0.18333333333333332</v>
      </c>
      <c r="AI30" s="528">
        <f t="shared" si="33"/>
        <v>258.9949233972697</v>
      </c>
      <c r="AJ30" s="529">
        <f t="shared" si="22"/>
        <v>0.11999999999999998</v>
      </c>
      <c r="AK30" s="530">
        <f t="shared" si="23"/>
        <v>0</v>
      </c>
      <c r="AL30" s="522">
        <f>Hypothèses!$G$80</f>
        <v>0.42</v>
      </c>
      <c r="AM30" s="523">
        <f t="shared" si="6"/>
        <v>554.98912156557799</v>
      </c>
      <c r="AN30" s="524">
        <f t="array" ref="AN30">1-SUM(IF((Roadmap_Avion!$B$8:$B$38=$B30)*(Roadmap_Avion!$C$4:$Z$4=$B$2)*(Roadmap_Avion!$C$6:$Z$6=AN$7)*(Roadmap_Avion!$C$7:$Z$7=AN$9),Roadmap_Avion!$C$8:$Z$38,0))</f>
        <v>0.25</v>
      </c>
      <c r="AO30" s="525">
        <f t="array" ref="AO30">SUM(IF((Roadmap_Avion!$B$8:$B$38=$B30)*(Roadmap_Avion!$C$4:$Z$4=$B$2)*(Roadmap_Avion!$C$6:$Z$6=AO$7)*(Roadmap_Avion!$C$7:$Z$7=AO$9),Roadmap_Avion!$C$8:$Z$38,0))</f>
        <v>0.5</v>
      </c>
      <c r="AP30" s="526">
        <f t="array" ref="AP30">SUM(IF((Roadmap_Avion!$B$8:$B$38=$B30)*(Roadmap_Avion!$C$4:$Z$4=$B$2)*(Roadmap_Avion!$C$6:$Z$6=AP$7)*(Roadmap_Avion!$C$7:$Z$7=AP$9),Roadmap_Avion!$C$8:$Z$38,0))</f>
        <v>0</v>
      </c>
      <c r="AQ30" s="527">
        <f t="array" ref="AQ30">IF($J30&lt;1,AQ29+$H30*AN30,SUMPRODUCT(($B$16:$B$46&lt;=$B30)*($B$16:$B$46&gt;MAX($B30-$D$2-$I30,2019))*$H$16:$H$46*AN$16:AN$46))</f>
        <v>0.18333333333333332</v>
      </c>
      <c r="AR30" s="528">
        <f t="shared" si="34"/>
        <v>453.24111594522202</v>
      </c>
      <c r="AS30" s="529">
        <f t="shared" si="8"/>
        <v>0.21</v>
      </c>
      <c r="AT30" s="530">
        <f t="shared" si="9"/>
        <v>0</v>
      </c>
      <c r="AU30" s="531">
        <f>Hypothèses!$G$81</f>
        <v>0.3</v>
      </c>
      <c r="AV30" s="523">
        <f t="shared" si="10"/>
        <v>396.42080111826999</v>
      </c>
      <c r="AW30" s="524">
        <f t="array" ref="AW30">1-SUM(IF((Roadmap_Avion!$B$8:$B$38=$B30)*(Roadmap_Avion!$C$4:$Z$4=$B$2)*(Roadmap_Avion!$C$6:$Z$6=AW$7)*(Roadmap_Avion!$C$7:$Z$7=AW$9),Roadmap_Avion!$C$8:$Z$38,0))</f>
        <v>0.25</v>
      </c>
      <c r="AX30" s="525">
        <f t="array" ref="AX30">SUM(IF((Roadmap_Avion!$B$8:$B$38=$B30)*(Roadmap_Avion!$C$4:$Z$4=$B$2)*(Roadmap_Avion!$C$6:$Z$6=AX$7)*(Roadmap_Avion!$C$7:$Z$7=AX$9),Roadmap_Avion!$C$8:$Z$38,0))</f>
        <v>0.5</v>
      </c>
      <c r="AY30" s="526">
        <f t="array" ref="AY30">SUM(IF((Roadmap_Avion!$B$8:$B$38=$B30)*(Roadmap_Avion!$C$4:$Z$4=$B$2)*(Roadmap_Avion!$C$6:$Z$6=AY$7)*(Roadmap_Avion!$C$7:$Z$7=AY$9),Roadmap_Avion!$C$8:$Z$38,0))</f>
        <v>0</v>
      </c>
      <c r="AZ30" s="527">
        <f t="array" ref="AZ30">IF($J30&lt;1,AZ29+$H30*AW30,SUMPRODUCT(($B$16:$B$46&lt;=$B30)*($B$16:$B$46&gt;MAX($B30-$D$2-$I30,2019))*$H$16:$H$46*AW$16:AW$46))</f>
        <v>0.21666666666666665</v>
      </c>
      <c r="BA30" s="528">
        <f t="shared" si="35"/>
        <v>310.52962754264485</v>
      </c>
      <c r="BB30" s="529">
        <f t="shared" si="24"/>
        <v>0.15</v>
      </c>
      <c r="BC30" s="529">
        <f t="shared" si="25"/>
        <v>0</v>
      </c>
      <c r="BD30" s="517">
        <f t="shared" si="12"/>
        <v>1072.0980332465213</v>
      </c>
      <c r="BE30" s="518">
        <f>BD30*(Hypothèses!$D$23/Hypothèses!$B$23)</f>
        <v>1276.3071824363349</v>
      </c>
      <c r="BF30" s="532">
        <f t="shared" si="13"/>
        <v>0.18866666666666676</v>
      </c>
      <c r="BG30" s="518">
        <f>BD30/Hypothèses!$B$23</f>
        <v>340.34858198302265</v>
      </c>
      <c r="BH30" s="532">
        <f t="shared" si="14"/>
        <v>0.49916666666666665</v>
      </c>
      <c r="BI30" s="532">
        <f t="shared" si="14"/>
        <v>0</v>
      </c>
      <c r="BJ30" s="518">
        <f t="shared" si="26"/>
        <v>169.89066717319213</v>
      </c>
      <c r="BK30" s="533">
        <f t="shared" si="36"/>
        <v>34.167961010127904</v>
      </c>
      <c r="BL30" s="534">
        <f t="shared" si="37"/>
        <v>0.20111735140398243</v>
      </c>
      <c r="BM30" s="535">
        <f t="array" ref="BM30">SUM(IF((Prod_Carburant_Alt!$A$7:$A$37=$B30)*(Prod_Carburant_Alt!$B$3:$AI$3=$C$2)*(Prod_Carburant_Alt!$B$5:$AI$5=BM$7)*(Prod_Carburant_Alt!$B$6:$AI$6=BM$9),Prod_Carburant_Alt!$B$7:$AI$37,0))</f>
        <v>26.716192435942713</v>
      </c>
      <c r="BN30" s="534">
        <f t="shared" si="27"/>
        <v>1.0659930286430159</v>
      </c>
      <c r="BO30" s="536">
        <f t="array" ref="BO30">SUM(IF((Prod_Carburant_Alt!$A$7:$A$37=$B30)*(Prod_Carburant_Alt!$B$3:$AI$3=$C$2)*(Prod_Carburant_Alt!$B$5:$AI$5=BO$7)*(Prod_Carburant_Alt!$B$6:$AI$6=BO$9),Prod_Carburant_Alt!$B$7:$AI$37,0))</f>
        <v>0.204382517533922</v>
      </c>
      <c r="BP30" s="543">
        <f t="array" ref="BP30">SUM(IF((Prod_Carburant_Alt!$A$7:$A$37=$B30)*(Prod_Carburant_Alt!$B$3:$AI$3=$C$2)*(Prod_Carburant_Alt!$B$5:$AI$5=BP$7)*(Prod_Carburant_Alt!$B$6:$AI$6=BP$9),Prod_Carburant_Alt!$B$7:$AI$37,0))</f>
        <v>7.4517685741851931</v>
      </c>
      <c r="BQ30" s="536">
        <f t="shared" si="38"/>
        <v>4.3862142036258031E-2</v>
      </c>
      <c r="BR30" s="537">
        <f t="shared" si="39"/>
        <v>306.18062097289476</v>
      </c>
      <c r="BS30" s="538">
        <f t="shared" si="40"/>
        <v>34.167961010127904</v>
      </c>
      <c r="BT30" s="539">
        <f t="shared" si="41"/>
        <v>1</v>
      </c>
      <c r="BU30" s="535">
        <f t="shared" si="28"/>
        <v>26.716192435942713</v>
      </c>
      <c r="BV30" s="539">
        <f t="shared" si="42"/>
        <v>1</v>
      </c>
      <c r="BW30" s="535">
        <f t="shared" si="29"/>
        <v>7.4517685741851931</v>
      </c>
      <c r="BX30" s="539">
        <f t="shared" si="43"/>
        <v>1</v>
      </c>
      <c r="BY30" s="538">
        <f t="shared" si="44"/>
        <v>0</v>
      </c>
      <c r="BZ30" s="540">
        <f>BY30*Hypothèses!$B$3/Hypothèses!$B$9</f>
        <v>0</v>
      </c>
      <c r="CA30" s="538">
        <f t="shared" si="45"/>
        <v>306.18062097289476</v>
      </c>
      <c r="CB30" s="533">
        <f>BW30*Prod_Carburant_Alt!$R$61+BZ30*Hypothèses!$B$13</f>
        <v>337.44506013911621</v>
      </c>
      <c r="CC30" s="538">
        <f t="shared" si="46"/>
        <v>156.35354743812431</v>
      </c>
      <c r="CD30" s="541">
        <f t="shared" si="47"/>
        <v>0.24017442002784073</v>
      </c>
      <c r="CE30" s="537">
        <f t="shared" si="48"/>
        <v>3.7118956615302783</v>
      </c>
      <c r="CF30" s="503">
        <f>(CA30+BU30*BO30)*Hypothèses!$D$23+CE30</f>
        <v>1172.3654343185556</v>
      </c>
      <c r="CG30" s="504">
        <f t="shared" si="16"/>
        <v>8.1439444632259717E-2</v>
      </c>
      <c r="CH30" s="503">
        <f>(CA30+BU30*BO30)*Hypothèses!$B$23</f>
        <v>981.66897247190127</v>
      </c>
      <c r="CI30" s="503">
        <f t="shared" si="49"/>
        <v>67.66897247190127</v>
      </c>
      <c r="CJ30" s="503">
        <f>(BU30+BW30+CA30)*Hypothèses!$B$6+BZ30*Hypothèses!$B$11</f>
        <v>10.891154623456725</v>
      </c>
      <c r="CK30" s="503">
        <f>(BU30+BW30+CA30)*Hypothèses!$B$5+BZ30*Hypothèses!$B$10</f>
        <v>473.08452895640147</v>
      </c>
      <c r="CL30" s="542">
        <f t="shared" si="17"/>
        <v>0.25474120274497342</v>
      </c>
    </row>
    <row r="31" spans="1:90" ht="14.25" customHeight="1">
      <c r="A31" s="331"/>
      <c r="B31" s="516">
        <v>2035</v>
      </c>
      <c r="C31" s="655">
        <f>Trajectoires!AA27</f>
        <v>1632.8010676045039</v>
      </c>
      <c r="D31" s="659">
        <f>C31/Hypothèses!$D$23</f>
        <v>435.4136180278677</v>
      </c>
      <c r="E31" s="659">
        <f>D31*Hypothèses!$B$23</f>
        <v>1371.5528967877833</v>
      </c>
      <c r="F31" s="659">
        <f>D31*Hypothèses!$B$5</f>
        <v>605.22492905873605</v>
      </c>
      <c r="G31" s="659">
        <f>D31*Hypothèses!$B$6</f>
        <v>13.933235776891767</v>
      </c>
      <c r="H31" s="519">
        <f t="shared" si="30"/>
        <v>6.6666666666666666E-2</v>
      </c>
      <c r="I31" s="520">
        <f>IF(J31&gt;=1,ROUND(COUNTIFS($B$16:$B31,"&gt;"&amp;MAX($B31-$D$2,2019),H$16:H31,1/25)*(1/$D$2-1/25)*25,0),0)</f>
        <v>0</v>
      </c>
      <c r="J31" s="521">
        <f t="shared" si="50"/>
        <v>0.93333333333333324</v>
      </c>
      <c r="K31" s="522">
        <f>Hypothèses!$G$77</f>
        <v>0.01</v>
      </c>
      <c r="L31" s="523">
        <f t="shared" si="0"/>
        <v>13.715528967877834</v>
      </c>
      <c r="M31" s="524">
        <f t="array" ref="M31">1-SUM(IF((Roadmap_Avion!$B$8:$B$38=$B31)*(Roadmap_Avion!$C$4:$Z$4=$B$2)*(Roadmap_Avion!$C$6:$Z$6=M$7)*(Roadmap_Avion!$C$7:$Z$7=M$9),Roadmap_Avion!$C$8:$Z$38,0))</f>
        <v>0.15000000000000002</v>
      </c>
      <c r="N31" s="525">
        <f t="array" ref="N31">SUM(IF((Roadmap_Avion!$B$8:$B$38=$B31)*(Roadmap_Avion!$C$4:$Z$4=$B$2)*(Roadmap_Avion!$C$6:$Z$6=N$7)*(Roadmap_Avion!$C$7:$Z$7=N$9),Roadmap_Avion!$C$8:$Z$38,0))</f>
        <v>0</v>
      </c>
      <c r="O31" s="526">
        <f t="array" ref="O31">SUM(IF((Roadmap_Avion!$B$8:$B$38=$B31)*(Roadmap_Avion!$C$4:$Z$4=$B$2)*(Roadmap_Avion!$C$6:$Z$6=O$7)*(Roadmap_Avion!$C$7:$Z$7=O$9),Roadmap_Avion!$C$8:$Z$38,0))</f>
        <v>1</v>
      </c>
      <c r="P31" s="527">
        <f t="array" ref="P31">IF($J31&lt;1,P30+$H31*M31,SUMPRODUCT(($B$16:$B$46&lt;=$B31)*($B$16:$B$46&gt;MAX($B31-$D$2-$I31,2019))*$H$16:$H$46*M$16:M$46))</f>
        <v>0.17666666666666667</v>
      </c>
      <c r="Q31" s="528">
        <f t="shared" si="31"/>
        <v>11.292452183552751</v>
      </c>
      <c r="R31" s="529">
        <f t="shared" si="18"/>
        <v>3.8333333333333336E-3</v>
      </c>
      <c r="S31" s="530">
        <f t="shared" si="19"/>
        <v>6.6666666666666664E-4</v>
      </c>
      <c r="T31" s="522">
        <f>Hypothèses!$G$78</f>
        <v>0.03</v>
      </c>
      <c r="U31" s="523">
        <f t="shared" si="2"/>
        <v>41.146586903633498</v>
      </c>
      <c r="V31" s="524">
        <f t="array" ref="V31">1-SUM(IF((Roadmap_Avion!$B$8:$B$38=$B31)*(Roadmap_Avion!$C$4:$Z$4=$B$2)*(Roadmap_Avion!$C$6:$Z$6=V$7)*(Roadmap_Avion!$C$7:$Z$7=V$9),Roadmap_Avion!$C$8:$Z$38,0))</f>
        <v>0.5</v>
      </c>
      <c r="W31" s="525">
        <f t="array" ref="W31">SUM(IF((Roadmap_Avion!$B$8:$B$38=$B31)*(Roadmap_Avion!$C$4:$Z$4=$B$2)*(Roadmap_Avion!$C$6:$Z$6=W$7)*(Roadmap_Avion!$C$7:$Z$7=W$9),Roadmap_Avion!$C$8:$Z$38,0))</f>
        <v>0.25</v>
      </c>
      <c r="X31" s="526">
        <f t="array" ref="X31">SUM(IF((Roadmap_Avion!$B$8:$B$38=$B31)*(Roadmap_Avion!$C$4:$Z$4=$B$2)*(Roadmap_Avion!$C$6:$Z$6=X$7)*(Roadmap_Avion!$C$7:$Z$7=X$9),Roadmap_Avion!$C$8:$Z$38,0))</f>
        <v>0</v>
      </c>
      <c r="Y31" s="527">
        <f t="array" ref="Y31">IF($J31&lt;1,Y30+$H31*V31,SUMPRODUCT(($B$16:$B$46&lt;=$B31)*($B$16:$B$46&gt;MAX($B31-$D$2-$I31,2019))*$H$16:$H$46*V$16:V$46))</f>
        <v>6.6666666666666652E-2</v>
      </c>
      <c r="Z31" s="528">
        <f t="shared" si="32"/>
        <v>38.403481110057932</v>
      </c>
      <c r="AA31" s="529">
        <f t="shared" si="20"/>
        <v>1.4500000000000001E-2</v>
      </c>
      <c r="AB31" s="530">
        <f t="shared" si="21"/>
        <v>0</v>
      </c>
      <c r="AC31" s="522">
        <f>Hypothèses!$G$79</f>
        <v>0.24</v>
      </c>
      <c r="AD31" s="523">
        <f t="shared" si="4"/>
        <v>329.17269522906798</v>
      </c>
      <c r="AE31" s="524">
        <f t="array" ref="AE31">1-SUM(IF((Roadmap_Avion!$B$8:$B$38=$B31)*(Roadmap_Avion!$C$4:$Z$4=$B$2)*(Roadmap_Avion!$C$6:$Z$6=AE$7)*(Roadmap_Avion!$C$7:$Z$7=AE$9),Roadmap_Avion!$C$8:$Z$38,0))</f>
        <v>0.25</v>
      </c>
      <c r="AF31" s="525">
        <f t="array" ref="AF31">SUM(IF((Roadmap_Avion!$B$8:$B$38=$B31)*(Roadmap_Avion!$C$4:$Z$4=$B$2)*(Roadmap_Avion!$C$6:$Z$6=AF$7)*(Roadmap_Avion!$C$7:$Z$7=AF$9),Roadmap_Avion!$C$8:$Z$38,0))</f>
        <v>0.5</v>
      </c>
      <c r="AG31" s="526">
        <f t="array" ref="AG31">SUM(IF((Roadmap_Avion!$B$8:$B$38=$B31)*(Roadmap_Avion!$C$4:$Z$4=$B$2)*(Roadmap_Avion!$C$6:$Z$6=AG$7)*(Roadmap_Avion!$C$7:$Z$7=AG$9),Roadmap_Avion!$C$8:$Z$38,0))</f>
        <v>0</v>
      </c>
      <c r="AH31" s="527">
        <f t="array" ref="AH31">IF($J31&lt;1,AH30+$H31*AE31,SUMPRODUCT(($B$16:$B$46&lt;=$B31)*($B$16:$B$46&gt;MAX($B31-$D$2-$I31,2019))*$H$16:$H$46*AE$16:AE$46))</f>
        <v>0.19999999999999998</v>
      </c>
      <c r="AI31" s="528">
        <f t="shared" si="33"/>
        <v>263.3381561832544</v>
      </c>
      <c r="AJ31" s="529">
        <f t="shared" si="22"/>
        <v>0.11999999999999998</v>
      </c>
      <c r="AK31" s="530">
        <f t="shared" si="23"/>
        <v>0</v>
      </c>
      <c r="AL31" s="522">
        <f>Hypothèses!$G$80</f>
        <v>0.42</v>
      </c>
      <c r="AM31" s="523">
        <f t="shared" si="6"/>
        <v>576.05221665086901</v>
      </c>
      <c r="AN31" s="524">
        <f t="array" ref="AN31">1-SUM(IF((Roadmap_Avion!$B$8:$B$38=$B31)*(Roadmap_Avion!$C$4:$Z$4=$B$2)*(Roadmap_Avion!$C$6:$Z$6=AN$7)*(Roadmap_Avion!$C$7:$Z$7=AN$9),Roadmap_Avion!$C$8:$Z$38,0))</f>
        <v>0.25</v>
      </c>
      <c r="AO31" s="525">
        <f t="array" ref="AO31">SUM(IF((Roadmap_Avion!$B$8:$B$38=$B31)*(Roadmap_Avion!$C$4:$Z$4=$B$2)*(Roadmap_Avion!$C$6:$Z$6=AO$7)*(Roadmap_Avion!$C$7:$Z$7=AO$9),Roadmap_Avion!$C$8:$Z$38,0))</f>
        <v>0.5</v>
      </c>
      <c r="AP31" s="526">
        <f t="array" ref="AP31">SUM(IF((Roadmap_Avion!$B$8:$B$38=$B31)*(Roadmap_Avion!$C$4:$Z$4=$B$2)*(Roadmap_Avion!$C$6:$Z$6=AP$7)*(Roadmap_Avion!$C$7:$Z$7=AP$9),Roadmap_Avion!$C$8:$Z$38,0))</f>
        <v>0</v>
      </c>
      <c r="AQ31" s="527">
        <f t="array" ref="AQ31">IF($J31&lt;1,AQ30+$H31*AN31,SUMPRODUCT(($B$16:$B$46&lt;=$B31)*($B$16:$B$46&gt;MAX($B31-$D$2-$I31,2019))*$H$16:$H$46*AN$16:AN$46))</f>
        <v>0.19999999999999998</v>
      </c>
      <c r="AR31" s="528">
        <f t="shared" si="34"/>
        <v>460.84177332069521</v>
      </c>
      <c r="AS31" s="529">
        <f t="shared" si="8"/>
        <v>0.21</v>
      </c>
      <c r="AT31" s="530">
        <f t="shared" si="9"/>
        <v>0</v>
      </c>
      <c r="AU31" s="531">
        <f>Hypothèses!$G$81</f>
        <v>0.3</v>
      </c>
      <c r="AV31" s="523">
        <f t="shared" si="10"/>
        <v>411.46586903633499</v>
      </c>
      <c r="AW31" s="524">
        <f t="array" ref="AW31">1-SUM(IF((Roadmap_Avion!$B$8:$B$38=$B31)*(Roadmap_Avion!$C$4:$Z$4=$B$2)*(Roadmap_Avion!$C$6:$Z$6=AW$7)*(Roadmap_Avion!$C$7:$Z$7=AW$9),Roadmap_Avion!$C$8:$Z$38,0))</f>
        <v>0.25</v>
      </c>
      <c r="AX31" s="525">
        <f t="array" ref="AX31">SUM(IF((Roadmap_Avion!$B$8:$B$38=$B31)*(Roadmap_Avion!$C$4:$Z$4=$B$2)*(Roadmap_Avion!$C$6:$Z$6=AX$7)*(Roadmap_Avion!$C$7:$Z$7=AX$9),Roadmap_Avion!$C$8:$Z$38,0))</f>
        <v>0.5</v>
      </c>
      <c r="AY31" s="526">
        <f t="array" ref="AY31">SUM(IF((Roadmap_Avion!$B$8:$B$38=$B31)*(Roadmap_Avion!$C$4:$Z$4=$B$2)*(Roadmap_Avion!$C$6:$Z$6=AY$7)*(Roadmap_Avion!$C$7:$Z$7=AY$9),Roadmap_Avion!$C$8:$Z$38,0))</f>
        <v>0</v>
      </c>
      <c r="AZ31" s="527">
        <f t="array" ref="AZ31">IF($J31&lt;1,AZ30+$H31*AW31,SUMPRODUCT(($B$16:$B$46&lt;=$B31)*($B$16:$B$46&gt;MAX($B31-$D$2-$I31,2019))*$H$16:$H$46*AW$16:AW$46))</f>
        <v>0.23333333333333331</v>
      </c>
      <c r="BA31" s="528">
        <f t="shared" si="35"/>
        <v>315.4571662611902</v>
      </c>
      <c r="BB31" s="529">
        <f t="shared" si="24"/>
        <v>0.15</v>
      </c>
      <c r="BC31" s="529">
        <f t="shared" si="25"/>
        <v>0</v>
      </c>
      <c r="BD31" s="517">
        <f t="shared" si="12"/>
        <v>1089.3330290587505</v>
      </c>
      <c r="BE31" s="518">
        <f>BD31*(Hypothèses!$D$23/Hypothèses!$B$23)</f>
        <v>1296.8250345937506</v>
      </c>
      <c r="BF31" s="532">
        <f t="shared" si="13"/>
        <v>0.20576666666666665</v>
      </c>
      <c r="BG31" s="518">
        <f>BD31/Hypothèses!$B$23</f>
        <v>345.82000922500015</v>
      </c>
      <c r="BH31" s="532">
        <f t="shared" si="14"/>
        <v>0.49833333333333329</v>
      </c>
      <c r="BI31" s="532">
        <f t="shared" si="14"/>
        <v>6.6666666666666664E-4</v>
      </c>
      <c r="BJ31" s="518">
        <f t="shared" si="26"/>
        <v>172.33363793045839</v>
      </c>
      <c r="BK31" s="533">
        <f t="shared" si="36"/>
        <v>40.038332019065614</v>
      </c>
      <c r="BL31" s="534">
        <f t="shared" si="37"/>
        <v>0.23233033608460257</v>
      </c>
      <c r="BM31" s="535">
        <f t="array" ref="BM31">SUM(IF((Prod_Carburant_Alt!$A$7:$A$37=$B31)*(Prod_Carburant_Alt!$B$3:$AI$3=$C$2)*(Prod_Carburant_Alt!$B$5:$AI$5=BM$7)*(Prod_Carburant_Alt!$B$6:$AI$6=BM$9),Prod_Carburant_Alt!$B$7:$AI$37,0))</f>
        <v>30.72362130133412</v>
      </c>
      <c r="BN31" s="534">
        <f t="shared" si="27"/>
        <v>1.1290960768731699</v>
      </c>
      <c r="BO31" s="536">
        <f t="array" ref="BO31">SUM(IF((Prod_Carburant_Alt!$A$7:$A$37=$B31)*(Prod_Carburant_Alt!$B$3:$AI$3=$C$2)*(Prod_Carburant_Alt!$B$5:$AI$5=BO$7)*(Prod_Carburant_Alt!$B$6:$AI$6=BO$9),Prod_Carburant_Alt!$B$7:$AI$37,0))</f>
        <v>0.204382517533922</v>
      </c>
      <c r="BP31" s="543">
        <f t="array" ref="BP31">SUM(IF((Prod_Carburant_Alt!$A$7:$A$37=$B31)*(Prod_Carburant_Alt!$B$3:$AI$3=$C$2)*(Prod_Carburant_Alt!$B$5:$AI$5=BP$7)*(Prod_Carburant_Alt!$B$6:$AI$6=BP$9),Prod_Carburant_Alt!$B$7:$AI$37,0))</f>
        <v>9.3147107177314918</v>
      </c>
      <c r="BQ31" s="536">
        <f t="shared" si="38"/>
        <v>5.4050450217329286E-2</v>
      </c>
      <c r="BR31" s="537">
        <f t="shared" si="39"/>
        <v>305.78167720593456</v>
      </c>
      <c r="BS31" s="538">
        <f t="shared" si="40"/>
        <v>40.038332019065614</v>
      </c>
      <c r="BT31" s="539">
        <f t="shared" si="41"/>
        <v>1</v>
      </c>
      <c r="BU31" s="535">
        <f t="shared" si="28"/>
        <v>30.723621301334116</v>
      </c>
      <c r="BV31" s="539">
        <f t="shared" si="42"/>
        <v>0.99999999999999989</v>
      </c>
      <c r="BW31" s="535">
        <f t="shared" si="29"/>
        <v>9.3147107177314918</v>
      </c>
      <c r="BX31" s="539">
        <f t="shared" si="43"/>
        <v>1</v>
      </c>
      <c r="BY31" s="538">
        <f t="shared" si="44"/>
        <v>0.23054667281666677</v>
      </c>
      <c r="BZ31" s="540">
        <f>BY31*Hypothèses!$B$3/Hypothèses!$B$9</f>
        <v>8.469846080465554E-2</v>
      </c>
      <c r="CA31" s="538">
        <f t="shared" si="45"/>
        <v>305.55113053311788</v>
      </c>
      <c r="CB31" s="533">
        <f>BW31*Prod_Carburant_Alt!$R$61+BZ31*Hypothèses!$B$13</f>
        <v>426.60310486481586</v>
      </c>
      <c r="CC31" s="538">
        <f t="shared" si="46"/>
        <v>197.66449912241649</v>
      </c>
      <c r="CD31" s="541">
        <f t="shared" si="47"/>
        <v>0.30363210310663052</v>
      </c>
      <c r="CE31" s="537">
        <f t="shared" si="48"/>
        <v>4.6926341535129739</v>
      </c>
      <c r="CF31" s="503">
        <f>(CA31+BU31*BO31)*Hypothèses!$D$23+CE31</f>
        <v>1174.0570151626757</v>
      </c>
      <c r="CG31" s="504">
        <f t="shared" si="16"/>
        <v>9.4668144241627603E-2</v>
      </c>
      <c r="CH31" s="503">
        <f>(CA31+BU31*BO31)*Hypothèses!$B$23</f>
        <v>982.26608004769673</v>
      </c>
      <c r="CI31" s="503">
        <f t="shared" si="49"/>
        <v>68.266080047696732</v>
      </c>
      <c r="CJ31" s="503">
        <f>(BU31+BW31+CA31)*Hypothèses!$B$6+BZ31*Hypothèses!$B$11</f>
        <v>11.061064961650793</v>
      </c>
      <c r="CK31" s="503">
        <f>(BU31+BW31+CA31)*Hypothèses!$B$5+BZ31*Hypothèses!$B$10</f>
        <v>481.13163909477692</v>
      </c>
      <c r="CL31" s="542">
        <f t="shared" si="17"/>
        <v>0.28095526242817531</v>
      </c>
    </row>
    <row r="32" spans="1:90" ht="14.25" customHeight="1">
      <c r="A32" s="331"/>
      <c r="B32" s="516">
        <v>2036</v>
      </c>
      <c r="C32" s="655">
        <f>Trajectoires!AA28</f>
        <v>1694.4111622566213</v>
      </c>
      <c r="D32" s="659">
        <f>C32/Hypothèses!$D$23</f>
        <v>451.84297660176566</v>
      </c>
      <c r="E32" s="659">
        <f>D32*Hypothèses!$B$23</f>
        <v>1423.3053762955617</v>
      </c>
      <c r="F32" s="659">
        <f>D32*Hypothèses!$B$5</f>
        <v>628.06173747645425</v>
      </c>
      <c r="G32" s="659">
        <f>D32*Hypothèses!$B$6</f>
        <v>14.458975251256501</v>
      </c>
      <c r="H32" s="519">
        <f t="shared" si="30"/>
        <v>6.6666666666666666E-2</v>
      </c>
      <c r="I32" s="520">
        <f>IF(J32&gt;=1,ROUND(COUNTIFS($B$16:$B32,"&gt;"&amp;MAX($B32-$D$2,2019),H$16:H32,1/25)*(1/$D$2-1/25)*25,0),0)</f>
        <v>2</v>
      </c>
      <c r="J32" s="521">
        <f t="shared" si="50"/>
        <v>0.99999999999999989</v>
      </c>
      <c r="K32" s="522">
        <f>Hypothèses!$G$77</f>
        <v>0.01</v>
      </c>
      <c r="L32" s="523">
        <f t="shared" si="0"/>
        <v>14.233053762955617</v>
      </c>
      <c r="M32" s="524">
        <f t="array" ref="M32">1-SUM(IF((Roadmap_Avion!$B$8:$B$38=$B32)*(Roadmap_Avion!$C$4:$Z$4=$B$2)*(Roadmap_Avion!$C$6:$Z$6=M$7)*(Roadmap_Avion!$C$7:$Z$7=M$9),Roadmap_Avion!$C$8:$Z$38,0))</f>
        <v>0.15000000000000002</v>
      </c>
      <c r="N32" s="525">
        <f t="array" ref="N32">SUM(IF((Roadmap_Avion!$B$8:$B$38=$B32)*(Roadmap_Avion!$C$4:$Z$4=$B$2)*(Roadmap_Avion!$C$6:$Z$6=N$7)*(Roadmap_Avion!$C$7:$Z$7=N$9),Roadmap_Avion!$C$8:$Z$38,0))</f>
        <v>0</v>
      </c>
      <c r="O32" s="526">
        <f t="array" ref="O32">SUM(IF((Roadmap_Avion!$B$8:$B$38=$B32)*(Roadmap_Avion!$C$4:$Z$4=$B$2)*(Roadmap_Avion!$C$6:$Z$6=O$7)*(Roadmap_Avion!$C$7:$Z$7=O$9),Roadmap_Avion!$C$8:$Z$38,0))</f>
        <v>1</v>
      </c>
      <c r="P32" s="527">
        <f t="array" ref="P32">IF($J32&lt;1,P31+$H32*M32,SUMPRODUCT(($B$16:$B$46&lt;=$B32)*($B$16:$B$46&gt;MAX($B32-$D$2-$I32,2019))*$H$16:$H$46*M$16:M$46))</f>
        <v>0.18666666666666668</v>
      </c>
      <c r="Q32" s="528">
        <f t="shared" si="31"/>
        <v>11.576217060537235</v>
      </c>
      <c r="R32" s="529">
        <f t="shared" si="18"/>
        <v>3.5000000000000001E-3</v>
      </c>
      <c r="S32" s="530">
        <f t="shared" si="19"/>
        <v>1.3333333333333333E-3</v>
      </c>
      <c r="T32" s="522">
        <f>Hypothèses!$G$78</f>
        <v>0.03</v>
      </c>
      <c r="U32" s="523">
        <f t="shared" si="2"/>
        <v>42.699161288866847</v>
      </c>
      <c r="V32" s="524">
        <f t="array" ref="V32">1-SUM(IF((Roadmap_Avion!$B$8:$B$38=$B32)*(Roadmap_Avion!$C$4:$Z$4=$B$2)*(Roadmap_Avion!$C$6:$Z$6=V$7)*(Roadmap_Avion!$C$7:$Z$7=V$9),Roadmap_Avion!$C$8:$Z$38,0))</f>
        <v>0.5</v>
      </c>
      <c r="W32" s="525">
        <f t="array" ref="W32">SUM(IF((Roadmap_Avion!$B$8:$B$38=$B32)*(Roadmap_Avion!$C$4:$Z$4=$B$2)*(Roadmap_Avion!$C$6:$Z$6=W$7)*(Roadmap_Avion!$C$7:$Z$7=W$9),Roadmap_Avion!$C$8:$Z$38,0))</f>
        <v>0.25</v>
      </c>
      <c r="X32" s="526">
        <f t="array" ref="X32">SUM(IF((Roadmap_Avion!$B$8:$B$38=$B32)*(Roadmap_Avion!$C$4:$Z$4=$B$2)*(Roadmap_Avion!$C$6:$Z$6=X$7)*(Roadmap_Avion!$C$7:$Z$7=X$9),Roadmap_Avion!$C$8:$Z$38,0))</f>
        <v>0</v>
      </c>
      <c r="Y32" s="527">
        <f t="array" ref="Y32">IF($J32&lt;1,Y31+$H32*V32,SUMPRODUCT(($B$16:$B$46&lt;=$B32)*($B$16:$B$46&gt;MAX($B32-$D$2-$I32,2019))*$H$16:$H$46*V$16:V$46))</f>
        <v>9.9999999999999978E-2</v>
      </c>
      <c r="Z32" s="528">
        <f t="shared" si="32"/>
        <v>38.429245159980162</v>
      </c>
      <c r="AA32" s="529">
        <f t="shared" si="20"/>
        <v>1.4E-2</v>
      </c>
      <c r="AB32" s="530">
        <f t="shared" si="21"/>
        <v>0</v>
      </c>
      <c r="AC32" s="522">
        <f>Hypothèses!$G$79</f>
        <v>0.24</v>
      </c>
      <c r="AD32" s="523">
        <f t="shared" si="4"/>
        <v>341.59329031093478</v>
      </c>
      <c r="AE32" s="524">
        <f t="array" ref="AE32">1-SUM(IF((Roadmap_Avion!$B$8:$B$38=$B32)*(Roadmap_Avion!$C$4:$Z$4=$B$2)*(Roadmap_Avion!$C$6:$Z$6=AE$7)*(Roadmap_Avion!$C$7:$Z$7=AE$9),Roadmap_Avion!$C$8:$Z$38,0))</f>
        <v>0.25</v>
      </c>
      <c r="AF32" s="525">
        <f t="array" ref="AF32">SUM(IF((Roadmap_Avion!$B$8:$B$38=$B32)*(Roadmap_Avion!$C$4:$Z$4=$B$2)*(Roadmap_Avion!$C$6:$Z$6=AF$7)*(Roadmap_Avion!$C$7:$Z$7=AF$9),Roadmap_Avion!$C$8:$Z$38,0))</f>
        <v>0.5</v>
      </c>
      <c r="AG32" s="526">
        <f t="array" ref="AG32">SUM(IF((Roadmap_Avion!$B$8:$B$38=$B32)*(Roadmap_Avion!$C$4:$Z$4=$B$2)*(Roadmap_Avion!$C$6:$Z$6=AG$7)*(Roadmap_Avion!$C$7:$Z$7=AG$9),Roadmap_Avion!$C$8:$Z$38,0))</f>
        <v>0</v>
      </c>
      <c r="AH32" s="527">
        <f t="array" ref="AH32">IF($J32&lt;1,AH31+$H32*AE32,SUMPRODUCT(($B$16:$B$46&lt;=$B32)*($B$16:$B$46&gt;MAX($B32-$D$2-$I32,2019))*$H$16:$H$46*AE$16:AE$46))</f>
        <v>0.21666666666666665</v>
      </c>
      <c r="AI32" s="528">
        <f t="shared" si="33"/>
        <v>267.58141074356558</v>
      </c>
      <c r="AJ32" s="529">
        <f t="shared" si="22"/>
        <v>0.11999999999999998</v>
      </c>
      <c r="AK32" s="530">
        <f t="shared" si="23"/>
        <v>0</v>
      </c>
      <c r="AL32" s="522">
        <f>Hypothèses!$G$80</f>
        <v>0.42</v>
      </c>
      <c r="AM32" s="523">
        <f t="shared" si="6"/>
        <v>597.78825804413589</v>
      </c>
      <c r="AN32" s="524">
        <f t="array" ref="AN32">1-SUM(IF((Roadmap_Avion!$B$8:$B$38=$B32)*(Roadmap_Avion!$C$4:$Z$4=$B$2)*(Roadmap_Avion!$C$6:$Z$6=AN$7)*(Roadmap_Avion!$C$7:$Z$7=AN$9),Roadmap_Avion!$C$8:$Z$38,0))</f>
        <v>0.25</v>
      </c>
      <c r="AO32" s="525">
        <f t="array" ref="AO32">SUM(IF((Roadmap_Avion!$B$8:$B$38=$B32)*(Roadmap_Avion!$C$4:$Z$4=$B$2)*(Roadmap_Avion!$C$6:$Z$6=AO$7)*(Roadmap_Avion!$C$7:$Z$7=AO$9),Roadmap_Avion!$C$8:$Z$38,0))</f>
        <v>0.5</v>
      </c>
      <c r="AP32" s="526">
        <f t="array" ref="AP32">SUM(IF((Roadmap_Avion!$B$8:$B$38=$B32)*(Roadmap_Avion!$C$4:$Z$4=$B$2)*(Roadmap_Avion!$C$6:$Z$6=AP$7)*(Roadmap_Avion!$C$7:$Z$7=AP$9),Roadmap_Avion!$C$8:$Z$38,0))</f>
        <v>0</v>
      </c>
      <c r="AQ32" s="527">
        <f t="array" ref="AQ32">IF($J32&lt;1,AQ31+$H32*AN32,SUMPRODUCT(($B$16:$B$46&lt;=$B32)*($B$16:$B$46&gt;MAX($B32-$D$2-$I32,2019))*$H$16:$H$46*AN$16:AN$46))</f>
        <v>0.21666666666666665</v>
      </c>
      <c r="AR32" s="528">
        <f t="shared" si="34"/>
        <v>468.26746880123977</v>
      </c>
      <c r="AS32" s="529">
        <f t="shared" si="8"/>
        <v>0.21</v>
      </c>
      <c r="AT32" s="530">
        <f t="shared" si="9"/>
        <v>0</v>
      </c>
      <c r="AU32" s="531">
        <f>Hypothèses!$G$81</f>
        <v>0.3</v>
      </c>
      <c r="AV32" s="523">
        <f t="shared" si="10"/>
        <v>426.9916128886685</v>
      </c>
      <c r="AW32" s="524">
        <f t="array" ref="AW32">1-SUM(IF((Roadmap_Avion!$B$8:$B$38=$B32)*(Roadmap_Avion!$C$4:$Z$4=$B$2)*(Roadmap_Avion!$C$6:$Z$6=AW$7)*(Roadmap_Avion!$C$7:$Z$7=AW$9),Roadmap_Avion!$C$8:$Z$38,0))</f>
        <v>0.25</v>
      </c>
      <c r="AX32" s="525">
        <f t="array" ref="AX32">SUM(IF((Roadmap_Avion!$B$8:$B$38=$B32)*(Roadmap_Avion!$C$4:$Z$4=$B$2)*(Roadmap_Avion!$C$6:$Z$6=AX$7)*(Roadmap_Avion!$C$7:$Z$7=AX$9),Roadmap_Avion!$C$8:$Z$38,0))</f>
        <v>0.5</v>
      </c>
      <c r="AY32" s="526">
        <f t="array" ref="AY32">SUM(IF((Roadmap_Avion!$B$8:$B$38=$B32)*(Roadmap_Avion!$C$4:$Z$4=$B$2)*(Roadmap_Avion!$C$6:$Z$6=AY$7)*(Roadmap_Avion!$C$7:$Z$7=AY$9),Roadmap_Avion!$C$8:$Z$38,0))</f>
        <v>0</v>
      </c>
      <c r="AZ32" s="527">
        <f t="array" ref="AZ32">IF($J32&lt;1,AZ31+$H32*AW32,SUMPRODUCT(($B$16:$B$46&lt;=$B32)*($B$16:$B$46&gt;MAX($B32-$D$2-$I32,2019))*$H$16:$H$46*AW$16:AW$46))</f>
        <v>0.24999999999999997</v>
      </c>
      <c r="BA32" s="528">
        <f t="shared" si="35"/>
        <v>320.24370966650139</v>
      </c>
      <c r="BB32" s="529">
        <f t="shared" si="24"/>
        <v>0.15</v>
      </c>
      <c r="BC32" s="529">
        <f t="shared" si="25"/>
        <v>0</v>
      </c>
      <c r="BD32" s="517">
        <f t="shared" si="12"/>
        <v>1106.0980514318242</v>
      </c>
      <c r="BE32" s="518">
        <f>BD32*(Hypothèses!$D$23/Hypothèses!$B$23)</f>
        <v>1316.7833945616953</v>
      </c>
      <c r="BF32" s="532">
        <f t="shared" si="13"/>
        <v>0.22286666666666688</v>
      </c>
      <c r="BG32" s="518">
        <f>BD32/Hypothèses!$B$23</f>
        <v>351.14223854978547</v>
      </c>
      <c r="BH32" s="532">
        <f t="shared" si="14"/>
        <v>0.49749999999999994</v>
      </c>
      <c r="BI32" s="532">
        <f t="shared" si="14"/>
        <v>1.3333333333333333E-3</v>
      </c>
      <c r="BJ32" s="518">
        <f t="shared" si="26"/>
        <v>174.69326367851826</v>
      </c>
      <c r="BK32" s="533">
        <f t="shared" si="36"/>
        <v>46.975552893698598</v>
      </c>
      <c r="BL32" s="534">
        <f t="shared" si="37"/>
        <v>0.26890305844961498</v>
      </c>
      <c r="BM32" s="535">
        <f t="array" ref="BM32">SUM(IF((Prod_Carburant_Alt!$A$7:$A$37=$B32)*(Prod_Carburant_Alt!$B$3:$AI$3=$C$2)*(Prod_Carburant_Alt!$B$5:$AI$5=BM$7)*(Prod_Carburant_Alt!$B$6:$AI$6=BM$9),Prod_Carburant_Alt!$B$7:$AI$37,0))</f>
        <v>35.332164496534233</v>
      </c>
      <c r="BN32" s="534">
        <f t="shared" si="27"/>
        <v>1.2065647253198388</v>
      </c>
      <c r="BO32" s="536">
        <f t="array" ref="BO32">SUM(IF((Prod_Carburant_Alt!$A$7:$A$37=$B32)*(Prod_Carburant_Alt!$B$3:$AI$3=$C$2)*(Prod_Carburant_Alt!$B$5:$AI$5=BO$7)*(Prod_Carburant_Alt!$B$6:$AI$6=BO$9),Prod_Carburant_Alt!$B$7:$AI$37,0))</f>
        <v>0.204382517533922</v>
      </c>
      <c r="BP32" s="543">
        <f t="array" ref="BP32">SUM(IF((Prod_Carburant_Alt!$A$7:$A$37=$B32)*(Prod_Carburant_Alt!$B$3:$AI$3=$C$2)*(Prod_Carburant_Alt!$B$5:$AI$5=BP$7)*(Prod_Carburant_Alt!$B$6:$AI$6=BP$9),Prod_Carburant_Alt!$B$7:$AI$37,0))</f>
        <v>11.643388397164365</v>
      </c>
      <c r="BQ32" s="536">
        <f t="shared" si="38"/>
        <v>6.6650471529293057E-2</v>
      </c>
      <c r="BR32" s="537">
        <f t="shared" si="39"/>
        <v>304.16668565608688</v>
      </c>
      <c r="BS32" s="538">
        <f t="shared" si="40"/>
        <v>46.975552893698598</v>
      </c>
      <c r="BT32" s="539">
        <f t="shared" si="41"/>
        <v>1</v>
      </c>
      <c r="BU32" s="535">
        <f t="shared" si="28"/>
        <v>35.332164496534233</v>
      </c>
      <c r="BV32" s="539">
        <f t="shared" si="42"/>
        <v>1</v>
      </c>
      <c r="BW32" s="535">
        <f t="shared" si="29"/>
        <v>11.643388397164365</v>
      </c>
      <c r="BX32" s="539">
        <f t="shared" si="43"/>
        <v>1</v>
      </c>
      <c r="BY32" s="538">
        <f t="shared" si="44"/>
        <v>0.46818965139971397</v>
      </c>
      <c r="BZ32" s="540">
        <f>BY32*Hypothèses!$B$3/Hypothèses!$B$9</f>
        <v>0.17200396932103226</v>
      </c>
      <c r="CA32" s="538">
        <f t="shared" si="45"/>
        <v>303.69849600468717</v>
      </c>
      <c r="CB32" s="533">
        <f>BW32*Prod_Carburant_Alt!$R$61+BZ32*Hypothèses!$B$13</f>
        <v>536.99911237546394</v>
      </c>
      <c r="CC32" s="538">
        <f t="shared" si="46"/>
        <v>248.81595883019716</v>
      </c>
      <c r="CD32" s="541">
        <f t="shared" si="47"/>
        <v>0.38220577393271454</v>
      </c>
      <c r="CE32" s="537">
        <f t="shared" si="48"/>
        <v>5.9069902361301025</v>
      </c>
      <c r="CF32" s="503">
        <f>(CA32+BU32*BO32)*Hypothèses!$D$23+CE32</f>
        <v>1171.856137990173</v>
      </c>
      <c r="CG32" s="504">
        <f t="shared" si="16"/>
        <v>0.1100615766952034</v>
      </c>
      <c r="CH32" s="503">
        <f>(CA32+BU32*BO32)*Hypothèses!$B$23</f>
        <v>979.39728411339615</v>
      </c>
      <c r="CI32" s="503">
        <f t="shared" si="49"/>
        <v>65.397284113396154</v>
      </c>
      <c r="CJ32" s="503">
        <f>(BU32+BW32+CA32)*Hypothèses!$B$6+BZ32*Hypothèses!$B$11</f>
        <v>11.226041667950691</v>
      </c>
      <c r="CK32" s="503">
        <f>(BU32+BW32+CA32)*Hypothèses!$B$5+BZ32*Hypothèses!$B$10</f>
        <v>488.98496369264547</v>
      </c>
      <c r="CL32" s="542">
        <f t="shared" si="17"/>
        <v>0.30839918663573257</v>
      </c>
    </row>
    <row r="33" spans="1:90" ht="14.25" customHeight="1">
      <c r="A33" s="331"/>
      <c r="B33" s="516">
        <v>2037</v>
      </c>
      <c r="C33" s="655">
        <f>Trajectoires!AA29</f>
        <v>1757.9332772602418</v>
      </c>
      <c r="D33" s="659">
        <f>C33/Hypothèses!$D$23</f>
        <v>468.78220726939782</v>
      </c>
      <c r="E33" s="659">
        <f>D33*Hypothèses!$B$23</f>
        <v>1476.6639528986032</v>
      </c>
      <c r="F33" s="659">
        <f>D33*Hypothèses!$B$5</f>
        <v>651.60726810446295</v>
      </c>
      <c r="G33" s="659">
        <f>D33*Hypothèses!$B$6</f>
        <v>15.001030632620731</v>
      </c>
      <c r="H33" s="519">
        <f t="shared" si="30"/>
        <v>6.6666666666666666E-2</v>
      </c>
      <c r="I33" s="520">
        <f>IF(J33&gt;=1,ROUND(COUNTIFS($B$16:$B33,"&gt;"&amp;MAX($B33-$D$2,2019),H$16:H33,1/25)*(1/$D$2-1/25)*25,0),0)</f>
        <v>1</v>
      </c>
      <c r="J33" s="521">
        <f t="shared" si="50"/>
        <v>1.0666666666666667</v>
      </c>
      <c r="K33" s="522">
        <f>Hypothèses!$G$77</f>
        <v>0.01</v>
      </c>
      <c r="L33" s="523">
        <f t="shared" si="0"/>
        <v>14.766639528986031</v>
      </c>
      <c r="M33" s="524">
        <f t="array" ref="M33">1-SUM(IF((Roadmap_Avion!$B$8:$B$38=$B33)*(Roadmap_Avion!$C$4:$Z$4=$B$2)*(Roadmap_Avion!$C$6:$Z$6=M$7)*(Roadmap_Avion!$C$7:$Z$7=M$9),Roadmap_Avion!$C$8:$Z$38,0))</f>
        <v>0.15000000000000002</v>
      </c>
      <c r="N33" s="525">
        <f t="array" ref="N33">SUM(IF((Roadmap_Avion!$B$8:$B$38=$B33)*(Roadmap_Avion!$C$4:$Z$4=$B$2)*(Roadmap_Avion!$C$6:$Z$6=N$7)*(Roadmap_Avion!$C$7:$Z$7=N$9),Roadmap_Avion!$C$8:$Z$38,0))</f>
        <v>0</v>
      </c>
      <c r="O33" s="526">
        <f t="array" ref="O33">SUM(IF((Roadmap_Avion!$B$8:$B$38=$B33)*(Roadmap_Avion!$C$4:$Z$4=$B$2)*(Roadmap_Avion!$C$6:$Z$6=O$7)*(Roadmap_Avion!$C$7:$Z$7=O$9),Roadmap_Avion!$C$8:$Z$38,0))</f>
        <v>1</v>
      </c>
      <c r="P33" s="527">
        <f t="array" ref="P33">IF($J33&lt;1,P32+$H33*M33,SUMPRODUCT(($B$16:$B$46&lt;=$B33)*($B$16:$B$46&gt;MAX($B33-$D$2-$I33,2019))*$H$16:$H$46*M$16:M$46))</f>
        <v>0.19666666666666668</v>
      </c>
      <c r="Q33" s="528">
        <f t="shared" si="31"/>
        <v>11.862533754952112</v>
      </c>
      <c r="R33" s="529">
        <f t="shared" si="18"/>
        <v>3.1666666666666666E-3</v>
      </c>
      <c r="S33" s="530">
        <f t="shared" si="19"/>
        <v>2E-3</v>
      </c>
      <c r="T33" s="522">
        <f>Hypothèses!$G$78</f>
        <v>0.03</v>
      </c>
      <c r="U33" s="523">
        <f t="shared" si="2"/>
        <v>44.299918586958093</v>
      </c>
      <c r="V33" s="524">
        <f t="array" ref="V33">1-SUM(IF((Roadmap_Avion!$B$8:$B$38=$B33)*(Roadmap_Avion!$C$4:$Z$4=$B$2)*(Roadmap_Avion!$C$6:$Z$6=V$7)*(Roadmap_Avion!$C$7:$Z$7=V$9),Roadmap_Avion!$C$8:$Z$38,0))</f>
        <v>0.5</v>
      </c>
      <c r="W33" s="525">
        <f t="array" ref="W33">SUM(IF((Roadmap_Avion!$B$8:$B$38=$B33)*(Roadmap_Avion!$C$4:$Z$4=$B$2)*(Roadmap_Avion!$C$6:$Z$6=W$7)*(Roadmap_Avion!$C$7:$Z$7=W$9),Roadmap_Avion!$C$8:$Z$38,0))</f>
        <v>0.25</v>
      </c>
      <c r="X33" s="526">
        <f t="array" ref="X33">SUM(IF((Roadmap_Avion!$B$8:$B$38=$B33)*(Roadmap_Avion!$C$4:$Z$4=$B$2)*(Roadmap_Avion!$C$6:$Z$6=X$7)*(Roadmap_Avion!$C$7:$Z$7=X$9),Roadmap_Avion!$C$8:$Z$38,0))</f>
        <v>0</v>
      </c>
      <c r="Y33" s="527">
        <f t="array" ref="Y33">IF($J33&lt;1,Y32+$H33*V33,SUMPRODUCT(($B$16:$B$46&lt;=$B33)*($B$16:$B$46&gt;MAX($B33-$D$2-$I33,2019))*$H$16:$H$46*V$16:V$46))</f>
        <v>0.1333333333333333</v>
      </c>
      <c r="Z33" s="528">
        <f t="shared" si="32"/>
        <v>38.393262775363681</v>
      </c>
      <c r="AA33" s="529">
        <f t="shared" si="20"/>
        <v>1.35E-2</v>
      </c>
      <c r="AB33" s="530">
        <f t="shared" si="21"/>
        <v>0</v>
      </c>
      <c r="AC33" s="522">
        <f>Hypothèses!$G$79</f>
        <v>0.24</v>
      </c>
      <c r="AD33" s="523">
        <f t="shared" si="4"/>
        <v>354.39934869566474</v>
      </c>
      <c r="AE33" s="524">
        <f t="array" ref="AE33">1-SUM(IF((Roadmap_Avion!$B$8:$B$38=$B33)*(Roadmap_Avion!$C$4:$Z$4=$B$2)*(Roadmap_Avion!$C$6:$Z$6=AE$7)*(Roadmap_Avion!$C$7:$Z$7=AE$9),Roadmap_Avion!$C$8:$Z$38,0))</f>
        <v>0.25</v>
      </c>
      <c r="AF33" s="525">
        <f t="array" ref="AF33">SUM(IF((Roadmap_Avion!$B$8:$B$38=$B33)*(Roadmap_Avion!$C$4:$Z$4=$B$2)*(Roadmap_Avion!$C$6:$Z$6=AF$7)*(Roadmap_Avion!$C$7:$Z$7=AF$9),Roadmap_Avion!$C$8:$Z$38,0))</f>
        <v>0.5</v>
      </c>
      <c r="AG33" s="526">
        <f t="array" ref="AG33">SUM(IF((Roadmap_Avion!$B$8:$B$38=$B33)*(Roadmap_Avion!$C$4:$Z$4=$B$2)*(Roadmap_Avion!$C$6:$Z$6=AG$7)*(Roadmap_Avion!$C$7:$Z$7=AG$9),Roadmap_Avion!$C$8:$Z$38,0))</f>
        <v>0</v>
      </c>
      <c r="AH33" s="527">
        <f t="array" ref="AH33">IF($J33&lt;1,AH32+$H33*AE33,SUMPRODUCT(($B$16:$B$46&lt;=$B33)*($B$16:$B$46&gt;MAX($B33-$D$2-$I33,2019))*$H$16:$H$46*AE$16:AE$46))</f>
        <v>0.21733333333333332</v>
      </c>
      <c r="AI33" s="528">
        <f t="shared" si="33"/>
        <v>277.37655691247357</v>
      </c>
      <c r="AJ33" s="529">
        <f t="shared" si="22"/>
        <v>0.11999999999999998</v>
      </c>
      <c r="AK33" s="530">
        <f t="shared" si="23"/>
        <v>0</v>
      </c>
      <c r="AL33" s="522">
        <f>Hypothèses!$G$80</f>
        <v>0.42</v>
      </c>
      <c r="AM33" s="523">
        <f t="shared" si="6"/>
        <v>620.19886021741331</v>
      </c>
      <c r="AN33" s="524">
        <f t="array" ref="AN33">1-SUM(IF((Roadmap_Avion!$B$8:$B$38=$B33)*(Roadmap_Avion!$C$4:$Z$4=$B$2)*(Roadmap_Avion!$C$6:$Z$6=AN$7)*(Roadmap_Avion!$C$7:$Z$7=AN$9),Roadmap_Avion!$C$8:$Z$38,0))</f>
        <v>0.25</v>
      </c>
      <c r="AO33" s="525">
        <f t="array" ref="AO33">SUM(IF((Roadmap_Avion!$B$8:$B$38=$B33)*(Roadmap_Avion!$C$4:$Z$4=$B$2)*(Roadmap_Avion!$C$6:$Z$6=AO$7)*(Roadmap_Avion!$C$7:$Z$7=AO$9),Roadmap_Avion!$C$8:$Z$38,0))</f>
        <v>0.5</v>
      </c>
      <c r="AP33" s="526">
        <f t="array" ref="AP33">SUM(IF((Roadmap_Avion!$B$8:$B$38=$B33)*(Roadmap_Avion!$C$4:$Z$4=$B$2)*(Roadmap_Avion!$C$6:$Z$6=AP$7)*(Roadmap_Avion!$C$7:$Z$7=AP$9),Roadmap_Avion!$C$8:$Z$38,0))</f>
        <v>0</v>
      </c>
      <c r="AQ33" s="527">
        <f t="array" ref="AQ33">IF($J33&lt;1,AQ32+$H33*AN33,SUMPRODUCT(($B$16:$B$46&lt;=$B33)*($B$16:$B$46&gt;MAX($B33-$D$2-$I33,2019))*$H$16:$H$46*AN$16:AN$46))</f>
        <v>0.21733333333333332</v>
      </c>
      <c r="AR33" s="528">
        <f t="shared" si="34"/>
        <v>485.40897459682878</v>
      </c>
      <c r="AS33" s="529">
        <f t="shared" si="8"/>
        <v>0.21</v>
      </c>
      <c r="AT33" s="530">
        <f t="shared" si="9"/>
        <v>0</v>
      </c>
      <c r="AU33" s="531">
        <f>Hypothèses!$G$81</f>
        <v>0.3</v>
      </c>
      <c r="AV33" s="523">
        <f t="shared" si="10"/>
        <v>442.99918586958091</v>
      </c>
      <c r="AW33" s="524">
        <f t="array" ref="AW33">1-SUM(IF((Roadmap_Avion!$B$8:$B$38=$B33)*(Roadmap_Avion!$C$4:$Z$4=$B$2)*(Roadmap_Avion!$C$6:$Z$6=AW$7)*(Roadmap_Avion!$C$7:$Z$7=AW$9),Roadmap_Avion!$C$8:$Z$38,0))</f>
        <v>0.25</v>
      </c>
      <c r="AX33" s="525">
        <f t="array" ref="AX33">SUM(IF((Roadmap_Avion!$B$8:$B$38=$B33)*(Roadmap_Avion!$C$4:$Z$4=$B$2)*(Roadmap_Avion!$C$6:$Z$6=AX$7)*(Roadmap_Avion!$C$7:$Z$7=AX$9),Roadmap_Avion!$C$8:$Z$38,0))</f>
        <v>0.5</v>
      </c>
      <c r="AY33" s="526">
        <f t="array" ref="AY33">SUM(IF((Roadmap_Avion!$B$8:$B$38=$B33)*(Roadmap_Avion!$C$4:$Z$4=$B$2)*(Roadmap_Avion!$C$6:$Z$6=AY$7)*(Roadmap_Avion!$C$7:$Z$7=AY$9),Roadmap_Avion!$C$8:$Z$38,0))</f>
        <v>0</v>
      </c>
      <c r="AZ33" s="527">
        <f t="array" ref="AZ33">IF($J33&lt;1,AZ32+$H33*AW33,SUMPRODUCT(($B$16:$B$46&lt;=$B33)*($B$16:$B$46&gt;MAX($B33-$D$2-$I33,2019))*$H$16:$H$46*AW$16:AW$46))</f>
        <v>0.24666666666666662</v>
      </c>
      <c r="BA33" s="528">
        <f t="shared" si="35"/>
        <v>333.72605335508433</v>
      </c>
      <c r="BB33" s="529">
        <f t="shared" si="24"/>
        <v>0.15</v>
      </c>
      <c r="BC33" s="529">
        <f t="shared" si="25"/>
        <v>0</v>
      </c>
      <c r="BD33" s="517">
        <f t="shared" si="12"/>
        <v>1146.7673813947026</v>
      </c>
      <c r="BE33" s="518">
        <f>BD33*(Hypothèses!$D$23/Hypothèses!$B$23)</f>
        <v>1365.1992635651222</v>
      </c>
      <c r="BF33" s="532">
        <f t="shared" si="13"/>
        <v>0.22340666666666653</v>
      </c>
      <c r="BG33" s="518">
        <f>BD33/Hypothèses!$B$23</f>
        <v>364.05313695069924</v>
      </c>
      <c r="BH33" s="532">
        <f t="shared" si="14"/>
        <v>0.4966666666666667</v>
      </c>
      <c r="BI33" s="532">
        <f t="shared" si="14"/>
        <v>2E-3</v>
      </c>
      <c r="BJ33" s="518">
        <f t="shared" si="26"/>
        <v>180.8130580188473</v>
      </c>
      <c r="BK33" s="533">
        <f t="shared" si="36"/>
        <v>55.186224667469823</v>
      </c>
      <c r="BL33" s="534">
        <f t="shared" si="37"/>
        <v>0.3052115000550315</v>
      </c>
      <c r="BM33" s="535">
        <f t="array" ref="BM33">SUM(IF((Prod_Carburant_Alt!$A$7:$A$37=$B33)*(Prod_Carburant_Alt!$B$3:$AI$3=$C$2)*(Prod_Carburant_Alt!$B$5:$AI$5=BM$7)*(Prod_Carburant_Alt!$B$6:$AI$6=BM$9),Prod_Carburant_Alt!$B$7:$AI$37,0))</f>
        <v>40.631989171014368</v>
      </c>
      <c r="BN33" s="534">
        <f t="shared" si="27"/>
        <v>1.3661700638075485</v>
      </c>
      <c r="BO33" s="536">
        <f t="array" ref="BO33">SUM(IF((Prod_Carburant_Alt!$A$7:$A$37=$B33)*(Prod_Carburant_Alt!$B$3:$AI$3=$C$2)*(Prod_Carburant_Alt!$B$5:$AI$5=BO$7)*(Prod_Carburant_Alt!$B$6:$AI$6=BO$9),Prod_Carburant_Alt!$B$7:$AI$37,0))</f>
        <v>0.20438251753392203</v>
      </c>
      <c r="BP33" s="543">
        <f t="array" ref="BP33">SUM(IF((Prod_Carburant_Alt!$A$7:$A$37=$B33)*(Prod_Carburant_Alt!$B$3:$AI$3=$C$2)*(Prod_Carburant_Alt!$B$5:$AI$5=BP$7)*(Prod_Carburant_Alt!$B$6:$AI$6=BP$9),Prod_Carburant_Alt!$B$7:$AI$37,0))</f>
        <v>14.554235496455457</v>
      </c>
      <c r="BQ33" s="536">
        <f t="shared" si="38"/>
        <v>8.0493276624625062E-2</v>
      </c>
      <c r="BR33" s="537">
        <f t="shared" si="39"/>
        <v>308.8669122832294</v>
      </c>
      <c r="BS33" s="538">
        <f t="shared" si="40"/>
        <v>55.186224667469823</v>
      </c>
      <c r="BT33" s="539">
        <f t="shared" si="41"/>
        <v>1</v>
      </c>
      <c r="BU33" s="535">
        <f t="shared" si="28"/>
        <v>40.631989171014368</v>
      </c>
      <c r="BV33" s="539">
        <f t="shared" si="42"/>
        <v>1</v>
      </c>
      <c r="BW33" s="535">
        <f t="shared" si="29"/>
        <v>14.554235496455455</v>
      </c>
      <c r="BX33" s="539">
        <f t="shared" si="43"/>
        <v>0.99999999999999989</v>
      </c>
      <c r="BY33" s="538">
        <f t="shared" si="44"/>
        <v>0.72810627390139848</v>
      </c>
      <c r="BZ33" s="540">
        <f>BY33*Hypothèses!$B$3/Hypothèses!$B$9</f>
        <v>0.26749239079542747</v>
      </c>
      <c r="CA33" s="538">
        <f t="shared" si="45"/>
        <v>308.13880600932799</v>
      </c>
      <c r="CB33" s="533">
        <f>BW33*Prod_Carburant_Alt!$R$61+BZ33*Hypothèses!$B$13</f>
        <v>674.22144311970089</v>
      </c>
      <c r="CC33" s="538">
        <f t="shared" si="46"/>
        <v>312.39726652734896</v>
      </c>
      <c r="CD33" s="541">
        <f t="shared" si="47"/>
        <v>0.47987291325245618</v>
      </c>
      <c r="CE33" s="537">
        <f t="shared" si="48"/>
        <v>7.4164358743167096</v>
      </c>
      <c r="CF33" s="503">
        <f>(CA33+BU33*BO33)*Hypothèses!$D$23+CE33</f>
        <v>1194.0787143062328</v>
      </c>
      <c r="CG33" s="504">
        <f t="shared" si="16"/>
        <v>0.12534474184524547</v>
      </c>
      <c r="CH33" s="503">
        <f>(CA33+BU33*BO33)*Hypothèses!$B$23</f>
        <v>996.79631388280961</v>
      </c>
      <c r="CI33" s="503">
        <f t="shared" si="49"/>
        <v>82.796313882809613</v>
      </c>
      <c r="CJ33" s="503">
        <f>(BU33+BW33+CA33)*Hypothèses!$B$6+BZ33*Hypothèses!$B$11</f>
        <v>11.633355783818212</v>
      </c>
      <c r="CK33" s="503">
        <f>(BU33+BW33+CA33)*Hypothèses!$B$5+BZ33*Hypothèses!$B$10</f>
        <v>507.42922415790781</v>
      </c>
      <c r="CL33" s="542">
        <f t="shared" si="17"/>
        <v>0.32074855755207188</v>
      </c>
    </row>
    <row r="34" spans="1:90" ht="14.25" customHeight="1">
      <c r="A34" s="331"/>
      <c r="B34" s="516">
        <v>2038</v>
      </c>
      <c r="C34" s="655">
        <f>Trajectoires!AA30</f>
        <v>1823.3614699446784</v>
      </c>
      <c r="D34" s="659">
        <f>C34/Hypothèses!$D$23</f>
        <v>486.2297253185809</v>
      </c>
      <c r="E34" s="659">
        <f>D34*Hypothèses!$B$23</f>
        <v>1531.6236347535298</v>
      </c>
      <c r="F34" s="659">
        <f>D34*Hypothèses!$B$5</f>
        <v>675.85931819282746</v>
      </c>
      <c r="G34" s="659">
        <f>D34*Hypothèses!$B$6</f>
        <v>15.55935121019459</v>
      </c>
      <c r="H34" s="519">
        <f t="shared" si="30"/>
        <v>6.6666666666666666E-2</v>
      </c>
      <c r="I34" s="520">
        <f>IF(J34&gt;=1,ROUND(COUNTIFS($B$16:$B34,"&gt;"&amp;MAX($B34-$D$2,2019),H$16:H34,1/25)*(1/$D$2-1/25)*25,0),0)</f>
        <v>1</v>
      </c>
      <c r="J34" s="521">
        <f t="shared" si="50"/>
        <v>1.1333333333333333</v>
      </c>
      <c r="K34" s="522">
        <f>Hypothèses!$G$77</f>
        <v>0.01</v>
      </c>
      <c r="L34" s="523">
        <f t="shared" si="0"/>
        <v>15.316236347535298</v>
      </c>
      <c r="M34" s="524">
        <f t="array" ref="M34">1-SUM(IF((Roadmap_Avion!$B$8:$B$38=$B34)*(Roadmap_Avion!$C$4:$Z$4=$B$2)*(Roadmap_Avion!$C$6:$Z$6=M$7)*(Roadmap_Avion!$C$7:$Z$7=M$9),Roadmap_Avion!$C$8:$Z$38,0))</f>
        <v>0.15000000000000002</v>
      </c>
      <c r="N34" s="525">
        <f t="array" ref="N34">SUM(IF((Roadmap_Avion!$B$8:$B$38=$B34)*(Roadmap_Avion!$C$4:$Z$4=$B$2)*(Roadmap_Avion!$C$6:$Z$6=N$7)*(Roadmap_Avion!$C$7:$Z$7=N$9),Roadmap_Avion!$C$8:$Z$38,0))</f>
        <v>0</v>
      </c>
      <c r="O34" s="526">
        <f t="array" ref="O34">SUM(IF((Roadmap_Avion!$B$8:$B$38=$B34)*(Roadmap_Avion!$C$4:$Z$4=$B$2)*(Roadmap_Avion!$C$6:$Z$6=O$7)*(Roadmap_Avion!$C$7:$Z$7=O$9),Roadmap_Avion!$C$8:$Z$38,0))</f>
        <v>1</v>
      </c>
      <c r="P34" s="527">
        <f t="array" ref="P34">IF($J34&lt;1,P33+$H34*M34,SUMPRODUCT(($B$16:$B$46&lt;=$B34)*($B$16:$B$46&gt;MAX($B34-$D$2-$I34,2019))*$H$16:$H$46*M$16:M$46))</f>
        <v>0.20666666666666669</v>
      </c>
      <c r="Q34" s="528">
        <f t="shared" si="31"/>
        <v>12.150880835711337</v>
      </c>
      <c r="R34" s="529">
        <f t="shared" si="18"/>
        <v>2.8333333333333335E-3</v>
      </c>
      <c r="S34" s="530">
        <f t="shared" si="19"/>
        <v>2.6666666666666666E-3</v>
      </c>
      <c r="T34" s="522">
        <f>Hypothèses!$G$78</f>
        <v>0.03</v>
      </c>
      <c r="U34" s="523">
        <f t="shared" si="2"/>
        <v>45.948709042605891</v>
      </c>
      <c r="V34" s="524">
        <f t="array" ref="V34">1-SUM(IF((Roadmap_Avion!$B$8:$B$38=$B34)*(Roadmap_Avion!$C$4:$Z$4=$B$2)*(Roadmap_Avion!$C$6:$Z$6=V$7)*(Roadmap_Avion!$C$7:$Z$7=V$9),Roadmap_Avion!$C$8:$Z$38,0))</f>
        <v>0.5</v>
      </c>
      <c r="W34" s="525">
        <f t="array" ref="W34">SUM(IF((Roadmap_Avion!$B$8:$B$38=$B34)*(Roadmap_Avion!$C$4:$Z$4=$B$2)*(Roadmap_Avion!$C$6:$Z$6=W$7)*(Roadmap_Avion!$C$7:$Z$7=W$9),Roadmap_Avion!$C$8:$Z$38,0))</f>
        <v>0.25</v>
      </c>
      <c r="X34" s="526">
        <f t="array" ref="X34">SUM(IF((Roadmap_Avion!$B$8:$B$38=$B34)*(Roadmap_Avion!$C$4:$Z$4=$B$2)*(Roadmap_Avion!$C$6:$Z$6=X$7)*(Roadmap_Avion!$C$7:$Z$7=X$9),Roadmap_Avion!$C$8:$Z$38,0))</f>
        <v>0</v>
      </c>
      <c r="Y34" s="527">
        <f t="array" ref="Y34">IF($J34&lt;1,Y33+$H34*V34,SUMPRODUCT(($B$16:$B$46&lt;=$B34)*($B$16:$B$46&gt;MAX($B34-$D$2-$I34,2019))*$H$16:$H$46*V$16:V$46))</f>
        <v>0.16666666666666663</v>
      </c>
      <c r="Z34" s="528">
        <f t="shared" si="32"/>
        <v>38.290590868838244</v>
      </c>
      <c r="AA34" s="529">
        <f t="shared" si="20"/>
        <v>1.3000000000000001E-2</v>
      </c>
      <c r="AB34" s="530">
        <f t="shared" si="21"/>
        <v>0</v>
      </c>
      <c r="AC34" s="522">
        <f>Hypothèses!$G$79</f>
        <v>0.24</v>
      </c>
      <c r="AD34" s="523">
        <f t="shared" si="4"/>
        <v>367.58967234084713</v>
      </c>
      <c r="AE34" s="524">
        <f t="array" ref="AE34">1-SUM(IF((Roadmap_Avion!$B$8:$B$38=$B34)*(Roadmap_Avion!$C$4:$Z$4=$B$2)*(Roadmap_Avion!$C$6:$Z$6=AE$7)*(Roadmap_Avion!$C$7:$Z$7=AE$9),Roadmap_Avion!$C$8:$Z$38,0))</f>
        <v>0.25</v>
      </c>
      <c r="AF34" s="525">
        <f t="array" ref="AF34">SUM(IF((Roadmap_Avion!$B$8:$B$38=$B34)*(Roadmap_Avion!$C$4:$Z$4=$B$2)*(Roadmap_Avion!$C$6:$Z$6=AF$7)*(Roadmap_Avion!$C$7:$Z$7=AF$9),Roadmap_Avion!$C$8:$Z$38,0))</f>
        <v>0.5</v>
      </c>
      <c r="AG34" s="526">
        <f t="array" ref="AG34">SUM(IF((Roadmap_Avion!$B$8:$B$38=$B34)*(Roadmap_Avion!$C$4:$Z$4=$B$2)*(Roadmap_Avion!$C$6:$Z$6=AG$7)*(Roadmap_Avion!$C$7:$Z$7=AG$9),Roadmap_Avion!$C$8:$Z$38,0))</f>
        <v>0</v>
      </c>
      <c r="AH34" s="527">
        <f t="array" ref="AH34">IF($J34&lt;1,AH33+$H34*AE34,SUMPRODUCT(($B$16:$B$46&lt;=$B34)*($B$16:$B$46&gt;MAX($B34-$D$2-$I34,2019))*$H$16:$H$46*AE$16:AE$46))</f>
        <v>0.22599999999999998</v>
      </c>
      <c r="AI34" s="528">
        <f t="shared" si="33"/>
        <v>284.51440639181567</v>
      </c>
      <c r="AJ34" s="529">
        <f t="shared" si="22"/>
        <v>0.11999999999999998</v>
      </c>
      <c r="AK34" s="530">
        <f t="shared" si="23"/>
        <v>0</v>
      </c>
      <c r="AL34" s="522">
        <f>Hypothèses!$G$80</f>
        <v>0.42</v>
      </c>
      <c r="AM34" s="523">
        <f t="shared" si="6"/>
        <v>643.28192659648255</v>
      </c>
      <c r="AN34" s="524">
        <f t="array" ref="AN34">1-SUM(IF((Roadmap_Avion!$B$8:$B$38=$B34)*(Roadmap_Avion!$C$4:$Z$4=$B$2)*(Roadmap_Avion!$C$6:$Z$6=AN$7)*(Roadmap_Avion!$C$7:$Z$7=AN$9),Roadmap_Avion!$C$8:$Z$38,0))</f>
        <v>0.25</v>
      </c>
      <c r="AO34" s="525">
        <f t="array" ref="AO34">SUM(IF((Roadmap_Avion!$B$8:$B$38=$B34)*(Roadmap_Avion!$C$4:$Z$4=$B$2)*(Roadmap_Avion!$C$6:$Z$6=AO$7)*(Roadmap_Avion!$C$7:$Z$7=AO$9),Roadmap_Avion!$C$8:$Z$38,0))</f>
        <v>0.5</v>
      </c>
      <c r="AP34" s="526">
        <f t="array" ref="AP34">SUM(IF((Roadmap_Avion!$B$8:$B$38=$B34)*(Roadmap_Avion!$C$4:$Z$4=$B$2)*(Roadmap_Avion!$C$6:$Z$6=AP$7)*(Roadmap_Avion!$C$7:$Z$7=AP$9),Roadmap_Avion!$C$8:$Z$38,0))</f>
        <v>0</v>
      </c>
      <c r="AQ34" s="527">
        <f t="array" ref="AQ34">IF($J34&lt;1,AQ33+$H34*AN34,SUMPRODUCT(($B$16:$B$46&lt;=$B34)*($B$16:$B$46&gt;MAX($B34-$D$2-$I34,2019))*$H$16:$H$46*AN$16:AN$46))</f>
        <v>0.22599999999999998</v>
      </c>
      <c r="AR34" s="528">
        <f t="shared" si="34"/>
        <v>497.90021118567751</v>
      </c>
      <c r="AS34" s="529">
        <f t="shared" si="8"/>
        <v>0.21</v>
      </c>
      <c r="AT34" s="530">
        <f t="shared" si="9"/>
        <v>0</v>
      </c>
      <c r="AU34" s="531">
        <f>Hypothèses!$G$81</f>
        <v>0.3</v>
      </c>
      <c r="AV34" s="523">
        <f t="shared" si="10"/>
        <v>459.48709042605896</v>
      </c>
      <c r="AW34" s="524">
        <f t="array" ref="AW34">1-SUM(IF((Roadmap_Avion!$B$8:$B$38=$B34)*(Roadmap_Avion!$C$4:$Z$4=$B$2)*(Roadmap_Avion!$C$6:$Z$6=AW$7)*(Roadmap_Avion!$C$7:$Z$7=AW$9),Roadmap_Avion!$C$8:$Z$38,0))</f>
        <v>0.25</v>
      </c>
      <c r="AX34" s="525">
        <f t="array" ref="AX34">SUM(IF((Roadmap_Avion!$B$8:$B$38=$B34)*(Roadmap_Avion!$C$4:$Z$4=$B$2)*(Roadmap_Avion!$C$6:$Z$6=AX$7)*(Roadmap_Avion!$C$7:$Z$7=AX$9),Roadmap_Avion!$C$8:$Z$38,0))</f>
        <v>0.5</v>
      </c>
      <c r="AY34" s="526">
        <f t="array" ref="AY34">SUM(IF((Roadmap_Avion!$B$8:$B$38=$B34)*(Roadmap_Avion!$C$4:$Z$4=$B$2)*(Roadmap_Avion!$C$6:$Z$6=AY$7)*(Roadmap_Avion!$C$7:$Z$7=AY$9),Roadmap_Avion!$C$8:$Z$38,0))</f>
        <v>0</v>
      </c>
      <c r="AZ34" s="527">
        <f t="array" ref="AZ34">IF($J34&lt;1,AZ33+$H34*AW34,SUMPRODUCT(($B$16:$B$46&lt;=$B34)*($B$16:$B$46&gt;MAX($B34-$D$2-$I34,2019))*$H$16:$H$46*AW$16:AW$46))</f>
        <v>0.2533333333333333</v>
      </c>
      <c r="BA34" s="528">
        <f t="shared" si="35"/>
        <v>343.08369418479072</v>
      </c>
      <c r="BB34" s="529">
        <f t="shared" si="24"/>
        <v>0.15</v>
      </c>
      <c r="BC34" s="529">
        <f t="shared" si="25"/>
        <v>0</v>
      </c>
      <c r="BD34" s="517">
        <f t="shared" si="12"/>
        <v>1175.9397834668334</v>
      </c>
      <c r="BE34" s="518">
        <f>BD34*(Hypothèses!$D$23/Hypothèses!$B$23)</f>
        <v>1399.9283136509921</v>
      </c>
      <c r="BF34" s="532">
        <f t="shared" si="13"/>
        <v>0.2322266666666668</v>
      </c>
      <c r="BG34" s="518">
        <f>BD34/Hypothèses!$B$23</f>
        <v>373.31421697359792</v>
      </c>
      <c r="BH34" s="532">
        <f t="shared" si="14"/>
        <v>0.49583333333333335</v>
      </c>
      <c r="BI34" s="532">
        <f t="shared" si="14"/>
        <v>2.6666666666666666E-3</v>
      </c>
      <c r="BJ34" s="518">
        <f t="shared" si="26"/>
        <v>185.1016325827423</v>
      </c>
      <c r="BK34" s="533">
        <f t="shared" si="36"/>
        <v>64.919581917235831</v>
      </c>
      <c r="BL34" s="534">
        <f t="shared" si="37"/>
        <v>0.3507239834214651</v>
      </c>
      <c r="BM34" s="535">
        <f t="array" ref="BM34">SUM(IF((Prod_Carburant_Alt!$A$7:$A$37=$B34)*(Prod_Carburant_Alt!$B$3:$AI$3=$C$2)*(Prod_Carburant_Alt!$B$5:$AI$5=BM$7)*(Prod_Carburant_Alt!$B$6:$AI$6=BM$9),Prod_Carburant_Alt!$B$7:$AI$37,0))</f>
        <v>46.726787546666515</v>
      </c>
      <c r="BN34" s="534">
        <f t="shared" si="27"/>
        <v>1.5102657608434211</v>
      </c>
      <c r="BO34" s="536">
        <f t="array" ref="BO34">SUM(IF((Prod_Carburant_Alt!$A$7:$A$37=$B34)*(Prod_Carburant_Alt!$B$3:$AI$3=$C$2)*(Prod_Carburant_Alt!$B$5:$AI$5=BO$7)*(Prod_Carburant_Alt!$B$6:$AI$6=BO$9),Prod_Carburant_Alt!$B$7:$AI$37,0))</f>
        <v>0.20438251753392203</v>
      </c>
      <c r="BP34" s="543">
        <f t="array" ref="BP34">SUM(IF((Prod_Carburant_Alt!$A$7:$A$37=$B34)*(Prod_Carburant_Alt!$B$3:$AI$3=$C$2)*(Prod_Carburant_Alt!$B$5:$AI$5=BP$7)*(Prod_Carburant_Alt!$B$6:$AI$6=BP$9),Prod_Carburant_Alt!$B$7:$AI$37,0))</f>
        <v>18.19279437056932</v>
      </c>
      <c r="BQ34" s="536">
        <f t="shared" si="38"/>
        <v>9.8285434421746434E-2</v>
      </c>
      <c r="BR34" s="537">
        <f t="shared" si="39"/>
        <v>308.39463505636206</v>
      </c>
      <c r="BS34" s="538">
        <f t="shared" si="40"/>
        <v>64.919581917235831</v>
      </c>
      <c r="BT34" s="539">
        <f t="shared" si="41"/>
        <v>1</v>
      </c>
      <c r="BU34" s="535">
        <f t="shared" si="28"/>
        <v>46.726787546666515</v>
      </c>
      <c r="BV34" s="539">
        <f t="shared" si="42"/>
        <v>1</v>
      </c>
      <c r="BW34" s="535">
        <f t="shared" si="29"/>
        <v>18.19279437056932</v>
      </c>
      <c r="BX34" s="539">
        <f t="shared" si="43"/>
        <v>1</v>
      </c>
      <c r="BY34" s="538">
        <f t="shared" si="44"/>
        <v>0.99550457859626107</v>
      </c>
      <c r="BZ34" s="540">
        <f>BY34*Hypothèses!$B$3/Hypothèses!$B$9</f>
        <v>0.36572943994789675</v>
      </c>
      <c r="CA34" s="538">
        <f t="shared" si="45"/>
        <v>307.39913047776582</v>
      </c>
      <c r="CB34" s="533">
        <f>BW34*Prod_Carburant_Alt!$R$61+BZ34*Hypothèses!$B$13</f>
        <v>844.5530577291579</v>
      </c>
      <c r="CC34" s="538">
        <f t="shared" si="46"/>
        <v>391.3196018374959</v>
      </c>
      <c r="CD34" s="541">
        <f t="shared" si="47"/>
        <v>0.6011053791666604</v>
      </c>
      <c r="CE34" s="537">
        <f t="shared" si="48"/>
        <v>9.2900836350207374</v>
      </c>
      <c r="CF34" s="503">
        <f>(CA34+BU34*BO34)*Hypothèses!$D$23+CE34</f>
        <v>1197.8498422081191</v>
      </c>
      <c r="CG34" s="504">
        <f t="shared" si="16"/>
        <v>0.14434915664778247</v>
      </c>
      <c r="CH34" s="503">
        <f>(CA34+BU34*BO34)*Hypothèses!$B$23</f>
        <v>998.39019720140254</v>
      </c>
      <c r="CI34" s="503">
        <f t="shared" si="49"/>
        <v>84.390197201402543</v>
      </c>
      <c r="CJ34" s="503">
        <f>(BU34+BW34+CA34)*Hypothèses!$B$6+BZ34*Hypothèses!$B$11</f>
        <v>11.923707762078697</v>
      </c>
      <c r="CK34" s="503">
        <f>(BU34+BW34+CA34)*Hypothèses!$B$5+BZ34*Hypothèses!$B$10</f>
        <v>520.81457518858338</v>
      </c>
      <c r="CL34" s="542">
        <f t="shared" si="17"/>
        <v>0.34305409982999019</v>
      </c>
    </row>
    <row r="35" spans="1:90" ht="14.25" customHeight="1">
      <c r="A35" s="331"/>
      <c r="B35" s="516">
        <v>2039</v>
      </c>
      <c r="C35" s="655">
        <f>Trajectoires!AA31</f>
        <v>1890.677261173237</v>
      </c>
      <c r="D35" s="659">
        <f>C35/Hypothèses!$D$23</f>
        <v>504.18060297952985</v>
      </c>
      <c r="E35" s="659">
        <f>D35*Hypothèses!$B$23</f>
        <v>1588.1688993855189</v>
      </c>
      <c r="F35" s="659">
        <f>D35*Hypothèses!$B$5</f>
        <v>700.81103814154642</v>
      </c>
      <c r="G35" s="659">
        <f>D35*Hypothèses!$B$6</f>
        <v>16.133779295344954</v>
      </c>
      <c r="H35" s="519">
        <f t="shared" si="30"/>
        <v>6.6666666666666666E-2</v>
      </c>
      <c r="I35" s="520">
        <f>IF(J35&gt;=1,ROUND(COUNTIFS($B$16:$B35,"&gt;"&amp;MAX($B35-$D$2,2019),H$16:H35,1/25)*(1/$D$2-1/25)*25,0),0)</f>
        <v>0</v>
      </c>
      <c r="J35" s="521">
        <f t="shared" si="50"/>
        <v>1.2</v>
      </c>
      <c r="K35" s="522">
        <f>Hypothèses!$G$77</f>
        <v>0.01</v>
      </c>
      <c r="L35" s="523">
        <f t="shared" si="0"/>
        <v>15.881688993855189</v>
      </c>
      <c r="M35" s="524">
        <f t="array" ref="M35">1-SUM(IF((Roadmap_Avion!$B$8:$B$38=$B35)*(Roadmap_Avion!$C$4:$Z$4=$B$2)*(Roadmap_Avion!$C$6:$Z$6=M$7)*(Roadmap_Avion!$C$7:$Z$7=M$9),Roadmap_Avion!$C$8:$Z$38,0))</f>
        <v>0.15000000000000002</v>
      </c>
      <c r="N35" s="525">
        <f t="array" ref="N35">SUM(IF((Roadmap_Avion!$B$8:$B$38=$B35)*(Roadmap_Avion!$C$4:$Z$4=$B$2)*(Roadmap_Avion!$C$6:$Z$6=N$7)*(Roadmap_Avion!$C$7:$Z$7=N$9),Roadmap_Avion!$C$8:$Z$38,0))</f>
        <v>0</v>
      </c>
      <c r="O35" s="526">
        <f t="array" ref="O35">SUM(IF((Roadmap_Avion!$B$8:$B$38=$B35)*(Roadmap_Avion!$C$4:$Z$4=$B$2)*(Roadmap_Avion!$C$6:$Z$6=O$7)*(Roadmap_Avion!$C$7:$Z$7=O$9),Roadmap_Avion!$C$8:$Z$38,0))</f>
        <v>1</v>
      </c>
      <c r="P35" s="527">
        <f t="array" ref="P35">IF($J35&lt;1,P34+$H35*M35,SUMPRODUCT(($B$16:$B$46&lt;=$B35)*($B$16:$B$46&gt;MAX($B35-$D$2-$I35,2019))*$H$16:$H$46*M$16:M$46))</f>
        <v>0.2166666666666667</v>
      </c>
      <c r="Q35" s="528">
        <f t="shared" si="31"/>
        <v>12.440656378519899</v>
      </c>
      <c r="R35" s="529">
        <f t="shared" si="18"/>
        <v>2.5000000000000001E-3</v>
      </c>
      <c r="S35" s="530">
        <f t="shared" si="19"/>
        <v>3.3333333333333335E-3</v>
      </c>
      <c r="T35" s="522">
        <f>Hypothèses!$G$78</f>
        <v>0.03</v>
      </c>
      <c r="U35" s="523">
        <f t="shared" si="2"/>
        <v>47.645066981565563</v>
      </c>
      <c r="V35" s="524">
        <f t="array" ref="V35">1-SUM(IF((Roadmap_Avion!$B$8:$B$38=$B35)*(Roadmap_Avion!$C$4:$Z$4=$B$2)*(Roadmap_Avion!$C$6:$Z$6=V$7)*(Roadmap_Avion!$C$7:$Z$7=V$9),Roadmap_Avion!$C$8:$Z$38,0))</f>
        <v>0.5</v>
      </c>
      <c r="W35" s="525">
        <f t="array" ref="W35">SUM(IF((Roadmap_Avion!$B$8:$B$38=$B35)*(Roadmap_Avion!$C$4:$Z$4=$B$2)*(Roadmap_Avion!$C$6:$Z$6=W$7)*(Roadmap_Avion!$C$7:$Z$7=W$9),Roadmap_Avion!$C$8:$Z$38,0))</f>
        <v>0.25</v>
      </c>
      <c r="X35" s="526">
        <f t="array" ref="X35">SUM(IF((Roadmap_Avion!$B$8:$B$38=$B35)*(Roadmap_Avion!$C$4:$Z$4=$B$2)*(Roadmap_Avion!$C$6:$Z$6=X$7)*(Roadmap_Avion!$C$7:$Z$7=X$9),Roadmap_Avion!$C$8:$Z$38,0))</f>
        <v>0</v>
      </c>
      <c r="Y35" s="527">
        <f t="array" ref="Y35">IF($J35&lt;1,Y34+$H35*V35,SUMPRODUCT(($B$16:$B$46&lt;=$B35)*($B$16:$B$46&gt;MAX($B35-$D$2-$I35,2019))*$H$16:$H$46*V$16:V$46))</f>
        <v>0.19999999999999996</v>
      </c>
      <c r="Z35" s="528">
        <f t="shared" si="32"/>
        <v>38.116053585252452</v>
      </c>
      <c r="AA35" s="529">
        <f t="shared" si="20"/>
        <v>1.2500000000000001E-2</v>
      </c>
      <c r="AB35" s="530">
        <f t="shared" si="21"/>
        <v>0</v>
      </c>
      <c r="AC35" s="522">
        <f>Hypothèses!$G$79</f>
        <v>0.24</v>
      </c>
      <c r="AD35" s="523">
        <f t="shared" si="4"/>
        <v>381.1605358525245</v>
      </c>
      <c r="AE35" s="524">
        <f t="array" ref="AE35">1-SUM(IF((Roadmap_Avion!$B$8:$B$38=$B35)*(Roadmap_Avion!$C$4:$Z$4=$B$2)*(Roadmap_Avion!$C$6:$Z$6=AE$7)*(Roadmap_Avion!$C$7:$Z$7=AE$9),Roadmap_Avion!$C$8:$Z$38,0))</f>
        <v>0.25</v>
      </c>
      <c r="AF35" s="525">
        <f t="array" ref="AF35">SUM(IF((Roadmap_Avion!$B$8:$B$38=$B35)*(Roadmap_Avion!$C$4:$Z$4=$B$2)*(Roadmap_Avion!$C$6:$Z$6=AF$7)*(Roadmap_Avion!$C$7:$Z$7=AF$9),Roadmap_Avion!$C$8:$Z$38,0))</f>
        <v>0.5</v>
      </c>
      <c r="AG35" s="526">
        <f t="array" ref="AG35">SUM(IF((Roadmap_Avion!$B$8:$B$38=$B35)*(Roadmap_Avion!$C$4:$Z$4=$B$2)*(Roadmap_Avion!$C$6:$Z$6=AG$7)*(Roadmap_Avion!$C$7:$Z$7=AG$9),Roadmap_Avion!$C$8:$Z$38,0))</f>
        <v>0</v>
      </c>
      <c r="AH35" s="527">
        <f t="array" ref="AH35">IF($J35&lt;1,AH34+$H35*AE35,SUMPRODUCT(($B$16:$B$46&lt;=$B35)*($B$16:$B$46&gt;MAX($B35-$D$2-$I35,2019))*$H$16:$H$46*AE$16:AE$46))</f>
        <v>0.22666666666666663</v>
      </c>
      <c r="AI35" s="528">
        <f t="shared" si="33"/>
        <v>294.76414772595234</v>
      </c>
      <c r="AJ35" s="529">
        <f t="shared" si="22"/>
        <v>0.11999999999999998</v>
      </c>
      <c r="AK35" s="530">
        <f t="shared" si="23"/>
        <v>0</v>
      </c>
      <c r="AL35" s="522">
        <f>Hypothèses!$G$80</f>
        <v>0.42</v>
      </c>
      <c r="AM35" s="523">
        <f t="shared" si="6"/>
        <v>667.03093774191791</v>
      </c>
      <c r="AN35" s="524">
        <f t="array" ref="AN35">1-SUM(IF((Roadmap_Avion!$B$8:$B$38=$B35)*(Roadmap_Avion!$C$4:$Z$4=$B$2)*(Roadmap_Avion!$C$6:$Z$6=AN$7)*(Roadmap_Avion!$C$7:$Z$7=AN$9),Roadmap_Avion!$C$8:$Z$38,0))</f>
        <v>0.25</v>
      </c>
      <c r="AO35" s="525">
        <f t="array" ref="AO35">SUM(IF((Roadmap_Avion!$B$8:$B$38=$B35)*(Roadmap_Avion!$C$4:$Z$4=$B$2)*(Roadmap_Avion!$C$6:$Z$6=AO$7)*(Roadmap_Avion!$C$7:$Z$7=AO$9),Roadmap_Avion!$C$8:$Z$38,0))</f>
        <v>0.5</v>
      </c>
      <c r="AP35" s="526">
        <f t="array" ref="AP35">SUM(IF((Roadmap_Avion!$B$8:$B$38=$B35)*(Roadmap_Avion!$C$4:$Z$4=$B$2)*(Roadmap_Avion!$C$6:$Z$6=AP$7)*(Roadmap_Avion!$C$7:$Z$7=AP$9),Roadmap_Avion!$C$8:$Z$38,0))</f>
        <v>0</v>
      </c>
      <c r="AQ35" s="527">
        <f t="array" ref="AQ35">IF($J35&lt;1,AQ34+$H35*AN35,SUMPRODUCT(($B$16:$B$46&lt;=$B35)*($B$16:$B$46&gt;MAX($B35-$D$2-$I35,2019))*$H$16:$H$46*AN$16:AN$46))</f>
        <v>0.22666666666666663</v>
      </c>
      <c r="AR35" s="528">
        <f t="shared" si="34"/>
        <v>515.83725852041653</v>
      </c>
      <c r="AS35" s="529">
        <f t="shared" si="8"/>
        <v>0.21</v>
      </c>
      <c r="AT35" s="530">
        <f t="shared" si="9"/>
        <v>0</v>
      </c>
      <c r="AU35" s="531">
        <f>Hypothèses!$G$81</f>
        <v>0.3</v>
      </c>
      <c r="AV35" s="523">
        <f t="shared" si="10"/>
        <v>476.45066981565566</v>
      </c>
      <c r="AW35" s="524">
        <f t="array" ref="AW35">1-SUM(IF((Roadmap_Avion!$B$8:$B$38=$B35)*(Roadmap_Avion!$C$4:$Z$4=$B$2)*(Roadmap_Avion!$C$6:$Z$6=AW$7)*(Roadmap_Avion!$C$7:$Z$7=AW$9),Roadmap_Avion!$C$8:$Z$38,0))</f>
        <v>0.25</v>
      </c>
      <c r="AX35" s="525">
        <f t="array" ref="AX35">SUM(IF((Roadmap_Avion!$B$8:$B$38=$B35)*(Roadmap_Avion!$C$4:$Z$4=$B$2)*(Roadmap_Avion!$C$6:$Z$6=AX$7)*(Roadmap_Avion!$C$7:$Z$7=AX$9),Roadmap_Avion!$C$8:$Z$38,0))</f>
        <v>0.5</v>
      </c>
      <c r="AY35" s="526">
        <f t="array" ref="AY35">SUM(IF((Roadmap_Avion!$B$8:$B$38=$B35)*(Roadmap_Avion!$C$4:$Z$4=$B$2)*(Roadmap_Avion!$C$6:$Z$6=AY$7)*(Roadmap_Avion!$C$7:$Z$7=AY$9),Roadmap_Avion!$C$8:$Z$38,0))</f>
        <v>0</v>
      </c>
      <c r="AZ35" s="527">
        <f t="array" ref="AZ35">IF($J35&lt;1,AZ34+$H35*AW35,SUMPRODUCT(($B$16:$B$46&lt;=$B35)*($B$16:$B$46&gt;MAX($B35-$D$2-$I35,2019))*$H$16:$H$46*AW$16:AW$46))</f>
        <v>0.24999999999999997</v>
      </c>
      <c r="BA35" s="528">
        <f t="shared" si="35"/>
        <v>357.33800236174176</v>
      </c>
      <c r="BB35" s="529">
        <f t="shared" si="24"/>
        <v>0.15</v>
      </c>
      <c r="BC35" s="529">
        <f t="shared" si="25"/>
        <v>0</v>
      </c>
      <c r="BD35" s="517">
        <f t="shared" si="12"/>
        <v>1218.496118571883</v>
      </c>
      <c r="BE35" s="518">
        <f>BD35*(Hypothèses!$D$23/Hypothèses!$B$23)</f>
        <v>1450.5906173474798</v>
      </c>
      <c r="BF35" s="532">
        <f t="shared" si="13"/>
        <v>0.23276666666666668</v>
      </c>
      <c r="BG35" s="518">
        <f>BD35/Hypothèses!$B$23</f>
        <v>386.82416462599463</v>
      </c>
      <c r="BH35" s="532">
        <f t="shared" si="14"/>
        <v>0.495</v>
      </c>
      <c r="BI35" s="532">
        <f t="shared" si="14"/>
        <v>3.3333333333333335E-3</v>
      </c>
      <c r="BJ35" s="518">
        <f t="shared" si="26"/>
        <v>191.47796148986734</v>
      </c>
      <c r="BK35" s="533">
        <f t="shared" si="36"/>
        <v>76.476798641878148</v>
      </c>
      <c r="BL35" s="534">
        <f t="shared" si="37"/>
        <v>0.39940261556380291</v>
      </c>
      <c r="BM35" s="535">
        <f t="array" ref="BM35">SUM(IF((Prod_Carburant_Alt!$A$7:$A$37=$B35)*(Prod_Carburant_Alt!$B$3:$AI$3=$C$2)*(Prod_Carburant_Alt!$B$5:$AI$5=BM$7)*(Prod_Carburant_Alt!$B$6:$AI$6=BM$9),Prod_Carburant_Alt!$B$7:$AI$37,0))</f>
        <v>53.735805678666495</v>
      </c>
      <c r="BN35" s="534">
        <f t="shared" si="27"/>
        <v>1.7158926631697102</v>
      </c>
      <c r="BO35" s="536">
        <f t="array" ref="BO35">SUM(IF((Prod_Carburant_Alt!$A$7:$A$37=$B35)*(Prod_Carburant_Alt!$B$3:$AI$3=$C$2)*(Prod_Carburant_Alt!$B$5:$AI$5=BO$7)*(Prod_Carburant_Alt!$B$6:$AI$6=BO$9),Prod_Carburant_Alt!$B$7:$AI$37,0))</f>
        <v>0.20438251753392198</v>
      </c>
      <c r="BP35" s="543">
        <f t="array" ref="BP35">SUM(IF((Prod_Carburant_Alt!$A$7:$A$37=$B35)*(Prod_Carburant_Alt!$B$3:$AI$3=$C$2)*(Prod_Carburant_Alt!$B$5:$AI$5=BP$7)*(Prod_Carburant_Alt!$B$6:$AI$6=BP$9),Prod_Carburant_Alt!$B$7:$AI$37,0))</f>
        <v>22.740992963211649</v>
      </c>
      <c r="BQ35" s="536">
        <f t="shared" si="38"/>
        <v>0.11876558945095653</v>
      </c>
      <c r="BR35" s="537">
        <f t="shared" si="39"/>
        <v>310.34736598411649</v>
      </c>
      <c r="BS35" s="538">
        <f t="shared" si="40"/>
        <v>76.476798641878148</v>
      </c>
      <c r="BT35" s="539">
        <f t="shared" si="41"/>
        <v>1</v>
      </c>
      <c r="BU35" s="535">
        <f t="shared" si="28"/>
        <v>53.735805678666495</v>
      </c>
      <c r="BV35" s="539">
        <f t="shared" si="42"/>
        <v>1</v>
      </c>
      <c r="BW35" s="535">
        <f t="shared" si="29"/>
        <v>22.740992963211649</v>
      </c>
      <c r="BX35" s="539">
        <f t="shared" si="43"/>
        <v>1</v>
      </c>
      <c r="BY35" s="538">
        <f t="shared" si="44"/>
        <v>1.2894138820866488</v>
      </c>
      <c r="BZ35" s="540">
        <f>BY35*Hypothèses!$B$3/Hypothèses!$B$9</f>
        <v>0.47370612561275527</v>
      </c>
      <c r="CA35" s="538">
        <f t="shared" si="45"/>
        <v>309.05795210202984</v>
      </c>
      <c r="CB35" s="533">
        <f>BW35*Prod_Carburant_Alt!$R$61+BZ35*Hypothèses!$B$13</f>
        <v>1056.628287067984</v>
      </c>
      <c r="CC35" s="538">
        <f t="shared" si="46"/>
        <v>489.5836404848809</v>
      </c>
      <c r="CD35" s="541">
        <f t="shared" si="47"/>
        <v>0.75204860289536235</v>
      </c>
      <c r="CE35" s="537">
        <f t="shared" si="48"/>
        <v>11.622911157747826</v>
      </c>
      <c r="CF35" s="503">
        <f>(CA35+BU35*BO35)*Hypothèses!$D$23+CE35</f>
        <v>1211.7752037140579</v>
      </c>
      <c r="CG35" s="504">
        <f t="shared" si="16"/>
        <v>0.16463322647854631</v>
      </c>
      <c r="CH35" s="503">
        <f>(CA35+BU35*BO35)*Hypothèses!$B$23</f>
        <v>1008.1279257473003</v>
      </c>
      <c r="CI35" s="503">
        <f t="shared" si="49"/>
        <v>94.12792574730031</v>
      </c>
      <c r="CJ35" s="503">
        <f>(BU35+BW35+CA35)*Hypothèses!$B$6+BZ35*Hypothèses!$B$11</f>
        <v>12.349428383070986</v>
      </c>
      <c r="CK35" s="503">
        <f>(BU35+BW35+CA35)*Hypothèses!$B$5+BZ35*Hypothèses!$B$10</f>
        <v>540.15665866454685</v>
      </c>
      <c r="CL35" s="542">
        <f t="shared" si="17"/>
        <v>0.35907876579522335</v>
      </c>
    </row>
    <row r="36" spans="1:90" ht="14.25" customHeight="1">
      <c r="A36" s="331"/>
      <c r="B36" s="516">
        <v>2040</v>
      </c>
      <c r="C36" s="655">
        <f>Trajectoires!AA32</f>
        <v>1959.847298734338</v>
      </c>
      <c r="D36" s="659">
        <f>C36/Hypothèses!$D$23</f>
        <v>522.62594632915682</v>
      </c>
      <c r="E36" s="659">
        <f>D36*Hypothèses!$B$23</f>
        <v>1646.2717309368438</v>
      </c>
      <c r="F36" s="659">
        <f>D36*Hypothèses!$B$5</f>
        <v>726.45006539752796</v>
      </c>
      <c r="G36" s="659">
        <f>D36*Hypothèses!$B$6</f>
        <v>16.724030282533018</v>
      </c>
      <c r="H36" s="519">
        <f t="shared" si="30"/>
        <v>6.6666666666666666E-2</v>
      </c>
      <c r="I36" s="520">
        <f>IF(J36&gt;=1,ROUND(COUNTIFS($B$16:$B36,"&gt;"&amp;MAX($B36-$D$2,2019),H$16:H36,1/25)*(1/$D$2-1/25)*25,0),0)</f>
        <v>0</v>
      </c>
      <c r="J36" s="521">
        <f t="shared" si="50"/>
        <v>1.2666666666666666</v>
      </c>
      <c r="K36" s="522">
        <f>Hypothèses!$G$77</f>
        <v>0.01</v>
      </c>
      <c r="L36" s="523">
        <f t="shared" si="0"/>
        <v>16.46271730936844</v>
      </c>
      <c r="M36" s="524">
        <f t="array" ref="M36">1-SUM(IF((Roadmap_Avion!$B$8:$B$38=$B36)*(Roadmap_Avion!$C$4:$Z$4=$B$2)*(Roadmap_Avion!$C$6:$Z$6=M$7)*(Roadmap_Avion!$C$7:$Z$7=M$9),Roadmap_Avion!$C$8:$Z$38,0))</f>
        <v>0.15000000000000002</v>
      </c>
      <c r="N36" s="525">
        <f t="array" ref="N36">SUM(IF((Roadmap_Avion!$B$8:$B$38=$B36)*(Roadmap_Avion!$C$4:$Z$4=$B$2)*(Roadmap_Avion!$C$6:$Z$6=N$7)*(Roadmap_Avion!$C$7:$Z$7=N$9),Roadmap_Avion!$C$8:$Z$38,0))</f>
        <v>0</v>
      </c>
      <c r="O36" s="526">
        <f t="array" ref="O36">SUM(IF((Roadmap_Avion!$B$8:$B$38=$B36)*(Roadmap_Avion!$C$4:$Z$4=$B$2)*(Roadmap_Avion!$C$6:$Z$6=O$7)*(Roadmap_Avion!$C$7:$Z$7=O$9),Roadmap_Avion!$C$8:$Z$38,0))</f>
        <v>1</v>
      </c>
      <c r="P36" s="527">
        <f t="array" ref="P36">IF($J36&lt;1,P35+$H36*M36,SUMPRODUCT(($B$16:$B$46&lt;=$B36)*($B$16:$B$46&gt;MAX($B36-$D$2-$I36,2019))*$H$16:$H$46*M$16:M$46))</f>
        <v>0.22666666666666671</v>
      </c>
      <c r="Q36" s="528">
        <f t="shared" si="31"/>
        <v>12.73116805257826</v>
      </c>
      <c r="R36" s="529">
        <f t="shared" si="18"/>
        <v>2.1666666666666666E-3</v>
      </c>
      <c r="S36" s="530">
        <f t="shared" si="19"/>
        <v>4.0000000000000001E-3</v>
      </c>
      <c r="T36" s="522">
        <f>Hypothèses!$G$78</f>
        <v>0.03</v>
      </c>
      <c r="U36" s="523">
        <f t="shared" si="2"/>
        <v>49.388151928105316</v>
      </c>
      <c r="V36" s="524">
        <f t="array" ref="V36">1-SUM(IF((Roadmap_Avion!$B$8:$B$38=$B36)*(Roadmap_Avion!$C$4:$Z$4=$B$2)*(Roadmap_Avion!$C$6:$Z$6=V$7)*(Roadmap_Avion!$C$7:$Z$7=V$9),Roadmap_Avion!$C$8:$Z$38,0))</f>
        <v>0.15000000000000002</v>
      </c>
      <c r="W36" s="525">
        <f t="array" ref="W36">SUM(IF((Roadmap_Avion!$B$8:$B$38=$B36)*(Roadmap_Avion!$C$4:$Z$4=$B$2)*(Roadmap_Avion!$C$6:$Z$6=W$7)*(Roadmap_Avion!$C$7:$Z$7=W$9),Roadmap_Avion!$C$8:$Z$38,0))</f>
        <v>0</v>
      </c>
      <c r="X36" s="526">
        <f t="array" ref="X36">SUM(IF((Roadmap_Avion!$B$8:$B$38=$B36)*(Roadmap_Avion!$C$4:$Z$4=$B$2)*(Roadmap_Avion!$C$6:$Z$6=X$7)*(Roadmap_Avion!$C$7:$Z$7=X$9),Roadmap_Avion!$C$8:$Z$38,0))</f>
        <v>1</v>
      </c>
      <c r="Y36" s="527">
        <f t="array" ref="Y36">IF($J36&lt;1,Y35+$H36*V36,SUMPRODUCT(($B$16:$B$46&lt;=$B36)*($B$16:$B$46&gt;MAX($B36-$D$2-$I36,2019))*$H$16:$H$46*V$16:V$46))</f>
        <v>0.20999999999999996</v>
      </c>
      <c r="Z36" s="528">
        <f t="shared" si="32"/>
        <v>39.016640023203202</v>
      </c>
      <c r="AA36" s="529">
        <f t="shared" si="20"/>
        <v>1.15E-2</v>
      </c>
      <c r="AB36" s="530">
        <f t="shared" si="21"/>
        <v>2E-3</v>
      </c>
      <c r="AC36" s="522">
        <f>Hypothèses!$G$79</f>
        <v>0.24</v>
      </c>
      <c r="AD36" s="523">
        <f t="shared" si="4"/>
        <v>395.10521542484253</v>
      </c>
      <c r="AE36" s="524">
        <f t="array" ref="AE36">1-SUM(IF((Roadmap_Avion!$B$8:$B$38=$B36)*(Roadmap_Avion!$C$4:$Z$4=$B$2)*(Roadmap_Avion!$C$6:$Z$6=AE$7)*(Roadmap_Avion!$C$7:$Z$7=AE$9),Roadmap_Avion!$C$8:$Z$38,0))</f>
        <v>0.36250000000000004</v>
      </c>
      <c r="AF36" s="525">
        <f t="array" ref="AF36">SUM(IF((Roadmap_Avion!$B$8:$B$38=$B36)*(Roadmap_Avion!$C$4:$Z$4=$B$2)*(Roadmap_Avion!$C$6:$Z$6=AF$7)*(Roadmap_Avion!$C$7:$Z$7=AF$9),Roadmap_Avion!$C$8:$Z$38,0))</f>
        <v>0</v>
      </c>
      <c r="AG36" s="526">
        <f t="array" ref="AG36">SUM(IF((Roadmap_Avion!$B$8:$B$38=$B36)*(Roadmap_Avion!$C$4:$Z$4=$B$2)*(Roadmap_Avion!$C$6:$Z$6=AG$7)*(Roadmap_Avion!$C$7:$Z$7=AG$9),Roadmap_Avion!$C$8:$Z$38,0))</f>
        <v>1</v>
      </c>
      <c r="AH36" s="527">
        <f t="array" ref="AH36">IF($J36&lt;1,AH35+$H36*AE36,SUMPRODUCT(($B$16:$B$46&lt;=$B36)*($B$16:$B$46&gt;MAX($B36-$D$2-$I36,2019))*$H$16:$H$46*AE$16:AE$46))</f>
        <v>0.23749999999999996</v>
      </c>
      <c r="AI36" s="528">
        <f t="shared" si="33"/>
        <v>301.26772676144247</v>
      </c>
      <c r="AJ36" s="529">
        <f t="shared" si="22"/>
        <v>0.112</v>
      </c>
      <c r="AK36" s="530">
        <f t="shared" si="23"/>
        <v>1.6E-2</v>
      </c>
      <c r="AL36" s="522">
        <f>Hypothèses!$G$80</f>
        <v>0.42</v>
      </c>
      <c r="AM36" s="523">
        <f t="shared" si="6"/>
        <v>691.43412699347437</v>
      </c>
      <c r="AN36" s="524">
        <f t="array" ref="AN36">1-SUM(IF((Roadmap_Avion!$B$8:$B$38=$B36)*(Roadmap_Avion!$C$4:$Z$4=$B$2)*(Roadmap_Avion!$C$6:$Z$6=AN$7)*(Roadmap_Avion!$C$7:$Z$7=AN$9),Roadmap_Avion!$C$8:$Z$38,0))</f>
        <v>0.36250000000000004</v>
      </c>
      <c r="AO36" s="525">
        <f t="array" ref="AO36">SUM(IF((Roadmap_Avion!$B$8:$B$38=$B36)*(Roadmap_Avion!$C$4:$Z$4=$B$2)*(Roadmap_Avion!$C$6:$Z$6=AO$7)*(Roadmap_Avion!$C$7:$Z$7=AO$9),Roadmap_Avion!$C$8:$Z$38,0))</f>
        <v>0</v>
      </c>
      <c r="AP36" s="526">
        <f t="array" ref="AP36">SUM(IF((Roadmap_Avion!$B$8:$B$38=$B36)*(Roadmap_Avion!$C$4:$Z$4=$B$2)*(Roadmap_Avion!$C$6:$Z$6=AP$7)*(Roadmap_Avion!$C$7:$Z$7=AP$9),Roadmap_Avion!$C$8:$Z$38,0))</f>
        <v>1</v>
      </c>
      <c r="AQ36" s="527">
        <f t="array" ref="AQ36">IF($J36&lt;1,AQ35+$H36*AN36,SUMPRODUCT(($B$16:$B$46&lt;=$B36)*($B$16:$B$46&gt;MAX($B36-$D$2-$I36,2019))*$H$16:$H$46*AN$16:AN$46))</f>
        <v>0.23749999999999996</v>
      </c>
      <c r="AR36" s="528">
        <f t="shared" si="34"/>
        <v>527.21852183252429</v>
      </c>
      <c r="AS36" s="529">
        <f t="shared" si="8"/>
        <v>0.19600000000000001</v>
      </c>
      <c r="AT36" s="530">
        <f t="shared" si="9"/>
        <v>2.8000000000000001E-2</v>
      </c>
      <c r="AU36" s="531">
        <f>Hypothèses!$G$81</f>
        <v>0.3</v>
      </c>
      <c r="AV36" s="523">
        <f t="shared" si="10"/>
        <v>493.8815192810531</v>
      </c>
      <c r="AW36" s="524">
        <f t="array" ref="AW36">1-SUM(IF((Roadmap_Avion!$B$8:$B$38=$B36)*(Roadmap_Avion!$C$4:$Z$4=$B$2)*(Roadmap_Avion!$C$6:$Z$6=AW$7)*(Roadmap_Avion!$C$7:$Z$7=AW$9),Roadmap_Avion!$C$8:$Z$38,0))</f>
        <v>0.4375</v>
      </c>
      <c r="AX36" s="525">
        <f t="array" ref="AX36">SUM(IF((Roadmap_Avion!$B$8:$B$38=$B36)*(Roadmap_Avion!$C$4:$Z$4=$B$2)*(Roadmap_Avion!$C$6:$Z$6=AX$7)*(Roadmap_Avion!$C$7:$Z$7=AX$9),Roadmap_Avion!$C$8:$Z$38,0))</f>
        <v>1</v>
      </c>
      <c r="AY36" s="526">
        <f t="array" ref="AY36">SUM(IF((Roadmap_Avion!$B$8:$B$38=$B36)*(Roadmap_Avion!$C$4:$Z$4=$B$2)*(Roadmap_Avion!$C$6:$Z$6=AY$7)*(Roadmap_Avion!$C$7:$Z$7=AY$9),Roadmap_Avion!$C$8:$Z$38,0))</f>
        <v>0</v>
      </c>
      <c r="AZ36" s="527">
        <f t="array" ref="AZ36">IF($J36&lt;1,AZ35+$H36*AW36,SUMPRODUCT(($B$16:$B$46&lt;=$B36)*($B$16:$B$46&gt;MAX($B36-$D$2-$I36,2019))*$H$16:$H$46*AW$16:AW$46))</f>
        <v>0.26249999999999996</v>
      </c>
      <c r="BA36" s="528">
        <f t="shared" si="35"/>
        <v>364.23762046977669</v>
      </c>
      <c r="BB36" s="529">
        <f t="shared" si="24"/>
        <v>0.16</v>
      </c>
      <c r="BC36" s="529">
        <f t="shared" si="25"/>
        <v>0</v>
      </c>
      <c r="BD36" s="517">
        <f t="shared" si="12"/>
        <v>1244.4716771395249</v>
      </c>
      <c r="BE36" s="518">
        <f>BD36*(Hypothèses!$D$23/Hypothèses!$B$23)</f>
        <v>1481.5139013565772</v>
      </c>
      <c r="BF36" s="532">
        <f t="shared" si="13"/>
        <v>0.24406666666666665</v>
      </c>
      <c r="BG36" s="518">
        <f>BD36/Hypothèses!$B$23</f>
        <v>395.07037369508726</v>
      </c>
      <c r="BH36" s="532">
        <f t="shared" si="14"/>
        <v>0.48166666666666669</v>
      </c>
      <c r="BI36" s="532">
        <f t="shared" si="14"/>
        <v>0.05</v>
      </c>
      <c r="BJ36" s="518">
        <f t="shared" si="26"/>
        <v>190.29222999646703</v>
      </c>
      <c r="BK36" s="533">
        <f t="shared" si="36"/>
        <v>90.222417734481027</v>
      </c>
      <c r="BL36" s="534">
        <f t="shared" si="37"/>
        <v>0.47412560006341875</v>
      </c>
      <c r="BM36" s="535">
        <f t="array" ref="BM36">SUM(IF((Prod_Carburant_Alt!$A$7:$A$37=$B36)*(Prod_Carburant_Alt!$B$3:$AI$3=$C$2)*(Prod_Carburant_Alt!$B$5:$AI$5=BM$7)*(Prod_Carburant_Alt!$B$6:$AI$6=BM$9),Prod_Carburant_Alt!$B$7:$AI$37,0))</f>
        <v>61.796176530466461</v>
      </c>
      <c r="BN36" s="534">
        <f t="shared" si="27"/>
        <v>1.9426069382549254</v>
      </c>
      <c r="BO36" s="536">
        <f t="array" ref="BO36">SUM(IF((Prod_Carburant_Alt!$A$7:$A$37=$B36)*(Prod_Carburant_Alt!$B$3:$AI$3=$C$2)*(Prod_Carburant_Alt!$B$5:$AI$5=BO$7)*(Prod_Carburant_Alt!$B$6:$AI$6=BO$9),Prod_Carburant_Alt!$B$7:$AI$37,0))</f>
        <v>0.204382517533922</v>
      </c>
      <c r="BP36" s="543">
        <f t="array" ref="BP36">SUM(IF((Prod_Carburant_Alt!$A$7:$A$37=$B36)*(Prod_Carburant_Alt!$B$3:$AI$3=$C$2)*(Prod_Carburant_Alt!$B$5:$AI$5=BP$7)*(Prod_Carburant_Alt!$B$6:$AI$6=BP$9),Prod_Carburant_Alt!$B$7:$AI$37,0))</f>
        <v>28.426241204014563</v>
      </c>
      <c r="BQ36" s="536">
        <f t="shared" si="38"/>
        <v>0.14938203837614561</v>
      </c>
      <c r="BR36" s="537">
        <f t="shared" si="39"/>
        <v>304.84795596060621</v>
      </c>
      <c r="BS36" s="538">
        <f t="shared" si="40"/>
        <v>90.222417734481027</v>
      </c>
      <c r="BT36" s="539">
        <f t="shared" si="41"/>
        <v>1</v>
      </c>
      <c r="BU36" s="535">
        <f t="shared" si="28"/>
        <v>61.796176530466461</v>
      </c>
      <c r="BV36" s="539">
        <f t="shared" si="42"/>
        <v>1</v>
      </c>
      <c r="BW36" s="535">
        <f t="shared" si="29"/>
        <v>28.426241204014563</v>
      </c>
      <c r="BX36" s="539">
        <f t="shared" si="43"/>
        <v>1</v>
      </c>
      <c r="BY36" s="538">
        <f t="shared" si="44"/>
        <v>19.753518684754365</v>
      </c>
      <c r="BZ36" s="540">
        <f>BY36*Hypothèses!$B$3/Hypothèses!$B$9</f>
        <v>7.2570668994436529</v>
      </c>
      <c r="CA36" s="538">
        <f t="shared" si="45"/>
        <v>285.09443727585187</v>
      </c>
      <c r="CB36" s="533">
        <f>BW36*Prod_Carburant_Alt!$R$61+BZ36*Hypothèses!$B$13</f>
        <v>1698.244652801759</v>
      </c>
      <c r="CC36" s="538">
        <f t="shared" si="46"/>
        <v>786.87350104907125</v>
      </c>
      <c r="CD36" s="541">
        <f t="shared" si="47"/>
        <v>1.2087150553749175</v>
      </c>
      <c r="CE36" s="537">
        <f t="shared" si="48"/>
        <v>18.680691180819348</v>
      </c>
      <c r="CF36" s="503">
        <f>(CA36+BU36*BO36)*Hypothèses!$D$23+CE36</f>
        <v>1135.1475489650168</v>
      </c>
      <c r="CG36" s="504">
        <f t="shared" si="16"/>
        <v>0.23379217169302516</v>
      </c>
      <c r="CH36" s="503">
        <f>(CA36+BU36*BO36)*Hypothèses!$B$23</f>
        <v>937.83216053872582</v>
      </c>
      <c r="CI36" s="503">
        <f t="shared" si="49"/>
        <v>23.832160538725816</v>
      </c>
      <c r="CJ36" s="503">
        <f>(BU36+BW36+CA36)*Hypothèses!$B$6+BZ36*Hypothèses!$B$11</f>
        <v>12.198823099716188</v>
      </c>
      <c r="CK36" s="503">
        <f>(BU36+BW36+CA36)*Hypothèses!$B$5+BZ36*Hypothèses!$B$10</f>
        <v>587.00403055935567</v>
      </c>
      <c r="CL36" s="542">
        <f t="shared" si="17"/>
        <v>0.42079796232181416</v>
      </c>
    </row>
    <row r="37" spans="1:90" ht="14.25" customHeight="1">
      <c r="A37" s="331"/>
      <c r="B37" s="516">
        <v>2041</v>
      </c>
      <c r="C37" s="655">
        <f>Trajectoires!AA33</f>
        <v>2030.8206534377057</v>
      </c>
      <c r="D37" s="659">
        <f>C37/Hypothèses!$D$23</f>
        <v>541.5521742500548</v>
      </c>
      <c r="E37" s="659">
        <f>D37*Hypothèses!$B$23</f>
        <v>1705.8893488876727</v>
      </c>
      <c r="F37" s="659">
        <f>D37*Hypothèses!$B$5</f>
        <v>752.75752220757613</v>
      </c>
      <c r="G37" s="659">
        <f>D37*Hypothèses!$B$6</f>
        <v>17.329669576001756</v>
      </c>
      <c r="H37" s="519">
        <f t="shared" si="30"/>
        <v>6.6666666666666666E-2</v>
      </c>
      <c r="I37" s="520">
        <f>IF(J37&gt;=1,ROUND(COUNTIFS($B$16:$B37,"&gt;"&amp;MAX($B37-$D$2,2019),H$16:H37,1/25)*(1/$D$2-1/25)*25,0),0)</f>
        <v>0</v>
      </c>
      <c r="J37" s="521">
        <f t="shared" si="50"/>
        <v>1.3333333333333333</v>
      </c>
      <c r="K37" s="522">
        <f>Hypothèses!$G$77</f>
        <v>0.01</v>
      </c>
      <c r="L37" s="523">
        <f t="shared" si="0"/>
        <v>17.058893488876727</v>
      </c>
      <c r="M37" s="524">
        <f t="array" ref="M37">1-SUM(IF((Roadmap_Avion!$B$8:$B$38=$B37)*(Roadmap_Avion!$C$4:$Z$4=$B$2)*(Roadmap_Avion!$C$6:$Z$6=M$7)*(Roadmap_Avion!$C$7:$Z$7=M$9),Roadmap_Avion!$C$8:$Z$38,0))</f>
        <v>0.15000000000000002</v>
      </c>
      <c r="N37" s="525">
        <f t="array" ref="N37">SUM(IF((Roadmap_Avion!$B$8:$B$38=$B37)*(Roadmap_Avion!$C$4:$Z$4=$B$2)*(Roadmap_Avion!$C$6:$Z$6=N$7)*(Roadmap_Avion!$C$7:$Z$7=N$9),Roadmap_Avion!$C$8:$Z$38,0))</f>
        <v>0</v>
      </c>
      <c r="O37" s="526">
        <f t="array" ref="O37">SUM(IF((Roadmap_Avion!$B$8:$B$38=$B37)*(Roadmap_Avion!$C$4:$Z$4=$B$2)*(Roadmap_Avion!$C$6:$Z$6=O$7)*(Roadmap_Avion!$C$7:$Z$7=O$9),Roadmap_Avion!$C$8:$Z$38,0))</f>
        <v>1</v>
      </c>
      <c r="P37" s="527">
        <f t="array" ref="P37">IF($J37&lt;1,P36+$H37*M37,SUMPRODUCT(($B$16:$B$46&lt;=$B37)*($B$16:$B$46&gt;MAX($B37-$D$2-$I37,2019))*$H$16:$H$46*M$16:M$46))</f>
        <v>0.23666666666666672</v>
      </c>
      <c r="Q37" s="528">
        <f t="shared" si="31"/>
        <v>13.021622029842568</v>
      </c>
      <c r="R37" s="529">
        <f t="shared" si="18"/>
        <v>1.8333333333333333E-3</v>
      </c>
      <c r="S37" s="530">
        <f t="shared" si="19"/>
        <v>4.6666666666666671E-3</v>
      </c>
      <c r="T37" s="522">
        <f>Hypothèses!$G$78</f>
        <v>0.03</v>
      </c>
      <c r="U37" s="523">
        <f t="shared" si="2"/>
        <v>51.176680466630181</v>
      </c>
      <c r="V37" s="524">
        <f t="array" ref="V37">1-SUM(IF((Roadmap_Avion!$B$8:$B$38=$B37)*(Roadmap_Avion!$C$4:$Z$4=$B$2)*(Roadmap_Avion!$C$6:$Z$6=V$7)*(Roadmap_Avion!$C$7:$Z$7=V$9),Roadmap_Avion!$C$8:$Z$38,0))</f>
        <v>0.15000000000000002</v>
      </c>
      <c r="W37" s="525">
        <f t="array" ref="W37">SUM(IF((Roadmap_Avion!$B$8:$B$38=$B37)*(Roadmap_Avion!$C$4:$Z$4=$B$2)*(Roadmap_Avion!$C$6:$Z$6=W$7)*(Roadmap_Avion!$C$7:$Z$7=W$9),Roadmap_Avion!$C$8:$Z$38,0))</f>
        <v>0</v>
      </c>
      <c r="X37" s="526">
        <f t="array" ref="X37">SUM(IF((Roadmap_Avion!$B$8:$B$38=$B37)*(Roadmap_Avion!$C$4:$Z$4=$B$2)*(Roadmap_Avion!$C$6:$Z$6=X$7)*(Roadmap_Avion!$C$7:$Z$7=X$9),Roadmap_Avion!$C$8:$Z$38,0))</f>
        <v>1</v>
      </c>
      <c r="Y37" s="527">
        <f t="array" ref="Y37">IF($J37&lt;1,Y36+$H37*V37,SUMPRODUCT(($B$16:$B$46&lt;=$B37)*($B$16:$B$46&gt;MAX($B37-$D$2-$I37,2019))*$H$16:$H$46*V$16:V$46))</f>
        <v>0.21999999999999997</v>
      </c>
      <c r="Z37" s="528">
        <f t="shared" si="32"/>
        <v>39.917810763971545</v>
      </c>
      <c r="AA37" s="529">
        <f t="shared" si="20"/>
        <v>1.0500000000000001E-2</v>
      </c>
      <c r="AB37" s="530">
        <f t="shared" si="21"/>
        <v>4.0000000000000001E-3</v>
      </c>
      <c r="AC37" s="522">
        <f>Hypothèses!$G$79</f>
        <v>0.24</v>
      </c>
      <c r="AD37" s="523">
        <f t="shared" si="4"/>
        <v>409.41344373304145</v>
      </c>
      <c r="AE37" s="524">
        <f t="array" ref="AE37">1-SUM(IF((Roadmap_Avion!$B$8:$B$38=$B37)*(Roadmap_Avion!$C$4:$Z$4=$B$2)*(Roadmap_Avion!$C$6:$Z$6=AE$7)*(Roadmap_Avion!$C$7:$Z$7=AE$9),Roadmap_Avion!$C$8:$Z$38,0))</f>
        <v>0.36250000000000004</v>
      </c>
      <c r="AF37" s="525">
        <f t="array" ref="AF37">SUM(IF((Roadmap_Avion!$B$8:$B$38=$B37)*(Roadmap_Avion!$C$4:$Z$4=$B$2)*(Roadmap_Avion!$C$6:$Z$6=AF$7)*(Roadmap_Avion!$C$7:$Z$7=AF$9),Roadmap_Avion!$C$8:$Z$38,0))</f>
        <v>0</v>
      </c>
      <c r="AG37" s="526">
        <f t="array" ref="AG37">SUM(IF((Roadmap_Avion!$B$8:$B$38=$B37)*(Roadmap_Avion!$C$4:$Z$4=$B$2)*(Roadmap_Avion!$C$6:$Z$6=AG$7)*(Roadmap_Avion!$C$7:$Z$7=AG$9),Roadmap_Avion!$C$8:$Z$38,0))</f>
        <v>1</v>
      </c>
      <c r="AH37" s="527">
        <f t="array" ref="AH37">IF($J37&lt;1,AH36+$H37*AE37,SUMPRODUCT(($B$16:$B$46&lt;=$B37)*($B$16:$B$46&gt;MAX($B37-$D$2-$I37,2019))*$H$16:$H$46*AE$16:AE$46))</f>
        <v>0.24833333333333329</v>
      </c>
      <c r="AI37" s="528">
        <f t="shared" si="33"/>
        <v>307.74243853933615</v>
      </c>
      <c r="AJ37" s="529">
        <f t="shared" si="22"/>
        <v>0.10400000000000001</v>
      </c>
      <c r="AK37" s="530">
        <f t="shared" si="23"/>
        <v>3.2000000000000001E-2</v>
      </c>
      <c r="AL37" s="522">
        <f>Hypothèses!$G$80</f>
        <v>0.42</v>
      </c>
      <c r="AM37" s="523">
        <f t="shared" si="6"/>
        <v>716.47352653282246</v>
      </c>
      <c r="AN37" s="524">
        <f t="array" ref="AN37">1-SUM(IF((Roadmap_Avion!$B$8:$B$38=$B37)*(Roadmap_Avion!$C$4:$Z$4=$B$2)*(Roadmap_Avion!$C$6:$Z$6=AN$7)*(Roadmap_Avion!$C$7:$Z$7=AN$9),Roadmap_Avion!$C$8:$Z$38,0))</f>
        <v>0.36250000000000004</v>
      </c>
      <c r="AO37" s="525">
        <f t="array" ref="AO37">SUM(IF((Roadmap_Avion!$B$8:$B$38=$B37)*(Roadmap_Avion!$C$4:$Z$4=$B$2)*(Roadmap_Avion!$C$6:$Z$6=AO$7)*(Roadmap_Avion!$C$7:$Z$7=AO$9),Roadmap_Avion!$C$8:$Z$38,0))</f>
        <v>0</v>
      </c>
      <c r="AP37" s="526">
        <f t="array" ref="AP37">SUM(IF((Roadmap_Avion!$B$8:$B$38=$B37)*(Roadmap_Avion!$C$4:$Z$4=$B$2)*(Roadmap_Avion!$C$6:$Z$6=AP$7)*(Roadmap_Avion!$C$7:$Z$7=AP$9),Roadmap_Avion!$C$8:$Z$38,0))</f>
        <v>1</v>
      </c>
      <c r="AQ37" s="527">
        <f t="array" ref="AQ37">IF($J37&lt;1,AQ36+$H37*AN37,SUMPRODUCT(($B$16:$B$46&lt;=$B37)*($B$16:$B$46&gt;MAX($B37-$D$2-$I37,2019))*$H$16:$H$46*AN$16:AN$46))</f>
        <v>0.24833333333333329</v>
      </c>
      <c r="AR37" s="528">
        <f t="shared" si="34"/>
        <v>538.54926744383829</v>
      </c>
      <c r="AS37" s="529">
        <f t="shared" si="8"/>
        <v>0.182</v>
      </c>
      <c r="AT37" s="530">
        <f t="shared" si="9"/>
        <v>5.6000000000000001E-2</v>
      </c>
      <c r="AU37" s="531">
        <f>Hypothèses!$G$81</f>
        <v>0.3</v>
      </c>
      <c r="AV37" s="523">
        <f t="shared" si="10"/>
        <v>511.76680466630177</v>
      </c>
      <c r="AW37" s="524">
        <f t="array" ref="AW37">1-SUM(IF((Roadmap_Avion!$B$8:$B$38=$B37)*(Roadmap_Avion!$C$4:$Z$4=$B$2)*(Roadmap_Avion!$C$6:$Z$6=AW$7)*(Roadmap_Avion!$C$7:$Z$7=AW$9),Roadmap_Avion!$C$8:$Z$38,0))</f>
        <v>0.4375</v>
      </c>
      <c r="AX37" s="525">
        <f t="array" ref="AX37">SUM(IF((Roadmap_Avion!$B$8:$B$38=$B37)*(Roadmap_Avion!$C$4:$Z$4=$B$2)*(Roadmap_Avion!$C$6:$Z$6=AX$7)*(Roadmap_Avion!$C$7:$Z$7=AX$9),Roadmap_Avion!$C$8:$Z$38,0))</f>
        <v>1</v>
      </c>
      <c r="AY37" s="526">
        <f t="array" ref="AY37">SUM(IF((Roadmap_Avion!$B$8:$B$38=$B37)*(Roadmap_Avion!$C$4:$Z$4=$B$2)*(Roadmap_Avion!$C$6:$Z$6=AY$7)*(Roadmap_Avion!$C$7:$Z$7=AY$9),Roadmap_Avion!$C$8:$Z$38,0))</f>
        <v>0</v>
      </c>
      <c r="AZ37" s="527">
        <f t="array" ref="AZ37">IF($J37&lt;1,AZ36+$H37*AW37,SUMPRODUCT(($B$16:$B$46&lt;=$B37)*($B$16:$B$46&gt;MAX($B37-$D$2-$I37,2019))*$H$16:$H$46*AW$16:AW$46))</f>
        <v>0.27499999999999997</v>
      </c>
      <c r="BA37" s="528">
        <f t="shared" si="35"/>
        <v>371.03093338306883</v>
      </c>
      <c r="BB37" s="529">
        <f t="shared" si="24"/>
        <v>0.16999999999999998</v>
      </c>
      <c r="BC37" s="529">
        <f t="shared" si="25"/>
        <v>0</v>
      </c>
      <c r="BD37" s="517">
        <f t="shared" si="12"/>
        <v>1270.2620721600574</v>
      </c>
      <c r="BE37" s="518">
        <f>BD37*(Hypothèses!$D$23/Hypothèses!$B$23)</f>
        <v>1512.216752571497</v>
      </c>
      <c r="BF37" s="532">
        <f t="shared" si="13"/>
        <v>0.25536666666666663</v>
      </c>
      <c r="BG37" s="518">
        <f>BD37/Hypothèses!$B$23</f>
        <v>403.25780068573255</v>
      </c>
      <c r="BH37" s="532">
        <f t="shared" si="14"/>
        <v>0.46833333333333332</v>
      </c>
      <c r="BI37" s="532">
        <f t="shared" si="14"/>
        <v>9.6666666666666679E-2</v>
      </c>
      <c r="BJ37" s="518">
        <f t="shared" si="26"/>
        <v>188.85906998781806</v>
      </c>
      <c r="BK37" s="533">
        <f t="shared" si="36"/>
        <v>103.75578039465317</v>
      </c>
      <c r="BL37" s="534">
        <f t="shared" si="37"/>
        <v>0.54938203604066094</v>
      </c>
      <c r="BM37" s="535">
        <f t="array" ref="BM37">SUM(IF((Prod_Carburant_Alt!$A$7:$A$37=$B37)*(Prod_Carburant_Alt!$B$3:$AI$3=$C$2)*(Prod_Carburant_Alt!$B$5:$AI$5=BM$7)*(Prod_Carburant_Alt!$B$6:$AI$6=BM$9),Prod_Carburant_Alt!$B$7:$AI$37,0))</f>
        <v>71.065603010036426</v>
      </c>
      <c r="BN37" s="534">
        <f t="shared" si="27"/>
        <v>2.1513459184466557</v>
      </c>
      <c r="BO37" s="536">
        <f t="array" ref="BO37">SUM(IF((Prod_Carburant_Alt!$A$7:$A$37=$B37)*(Prod_Carburant_Alt!$B$3:$AI$3=$C$2)*(Prod_Carburant_Alt!$B$5:$AI$5=BO$7)*(Prod_Carburant_Alt!$B$6:$AI$6=BO$9),Prod_Carburant_Alt!$B$7:$AI$37,0))</f>
        <v>0.20438251753392198</v>
      </c>
      <c r="BP37" s="543">
        <f t="array" ref="BP37">SUM(IF((Prod_Carburant_Alt!$A$7:$A$37=$B37)*(Prod_Carburant_Alt!$B$3:$AI$3=$C$2)*(Prod_Carburant_Alt!$B$5:$AI$5=BP$7)*(Prod_Carburant_Alt!$B$6:$AI$6=BP$9),Prod_Carburant_Alt!$B$7:$AI$37,0))</f>
        <v>32.690177384616746</v>
      </c>
      <c r="BQ37" s="536">
        <f t="shared" si="38"/>
        <v>0.1730929702593863</v>
      </c>
      <c r="BR37" s="537">
        <f t="shared" si="39"/>
        <v>299.50202029107936</v>
      </c>
      <c r="BS37" s="538">
        <f t="shared" si="40"/>
        <v>103.75578039465317</v>
      </c>
      <c r="BT37" s="539">
        <f t="shared" si="41"/>
        <v>1</v>
      </c>
      <c r="BU37" s="535">
        <f t="shared" si="28"/>
        <v>71.065603010036426</v>
      </c>
      <c r="BV37" s="539">
        <f t="shared" si="42"/>
        <v>1</v>
      </c>
      <c r="BW37" s="535">
        <f t="shared" si="29"/>
        <v>32.690177384616746</v>
      </c>
      <c r="BX37" s="539">
        <f t="shared" si="43"/>
        <v>1</v>
      </c>
      <c r="BY37" s="538">
        <f t="shared" si="44"/>
        <v>38.981587399620821</v>
      </c>
      <c r="BZ37" s="540">
        <f>BY37*Hypothèses!$B$3/Hypothèses!$B$9</f>
        <v>14.321093478089663</v>
      </c>
      <c r="CA37" s="538">
        <f t="shared" si="45"/>
        <v>260.52043289145854</v>
      </c>
      <c r="CB37" s="533">
        <f>BW37*Prod_Carburant_Alt!$R$61+BZ37*Hypothèses!$B$13</f>
        <v>2291.3935991670523</v>
      </c>
      <c r="CC37" s="538">
        <f t="shared" si="46"/>
        <v>1061.7062156994671</v>
      </c>
      <c r="CD37" s="541">
        <f t="shared" si="47"/>
        <v>1.630885123962315</v>
      </c>
      <c r="CE37" s="537">
        <f t="shared" si="48"/>
        <v>25.205329590837575</v>
      </c>
      <c r="CF37" s="503">
        <f>(CA37+BU37*BO37)*Hypothèses!$D$23+CE37</f>
        <v>1056.6240786335229</v>
      </c>
      <c r="CG37" s="504">
        <f t="shared" si="16"/>
        <v>0.30127471684416074</v>
      </c>
      <c r="CH37" s="503">
        <f>(CA37+BU37*BO37)*Hypothèses!$B$23</f>
        <v>866.39174919585548</v>
      </c>
      <c r="CI37" s="503">
        <f t="shared" si="49"/>
        <v>0</v>
      </c>
      <c r="CJ37" s="503">
        <f>(BU37+BW37+CA37)*Hypothèses!$B$6+BZ37*Hypothèses!$B$11</f>
        <v>12.029187255585908</v>
      </c>
      <c r="CK37" s="503">
        <f>(BU37+BW37+CA37)*Hypothèses!$B$5+BZ37*Hypothèses!$B$10</f>
        <v>635.23377777050223</v>
      </c>
      <c r="CL37" s="542">
        <f t="shared" si="17"/>
        <v>0.47970586331939019</v>
      </c>
    </row>
    <row r="38" spans="1:90" ht="14.25" customHeight="1">
      <c r="A38" s="331"/>
      <c r="B38" s="516">
        <v>2042</v>
      </c>
      <c r="C38" s="655">
        <f>Trajectoires!AA34</f>
        <v>2103.5256923643933</v>
      </c>
      <c r="D38" s="659">
        <f>C38/Hypothèses!$D$23</f>
        <v>560.94018463050486</v>
      </c>
      <c r="E38" s="659">
        <f>D38*Hypothèses!$B$23</f>
        <v>1766.9615815860902</v>
      </c>
      <c r="F38" s="659">
        <f>D38*Hypothèses!$B$5</f>
        <v>779.70685663640165</v>
      </c>
      <c r="G38" s="659">
        <f>D38*Hypothèses!$B$6</f>
        <v>17.950085908176156</v>
      </c>
      <c r="H38" s="519">
        <f t="shared" si="30"/>
        <v>6.6666666666666666E-2</v>
      </c>
      <c r="I38" s="520">
        <f>IF(J38&gt;=1,ROUND(COUNTIFS($B$16:$B38,"&gt;"&amp;MAX($B38-$D$2,2019),H$16:H38,1/25)*(1/$D$2-1/25)*25,0),0)</f>
        <v>0</v>
      </c>
      <c r="J38" s="521">
        <f t="shared" si="50"/>
        <v>1.4</v>
      </c>
      <c r="K38" s="522">
        <f>Hypothèses!$G$77</f>
        <v>0.01</v>
      </c>
      <c r="L38" s="523">
        <f t="shared" si="0"/>
        <v>17.669615815860904</v>
      </c>
      <c r="M38" s="524">
        <f t="array" ref="M38">1-SUM(IF((Roadmap_Avion!$B$8:$B$38=$B38)*(Roadmap_Avion!$C$4:$Z$4=$B$2)*(Roadmap_Avion!$C$6:$Z$6=M$7)*(Roadmap_Avion!$C$7:$Z$7=M$9),Roadmap_Avion!$C$8:$Z$38,0))</f>
        <v>0.15000000000000002</v>
      </c>
      <c r="N38" s="525">
        <f t="array" ref="N38">SUM(IF((Roadmap_Avion!$B$8:$B$38=$B38)*(Roadmap_Avion!$C$4:$Z$4=$B$2)*(Roadmap_Avion!$C$6:$Z$6=N$7)*(Roadmap_Avion!$C$7:$Z$7=N$9),Roadmap_Avion!$C$8:$Z$38,0))</f>
        <v>0</v>
      </c>
      <c r="O38" s="526">
        <f t="array" ref="O38">SUM(IF((Roadmap_Avion!$B$8:$B$38=$B38)*(Roadmap_Avion!$C$4:$Z$4=$B$2)*(Roadmap_Avion!$C$6:$Z$6=O$7)*(Roadmap_Avion!$C$7:$Z$7=O$9),Roadmap_Avion!$C$8:$Z$38,0))</f>
        <v>1</v>
      </c>
      <c r="P38" s="527">
        <f t="array" ref="P38">IF($J38&lt;1,P37+$H38*M38,SUMPRODUCT(($B$16:$B$46&lt;=$B38)*($B$16:$B$46&gt;MAX($B38-$D$2-$I38,2019))*$H$16:$H$46*M$16:M$46))</f>
        <v>0.24666666666666673</v>
      </c>
      <c r="Q38" s="528">
        <f t="shared" si="31"/>
        <v>13.311110581281881</v>
      </c>
      <c r="R38" s="529">
        <f t="shared" si="18"/>
        <v>1.5E-3</v>
      </c>
      <c r="S38" s="530">
        <f t="shared" si="19"/>
        <v>5.3333333333333332E-3</v>
      </c>
      <c r="T38" s="522">
        <f>Hypothèses!$G$78</f>
        <v>0.03</v>
      </c>
      <c r="U38" s="523">
        <f t="shared" si="2"/>
        <v>53.008847447582703</v>
      </c>
      <c r="V38" s="524">
        <f t="array" ref="V38">1-SUM(IF((Roadmap_Avion!$B$8:$B$38=$B38)*(Roadmap_Avion!$C$4:$Z$4=$B$2)*(Roadmap_Avion!$C$6:$Z$6=V$7)*(Roadmap_Avion!$C$7:$Z$7=V$9),Roadmap_Avion!$C$8:$Z$38,0))</f>
        <v>0.15000000000000002</v>
      </c>
      <c r="W38" s="525">
        <f t="array" ref="W38">SUM(IF((Roadmap_Avion!$B$8:$B$38=$B38)*(Roadmap_Avion!$C$4:$Z$4=$B$2)*(Roadmap_Avion!$C$6:$Z$6=W$7)*(Roadmap_Avion!$C$7:$Z$7=W$9),Roadmap_Avion!$C$8:$Z$38,0))</f>
        <v>0</v>
      </c>
      <c r="X38" s="526">
        <f t="array" ref="X38">SUM(IF((Roadmap_Avion!$B$8:$B$38=$B38)*(Roadmap_Avion!$C$4:$Z$4=$B$2)*(Roadmap_Avion!$C$6:$Z$6=X$7)*(Roadmap_Avion!$C$7:$Z$7=X$9),Roadmap_Avion!$C$8:$Z$38,0))</f>
        <v>1</v>
      </c>
      <c r="Y38" s="527">
        <f t="array" ref="Y38">IF($J38&lt;1,Y37+$H38*V38,SUMPRODUCT(($B$16:$B$46&lt;=$B38)*($B$16:$B$46&gt;MAX($B38-$D$2-$I38,2019))*$H$16:$H$46*V$16:V$46))</f>
        <v>0.22999999999999998</v>
      </c>
      <c r="Z38" s="528">
        <f t="shared" si="32"/>
        <v>40.816812534638679</v>
      </c>
      <c r="AA38" s="529">
        <f t="shared" si="20"/>
        <v>9.4999999999999998E-3</v>
      </c>
      <c r="AB38" s="530">
        <f t="shared" si="21"/>
        <v>6.0000000000000001E-3</v>
      </c>
      <c r="AC38" s="522">
        <f>Hypothèses!$G$79</f>
        <v>0.24</v>
      </c>
      <c r="AD38" s="523">
        <f t="shared" si="4"/>
        <v>424.07077958066162</v>
      </c>
      <c r="AE38" s="524">
        <f t="array" ref="AE38">1-SUM(IF((Roadmap_Avion!$B$8:$B$38=$B38)*(Roadmap_Avion!$C$4:$Z$4=$B$2)*(Roadmap_Avion!$C$6:$Z$6=AE$7)*(Roadmap_Avion!$C$7:$Z$7=AE$9),Roadmap_Avion!$C$8:$Z$38,0))</f>
        <v>0.36250000000000004</v>
      </c>
      <c r="AF38" s="525">
        <f t="array" ref="AF38">SUM(IF((Roadmap_Avion!$B$8:$B$38=$B38)*(Roadmap_Avion!$C$4:$Z$4=$B$2)*(Roadmap_Avion!$C$6:$Z$6=AF$7)*(Roadmap_Avion!$C$7:$Z$7=AF$9),Roadmap_Avion!$C$8:$Z$38,0))</f>
        <v>0</v>
      </c>
      <c r="AG38" s="526">
        <f t="array" ref="AG38">SUM(IF((Roadmap_Avion!$B$8:$B$38=$B38)*(Roadmap_Avion!$C$4:$Z$4=$B$2)*(Roadmap_Avion!$C$6:$Z$6=AG$7)*(Roadmap_Avion!$C$7:$Z$7=AG$9),Roadmap_Avion!$C$8:$Z$38,0))</f>
        <v>1</v>
      </c>
      <c r="AH38" s="527">
        <f t="array" ref="AH38">IF($J38&lt;1,AH37+$H38*AE38,SUMPRODUCT(($B$16:$B$46&lt;=$B38)*($B$16:$B$46&gt;MAX($B38-$D$2-$I38,2019))*$H$16:$H$46*AE$16:AE$46))</f>
        <v>0.25916666666666666</v>
      </c>
      <c r="AI38" s="528">
        <f t="shared" si="33"/>
        <v>314.16576920600681</v>
      </c>
      <c r="AJ38" s="529">
        <f t="shared" si="22"/>
        <v>9.6000000000000002E-2</v>
      </c>
      <c r="AK38" s="530">
        <f t="shared" si="23"/>
        <v>4.8000000000000001E-2</v>
      </c>
      <c r="AL38" s="522">
        <f>Hypothèses!$G$80</f>
        <v>0.42</v>
      </c>
      <c r="AM38" s="523">
        <f t="shared" si="6"/>
        <v>742.12386426615785</v>
      </c>
      <c r="AN38" s="524">
        <f t="array" ref="AN38">1-SUM(IF((Roadmap_Avion!$B$8:$B$38=$B38)*(Roadmap_Avion!$C$4:$Z$4=$B$2)*(Roadmap_Avion!$C$6:$Z$6=AN$7)*(Roadmap_Avion!$C$7:$Z$7=AN$9),Roadmap_Avion!$C$8:$Z$38,0))</f>
        <v>0.36250000000000004</v>
      </c>
      <c r="AO38" s="525">
        <f t="array" ref="AO38">SUM(IF((Roadmap_Avion!$B$8:$B$38=$B38)*(Roadmap_Avion!$C$4:$Z$4=$B$2)*(Roadmap_Avion!$C$6:$Z$6=AO$7)*(Roadmap_Avion!$C$7:$Z$7=AO$9),Roadmap_Avion!$C$8:$Z$38,0))</f>
        <v>0</v>
      </c>
      <c r="AP38" s="526">
        <f t="array" ref="AP38">SUM(IF((Roadmap_Avion!$B$8:$B$38=$B38)*(Roadmap_Avion!$C$4:$Z$4=$B$2)*(Roadmap_Avion!$C$6:$Z$6=AP$7)*(Roadmap_Avion!$C$7:$Z$7=AP$9),Roadmap_Avion!$C$8:$Z$38,0))</f>
        <v>1</v>
      </c>
      <c r="AQ38" s="527">
        <f t="array" ref="AQ38">IF($J38&lt;1,AQ37+$H38*AN38,SUMPRODUCT(($B$16:$B$46&lt;=$B38)*($B$16:$B$46&gt;MAX($B38-$D$2-$I38,2019))*$H$16:$H$46*AN$16:AN$46))</f>
        <v>0.25916666666666666</v>
      </c>
      <c r="AR38" s="528">
        <f t="shared" si="34"/>
        <v>549.79009611051197</v>
      </c>
      <c r="AS38" s="529">
        <f t="shared" si="8"/>
        <v>0.16800000000000001</v>
      </c>
      <c r="AT38" s="530">
        <f t="shared" si="9"/>
        <v>8.4000000000000005E-2</v>
      </c>
      <c r="AU38" s="531">
        <f>Hypothèses!$G$81</f>
        <v>0.3</v>
      </c>
      <c r="AV38" s="523">
        <f t="shared" si="10"/>
        <v>530.08847447582707</v>
      </c>
      <c r="AW38" s="524">
        <f t="array" ref="AW38">1-SUM(IF((Roadmap_Avion!$B$8:$B$38=$B38)*(Roadmap_Avion!$C$4:$Z$4=$B$2)*(Roadmap_Avion!$C$6:$Z$6=AW$7)*(Roadmap_Avion!$C$7:$Z$7=AW$9),Roadmap_Avion!$C$8:$Z$38,0))</f>
        <v>0.4375</v>
      </c>
      <c r="AX38" s="525">
        <f t="array" ref="AX38">SUM(IF((Roadmap_Avion!$B$8:$B$38=$B38)*(Roadmap_Avion!$C$4:$Z$4=$B$2)*(Roadmap_Avion!$C$6:$Z$6=AX$7)*(Roadmap_Avion!$C$7:$Z$7=AX$9),Roadmap_Avion!$C$8:$Z$38,0))</f>
        <v>1</v>
      </c>
      <c r="AY38" s="526">
        <f t="array" ref="AY38">SUM(IF((Roadmap_Avion!$B$8:$B$38=$B38)*(Roadmap_Avion!$C$4:$Z$4=$B$2)*(Roadmap_Avion!$C$6:$Z$6=AY$7)*(Roadmap_Avion!$C$7:$Z$7=AY$9),Roadmap_Avion!$C$8:$Z$38,0))</f>
        <v>0</v>
      </c>
      <c r="AZ38" s="527">
        <f t="array" ref="AZ38">IF($J38&lt;1,AZ37+$H38*AW38,SUMPRODUCT(($B$16:$B$46&lt;=$B38)*($B$16:$B$46&gt;MAX($B38-$D$2-$I38,2019))*$H$16:$H$46*AW$16:AW$46))</f>
        <v>0.28749999999999998</v>
      </c>
      <c r="BA38" s="528">
        <f t="shared" si="35"/>
        <v>377.68803806402678</v>
      </c>
      <c r="BB38" s="529">
        <f t="shared" si="24"/>
        <v>0.18</v>
      </c>
      <c r="BC38" s="529">
        <f t="shared" si="25"/>
        <v>0</v>
      </c>
      <c r="BD38" s="517">
        <f t="shared" si="12"/>
        <v>1295.7718264964662</v>
      </c>
      <c r="BE38" s="518">
        <f>BD38*(Hypothèses!$D$23/Hypothèses!$B$23)</f>
        <v>1542.5855077338883</v>
      </c>
      <c r="BF38" s="532">
        <f t="shared" si="13"/>
        <v>0.26666666666666672</v>
      </c>
      <c r="BG38" s="518">
        <f>BD38/Hypothèses!$B$23</f>
        <v>411.35613539570357</v>
      </c>
      <c r="BH38" s="532">
        <f t="shared" si="14"/>
        <v>0.45500000000000002</v>
      </c>
      <c r="BI38" s="532">
        <f t="shared" si="14"/>
        <v>0.14333333333333334</v>
      </c>
      <c r="BJ38" s="518">
        <f t="shared" si="26"/>
        <v>187.16704160504514</v>
      </c>
      <c r="BK38" s="533">
        <f t="shared" si="36"/>
        <v>119.31914745385114</v>
      </c>
      <c r="BL38" s="534">
        <f t="shared" si="37"/>
        <v>0.63750084646652272</v>
      </c>
      <c r="BM38" s="535">
        <f t="array" ref="BM38">SUM(IF((Prod_Carburant_Alt!$A$7:$A$37=$B38)*(Prod_Carburant_Alt!$B$3:$AI$3=$C$2)*(Prod_Carburant_Alt!$B$5:$AI$5=BM$7)*(Prod_Carburant_Alt!$B$6:$AI$6=BM$9),Prod_Carburant_Alt!$B$7:$AI$37,0))</f>
        <v>81.725443461541886</v>
      </c>
      <c r="BN38" s="534">
        <f t="shared" si="27"/>
        <v>2.3906281742494597</v>
      </c>
      <c r="BO38" s="536">
        <f t="array" ref="BO38">SUM(IF((Prod_Carburant_Alt!$A$7:$A$37=$B38)*(Prod_Carburant_Alt!$B$3:$AI$3=$C$2)*(Prod_Carburant_Alt!$B$5:$AI$5=BO$7)*(Prod_Carburant_Alt!$B$6:$AI$6=BO$9),Prod_Carburant_Alt!$B$7:$AI$37,0))</f>
        <v>0.20438251753392195</v>
      </c>
      <c r="BP38" s="543">
        <f t="array" ref="BP38">SUM(IF((Prod_Carburant_Alt!$A$7:$A$37=$B38)*(Prod_Carburant_Alt!$B$3:$AI$3=$C$2)*(Prod_Carburant_Alt!$B$5:$AI$5=BP$7)*(Prod_Carburant_Alt!$B$6:$AI$6=BP$9),Prod_Carburant_Alt!$B$7:$AI$37,0))</f>
        <v>37.593703992309251</v>
      </c>
      <c r="BQ38" s="536">
        <f t="shared" si="38"/>
        <v>0.20085643107849338</v>
      </c>
      <c r="BR38" s="537">
        <f t="shared" si="39"/>
        <v>292.03698794185243</v>
      </c>
      <c r="BS38" s="538">
        <f t="shared" si="40"/>
        <v>119.31914745385114</v>
      </c>
      <c r="BT38" s="539">
        <f t="shared" si="41"/>
        <v>1</v>
      </c>
      <c r="BU38" s="535">
        <f t="shared" si="28"/>
        <v>81.725443461541886</v>
      </c>
      <c r="BV38" s="539">
        <f t="shared" si="42"/>
        <v>1</v>
      </c>
      <c r="BW38" s="535">
        <f t="shared" si="29"/>
        <v>37.593703992309251</v>
      </c>
      <c r="BX38" s="539">
        <f t="shared" si="43"/>
        <v>1</v>
      </c>
      <c r="BY38" s="538">
        <f t="shared" si="44"/>
        <v>58.961046073384182</v>
      </c>
      <c r="BZ38" s="540">
        <f>BY38*Hypothèses!$B$3/Hypothèses!$B$9</f>
        <v>21.661166430361938</v>
      </c>
      <c r="CA38" s="538">
        <f t="shared" si="45"/>
        <v>233.07594186846825</v>
      </c>
      <c r="CB38" s="533">
        <f>BW38*Prod_Carburant_Alt!$R$61+BZ38*Hypothèses!$B$13</f>
        <v>2929.1391903396834</v>
      </c>
      <c r="CC38" s="538">
        <f t="shared" si="46"/>
        <v>1357.2025714669992</v>
      </c>
      <c r="CD38" s="541">
        <f t="shared" si="47"/>
        <v>2.0847965767542229</v>
      </c>
      <c r="CE38" s="537">
        <f t="shared" si="48"/>
        <v>32.220531093736518</v>
      </c>
      <c r="CF38" s="503">
        <f>(CA38+BU38*BO38)*Hypothèses!$D$23+CE38</f>
        <v>968.89250765516545</v>
      </c>
      <c r="CG38" s="504">
        <f t="shared" si="16"/>
        <v>0.37190353286898037</v>
      </c>
      <c r="CH38" s="503">
        <f>(CA38+BU38*BO38)*Hypothèses!$B$23</f>
        <v>786.80446031160022</v>
      </c>
      <c r="CI38" s="503">
        <f t="shared" si="49"/>
        <v>0</v>
      </c>
      <c r="CJ38" s="503">
        <f>(BU38+BW38+CA38)*Hypothèses!$B$6+BZ38*Hypothèses!$B$11</f>
        <v>11.839833185503631</v>
      </c>
      <c r="CK38" s="503">
        <f>(BU38+BW38+CA38)*Hypothèses!$B$5+BZ38*Hypothèses!$B$10</f>
        <v>684.77967203128139</v>
      </c>
      <c r="CL38" s="542">
        <f t="shared" si="17"/>
        <v>0.5393959241039189</v>
      </c>
    </row>
    <row r="39" spans="1:90" ht="14.25" customHeight="1">
      <c r="A39" s="331"/>
      <c r="B39" s="516">
        <v>2043</v>
      </c>
      <c r="C39" s="655">
        <f>Trajectoires!AA35</f>
        <v>2177.8664654005638</v>
      </c>
      <c r="D39" s="659">
        <f>C39/Hypothèses!$D$23</f>
        <v>580.76439077348368</v>
      </c>
      <c r="E39" s="659">
        <f>D39*Hypothèses!$B$23</f>
        <v>1829.4078309364736</v>
      </c>
      <c r="F39" s="659">
        <f>D39*Hypothèses!$B$5</f>
        <v>807.26250317514223</v>
      </c>
      <c r="G39" s="659">
        <f>D39*Hypothèses!$B$6</f>
        <v>18.58446050475148</v>
      </c>
      <c r="H39" s="519">
        <f t="shared" si="30"/>
        <v>6.6666666666666666E-2</v>
      </c>
      <c r="I39" s="520">
        <f>IF(J39&gt;=1,ROUND(COUNTIFS($B$16:$B39,"&gt;"&amp;MAX($B39-$D$2,2019),H$16:H39,1/25)*(1/$D$2-1/25)*25,0),0)</f>
        <v>0</v>
      </c>
      <c r="J39" s="521">
        <f t="shared" si="50"/>
        <v>1.4666666666666666</v>
      </c>
      <c r="K39" s="522">
        <f>Hypothèses!$G$77</f>
        <v>0.01</v>
      </c>
      <c r="L39" s="523">
        <f t="shared" si="0"/>
        <v>18.294078309364735</v>
      </c>
      <c r="M39" s="524">
        <f t="array" ref="M39">1-SUM(IF((Roadmap_Avion!$B$8:$B$38=$B39)*(Roadmap_Avion!$C$4:$Z$4=$B$2)*(Roadmap_Avion!$C$6:$Z$6=M$7)*(Roadmap_Avion!$C$7:$Z$7=M$9),Roadmap_Avion!$C$8:$Z$38,0))</f>
        <v>0.15000000000000002</v>
      </c>
      <c r="N39" s="525">
        <f t="array" ref="N39">SUM(IF((Roadmap_Avion!$B$8:$B$38=$B39)*(Roadmap_Avion!$C$4:$Z$4=$B$2)*(Roadmap_Avion!$C$6:$Z$6=N$7)*(Roadmap_Avion!$C$7:$Z$7=N$9),Roadmap_Avion!$C$8:$Z$38,0))</f>
        <v>0</v>
      </c>
      <c r="O39" s="526">
        <f t="array" ref="O39">SUM(IF((Roadmap_Avion!$B$8:$B$38=$B39)*(Roadmap_Avion!$C$4:$Z$4=$B$2)*(Roadmap_Avion!$C$6:$Z$6=O$7)*(Roadmap_Avion!$C$7:$Z$7=O$9),Roadmap_Avion!$C$8:$Z$38,0))</f>
        <v>1</v>
      </c>
      <c r="P39" s="527">
        <f t="array" ref="P39">IF($J39&lt;1,P38+$H39*M39,SUMPRODUCT(($B$16:$B$46&lt;=$B39)*($B$16:$B$46&gt;MAX($B39-$D$2-$I39,2019))*$H$16:$H$46*M$16:M$46))</f>
        <v>0.25666666666666671</v>
      </c>
      <c r="Q39" s="528">
        <f t="shared" si="31"/>
        <v>13.59859820996112</v>
      </c>
      <c r="R39" s="529">
        <f t="shared" si="18"/>
        <v>1.1666666666666668E-3</v>
      </c>
      <c r="S39" s="530">
        <f t="shared" si="19"/>
        <v>6.0000000000000001E-3</v>
      </c>
      <c r="T39" s="522">
        <f>Hypothèses!$G$78</f>
        <v>0.03</v>
      </c>
      <c r="U39" s="523">
        <f t="shared" si="2"/>
        <v>54.882234928094206</v>
      </c>
      <c r="V39" s="524">
        <f t="array" ref="V39">1-SUM(IF((Roadmap_Avion!$B$8:$B$38=$B39)*(Roadmap_Avion!$C$4:$Z$4=$B$2)*(Roadmap_Avion!$C$6:$Z$6=V$7)*(Roadmap_Avion!$C$7:$Z$7=V$9),Roadmap_Avion!$C$8:$Z$38,0))</f>
        <v>0.15000000000000002</v>
      </c>
      <c r="W39" s="525">
        <f t="array" ref="W39">SUM(IF((Roadmap_Avion!$B$8:$B$38=$B39)*(Roadmap_Avion!$C$4:$Z$4=$B$2)*(Roadmap_Avion!$C$6:$Z$6=W$7)*(Roadmap_Avion!$C$7:$Z$7=W$9),Roadmap_Avion!$C$8:$Z$38,0))</f>
        <v>0</v>
      </c>
      <c r="X39" s="526">
        <f t="array" ref="X39">SUM(IF((Roadmap_Avion!$B$8:$B$38=$B39)*(Roadmap_Avion!$C$4:$Z$4=$B$2)*(Roadmap_Avion!$C$6:$Z$6=X$7)*(Roadmap_Avion!$C$7:$Z$7=X$9),Roadmap_Avion!$C$8:$Z$38,0))</f>
        <v>1</v>
      </c>
      <c r="Y39" s="527">
        <f t="array" ref="Y39">IF($J39&lt;1,Y38+$H39*V39,SUMPRODUCT(($B$16:$B$46&lt;=$B39)*($B$16:$B$46&gt;MAX($B39-$D$2-$I39,2019))*$H$16:$H$46*V$16:V$46))</f>
        <v>0.24</v>
      </c>
      <c r="Z39" s="528">
        <f t="shared" si="32"/>
        <v>41.710498545351598</v>
      </c>
      <c r="AA39" s="529">
        <f t="shared" si="20"/>
        <v>8.5000000000000006E-3</v>
      </c>
      <c r="AB39" s="530">
        <f t="shared" si="21"/>
        <v>8.0000000000000002E-3</v>
      </c>
      <c r="AC39" s="522">
        <f>Hypothèses!$G$79</f>
        <v>0.24</v>
      </c>
      <c r="AD39" s="523">
        <f t="shared" si="4"/>
        <v>439.05787942475365</v>
      </c>
      <c r="AE39" s="524">
        <f t="array" ref="AE39">1-SUM(IF((Roadmap_Avion!$B$8:$B$38=$B39)*(Roadmap_Avion!$C$4:$Z$4=$B$2)*(Roadmap_Avion!$C$6:$Z$6=AE$7)*(Roadmap_Avion!$C$7:$Z$7=AE$9),Roadmap_Avion!$C$8:$Z$38,0))</f>
        <v>0.36250000000000004</v>
      </c>
      <c r="AF39" s="525">
        <f t="array" ref="AF39">SUM(IF((Roadmap_Avion!$B$8:$B$38=$B39)*(Roadmap_Avion!$C$4:$Z$4=$B$2)*(Roadmap_Avion!$C$6:$Z$6=AF$7)*(Roadmap_Avion!$C$7:$Z$7=AF$9),Roadmap_Avion!$C$8:$Z$38,0))</f>
        <v>0</v>
      </c>
      <c r="AG39" s="526">
        <f t="array" ref="AG39">SUM(IF((Roadmap_Avion!$B$8:$B$38=$B39)*(Roadmap_Avion!$C$4:$Z$4=$B$2)*(Roadmap_Avion!$C$6:$Z$6=AG$7)*(Roadmap_Avion!$C$7:$Z$7=AG$9),Roadmap_Avion!$C$8:$Z$38,0))</f>
        <v>1</v>
      </c>
      <c r="AH39" s="527">
        <f t="array" ref="AH39">IF($J39&lt;1,AH38+$H39*AE39,SUMPRODUCT(($B$16:$B$46&lt;=$B39)*($B$16:$B$46&gt;MAX($B39-$D$2-$I39,2019))*$H$16:$H$46*AE$16:AE$46))</f>
        <v>0.27</v>
      </c>
      <c r="AI39" s="528">
        <f t="shared" si="33"/>
        <v>320.51225198007018</v>
      </c>
      <c r="AJ39" s="529">
        <f t="shared" si="22"/>
        <v>8.7999999999999995E-2</v>
      </c>
      <c r="AK39" s="530">
        <f t="shared" si="23"/>
        <v>6.4000000000000001E-2</v>
      </c>
      <c r="AL39" s="522">
        <f>Hypothèses!$G$80</f>
        <v>0.42</v>
      </c>
      <c r="AM39" s="523">
        <f t="shared" si="6"/>
        <v>768.35128899331892</v>
      </c>
      <c r="AN39" s="524">
        <f t="array" ref="AN39">1-SUM(IF((Roadmap_Avion!$B$8:$B$38=$B39)*(Roadmap_Avion!$C$4:$Z$4=$B$2)*(Roadmap_Avion!$C$6:$Z$6=AN$7)*(Roadmap_Avion!$C$7:$Z$7=AN$9),Roadmap_Avion!$C$8:$Z$38,0))</f>
        <v>0.36250000000000004</v>
      </c>
      <c r="AO39" s="525">
        <f t="array" ref="AO39">SUM(IF((Roadmap_Avion!$B$8:$B$38=$B39)*(Roadmap_Avion!$C$4:$Z$4=$B$2)*(Roadmap_Avion!$C$6:$Z$6=AO$7)*(Roadmap_Avion!$C$7:$Z$7=AO$9),Roadmap_Avion!$C$8:$Z$38,0))</f>
        <v>0</v>
      </c>
      <c r="AP39" s="526">
        <f t="array" ref="AP39">SUM(IF((Roadmap_Avion!$B$8:$B$38=$B39)*(Roadmap_Avion!$C$4:$Z$4=$B$2)*(Roadmap_Avion!$C$6:$Z$6=AP$7)*(Roadmap_Avion!$C$7:$Z$7=AP$9),Roadmap_Avion!$C$8:$Z$38,0))</f>
        <v>1</v>
      </c>
      <c r="AQ39" s="527">
        <f t="array" ref="AQ39">IF($J39&lt;1,AQ38+$H39*AN39,SUMPRODUCT(($B$16:$B$46&lt;=$B39)*($B$16:$B$46&gt;MAX($B39-$D$2-$I39,2019))*$H$16:$H$46*AN$16:AN$46))</f>
        <v>0.27</v>
      </c>
      <c r="AR39" s="528">
        <f t="shared" si="34"/>
        <v>560.89644096512279</v>
      </c>
      <c r="AS39" s="529">
        <f t="shared" si="8"/>
        <v>0.154</v>
      </c>
      <c r="AT39" s="530">
        <f t="shared" si="9"/>
        <v>0.112</v>
      </c>
      <c r="AU39" s="531">
        <f>Hypothèses!$G$81</f>
        <v>0.3</v>
      </c>
      <c r="AV39" s="523">
        <f t="shared" si="10"/>
        <v>548.82234928094203</v>
      </c>
      <c r="AW39" s="524">
        <f t="array" ref="AW39">1-SUM(IF((Roadmap_Avion!$B$8:$B$38=$B39)*(Roadmap_Avion!$C$4:$Z$4=$B$2)*(Roadmap_Avion!$C$6:$Z$6=AW$7)*(Roadmap_Avion!$C$7:$Z$7=AW$9),Roadmap_Avion!$C$8:$Z$38,0))</f>
        <v>0.4375</v>
      </c>
      <c r="AX39" s="525">
        <f t="array" ref="AX39">SUM(IF((Roadmap_Avion!$B$8:$B$38=$B39)*(Roadmap_Avion!$C$4:$Z$4=$B$2)*(Roadmap_Avion!$C$6:$Z$6=AX$7)*(Roadmap_Avion!$C$7:$Z$7=AX$9),Roadmap_Avion!$C$8:$Z$38,0))</f>
        <v>1</v>
      </c>
      <c r="AY39" s="526">
        <f t="array" ref="AY39">SUM(IF((Roadmap_Avion!$B$8:$B$38=$B39)*(Roadmap_Avion!$C$4:$Z$4=$B$2)*(Roadmap_Avion!$C$6:$Z$6=AY$7)*(Roadmap_Avion!$C$7:$Z$7=AY$9),Roadmap_Avion!$C$8:$Z$38,0))</f>
        <v>0</v>
      </c>
      <c r="AZ39" s="527">
        <f t="array" ref="AZ39">IF($J39&lt;1,AZ38+$H39*AW39,SUMPRODUCT(($B$16:$B$46&lt;=$B39)*($B$16:$B$46&gt;MAX($B39-$D$2-$I39,2019))*$H$16:$H$46*AW$16:AW$46))</f>
        <v>0.3</v>
      </c>
      <c r="BA39" s="528">
        <f t="shared" si="35"/>
        <v>384.1756444966594</v>
      </c>
      <c r="BB39" s="529">
        <f t="shared" si="24"/>
        <v>0.19</v>
      </c>
      <c r="BC39" s="529">
        <f t="shared" si="25"/>
        <v>0</v>
      </c>
      <c r="BD39" s="517">
        <f t="shared" si="12"/>
        <v>1320.8934341971651</v>
      </c>
      <c r="BE39" s="518">
        <f>BD39*(Hypothèses!$D$23/Hypothèses!$B$23)</f>
        <v>1572.4921835680536</v>
      </c>
      <c r="BF39" s="532">
        <f t="shared" si="13"/>
        <v>0.2779666666666667</v>
      </c>
      <c r="BG39" s="518">
        <f>BD39/Hypothèses!$B$23</f>
        <v>419.33124895148097</v>
      </c>
      <c r="BH39" s="532">
        <f t="shared" si="14"/>
        <v>0.44166666666666665</v>
      </c>
      <c r="BI39" s="532">
        <f t="shared" si="14"/>
        <v>0.19</v>
      </c>
      <c r="BJ39" s="518">
        <f t="shared" si="26"/>
        <v>185.20463495357075</v>
      </c>
      <c r="BK39" s="533">
        <f t="shared" si="36"/>
        <v>137.2170195719288</v>
      </c>
      <c r="BL39" s="534">
        <f t="shared" si="37"/>
        <v>0.740894090508739</v>
      </c>
      <c r="BM39" s="535">
        <f t="array" ref="BM39">SUM(IF((Prod_Carburant_Alt!$A$7:$A$37=$B39)*(Prod_Carburant_Alt!$B$3:$AI$3=$C$2)*(Prod_Carburant_Alt!$B$5:$AI$5=BM$7)*(Prod_Carburant_Alt!$B$6:$AI$6=BM$9),Prod_Carburant_Alt!$B$7:$AI$37,0))</f>
        <v>93.98425998077316</v>
      </c>
      <c r="BN39" s="534">
        <f t="shared" si="27"/>
        <v>2.6654062495817445</v>
      </c>
      <c r="BO39" s="536">
        <f t="array" ref="BO39">SUM(IF((Prod_Carburant_Alt!$A$7:$A$37=$B39)*(Prod_Carburant_Alt!$B$3:$AI$3=$C$2)*(Prod_Carburant_Alt!$B$5:$AI$5=BO$7)*(Prod_Carburant_Alt!$B$6:$AI$6=BO$9),Prod_Carburant_Alt!$B$7:$AI$37,0))</f>
        <v>0.204382517533922</v>
      </c>
      <c r="BP39" s="543">
        <f t="array" ref="BP39">SUM(IF((Prod_Carburant_Alt!$A$7:$A$37=$B39)*(Prod_Carburant_Alt!$B$3:$AI$3=$C$2)*(Prod_Carburant_Alt!$B$5:$AI$5=BP$7)*(Prod_Carburant_Alt!$B$6:$AI$6=BP$9),Prod_Carburant_Alt!$B$7:$AI$37,0))</f>
        <v>43.232759591155634</v>
      </c>
      <c r="BQ39" s="536">
        <f t="shared" si="38"/>
        <v>0.23343238468083546</v>
      </c>
      <c r="BR39" s="537">
        <f t="shared" si="39"/>
        <v>282.11422937955217</v>
      </c>
      <c r="BS39" s="538">
        <f t="shared" si="40"/>
        <v>137.2170195719288</v>
      </c>
      <c r="BT39" s="539">
        <f t="shared" si="41"/>
        <v>1</v>
      </c>
      <c r="BU39" s="535">
        <f t="shared" si="28"/>
        <v>93.98425998077316</v>
      </c>
      <c r="BV39" s="539">
        <f t="shared" si="42"/>
        <v>1</v>
      </c>
      <c r="BW39" s="535">
        <f t="shared" si="29"/>
        <v>43.232759591155634</v>
      </c>
      <c r="BX39" s="539">
        <f t="shared" si="43"/>
        <v>1</v>
      </c>
      <c r="BY39" s="538">
        <f t="shared" si="44"/>
        <v>79.672937300781385</v>
      </c>
      <c r="BZ39" s="540">
        <f>BY39*Hypothèses!$B$3/Hypothèses!$B$9</f>
        <v>29.2703211662839</v>
      </c>
      <c r="CA39" s="538">
        <f t="shared" si="45"/>
        <v>202.4412920787708</v>
      </c>
      <c r="CB39" s="533">
        <f>BW39*Prod_Carburant_Alt!$R$61+BZ39*Hypothèses!$B$13</f>
        <v>3615.4314677145835</v>
      </c>
      <c r="CC39" s="538">
        <f t="shared" si="46"/>
        <v>1675.1928010549423</v>
      </c>
      <c r="CD39" s="541">
        <f t="shared" si="47"/>
        <v>2.5732608311135827</v>
      </c>
      <c r="CE39" s="537">
        <f t="shared" si="48"/>
        <v>39.769746144860413</v>
      </c>
      <c r="CF39" s="503">
        <f>(CA39+BU39*BO39)*Hypothèses!$D$23+CE39</f>
        <v>870.95736517812486</v>
      </c>
      <c r="CG39" s="504">
        <f t="shared" si="16"/>
        <v>0.44612928809484798</v>
      </c>
      <c r="CH39" s="503">
        <f>(CA39+BU39*BO39)*Hypothèses!$B$23</f>
        <v>698.19759998794211</v>
      </c>
      <c r="CI39" s="503">
        <f t="shared" si="49"/>
        <v>0</v>
      </c>
      <c r="CJ39" s="503">
        <f>(BU39+BW39+CA39)*Hypothèses!$B$6+BZ39*Hypothèses!$B$11</f>
        <v>11.630094323145768</v>
      </c>
      <c r="CK39" s="503">
        <f>(BU39+BW39+CA39)*Hypothèses!$B$5+BZ39*Hypothèses!$B$10</f>
        <v>735.5579436910275</v>
      </c>
      <c r="CL39" s="542">
        <f t="shared" si="17"/>
        <v>0.6000868836474168</v>
      </c>
    </row>
    <row r="40" spans="1:90" ht="14.25" customHeight="1">
      <c r="A40" s="331"/>
      <c r="B40" s="516">
        <v>2044</v>
      </c>
      <c r="C40" s="655">
        <f>Trajectoires!AA36</f>
        <v>2253.7185316236014</v>
      </c>
      <c r="D40" s="659">
        <f>C40/Hypothèses!$D$23</f>
        <v>600.99160843296033</v>
      </c>
      <c r="E40" s="659">
        <f>D40*Hypothèses!$B$23</f>
        <v>1893.1235665638251</v>
      </c>
      <c r="F40" s="659">
        <f>D40*Hypothèses!$B$5</f>
        <v>835.37833572181478</v>
      </c>
      <c r="G40" s="659">
        <f>D40*Hypothèses!$B$6</f>
        <v>19.231731469854733</v>
      </c>
      <c r="H40" s="519">
        <f t="shared" si="30"/>
        <v>6.6666666666666666E-2</v>
      </c>
      <c r="I40" s="520">
        <f>IF(J40&gt;=1,ROUND(COUNTIFS($B$16:$B40,"&gt;"&amp;MAX($B40-$D$2,2019),H$16:H40,1/25)*(1/$D$2-1/25)*25,0),0)</f>
        <v>0</v>
      </c>
      <c r="J40" s="521">
        <f t="shared" si="50"/>
        <v>1.5333333333333332</v>
      </c>
      <c r="K40" s="522">
        <f>Hypothèses!$G$77</f>
        <v>0.01</v>
      </c>
      <c r="L40" s="523">
        <f t="shared" si="0"/>
        <v>18.931235665638251</v>
      </c>
      <c r="M40" s="524">
        <f t="array" ref="M40">1-SUM(IF((Roadmap_Avion!$B$8:$B$38=$B40)*(Roadmap_Avion!$C$4:$Z$4=$B$2)*(Roadmap_Avion!$C$6:$Z$6=M$7)*(Roadmap_Avion!$C$7:$Z$7=M$9),Roadmap_Avion!$C$8:$Z$38,0))</f>
        <v>0.15000000000000002</v>
      </c>
      <c r="N40" s="525">
        <f t="array" ref="N40">SUM(IF((Roadmap_Avion!$B$8:$B$38=$B40)*(Roadmap_Avion!$C$4:$Z$4=$B$2)*(Roadmap_Avion!$C$6:$Z$6=N$7)*(Roadmap_Avion!$C$7:$Z$7=N$9),Roadmap_Avion!$C$8:$Z$38,0))</f>
        <v>0</v>
      </c>
      <c r="O40" s="526">
        <f t="array" ref="O40">SUM(IF((Roadmap_Avion!$B$8:$B$38=$B40)*(Roadmap_Avion!$C$4:$Z$4=$B$2)*(Roadmap_Avion!$C$6:$Z$6=O$7)*(Roadmap_Avion!$C$7:$Z$7=O$9),Roadmap_Avion!$C$8:$Z$38,0))</f>
        <v>1</v>
      </c>
      <c r="P40" s="527">
        <f t="array" ref="P40">IF($J40&lt;1,P39+$H40*M40,SUMPRODUCT(($B$16:$B$46&lt;=$B40)*($B$16:$B$46&gt;MAX($B40-$D$2-$I40,2019))*$H$16:$H$46*M$16:M$46))</f>
        <v>0.26666666666666672</v>
      </c>
      <c r="Q40" s="528">
        <f t="shared" si="31"/>
        <v>13.882906154801383</v>
      </c>
      <c r="R40" s="529">
        <f t="shared" si="18"/>
        <v>8.3333333333333339E-4</v>
      </c>
      <c r="S40" s="530">
        <f t="shared" si="19"/>
        <v>6.6666666666666671E-3</v>
      </c>
      <c r="T40" s="522">
        <f>Hypothèses!$G$78</f>
        <v>0.03</v>
      </c>
      <c r="U40" s="523">
        <f t="shared" si="2"/>
        <v>56.79370699691475</v>
      </c>
      <c r="V40" s="524">
        <f t="array" ref="V40">1-SUM(IF((Roadmap_Avion!$B$8:$B$38=$B40)*(Roadmap_Avion!$C$4:$Z$4=$B$2)*(Roadmap_Avion!$C$6:$Z$6=V$7)*(Roadmap_Avion!$C$7:$Z$7=V$9),Roadmap_Avion!$C$8:$Z$38,0))</f>
        <v>0.15000000000000002</v>
      </c>
      <c r="W40" s="525">
        <f t="array" ref="W40">SUM(IF((Roadmap_Avion!$B$8:$B$38=$B40)*(Roadmap_Avion!$C$4:$Z$4=$B$2)*(Roadmap_Avion!$C$6:$Z$6=W$7)*(Roadmap_Avion!$C$7:$Z$7=W$9),Roadmap_Avion!$C$8:$Z$38,0))</f>
        <v>0</v>
      </c>
      <c r="X40" s="526">
        <f t="array" ref="X40">SUM(IF((Roadmap_Avion!$B$8:$B$38=$B40)*(Roadmap_Avion!$C$4:$Z$4=$B$2)*(Roadmap_Avion!$C$6:$Z$6=X$7)*(Roadmap_Avion!$C$7:$Z$7=X$9),Roadmap_Avion!$C$8:$Z$38,0))</f>
        <v>1</v>
      </c>
      <c r="Y40" s="527">
        <f t="array" ref="Y40">IF($J40&lt;1,Y39+$H40*V40,SUMPRODUCT(($B$16:$B$46&lt;=$B40)*($B$16:$B$46&gt;MAX($B40-$D$2-$I40,2019))*$H$16:$H$46*V$16:V$46))</f>
        <v>0.25</v>
      </c>
      <c r="Z40" s="528">
        <f t="shared" si="32"/>
        <v>42.595280247686063</v>
      </c>
      <c r="AA40" s="529">
        <f t="shared" si="20"/>
        <v>7.4999999999999989E-3</v>
      </c>
      <c r="AB40" s="530">
        <f t="shared" si="21"/>
        <v>0.01</v>
      </c>
      <c r="AC40" s="522">
        <f>Hypothèses!$G$79</f>
        <v>0.24</v>
      </c>
      <c r="AD40" s="523">
        <f t="shared" si="4"/>
        <v>454.349655975318</v>
      </c>
      <c r="AE40" s="524">
        <f t="array" ref="AE40">1-SUM(IF((Roadmap_Avion!$B$8:$B$38=$B40)*(Roadmap_Avion!$C$4:$Z$4=$B$2)*(Roadmap_Avion!$C$6:$Z$6=AE$7)*(Roadmap_Avion!$C$7:$Z$7=AE$9),Roadmap_Avion!$C$8:$Z$38,0))</f>
        <v>0.36250000000000004</v>
      </c>
      <c r="AF40" s="525">
        <f t="array" ref="AF40">SUM(IF((Roadmap_Avion!$B$8:$B$38=$B40)*(Roadmap_Avion!$C$4:$Z$4=$B$2)*(Roadmap_Avion!$C$6:$Z$6=AF$7)*(Roadmap_Avion!$C$7:$Z$7=AF$9),Roadmap_Avion!$C$8:$Z$38,0))</f>
        <v>0</v>
      </c>
      <c r="AG40" s="526">
        <f t="array" ref="AG40">SUM(IF((Roadmap_Avion!$B$8:$B$38=$B40)*(Roadmap_Avion!$C$4:$Z$4=$B$2)*(Roadmap_Avion!$C$6:$Z$6=AG$7)*(Roadmap_Avion!$C$7:$Z$7=AG$9),Roadmap_Avion!$C$8:$Z$38,0))</f>
        <v>1</v>
      </c>
      <c r="AH40" s="527">
        <f t="array" ref="AH40">IF($J40&lt;1,AH39+$H40*AE40,SUMPRODUCT(($B$16:$B$46&lt;=$B40)*($B$16:$B$46&gt;MAX($B40-$D$2-$I40,2019))*$H$16:$H$46*AE$16:AE$46))</f>
        <v>0.28083333333333332</v>
      </c>
      <c r="AI40" s="528">
        <f t="shared" si="33"/>
        <v>326.75312758891624</v>
      </c>
      <c r="AJ40" s="529">
        <f t="shared" si="22"/>
        <v>0.08</v>
      </c>
      <c r="AK40" s="530">
        <f t="shared" si="23"/>
        <v>0.08</v>
      </c>
      <c r="AL40" s="522">
        <f>Hypothèses!$G$80</f>
        <v>0.42</v>
      </c>
      <c r="AM40" s="523">
        <f t="shared" si="6"/>
        <v>795.1118979568065</v>
      </c>
      <c r="AN40" s="524">
        <f t="array" ref="AN40">1-SUM(IF((Roadmap_Avion!$B$8:$B$38=$B40)*(Roadmap_Avion!$C$4:$Z$4=$B$2)*(Roadmap_Avion!$C$6:$Z$6=AN$7)*(Roadmap_Avion!$C$7:$Z$7=AN$9),Roadmap_Avion!$C$8:$Z$38,0))</f>
        <v>0.36250000000000004</v>
      </c>
      <c r="AO40" s="525">
        <f t="array" ref="AO40">SUM(IF((Roadmap_Avion!$B$8:$B$38=$B40)*(Roadmap_Avion!$C$4:$Z$4=$B$2)*(Roadmap_Avion!$C$6:$Z$6=AO$7)*(Roadmap_Avion!$C$7:$Z$7=AO$9),Roadmap_Avion!$C$8:$Z$38,0))</f>
        <v>0</v>
      </c>
      <c r="AP40" s="526">
        <f t="array" ref="AP40">SUM(IF((Roadmap_Avion!$B$8:$B$38=$B40)*(Roadmap_Avion!$C$4:$Z$4=$B$2)*(Roadmap_Avion!$C$6:$Z$6=AP$7)*(Roadmap_Avion!$C$7:$Z$7=AP$9),Roadmap_Avion!$C$8:$Z$38,0))</f>
        <v>1</v>
      </c>
      <c r="AQ40" s="527">
        <f t="array" ref="AQ40">IF($J40&lt;1,AQ39+$H40*AN40,SUMPRODUCT(($B$16:$B$46&lt;=$B40)*($B$16:$B$46&gt;MAX($B40-$D$2-$I40,2019))*$H$16:$H$46*AN$16:AN$46))</f>
        <v>0.28083333333333332</v>
      </c>
      <c r="AR40" s="528">
        <f t="shared" si="34"/>
        <v>571.81797328060338</v>
      </c>
      <c r="AS40" s="529">
        <f t="shared" si="8"/>
        <v>0.14000000000000001</v>
      </c>
      <c r="AT40" s="530">
        <f t="shared" si="9"/>
        <v>0.14000000000000001</v>
      </c>
      <c r="AU40" s="531">
        <f>Hypothèses!$G$81</f>
        <v>0.3</v>
      </c>
      <c r="AV40" s="523">
        <f t="shared" si="10"/>
        <v>567.9370699691475</v>
      </c>
      <c r="AW40" s="524">
        <f t="array" ref="AW40">1-SUM(IF((Roadmap_Avion!$B$8:$B$38=$B40)*(Roadmap_Avion!$C$4:$Z$4=$B$2)*(Roadmap_Avion!$C$6:$Z$6=AW$7)*(Roadmap_Avion!$C$7:$Z$7=AW$9),Roadmap_Avion!$C$8:$Z$38,0))</f>
        <v>0.4375</v>
      </c>
      <c r="AX40" s="525">
        <f t="array" ref="AX40">SUM(IF((Roadmap_Avion!$B$8:$B$38=$B40)*(Roadmap_Avion!$C$4:$Z$4=$B$2)*(Roadmap_Avion!$C$6:$Z$6=AX$7)*(Roadmap_Avion!$C$7:$Z$7=AX$9),Roadmap_Avion!$C$8:$Z$38,0))</f>
        <v>1</v>
      </c>
      <c r="AY40" s="526">
        <f t="array" ref="AY40">SUM(IF((Roadmap_Avion!$B$8:$B$38=$B40)*(Roadmap_Avion!$C$4:$Z$4=$B$2)*(Roadmap_Avion!$C$6:$Z$6=AY$7)*(Roadmap_Avion!$C$7:$Z$7=AY$9),Roadmap_Avion!$C$8:$Z$38,0))</f>
        <v>0</v>
      </c>
      <c r="AZ40" s="527">
        <f t="array" ref="AZ40">IF($J40&lt;1,AZ39+$H40*AW40,SUMPRODUCT(($B$16:$B$46&lt;=$B40)*($B$16:$B$46&gt;MAX($B40-$D$2-$I40,2019))*$H$16:$H$46*AW$16:AW$46))</f>
        <v>0.3125</v>
      </c>
      <c r="BA40" s="528">
        <f t="shared" si="35"/>
        <v>390.4567356037889</v>
      </c>
      <c r="BB40" s="529">
        <f t="shared" si="24"/>
        <v>0.2</v>
      </c>
      <c r="BC40" s="529">
        <f t="shared" si="25"/>
        <v>0</v>
      </c>
      <c r="BD40" s="517">
        <f t="shared" si="12"/>
        <v>1345.5060228757959</v>
      </c>
      <c r="BE40" s="518">
        <f>BD40*(Hypothèses!$D$23/Hypothèses!$B$23)</f>
        <v>1601.7928843759476</v>
      </c>
      <c r="BF40" s="532">
        <f t="shared" si="13"/>
        <v>0.28926666666666667</v>
      </c>
      <c r="BG40" s="518">
        <f>BD40/Hypothèses!$B$23</f>
        <v>427.14476916691933</v>
      </c>
      <c r="BH40" s="532">
        <f t="shared" si="14"/>
        <v>0.42833333333333334</v>
      </c>
      <c r="BI40" s="532">
        <f t="shared" si="14"/>
        <v>0.23666666666666669</v>
      </c>
      <c r="BJ40" s="518">
        <f t="shared" si="26"/>
        <v>182.96034279316379</v>
      </c>
      <c r="BK40" s="533">
        <f t="shared" si="36"/>
        <v>157.7995725077181</v>
      </c>
      <c r="BL40" s="534">
        <f t="shared" si="37"/>
        <v>0.86247965050060116</v>
      </c>
      <c r="BM40" s="535">
        <f t="array" ref="BM40">SUM(IF((Prod_Carburant_Alt!$A$7:$A$37=$B40)*(Prod_Carburant_Alt!$B$3:$AI$3=$C$2)*(Prod_Carburant_Alt!$B$5:$AI$5=BM$7)*(Prod_Carburant_Alt!$B$6:$AI$6=BM$9),Prod_Carburant_Alt!$B$7:$AI$37,0))</f>
        <v>108.08189897788913</v>
      </c>
      <c r="BN40" s="534">
        <f t="shared" si="27"/>
        <v>2.9816074573655258</v>
      </c>
      <c r="BO40" s="536">
        <f t="array" ref="BO40">SUM(IF((Prod_Carburant_Alt!$A$7:$A$37=$B40)*(Prod_Carburant_Alt!$B$3:$AI$3=$C$2)*(Prod_Carburant_Alt!$B$5:$AI$5=BO$7)*(Prod_Carburant_Alt!$B$6:$AI$6=BO$9),Prod_Carburant_Alt!$B$7:$AI$37,0))</f>
        <v>0.204382517533922</v>
      </c>
      <c r="BP40" s="543">
        <f t="array" ref="BP40">SUM(IF((Prod_Carburant_Alt!$A$7:$A$37=$B40)*(Prod_Carburant_Alt!$B$3:$AI$3=$C$2)*(Prod_Carburant_Alt!$B$5:$AI$5=BP$7)*(Prod_Carburant_Alt!$B$6:$AI$6=BP$9),Prod_Carburant_Alt!$B$7:$AI$37,0))</f>
        <v>49.717673529828978</v>
      </c>
      <c r="BQ40" s="536">
        <f t="shared" si="38"/>
        <v>0.27174016385635374</v>
      </c>
      <c r="BR40" s="537">
        <f t="shared" si="39"/>
        <v>269.34519665920124</v>
      </c>
      <c r="BS40" s="538">
        <f t="shared" si="40"/>
        <v>157.7995725077181</v>
      </c>
      <c r="BT40" s="539">
        <f t="shared" si="41"/>
        <v>1</v>
      </c>
      <c r="BU40" s="535">
        <f t="shared" si="28"/>
        <v>108.08189897788913</v>
      </c>
      <c r="BV40" s="539">
        <f t="shared" si="42"/>
        <v>1</v>
      </c>
      <c r="BW40" s="535">
        <f t="shared" si="29"/>
        <v>49.717673529828978</v>
      </c>
      <c r="BX40" s="539">
        <f t="shared" si="43"/>
        <v>1</v>
      </c>
      <c r="BY40" s="538">
        <f t="shared" si="44"/>
        <v>101.09092870283759</v>
      </c>
      <c r="BZ40" s="540">
        <f>BY40*Hypothèses!$B$3/Hypothèses!$B$9</f>
        <v>37.138883670866541</v>
      </c>
      <c r="CA40" s="538">
        <f t="shared" si="45"/>
        <v>168.25426795636366</v>
      </c>
      <c r="CB40" s="533">
        <f>BW40*Prod_Carburant_Alt!$R$61+BZ40*Hypothèses!$B$13</f>
        <v>4354.7186988554777</v>
      </c>
      <c r="CC40" s="538">
        <f t="shared" si="46"/>
        <v>2017.7379878682675</v>
      </c>
      <c r="CD40" s="541">
        <f t="shared" si="47"/>
        <v>3.0994439137761405</v>
      </c>
      <c r="CE40" s="537">
        <f t="shared" si="48"/>
        <v>47.901905687410256</v>
      </c>
      <c r="CF40" s="503">
        <f>(CA40+BU40*BO40)*Hypothèses!$D$23+CE40</f>
        <v>761.69310032232897</v>
      </c>
      <c r="CG40" s="504">
        <f t="shared" si="16"/>
        <v>0.52447466351488903</v>
      </c>
      <c r="CH40" s="503">
        <f>(CA40+BU40*BO40)*Hypothèses!$B$23</f>
        <v>599.58460349333177</v>
      </c>
      <c r="CI40" s="503">
        <f t="shared" si="49"/>
        <v>0</v>
      </c>
      <c r="CJ40" s="503">
        <f>(BU40+BW40+CA40)*Hypothèses!$B$6+BZ40*Hypothèses!$B$11</f>
        <v>11.399333870293146</v>
      </c>
      <c r="CK40" s="503">
        <f>(BU40+BW40+CA40)*Hypothèses!$B$5+BZ40*Hypothèses!$B$10</f>
        <v>787.46479128287251</v>
      </c>
      <c r="CL40" s="542">
        <f t="shared" si="17"/>
        <v>0.66202829251548212</v>
      </c>
    </row>
    <row r="41" spans="1:90" ht="14.25" customHeight="1">
      <c r="A41" s="331"/>
      <c r="B41" s="516">
        <v>2045</v>
      </c>
      <c r="C41" s="655">
        <f>Trajectoires!AA37</f>
        <v>2330.9241411198473</v>
      </c>
      <c r="D41" s="659">
        <f>C41/Hypothèses!$D$23</f>
        <v>621.5797709652926</v>
      </c>
      <c r="E41" s="659">
        <f>D41*Hypothèses!$B$23</f>
        <v>1957.9762785406717</v>
      </c>
      <c r="F41" s="659">
        <f>D41*Hypothèses!$B$5</f>
        <v>863.99588164175668</v>
      </c>
      <c r="G41" s="659">
        <f>D41*Hypothèses!$B$6</f>
        <v>19.890552670889363</v>
      </c>
      <c r="H41" s="519">
        <f t="shared" si="30"/>
        <v>6.6666666666666666E-2</v>
      </c>
      <c r="I41" s="520">
        <f>IF(J41&gt;=1,ROUND(COUNTIFS($B$16:$B41,"&gt;"&amp;MAX($B41-$D$2,2019),H$16:H41,1/25)*(1/$D$2-1/25)*25,0),0)</f>
        <v>0</v>
      </c>
      <c r="J41" s="521">
        <f t="shared" si="50"/>
        <v>1.5999999999999999</v>
      </c>
      <c r="K41" s="522">
        <f>Hypothèses!$G$77</f>
        <v>0.01</v>
      </c>
      <c r="L41" s="523">
        <f t="shared" si="0"/>
        <v>19.579762785406718</v>
      </c>
      <c r="M41" s="524">
        <f t="array" ref="M41">1-SUM(IF((Roadmap_Avion!$B$8:$B$38=$B41)*(Roadmap_Avion!$C$4:$Z$4=$B$2)*(Roadmap_Avion!$C$6:$Z$6=M$7)*(Roadmap_Avion!$C$7:$Z$7=M$9),Roadmap_Avion!$C$8:$Z$38,0))</f>
        <v>0.15000000000000002</v>
      </c>
      <c r="N41" s="525">
        <f t="array" ref="N41">SUM(IF((Roadmap_Avion!$B$8:$B$38=$B41)*(Roadmap_Avion!$C$4:$Z$4=$B$2)*(Roadmap_Avion!$C$6:$Z$6=N$7)*(Roadmap_Avion!$C$7:$Z$7=N$9),Roadmap_Avion!$C$8:$Z$38,0))</f>
        <v>0</v>
      </c>
      <c r="O41" s="526">
        <f t="array" ref="O41">SUM(IF((Roadmap_Avion!$B$8:$B$38=$B41)*(Roadmap_Avion!$C$4:$Z$4=$B$2)*(Roadmap_Avion!$C$6:$Z$6=O$7)*(Roadmap_Avion!$C$7:$Z$7=O$9),Roadmap_Avion!$C$8:$Z$38,0))</f>
        <v>1</v>
      </c>
      <c r="P41" s="527">
        <f t="array" ref="P41">IF($J41&lt;1,P40+$H41*M41,SUMPRODUCT(($B$16:$B$46&lt;=$B41)*($B$16:$B$46&gt;MAX($B41-$D$2-$I41,2019))*$H$16:$H$46*M$16:M$46))</f>
        <v>0.24333333333333343</v>
      </c>
      <c r="Q41" s="528">
        <f t="shared" si="31"/>
        <v>14.815353840957748</v>
      </c>
      <c r="R41" s="529">
        <f t="shared" si="18"/>
        <v>6.6666666666666664E-4</v>
      </c>
      <c r="S41" s="530">
        <f t="shared" si="19"/>
        <v>7.3333333333333332E-3</v>
      </c>
      <c r="T41" s="522">
        <f>Hypothèses!$G$78</f>
        <v>0.03</v>
      </c>
      <c r="U41" s="523">
        <f t="shared" si="2"/>
        <v>58.73928835622015</v>
      </c>
      <c r="V41" s="524">
        <f t="array" ref="V41">1-SUM(IF((Roadmap_Avion!$B$8:$B$38=$B41)*(Roadmap_Avion!$C$4:$Z$4=$B$2)*(Roadmap_Avion!$C$6:$Z$6=V$7)*(Roadmap_Avion!$C$7:$Z$7=V$9),Roadmap_Avion!$C$8:$Z$38,0))</f>
        <v>0.15000000000000002</v>
      </c>
      <c r="W41" s="525">
        <f t="array" ref="W41">SUM(IF((Roadmap_Avion!$B$8:$B$38=$B41)*(Roadmap_Avion!$C$4:$Z$4=$B$2)*(Roadmap_Avion!$C$6:$Z$6=W$7)*(Roadmap_Avion!$C$7:$Z$7=W$9),Roadmap_Avion!$C$8:$Z$38,0))</f>
        <v>0</v>
      </c>
      <c r="X41" s="526">
        <f t="array" ref="X41">SUM(IF((Roadmap_Avion!$B$8:$B$38=$B41)*(Roadmap_Avion!$C$4:$Z$4=$B$2)*(Roadmap_Avion!$C$6:$Z$6=X$7)*(Roadmap_Avion!$C$7:$Z$7=X$9),Roadmap_Avion!$C$8:$Z$38,0))</f>
        <v>1</v>
      </c>
      <c r="Y41" s="527">
        <f t="array" ref="Y41">IF($J41&lt;1,Y40+$H41*V41,SUMPRODUCT(($B$16:$B$46&lt;=$B41)*($B$16:$B$46&gt;MAX($B41-$D$2-$I41,2019))*$H$16:$H$46*V$16:V$46))</f>
        <v>0.25333333333333335</v>
      </c>
      <c r="Z41" s="528">
        <f t="shared" si="32"/>
        <v>43.858668639311041</v>
      </c>
      <c r="AA41" s="529">
        <f t="shared" si="20"/>
        <v>6.5000000000000006E-3</v>
      </c>
      <c r="AB41" s="530">
        <f t="shared" si="21"/>
        <v>1.2E-2</v>
      </c>
      <c r="AC41" s="522">
        <f>Hypothèses!$G$79</f>
        <v>0.24</v>
      </c>
      <c r="AD41" s="523">
        <f t="shared" si="4"/>
        <v>469.9143068497612</v>
      </c>
      <c r="AE41" s="524">
        <f t="array" ref="AE41">1-SUM(IF((Roadmap_Avion!$B$8:$B$38=$B41)*(Roadmap_Avion!$C$4:$Z$4=$B$2)*(Roadmap_Avion!$C$6:$Z$6=AE$7)*(Roadmap_Avion!$C$7:$Z$7=AE$9),Roadmap_Avion!$C$8:$Z$38,0))</f>
        <v>0.36250000000000004</v>
      </c>
      <c r="AF41" s="525">
        <f t="array" ref="AF41">SUM(IF((Roadmap_Avion!$B$8:$B$38=$B41)*(Roadmap_Avion!$C$4:$Z$4=$B$2)*(Roadmap_Avion!$C$6:$Z$6=AF$7)*(Roadmap_Avion!$C$7:$Z$7=AF$9),Roadmap_Avion!$C$8:$Z$38,0))</f>
        <v>0</v>
      </c>
      <c r="AG41" s="526">
        <f t="array" ref="AG41">SUM(IF((Roadmap_Avion!$B$8:$B$38=$B41)*(Roadmap_Avion!$C$4:$Z$4=$B$2)*(Roadmap_Avion!$C$6:$Z$6=AG$7)*(Roadmap_Avion!$C$7:$Z$7=AG$9),Roadmap_Avion!$C$8:$Z$38,0))</f>
        <v>1</v>
      </c>
      <c r="AH41" s="527">
        <f t="array" ref="AH41">IF($J41&lt;1,AH40+$H41*AE41,SUMPRODUCT(($B$16:$B$46&lt;=$B41)*($B$16:$B$46&gt;MAX($B41-$D$2-$I41,2019))*$H$16:$H$46*AE$16:AE$46))</f>
        <v>0.29166666666666663</v>
      </c>
      <c r="AI41" s="528">
        <f t="shared" si="33"/>
        <v>332.85596735191422</v>
      </c>
      <c r="AJ41" s="529">
        <f t="shared" si="22"/>
        <v>7.2000000000000008E-2</v>
      </c>
      <c r="AK41" s="530">
        <f t="shared" si="23"/>
        <v>9.6000000000000002E-2</v>
      </c>
      <c r="AL41" s="522">
        <f>Hypothèses!$G$80</f>
        <v>0.42</v>
      </c>
      <c r="AM41" s="523">
        <f t="shared" si="6"/>
        <v>822.35003698708215</v>
      </c>
      <c r="AN41" s="524">
        <f t="array" ref="AN41">1-SUM(IF((Roadmap_Avion!$B$8:$B$38=$B41)*(Roadmap_Avion!$C$4:$Z$4=$B$2)*(Roadmap_Avion!$C$6:$Z$6=AN$7)*(Roadmap_Avion!$C$7:$Z$7=AN$9),Roadmap_Avion!$C$8:$Z$38,0))</f>
        <v>0.36250000000000004</v>
      </c>
      <c r="AO41" s="525">
        <f t="array" ref="AO41">SUM(IF((Roadmap_Avion!$B$8:$B$38=$B41)*(Roadmap_Avion!$C$4:$Z$4=$B$2)*(Roadmap_Avion!$C$6:$Z$6=AO$7)*(Roadmap_Avion!$C$7:$Z$7=AO$9),Roadmap_Avion!$C$8:$Z$38,0))</f>
        <v>0</v>
      </c>
      <c r="AP41" s="526">
        <f t="array" ref="AP41">SUM(IF((Roadmap_Avion!$B$8:$B$38=$B41)*(Roadmap_Avion!$C$4:$Z$4=$B$2)*(Roadmap_Avion!$C$6:$Z$6=AP$7)*(Roadmap_Avion!$C$7:$Z$7=AP$9),Roadmap_Avion!$C$8:$Z$38,0))</f>
        <v>1</v>
      </c>
      <c r="AQ41" s="527">
        <f t="array" ref="AQ41">IF($J41&lt;1,AQ40+$H41*AN41,SUMPRODUCT(($B$16:$B$46&lt;=$B41)*($B$16:$B$46&gt;MAX($B41-$D$2-$I41,2019))*$H$16:$H$46*AN$16:AN$46))</f>
        <v>0.29166666666666663</v>
      </c>
      <c r="AR41" s="528">
        <f t="shared" si="34"/>
        <v>582.49794286584984</v>
      </c>
      <c r="AS41" s="529">
        <f t="shared" si="8"/>
        <v>0.126</v>
      </c>
      <c r="AT41" s="530">
        <f t="shared" si="9"/>
        <v>0.16800000000000001</v>
      </c>
      <c r="AU41" s="531">
        <f>Hypothèses!$G$81</f>
        <v>0.3</v>
      </c>
      <c r="AV41" s="523">
        <f t="shared" si="10"/>
        <v>587.39288356220152</v>
      </c>
      <c r="AW41" s="524">
        <f t="array" ref="AW41">1-SUM(IF((Roadmap_Avion!$B$8:$B$38=$B41)*(Roadmap_Avion!$C$4:$Z$4=$B$2)*(Roadmap_Avion!$C$6:$Z$6=AW$7)*(Roadmap_Avion!$C$7:$Z$7=AW$9),Roadmap_Avion!$C$8:$Z$38,0))</f>
        <v>0.4375</v>
      </c>
      <c r="AX41" s="525">
        <f t="array" ref="AX41">SUM(IF((Roadmap_Avion!$B$8:$B$38=$B41)*(Roadmap_Avion!$C$4:$Z$4=$B$2)*(Roadmap_Avion!$C$6:$Z$6=AX$7)*(Roadmap_Avion!$C$7:$Z$7=AX$9),Roadmap_Avion!$C$8:$Z$38,0))</f>
        <v>1</v>
      </c>
      <c r="AY41" s="526">
        <f t="array" ref="AY41">SUM(IF((Roadmap_Avion!$B$8:$B$38=$B41)*(Roadmap_Avion!$C$4:$Z$4=$B$2)*(Roadmap_Avion!$C$6:$Z$6=AY$7)*(Roadmap_Avion!$C$7:$Z$7=AY$9),Roadmap_Avion!$C$8:$Z$38,0))</f>
        <v>0</v>
      </c>
      <c r="AZ41" s="527">
        <f t="array" ref="AZ41">IF($J41&lt;1,AZ40+$H41*AW41,SUMPRODUCT(($B$16:$B$46&lt;=$B41)*($B$16:$B$46&gt;MAX($B41-$D$2-$I41,2019))*$H$16:$H$46*AW$16:AW$46))</f>
        <v>0.32500000000000001</v>
      </c>
      <c r="BA41" s="528">
        <f t="shared" si="35"/>
        <v>396.49019640448603</v>
      </c>
      <c r="BB41" s="529">
        <f t="shared" si="24"/>
        <v>0.21</v>
      </c>
      <c r="BC41" s="529">
        <f t="shared" si="25"/>
        <v>0</v>
      </c>
      <c r="BD41" s="517">
        <f t="shared" si="12"/>
        <v>1370.5181291025187</v>
      </c>
      <c r="BE41" s="518">
        <f>BD41*(Hypothèses!$D$23/Hypothèses!$B$23)</f>
        <v>1631.5692013125224</v>
      </c>
      <c r="BF41" s="532">
        <f t="shared" si="13"/>
        <v>0.30003333333333337</v>
      </c>
      <c r="BG41" s="518">
        <f>BD41/Hypothèses!$B$23</f>
        <v>435.08512035000598</v>
      </c>
      <c r="BH41" s="532">
        <f t="shared" si="14"/>
        <v>0.41516666666666668</v>
      </c>
      <c r="BI41" s="532">
        <f t="shared" si="14"/>
        <v>0.28333333333333333</v>
      </c>
      <c r="BJ41" s="518">
        <f t="shared" si="26"/>
        <v>180.63283913197748</v>
      </c>
      <c r="BK41" s="533">
        <f t="shared" si="36"/>
        <v>181.46950838387579</v>
      </c>
      <c r="BL41" s="534">
        <f t="shared" si="37"/>
        <v>1.0046318778795644</v>
      </c>
      <c r="BM41" s="535">
        <f t="array" ref="BM41">SUM(IF((Prod_Carburant_Alt!$A$7:$A$37=$B41)*(Prod_Carburant_Alt!$B$3:$AI$3=$C$2)*(Prod_Carburant_Alt!$B$5:$AI$5=BM$7)*(Prod_Carburant_Alt!$B$6:$AI$6=BM$9),Prod_Carburant_Alt!$B$7:$AI$37,0))</f>
        <v>124.29418382457249</v>
      </c>
      <c r="BN41" s="534">
        <f t="shared" si="27"/>
        <v>3.3484008817228008</v>
      </c>
      <c r="BO41" s="536">
        <f t="array" ref="BO41">SUM(IF((Prod_Carburant_Alt!$A$7:$A$37=$B41)*(Prod_Carburant_Alt!$B$3:$AI$3=$C$2)*(Prod_Carburant_Alt!$B$5:$AI$5=BO$7)*(Prod_Carburant_Alt!$B$6:$AI$6=BO$9),Prod_Carburant_Alt!$B$7:$AI$37,0))</f>
        <v>0.204382517533922</v>
      </c>
      <c r="BP41" s="543">
        <f t="array" ref="BP41">SUM(IF((Prod_Carburant_Alt!$A$7:$A$37=$B41)*(Prod_Carburant_Alt!$B$3:$AI$3=$C$2)*(Prod_Carburant_Alt!$B$5:$AI$5=BP$7)*(Prod_Carburant_Alt!$B$6:$AI$6=BP$9),Prod_Carburant_Alt!$B$7:$AI$37,0))</f>
        <v>57.17532455930332</v>
      </c>
      <c r="BQ41" s="536">
        <f t="shared" si="38"/>
        <v>0.31652785193465721</v>
      </c>
      <c r="BR41" s="537">
        <f t="shared" si="39"/>
        <v>253.61561196613019</v>
      </c>
      <c r="BS41" s="538">
        <f t="shared" si="40"/>
        <v>180.63283913197748</v>
      </c>
      <c r="BT41" s="539">
        <f t="shared" si="41"/>
        <v>0.99538947749762763</v>
      </c>
      <c r="BU41" s="535">
        <f t="shared" si="28"/>
        <v>123.72112269313529</v>
      </c>
      <c r="BV41" s="539">
        <f t="shared" si="42"/>
        <v>0.99538947749762763</v>
      </c>
      <c r="BW41" s="535">
        <f t="shared" si="29"/>
        <v>56.911716438842205</v>
      </c>
      <c r="BX41" s="539">
        <f t="shared" si="43"/>
        <v>0.99538947749762763</v>
      </c>
      <c r="BY41" s="538">
        <f t="shared" si="44"/>
        <v>123.2741174325017</v>
      </c>
      <c r="BZ41" s="540">
        <f>BY41*Hypothèses!$B$3/Hypothèses!$B$9</f>
        <v>45.288565113616485</v>
      </c>
      <c r="CA41" s="538">
        <f t="shared" si="45"/>
        <v>131.17816378552681</v>
      </c>
      <c r="CB41" s="533">
        <f>BW41*Prod_Carburant_Alt!$R$61+BZ41*Hypothèses!$B$13</f>
        <v>5142.0388281172709</v>
      </c>
      <c r="CC41" s="538">
        <f t="shared" si="46"/>
        <v>2382.538987262878</v>
      </c>
      <c r="CD41" s="541">
        <f t="shared" si="47"/>
        <v>3.6598141125389829</v>
      </c>
      <c r="CE41" s="537">
        <f t="shared" si="48"/>
        <v>56.562427109289978</v>
      </c>
      <c r="CF41" s="503">
        <f>(CA41+BU41*BO41)*Hypothèses!$D$23+CE41</f>
        <v>643.30467078556387</v>
      </c>
      <c r="CG41" s="504">
        <f t="shared" si="16"/>
        <v>0.60571413687629383</v>
      </c>
      <c r="CH41" s="503">
        <f>(CA41+BU41*BO41)*Hypothèses!$B$23</f>
        <v>492.86348468807006</v>
      </c>
      <c r="CI41" s="503">
        <f t="shared" si="49"/>
        <v>0</v>
      </c>
      <c r="CJ41" s="503">
        <f>(BU41+BW41+CA41)*Hypothèses!$B$6+BZ41*Hypothèses!$B$11</f>
        <v>11.155454786314166</v>
      </c>
      <c r="CK41" s="503">
        <f>(BU41+BW41+CA41)*Hypothèses!$B$5+BZ41*Hypothèses!$B$10</f>
        <v>841.01438007787931</v>
      </c>
      <c r="CL41" s="542">
        <f t="shared" si="17"/>
        <v>0.72401303867550981</v>
      </c>
    </row>
    <row r="42" spans="1:90" ht="14.25" customHeight="1">
      <c r="A42" s="331"/>
      <c r="B42" s="516">
        <v>2046</v>
      </c>
      <c r="C42" s="655">
        <f>Trajectoires!AA38</f>
        <v>2409.2866751829547</v>
      </c>
      <c r="D42" s="659">
        <f>C42/Hypothèses!$D$23</f>
        <v>642.47644671545459</v>
      </c>
      <c r="E42" s="659">
        <f>D42*Hypothèses!$B$23</f>
        <v>2023.8008071536819</v>
      </c>
      <c r="F42" s="659">
        <f>D42*Hypothèses!$B$5</f>
        <v>893.04226093448176</v>
      </c>
      <c r="G42" s="659">
        <f>D42*Hypothèses!$B$6</f>
        <v>20.559246294894546</v>
      </c>
      <c r="H42" s="519">
        <f t="shared" si="30"/>
        <v>6.6666666666666666E-2</v>
      </c>
      <c r="I42" s="520">
        <f>IF(J42&gt;=1,ROUND(COUNTIFS($B$16:$B42,"&gt;"&amp;MAX($B42-$D$2,2019),H$16:H42,1/25)*(1/$D$2-1/25)*25,0),0)</f>
        <v>0</v>
      </c>
      <c r="J42" s="521">
        <f t="shared" si="50"/>
        <v>1.6666666666666665</v>
      </c>
      <c r="K42" s="522">
        <f>Hypothèses!$G$77</f>
        <v>0.01</v>
      </c>
      <c r="L42" s="523">
        <f t="shared" si="0"/>
        <v>20.238008071536822</v>
      </c>
      <c r="M42" s="524">
        <f t="array" ref="M42">1-SUM(IF((Roadmap_Avion!$B$8:$B$38=$B42)*(Roadmap_Avion!$C$4:$Z$4=$B$2)*(Roadmap_Avion!$C$6:$Z$6=M$7)*(Roadmap_Avion!$C$7:$Z$7=M$9),Roadmap_Avion!$C$8:$Z$38,0))</f>
        <v>0.15000000000000002</v>
      </c>
      <c r="N42" s="525">
        <f t="array" ref="N42">SUM(IF((Roadmap_Avion!$B$8:$B$38=$B42)*(Roadmap_Avion!$C$4:$Z$4=$B$2)*(Roadmap_Avion!$C$6:$Z$6=N$7)*(Roadmap_Avion!$C$7:$Z$7=N$9),Roadmap_Avion!$C$8:$Z$38,0))</f>
        <v>0</v>
      </c>
      <c r="O42" s="526">
        <f t="array" ref="O42">SUM(IF((Roadmap_Avion!$B$8:$B$38=$B42)*(Roadmap_Avion!$C$4:$Z$4=$B$2)*(Roadmap_Avion!$C$6:$Z$6=O$7)*(Roadmap_Avion!$C$7:$Z$7=O$9),Roadmap_Avion!$C$8:$Z$38,0))</f>
        <v>1</v>
      </c>
      <c r="P42" s="527">
        <f t="array" ref="P42">IF($J42&lt;1,P41+$H42*M42,SUMPRODUCT(($B$16:$B$46&lt;=$B42)*($B$16:$B$46&gt;MAX($B42-$D$2-$I42,2019))*$H$16:$H$46*M$16:M$46))</f>
        <v>0.22000000000000011</v>
      </c>
      <c r="Q42" s="528">
        <f t="shared" si="31"/>
        <v>15.785646295798719</v>
      </c>
      <c r="R42" s="529">
        <f t="shared" si="18"/>
        <v>5.0000000000000001E-4</v>
      </c>
      <c r="S42" s="530">
        <f t="shared" si="19"/>
        <v>8.0000000000000002E-3</v>
      </c>
      <c r="T42" s="522">
        <f>Hypothèses!$G$78</f>
        <v>0.03</v>
      </c>
      <c r="U42" s="523">
        <f t="shared" si="2"/>
        <v>60.714024214610454</v>
      </c>
      <c r="V42" s="524">
        <f t="array" ref="V42">1-SUM(IF((Roadmap_Avion!$B$8:$B$38=$B42)*(Roadmap_Avion!$C$4:$Z$4=$B$2)*(Roadmap_Avion!$C$6:$Z$6=V$7)*(Roadmap_Avion!$C$7:$Z$7=V$9),Roadmap_Avion!$C$8:$Z$38,0))</f>
        <v>0.15000000000000002</v>
      </c>
      <c r="W42" s="525">
        <f t="array" ref="W42">SUM(IF((Roadmap_Avion!$B$8:$B$38=$B42)*(Roadmap_Avion!$C$4:$Z$4=$B$2)*(Roadmap_Avion!$C$6:$Z$6=W$7)*(Roadmap_Avion!$C$7:$Z$7=W$9),Roadmap_Avion!$C$8:$Z$38,0))</f>
        <v>0</v>
      </c>
      <c r="X42" s="526">
        <f t="array" ref="X42">SUM(IF((Roadmap_Avion!$B$8:$B$38=$B42)*(Roadmap_Avion!$C$4:$Z$4=$B$2)*(Roadmap_Avion!$C$6:$Z$6=X$7)*(Roadmap_Avion!$C$7:$Z$7=X$9),Roadmap_Avion!$C$8:$Z$38,0))</f>
        <v>1</v>
      </c>
      <c r="Y42" s="527">
        <f t="array" ref="Y42">IF($J42&lt;1,Y41+$H42*V42,SUMPRODUCT(($B$16:$B$46&lt;=$B42)*($B$16:$B$46&gt;MAX($B42-$D$2-$I42,2019))*$H$16:$H$46*V$16:V$46))</f>
        <v>0.25666666666666671</v>
      </c>
      <c r="Z42" s="528">
        <f t="shared" si="32"/>
        <v>45.130757999527098</v>
      </c>
      <c r="AA42" s="529">
        <f t="shared" si="20"/>
        <v>5.4999999999999997E-3</v>
      </c>
      <c r="AB42" s="530">
        <f t="shared" si="21"/>
        <v>1.4E-2</v>
      </c>
      <c r="AC42" s="522">
        <f>Hypothèses!$G$79</f>
        <v>0.24</v>
      </c>
      <c r="AD42" s="523">
        <f t="shared" si="4"/>
        <v>485.71219371688363</v>
      </c>
      <c r="AE42" s="524">
        <f t="array" ref="AE42">1-SUM(IF((Roadmap_Avion!$B$8:$B$38=$B42)*(Roadmap_Avion!$C$4:$Z$4=$B$2)*(Roadmap_Avion!$C$6:$Z$6=AE$7)*(Roadmap_Avion!$C$7:$Z$7=AE$9),Roadmap_Avion!$C$8:$Z$38,0))</f>
        <v>0.36250000000000004</v>
      </c>
      <c r="AF42" s="525">
        <f t="array" ref="AF42">SUM(IF((Roadmap_Avion!$B$8:$B$38=$B42)*(Roadmap_Avion!$C$4:$Z$4=$B$2)*(Roadmap_Avion!$C$6:$Z$6=AF$7)*(Roadmap_Avion!$C$7:$Z$7=AF$9),Roadmap_Avion!$C$8:$Z$38,0))</f>
        <v>0</v>
      </c>
      <c r="AG42" s="526">
        <f t="array" ref="AG42">SUM(IF((Roadmap_Avion!$B$8:$B$38=$B42)*(Roadmap_Avion!$C$4:$Z$4=$B$2)*(Roadmap_Avion!$C$6:$Z$6=AG$7)*(Roadmap_Avion!$C$7:$Z$7=AG$9),Roadmap_Avion!$C$8:$Z$38,0))</f>
        <v>1</v>
      </c>
      <c r="AH42" s="527">
        <f t="array" ref="AH42">IF($J42&lt;1,AH41+$H42*AE42,SUMPRODUCT(($B$16:$B$46&lt;=$B42)*($B$16:$B$46&gt;MAX($B42-$D$2-$I42,2019))*$H$16:$H$46*AE$16:AE$46))</f>
        <v>0.30249999999999999</v>
      </c>
      <c r="AI42" s="528">
        <f t="shared" si="33"/>
        <v>338.78425511752636</v>
      </c>
      <c r="AJ42" s="529">
        <f t="shared" si="22"/>
        <v>6.4000000000000001E-2</v>
      </c>
      <c r="AK42" s="530">
        <f t="shared" si="23"/>
        <v>0.112</v>
      </c>
      <c r="AL42" s="522">
        <f>Hypothèses!$G$80</f>
        <v>0.42</v>
      </c>
      <c r="AM42" s="523">
        <f t="shared" si="6"/>
        <v>849.99633900454637</v>
      </c>
      <c r="AN42" s="524">
        <f t="array" ref="AN42">1-SUM(IF((Roadmap_Avion!$B$8:$B$38=$B42)*(Roadmap_Avion!$C$4:$Z$4=$B$2)*(Roadmap_Avion!$C$6:$Z$6=AN$7)*(Roadmap_Avion!$C$7:$Z$7=AN$9),Roadmap_Avion!$C$8:$Z$38,0))</f>
        <v>0.36250000000000004</v>
      </c>
      <c r="AO42" s="525">
        <f t="array" ref="AO42">SUM(IF((Roadmap_Avion!$B$8:$B$38=$B42)*(Roadmap_Avion!$C$4:$Z$4=$B$2)*(Roadmap_Avion!$C$6:$Z$6=AO$7)*(Roadmap_Avion!$C$7:$Z$7=AO$9),Roadmap_Avion!$C$8:$Z$38,0))</f>
        <v>0</v>
      </c>
      <c r="AP42" s="526">
        <f t="array" ref="AP42">SUM(IF((Roadmap_Avion!$B$8:$B$38=$B42)*(Roadmap_Avion!$C$4:$Z$4=$B$2)*(Roadmap_Avion!$C$6:$Z$6=AP$7)*(Roadmap_Avion!$C$7:$Z$7=AP$9),Roadmap_Avion!$C$8:$Z$38,0))</f>
        <v>1</v>
      </c>
      <c r="AQ42" s="527">
        <f t="array" ref="AQ42">IF($J42&lt;1,AQ41+$H42*AN42,SUMPRODUCT(($B$16:$B$46&lt;=$B42)*($B$16:$B$46&gt;MAX($B42-$D$2-$I42,2019))*$H$16:$H$46*AN$16:AN$46))</f>
        <v>0.30249999999999999</v>
      </c>
      <c r="AR42" s="528">
        <f t="shared" si="34"/>
        <v>592.87244645567114</v>
      </c>
      <c r="AS42" s="529">
        <f t="shared" si="8"/>
        <v>0.112</v>
      </c>
      <c r="AT42" s="530">
        <f t="shared" si="9"/>
        <v>0.19600000000000001</v>
      </c>
      <c r="AU42" s="531">
        <f>Hypothèses!$G$81</f>
        <v>0.3</v>
      </c>
      <c r="AV42" s="523">
        <f t="shared" si="10"/>
        <v>607.14024214610458</v>
      </c>
      <c r="AW42" s="524">
        <f t="array" ref="AW42">1-SUM(IF((Roadmap_Avion!$B$8:$B$38=$B42)*(Roadmap_Avion!$C$4:$Z$4=$B$2)*(Roadmap_Avion!$C$6:$Z$6=AW$7)*(Roadmap_Avion!$C$7:$Z$7=AW$9),Roadmap_Avion!$C$8:$Z$38,0))</f>
        <v>0.4375</v>
      </c>
      <c r="AX42" s="525">
        <f t="array" ref="AX42">SUM(IF((Roadmap_Avion!$B$8:$B$38=$B42)*(Roadmap_Avion!$C$4:$Z$4=$B$2)*(Roadmap_Avion!$C$6:$Z$6=AX$7)*(Roadmap_Avion!$C$7:$Z$7=AX$9),Roadmap_Avion!$C$8:$Z$38,0))</f>
        <v>1</v>
      </c>
      <c r="AY42" s="526">
        <f t="array" ref="AY42">SUM(IF((Roadmap_Avion!$B$8:$B$38=$B42)*(Roadmap_Avion!$C$4:$Z$4=$B$2)*(Roadmap_Avion!$C$6:$Z$6=AY$7)*(Roadmap_Avion!$C$7:$Z$7=AY$9),Roadmap_Avion!$C$8:$Z$38,0))</f>
        <v>0</v>
      </c>
      <c r="AZ42" s="527">
        <f t="array" ref="AZ42">IF($J42&lt;1,AZ41+$H42*AW42,SUMPRODUCT(($B$16:$B$46&lt;=$B42)*($B$16:$B$46&gt;MAX($B42-$D$2-$I42,2019))*$H$16:$H$46*AW$16:AW$46))</f>
        <v>0.33750000000000002</v>
      </c>
      <c r="BA42" s="528">
        <f t="shared" si="35"/>
        <v>402.23041042179426</v>
      </c>
      <c r="BB42" s="529">
        <f t="shared" si="24"/>
        <v>0.22</v>
      </c>
      <c r="BC42" s="529">
        <f t="shared" si="25"/>
        <v>0</v>
      </c>
      <c r="BD42" s="517">
        <f t="shared" si="12"/>
        <v>1394.8035162903175</v>
      </c>
      <c r="BE42" s="518">
        <f>BD42*(Hypothèses!$D$23/Hypothèses!$B$23)</f>
        <v>1660.4803765360923</v>
      </c>
      <c r="BF42" s="532">
        <f t="shared" si="13"/>
        <v>0.31080000000000008</v>
      </c>
      <c r="BG42" s="518">
        <f>BD42/Hypothèses!$B$23</f>
        <v>442.79476707629129</v>
      </c>
      <c r="BH42" s="532">
        <f t="shared" si="14"/>
        <v>0.40200000000000002</v>
      </c>
      <c r="BI42" s="532">
        <f t="shared" si="14"/>
        <v>0.33</v>
      </c>
      <c r="BJ42" s="518">
        <f t="shared" si="26"/>
        <v>178.0034963646691</v>
      </c>
      <c r="BK42" s="533">
        <f t="shared" si="36"/>
        <v>208.68993464145717</v>
      </c>
      <c r="BL42" s="534">
        <f t="shared" si="37"/>
        <v>1.172392334440004</v>
      </c>
      <c r="BM42" s="535">
        <f t="array" ref="BM42">SUM(IF((Prod_Carburant_Alt!$A$7:$A$37=$B42)*(Prod_Carburant_Alt!$B$3:$AI$3=$C$2)*(Prod_Carburant_Alt!$B$5:$AI$5=BM$7)*(Prod_Carburant_Alt!$B$6:$AI$6=BM$9),Prod_Carburant_Alt!$B$7:$AI$37,0))</f>
        <v>142.93831139825835</v>
      </c>
      <c r="BN42" s="534">
        <f t="shared" si="27"/>
        <v>3.7721761082368204</v>
      </c>
      <c r="BO42" s="536">
        <f t="array" ref="BO42">SUM(IF((Prod_Carburant_Alt!$A$7:$A$37=$B42)*(Prod_Carburant_Alt!$B$3:$AI$3=$C$2)*(Prod_Carburant_Alt!$B$5:$AI$5=BO$7)*(Prod_Carburant_Alt!$B$6:$AI$6=BO$9),Prod_Carburant_Alt!$B$7:$AI$37,0))</f>
        <v>0.204382517533922</v>
      </c>
      <c r="BP42" s="543">
        <f t="array" ref="BP42">SUM(IF((Prod_Carburant_Alt!$A$7:$A$37=$B42)*(Prod_Carburant_Alt!$B$3:$AI$3=$C$2)*(Prod_Carburant_Alt!$B$5:$AI$5=BP$7)*(Prod_Carburant_Alt!$B$6:$AI$6=BP$9),Prod_Carburant_Alt!$B$7:$AI$37,0))</f>
        <v>65.751623243198807</v>
      </c>
      <c r="BQ42" s="536">
        <f t="shared" si="38"/>
        <v>0.36938388619342577</v>
      </c>
      <c r="BR42" s="537">
        <f t="shared" si="39"/>
        <v>234.10483243483412</v>
      </c>
      <c r="BS42" s="538">
        <f t="shared" si="40"/>
        <v>178.0034963646691</v>
      </c>
      <c r="BT42" s="539">
        <f t="shared" si="41"/>
        <v>0.85295678811961217</v>
      </c>
      <c r="BU42" s="535">
        <f t="shared" si="28"/>
        <v>121.9202029894994</v>
      </c>
      <c r="BV42" s="539">
        <f t="shared" si="42"/>
        <v>0.85295678811961229</v>
      </c>
      <c r="BW42" s="535">
        <f t="shared" si="29"/>
        <v>56.083293375169696</v>
      </c>
      <c r="BX42" s="539">
        <f t="shared" si="43"/>
        <v>0.85295678811961217</v>
      </c>
      <c r="BY42" s="538">
        <f t="shared" si="44"/>
        <v>146.12227313517613</v>
      </c>
      <c r="BZ42" s="540">
        <f>BY42*Hypothèses!$B$3/Hypothèses!$B$9</f>
        <v>53.682542769414326</v>
      </c>
      <c r="CA42" s="538">
        <f t="shared" si="45"/>
        <v>118.66899757644606</v>
      </c>
      <c r="CB42" s="533">
        <f>BW42*Prod_Carburant_Alt!$R$61+BZ42*Hypothèses!$B$13</f>
        <v>5579.9058763827434</v>
      </c>
      <c r="CC42" s="538">
        <f t="shared" si="46"/>
        <v>2585.4225804449579</v>
      </c>
      <c r="CD42" s="541">
        <f t="shared" si="47"/>
        <v>3.9714632572119171</v>
      </c>
      <c r="CE42" s="537">
        <f t="shared" si="48"/>
        <v>61.378964640210178</v>
      </c>
      <c r="CF42" s="503">
        <f>(CA42+BU42*BO42)*Hypothèses!$D$23+CE42</f>
        <v>599.8315481465354</v>
      </c>
      <c r="CG42" s="504">
        <f t="shared" si="16"/>
        <v>0.63876023070032506</v>
      </c>
      <c r="CH42" s="503">
        <f>(CA42+BU42*BO42)*Hypothèses!$B$23</f>
        <v>452.30017014531319</v>
      </c>
      <c r="CI42" s="503">
        <f t="shared" si="49"/>
        <v>0</v>
      </c>
      <c r="CJ42" s="503">
        <f>(BU42+BW42+CA42)*Hypothèses!$B$6+BZ42*Hypothèses!$B$11</f>
        <v>10.889265918120458</v>
      </c>
      <c r="CK42" s="503">
        <f>(BU42+BW42+CA42)*Hypothèses!$B$5+BZ42*Hypothèses!$B$10</f>
        <v>895.51765150287895</v>
      </c>
      <c r="CL42" s="542">
        <f t="shared" si="17"/>
        <v>0.75103355099866398</v>
      </c>
    </row>
    <row r="43" spans="1:90" ht="14.25" customHeight="1">
      <c r="A43" s="331"/>
      <c r="B43" s="516">
        <v>2047</v>
      </c>
      <c r="C43" s="655">
        <f>Trajectoires!AA39</f>
        <v>2488.5642333255469</v>
      </c>
      <c r="D43" s="659">
        <f>C43/Hypothèses!$D$23</f>
        <v>663.61712888681245</v>
      </c>
      <c r="E43" s="659">
        <f>D43*Hypothèses!$B$23</f>
        <v>2090.3939559934593</v>
      </c>
      <c r="F43" s="659">
        <f>D43*Hypothèses!$B$5</f>
        <v>922.42780915266928</v>
      </c>
      <c r="G43" s="659">
        <f>D43*Hypothèses!$B$6</f>
        <v>21.235748124377999</v>
      </c>
      <c r="H43" s="519">
        <f t="shared" si="30"/>
        <v>6.6666666666666666E-2</v>
      </c>
      <c r="I43" s="520">
        <f>IF(J43&gt;=1,ROUND(COUNTIFS($B$16:$B43,"&gt;"&amp;MAX($B43-$D$2,2019),H$16:H43,1/25)*(1/$D$2-1/25)*25,0),0)</f>
        <v>0</v>
      </c>
      <c r="J43" s="521">
        <f t="shared" si="50"/>
        <v>1.7333333333333332</v>
      </c>
      <c r="K43" s="522">
        <f>Hypothèses!$G$77</f>
        <v>0.01</v>
      </c>
      <c r="L43" s="523">
        <f t="shared" si="0"/>
        <v>20.903939559934592</v>
      </c>
      <c r="M43" s="524">
        <f t="array" ref="M43">1-SUM(IF((Roadmap_Avion!$B$8:$B$38=$B43)*(Roadmap_Avion!$C$4:$Z$4=$B$2)*(Roadmap_Avion!$C$6:$Z$6=M$7)*(Roadmap_Avion!$C$7:$Z$7=M$9),Roadmap_Avion!$C$8:$Z$38,0))</f>
        <v>0.15000000000000002</v>
      </c>
      <c r="N43" s="525">
        <f t="array" ref="N43">SUM(IF((Roadmap_Avion!$B$8:$B$38=$B43)*(Roadmap_Avion!$C$4:$Z$4=$B$2)*(Roadmap_Avion!$C$6:$Z$6=N$7)*(Roadmap_Avion!$C$7:$Z$7=N$9),Roadmap_Avion!$C$8:$Z$38,0))</f>
        <v>0</v>
      </c>
      <c r="O43" s="526">
        <f t="array" ref="O43">SUM(IF((Roadmap_Avion!$B$8:$B$38=$B43)*(Roadmap_Avion!$C$4:$Z$4=$B$2)*(Roadmap_Avion!$C$6:$Z$6=O$7)*(Roadmap_Avion!$C$7:$Z$7=O$9),Roadmap_Avion!$C$8:$Z$38,0))</f>
        <v>1</v>
      </c>
      <c r="P43" s="527">
        <f t="array" ref="P43">IF($J43&lt;1,P42+$H43*M43,SUMPRODUCT(($B$16:$B$46&lt;=$B43)*($B$16:$B$46&gt;MAX($B43-$D$2-$I43,2019))*$H$16:$H$46*M$16:M$46))</f>
        <v>0.19666666666666677</v>
      </c>
      <c r="Q43" s="528">
        <f t="shared" si="31"/>
        <v>16.792831446480786</v>
      </c>
      <c r="R43" s="529">
        <f t="shared" si="18"/>
        <v>3.3333333333333332E-4</v>
      </c>
      <c r="S43" s="530">
        <f t="shared" si="19"/>
        <v>8.6666666666666663E-3</v>
      </c>
      <c r="T43" s="522">
        <f>Hypothèses!$G$78</f>
        <v>0.03</v>
      </c>
      <c r="U43" s="523">
        <f t="shared" si="2"/>
        <v>62.711818679803777</v>
      </c>
      <c r="V43" s="524">
        <f t="array" ref="V43">1-SUM(IF((Roadmap_Avion!$B$8:$B$38=$B43)*(Roadmap_Avion!$C$4:$Z$4=$B$2)*(Roadmap_Avion!$C$6:$Z$6=V$7)*(Roadmap_Avion!$C$7:$Z$7=V$9),Roadmap_Avion!$C$8:$Z$38,0))</f>
        <v>0.15000000000000002</v>
      </c>
      <c r="W43" s="525">
        <f t="array" ref="W43">SUM(IF((Roadmap_Avion!$B$8:$B$38=$B43)*(Roadmap_Avion!$C$4:$Z$4=$B$2)*(Roadmap_Avion!$C$6:$Z$6=W$7)*(Roadmap_Avion!$C$7:$Z$7=W$9),Roadmap_Avion!$C$8:$Z$38,0))</f>
        <v>0</v>
      </c>
      <c r="X43" s="526">
        <f t="array" ref="X43">SUM(IF((Roadmap_Avion!$B$8:$B$38=$B43)*(Roadmap_Avion!$C$4:$Z$4=$B$2)*(Roadmap_Avion!$C$6:$Z$6=X$7)*(Roadmap_Avion!$C$7:$Z$7=X$9),Roadmap_Avion!$C$8:$Z$38,0))</f>
        <v>1</v>
      </c>
      <c r="Y43" s="527">
        <f t="array" ref="Y43">IF($J43&lt;1,Y42+$H43*V43,SUMPRODUCT(($B$16:$B$46&lt;=$B43)*($B$16:$B$46&gt;MAX($B43-$D$2-$I43,2019))*$H$16:$H$46*V$16:V$46))</f>
        <v>0.26</v>
      </c>
      <c r="Z43" s="528">
        <f t="shared" si="32"/>
        <v>46.406745823054791</v>
      </c>
      <c r="AA43" s="529">
        <f t="shared" si="20"/>
        <v>4.5000000000000005E-3</v>
      </c>
      <c r="AB43" s="530">
        <f t="shared" si="21"/>
        <v>1.6E-2</v>
      </c>
      <c r="AC43" s="522">
        <f>Hypothèses!$G$79</f>
        <v>0.24</v>
      </c>
      <c r="AD43" s="523">
        <f t="shared" si="4"/>
        <v>501.69454943843022</v>
      </c>
      <c r="AE43" s="524">
        <f t="array" ref="AE43">1-SUM(IF((Roadmap_Avion!$B$8:$B$38=$B43)*(Roadmap_Avion!$C$4:$Z$4=$B$2)*(Roadmap_Avion!$C$6:$Z$6=AE$7)*(Roadmap_Avion!$C$7:$Z$7=AE$9),Roadmap_Avion!$C$8:$Z$38,0))</f>
        <v>0.36250000000000004</v>
      </c>
      <c r="AF43" s="525">
        <f t="array" ref="AF43">SUM(IF((Roadmap_Avion!$B$8:$B$38=$B43)*(Roadmap_Avion!$C$4:$Z$4=$B$2)*(Roadmap_Avion!$C$6:$Z$6=AF$7)*(Roadmap_Avion!$C$7:$Z$7=AF$9),Roadmap_Avion!$C$8:$Z$38,0))</f>
        <v>0</v>
      </c>
      <c r="AG43" s="526">
        <f t="array" ref="AG43">SUM(IF((Roadmap_Avion!$B$8:$B$38=$B43)*(Roadmap_Avion!$C$4:$Z$4=$B$2)*(Roadmap_Avion!$C$6:$Z$6=AG$7)*(Roadmap_Avion!$C$7:$Z$7=AG$9),Roadmap_Avion!$C$8:$Z$38,0))</f>
        <v>1</v>
      </c>
      <c r="AH43" s="527">
        <f t="array" ref="AH43">IF($J43&lt;1,AH42+$H43*AE43,SUMPRODUCT(($B$16:$B$46&lt;=$B43)*($B$16:$B$46&gt;MAX($B43-$D$2-$I43,2019))*$H$16:$H$46*AE$16:AE$46))</f>
        <v>0.31</v>
      </c>
      <c r="AI43" s="528">
        <f t="shared" si="33"/>
        <v>346.16923911251683</v>
      </c>
      <c r="AJ43" s="529">
        <f t="shared" si="22"/>
        <v>5.6000000000000001E-2</v>
      </c>
      <c r="AK43" s="530">
        <f t="shared" si="23"/>
        <v>0.128</v>
      </c>
      <c r="AL43" s="522">
        <f>Hypothèses!$G$80</f>
        <v>0.42</v>
      </c>
      <c r="AM43" s="523">
        <f t="shared" si="6"/>
        <v>877.96546151725283</v>
      </c>
      <c r="AN43" s="524">
        <f t="array" ref="AN43">1-SUM(IF((Roadmap_Avion!$B$8:$B$38=$B43)*(Roadmap_Avion!$C$4:$Z$4=$B$2)*(Roadmap_Avion!$C$6:$Z$6=AN$7)*(Roadmap_Avion!$C$7:$Z$7=AN$9),Roadmap_Avion!$C$8:$Z$38,0))</f>
        <v>0.36250000000000004</v>
      </c>
      <c r="AO43" s="525">
        <f t="array" ref="AO43">SUM(IF((Roadmap_Avion!$B$8:$B$38=$B43)*(Roadmap_Avion!$C$4:$Z$4=$B$2)*(Roadmap_Avion!$C$6:$Z$6=AO$7)*(Roadmap_Avion!$C$7:$Z$7=AO$9),Roadmap_Avion!$C$8:$Z$38,0))</f>
        <v>0</v>
      </c>
      <c r="AP43" s="526">
        <f t="array" ref="AP43">SUM(IF((Roadmap_Avion!$B$8:$B$38=$B43)*(Roadmap_Avion!$C$4:$Z$4=$B$2)*(Roadmap_Avion!$C$6:$Z$6=AP$7)*(Roadmap_Avion!$C$7:$Z$7=AP$9),Roadmap_Avion!$C$8:$Z$38,0))</f>
        <v>1</v>
      </c>
      <c r="AQ43" s="527">
        <f t="array" ref="AQ43">IF($J43&lt;1,AQ42+$H43*AN43,SUMPRODUCT(($B$16:$B$46&lt;=$B43)*($B$16:$B$46&gt;MAX($B43-$D$2-$I43,2019))*$H$16:$H$46*AN$16:AN$46))</f>
        <v>0.31</v>
      </c>
      <c r="AR43" s="528">
        <f t="shared" si="34"/>
        <v>605.7961684469044</v>
      </c>
      <c r="AS43" s="529">
        <f t="shared" si="8"/>
        <v>9.8000000000000004E-2</v>
      </c>
      <c r="AT43" s="530">
        <f t="shared" si="9"/>
        <v>0.224</v>
      </c>
      <c r="AU43" s="531">
        <f>Hypothèses!$G$81</f>
        <v>0.3</v>
      </c>
      <c r="AV43" s="523">
        <f t="shared" si="10"/>
        <v>627.11818679803775</v>
      </c>
      <c r="AW43" s="524">
        <f t="array" ref="AW43">1-SUM(IF((Roadmap_Avion!$B$8:$B$38=$B43)*(Roadmap_Avion!$C$4:$Z$4=$B$2)*(Roadmap_Avion!$C$6:$Z$6=AW$7)*(Roadmap_Avion!$C$7:$Z$7=AW$9),Roadmap_Avion!$C$8:$Z$38,0))</f>
        <v>0.4375</v>
      </c>
      <c r="AX43" s="525">
        <f t="array" ref="AX43">SUM(IF((Roadmap_Avion!$B$8:$B$38=$B43)*(Roadmap_Avion!$C$4:$Z$4=$B$2)*(Roadmap_Avion!$C$6:$Z$6=AX$7)*(Roadmap_Avion!$C$7:$Z$7=AX$9),Roadmap_Avion!$C$8:$Z$38,0))</f>
        <v>1</v>
      </c>
      <c r="AY43" s="526">
        <f t="array" ref="AY43">SUM(IF((Roadmap_Avion!$B$8:$B$38=$B43)*(Roadmap_Avion!$C$4:$Z$4=$B$2)*(Roadmap_Avion!$C$6:$Z$6=AY$7)*(Roadmap_Avion!$C$7:$Z$7=AY$9),Roadmap_Avion!$C$8:$Z$38,0))</f>
        <v>0</v>
      </c>
      <c r="AZ43" s="527">
        <f t="array" ref="AZ43">IF($J43&lt;1,AZ42+$H43*AW43,SUMPRODUCT(($B$16:$B$46&lt;=$B43)*($B$16:$B$46&gt;MAX($B43-$D$2-$I43,2019))*$H$16:$H$46*AW$16:AW$46))</f>
        <v>0.35000000000000003</v>
      </c>
      <c r="BA43" s="528">
        <f t="shared" si="35"/>
        <v>407.62682141872449</v>
      </c>
      <c r="BB43" s="529">
        <f t="shared" si="24"/>
        <v>0.22999999999999998</v>
      </c>
      <c r="BC43" s="529">
        <f t="shared" si="25"/>
        <v>0</v>
      </c>
      <c r="BD43" s="517">
        <f t="shared" si="12"/>
        <v>1422.7918062476813</v>
      </c>
      <c r="BE43" s="518">
        <f>BD43*(Hypothèses!$D$23/Hypothèses!$B$23)</f>
        <v>1693.7997693424777</v>
      </c>
      <c r="BF43" s="532">
        <f t="shared" si="13"/>
        <v>0.3193666666666668</v>
      </c>
      <c r="BG43" s="518">
        <f>BD43/Hypothèses!$B$23</f>
        <v>451.67993849132739</v>
      </c>
      <c r="BH43" s="532">
        <f t="shared" si="14"/>
        <v>0.38883333333333331</v>
      </c>
      <c r="BI43" s="532">
        <f t="shared" si="14"/>
        <v>0.37666666666666671</v>
      </c>
      <c r="BJ43" s="518">
        <f t="shared" si="26"/>
        <v>175.62821608337779</v>
      </c>
      <c r="BK43" s="533">
        <f t="shared" si="36"/>
        <v>239.99342483767572</v>
      </c>
      <c r="BL43" s="534">
        <f t="shared" si="37"/>
        <v>1.3664855806753806</v>
      </c>
      <c r="BM43" s="535">
        <f t="array" ref="BM43">SUM(IF((Prod_Carburant_Alt!$A$7:$A$37=$B43)*(Prod_Carburant_Alt!$B$3:$AI$3=$C$2)*(Prod_Carburant_Alt!$B$5:$AI$5=BM$7)*(Prod_Carburant_Alt!$B$6:$AI$6=BM$9),Prod_Carburant_Alt!$B$7:$AI$37,0))</f>
        <v>164.37905810799708</v>
      </c>
      <c r="BN43" s="534">
        <f t="shared" si="27"/>
        <v>4.2787357708236513</v>
      </c>
      <c r="BO43" s="536">
        <f t="array" ref="BO43">SUM(IF((Prod_Carburant_Alt!$A$7:$A$37=$B43)*(Prod_Carburant_Alt!$B$3:$AI$3=$C$2)*(Prod_Carburant_Alt!$B$5:$AI$5=BO$7)*(Prod_Carburant_Alt!$B$6:$AI$6=BO$9),Prod_Carburant_Alt!$B$7:$AI$37,0))</f>
        <v>0.20438251753392198</v>
      </c>
      <c r="BP43" s="543">
        <f t="array" ref="BP43">SUM(IF((Prod_Carburant_Alt!$A$7:$A$37=$B43)*(Prod_Carburant_Alt!$B$3:$AI$3=$C$2)*(Prod_Carburant_Alt!$B$5:$AI$5=BP$7)*(Prod_Carburant_Alt!$B$6:$AI$6=BP$9),Prod_Carburant_Alt!$B$7:$AI$37,0))</f>
        <v>75.614366729678622</v>
      </c>
      <c r="BQ43" s="536">
        <f t="shared" si="38"/>
        <v>0.43053655281553072</v>
      </c>
      <c r="BR43" s="537">
        <f t="shared" si="39"/>
        <v>211.68651365365167</v>
      </c>
      <c r="BS43" s="538">
        <f t="shared" si="40"/>
        <v>175.62821608337779</v>
      </c>
      <c r="BT43" s="539">
        <f t="shared" si="41"/>
        <v>0.73180428256385521</v>
      </c>
      <c r="BU43" s="535">
        <f t="shared" si="28"/>
        <v>120.29329868724508</v>
      </c>
      <c r="BV43" s="539">
        <f t="shared" si="42"/>
        <v>0.73180428256385532</v>
      </c>
      <c r="BW43" s="535">
        <f t="shared" si="29"/>
        <v>55.33491739613271</v>
      </c>
      <c r="BX43" s="539">
        <f t="shared" si="43"/>
        <v>0.73180428256385521</v>
      </c>
      <c r="BY43" s="538">
        <f t="shared" si="44"/>
        <v>170.13277683173334</v>
      </c>
      <c r="BZ43" s="540">
        <f>BY43*Hypothèses!$B$3/Hypothèses!$B$9</f>
        <v>62.503544961278841</v>
      </c>
      <c r="CA43" s="538">
        <f t="shared" si="45"/>
        <v>105.91894557621623</v>
      </c>
      <c r="CB43" s="533">
        <f>BW43*Prod_Carburant_Alt!$R$61+BZ43*Hypothèses!$B$13</f>
        <v>6045.5817094452323</v>
      </c>
      <c r="CC43" s="538">
        <f t="shared" si="46"/>
        <v>2801.1912404618124</v>
      </c>
      <c r="CD43" s="541">
        <f t="shared" si="47"/>
        <v>4.302905131277746</v>
      </c>
      <c r="CE43" s="537">
        <f t="shared" si="48"/>
        <v>66.501398803897558</v>
      </c>
      <c r="CF43" s="503">
        <f>(CA43+BU43*BO43)*Hypothèses!$D$23+CE43</f>
        <v>555.89437182030542</v>
      </c>
      <c r="CG43" s="504">
        <f t="shared" si="16"/>
        <v>0.67180632452435618</v>
      </c>
      <c r="CH43" s="503">
        <f>(CA43+BU43*BO43)*Hypothèses!$B$23</f>
        <v>411.09009733378258</v>
      </c>
      <c r="CI43" s="503">
        <f t="shared" si="49"/>
        <v>0</v>
      </c>
      <c r="CJ43" s="503">
        <f>(BU43+BW43+CA43)*Hypothèses!$B$6+BZ43*Hypothèses!$B$11</f>
        <v>10.634601342100259</v>
      </c>
      <c r="CK43" s="503">
        <f>(BU43+BW43+CA43)*Hypothèses!$B$5+BZ43*Hypothèses!$B$10</f>
        <v>953.88245935834516</v>
      </c>
      <c r="CL43" s="542">
        <f t="shared" si="17"/>
        <v>0.77662044468209435</v>
      </c>
    </row>
    <row r="44" spans="1:90" ht="14.25" customHeight="1">
      <c r="A44" s="331"/>
      <c r="B44" s="516">
        <v>2048</v>
      </c>
      <c r="C44" s="655">
        <f>Trajectoires!AA40</f>
        <v>2568.4622388531639</v>
      </c>
      <c r="D44" s="659">
        <f>C44/Hypothèses!$D$23</f>
        <v>684.92326369417708</v>
      </c>
      <c r="E44" s="659">
        <f>D44*Hypothèses!$B$23</f>
        <v>2157.5082806366577</v>
      </c>
      <c r="F44" s="659">
        <f>D44*Hypothèses!$B$5</f>
        <v>952.04333653490608</v>
      </c>
      <c r="G44" s="659">
        <f>D44*Hypothèses!$B$6</f>
        <v>21.917544438213667</v>
      </c>
      <c r="H44" s="519">
        <f t="shared" si="30"/>
        <v>6.6666666666666666E-2</v>
      </c>
      <c r="I44" s="520">
        <f>IF(J44&gt;=1,ROUND(COUNTIFS($B$16:$B44,"&gt;"&amp;MAX($B44-$D$2,2019),H$16:H44,1/25)*(1/$D$2-1/25)*25,0),0)</f>
        <v>0</v>
      </c>
      <c r="J44" s="521">
        <f t="shared" si="50"/>
        <v>1.7999999999999998</v>
      </c>
      <c r="K44" s="522">
        <f>Hypothèses!$G$77</f>
        <v>0.01</v>
      </c>
      <c r="L44" s="523">
        <f t="shared" si="0"/>
        <v>21.575082806366577</v>
      </c>
      <c r="M44" s="524">
        <f t="array" ref="M44">1-SUM(IF((Roadmap_Avion!$B$8:$B$38=$B44)*(Roadmap_Avion!$C$4:$Z$4=$B$2)*(Roadmap_Avion!$C$6:$Z$6=M$7)*(Roadmap_Avion!$C$7:$Z$7=M$9),Roadmap_Avion!$C$8:$Z$38,0))</f>
        <v>0.15000000000000002</v>
      </c>
      <c r="N44" s="525">
        <f t="array" ref="N44">SUM(IF((Roadmap_Avion!$B$8:$B$38=$B44)*(Roadmap_Avion!$C$4:$Z$4=$B$2)*(Roadmap_Avion!$C$6:$Z$6=N$7)*(Roadmap_Avion!$C$7:$Z$7=N$9),Roadmap_Avion!$C$8:$Z$38,0))</f>
        <v>0</v>
      </c>
      <c r="O44" s="526">
        <f t="array" ref="O44">SUM(IF((Roadmap_Avion!$B$8:$B$38=$B44)*(Roadmap_Avion!$C$4:$Z$4=$B$2)*(Roadmap_Avion!$C$6:$Z$6=O$7)*(Roadmap_Avion!$C$7:$Z$7=O$9),Roadmap_Avion!$C$8:$Z$38,0))</f>
        <v>1</v>
      </c>
      <c r="P44" s="527">
        <f t="array" ref="P44">IF($J44&lt;1,P43+$H44*M44,SUMPRODUCT(($B$16:$B$46&lt;=$B44)*($B$16:$B$46&gt;MAX($B44-$D$2-$I44,2019))*$H$16:$H$46*M$16:M$46))</f>
        <v>0.17333333333333342</v>
      </c>
      <c r="Q44" s="528">
        <f t="shared" si="31"/>
        <v>17.835401786596368</v>
      </c>
      <c r="R44" s="529">
        <f t="shared" si="18"/>
        <v>1.6666666666666666E-4</v>
      </c>
      <c r="S44" s="530">
        <f t="shared" si="19"/>
        <v>9.3333333333333341E-3</v>
      </c>
      <c r="T44" s="522">
        <f>Hypothèses!$G$78</f>
        <v>0.03</v>
      </c>
      <c r="U44" s="523">
        <f t="shared" si="2"/>
        <v>64.725248419099728</v>
      </c>
      <c r="V44" s="524">
        <f t="array" ref="V44">1-SUM(IF((Roadmap_Avion!$B$8:$B$38=$B44)*(Roadmap_Avion!$C$4:$Z$4=$B$2)*(Roadmap_Avion!$C$6:$Z$6=V$7)*(Roadmap_Avion!$C$7:$Z$7=V$9),Roadmap_Avion!$C$8:$Z$38,0))</f>
        <v>0.15000000000000002</v>
      </c>
      <c r="W44" s="525">
        <f t="array" ref="W44">SUM(IF((Roadmap_Avion!$B$8:$B$38=$B44)*(Roadmap_Avion!$C$4:$Z$4=$B$2)*(Roadmap_Avion!$C$6:$Z$6=W$7)*(Roadmap_Avion!$C$7:$Z$7=W$9),Roadmap_Avion!$C$8:$Z$38,0))</f>
        <v>0</v>
      </c>
      <c r="X44" s="526">
        <f t="array" ref="X44">SUM(IF((Roadmap_Avion!$B$8:$B$38=$B44)*(Roadmap_Avion!$C$4:$Z$4=$B$2)*(Roadmap_Avion!$C$6:$Z$6=X$7)*(Roadmap_Avion!$C$7:$Z$7=X$9),Roadmap_Avion!$C$8:$Z$38,0))</f>
        <v>1</v>
      </c>
      <c r="Y44" s="527">
        <f t="array" ref="Y44">IF($J44&lt;1,Y43+$H44*V44,SUMPRODUCT(($B$16:$B$46&lt;=$B44)*($B$16:$B$46&gt;MAX($B44-$D$2-$I44,2019))*$H$16:$H$46*V$16:V$46))</f>
        <v>0.26333333333333336</v>
      </c>
      <c r="Z44" s="528">
        <f t="shared" si="32"/>
        <v>47.680933002070127</v>
      </c>
      <c r="AA44" s="529">
        <f t="shared" si="20"/>
        <v>3.5000000000000001E-3</v>
      </c>
      <c r="AB44" s="530">
        <f t="shared" si="21"/>
        <v>1.8000000000000002E-2</v>
      </c>
      <c r="AC44" s="522">
        <f>Hypothèses!$G$79</f>
        <v>0.24</v>
      </c>
      <c r="AD44" s="523">
        <f t="shared" si="4"/>
        <v>517.80198735279782</v>
      </c>
      <c r="AE44" s="524">
        <f t="array" ref="AE44">1-SUM(IF((Roadmap_Avion!$B$8:$B$38=$B44)*(Roadmap_Avion!$C$4:$Z$4=$B$2)*(Roadmap_Avion!$C$6:$Z$6=AE$7)*(Roadmap_Avion!$C$7:$Z$7=AE$9),Roadmap_Avion!$C$8:$Z$38,0))</f>
        <v>0.36250000000000004</v>
      </c>
      <c r="AF44" s="525">
        <f t="array" ref="AF44">SUM(IF((Roadmap_Avion!$B$8:$B$38=$B44)*(Roadmap_Avion!$C$4:$Z$4=$B$2)*(Roadmap_Avion!$C$6:$Z$6=AF$7)*(Roadmap_Avion!$C$7:$Z$7=AF$9),Roadmap_Avion!$C$8:$Z$38,0))</f>
        <v>0</v>
      </c>
      <c r="AG44" s="526">
        <f t="array" ref="AG44">SUM(IF((Roadmap_Avion!$B$8:$B$38=$B44)*(Roadmap_Avion!$C$4:$Z$4=$B$2)*(Roadmap_Avion!$C$6:$Z$6=AG$7)*(Roadmap_Avion!$C$7:$Z$7=AG$9),Roadmap_Avion!$C$8:$Z$38,0))</f>
        <v>1</v>
      </c>
      <c r="AH44" s="527">
        <f t="array" ref="AH44">IF($J44&lt;1,AH43+$H44*AE44,SUMPRODUCT(($B$16:$B$46&lt;=$B44)*($B$16:$B$46&gt;MAX($B44-$D$2-$I44,2019))*$H$16:$H$46*AE$16:AE$46))</f>
        <v>0.3175</v>
      </c>
      <c r="AI44" s="528">
        <f t="shared" si="33"/>
        <v>353.39985636828453</v>
      </c>
      <c r="AJ44" s="529">
        <f t="shared" si="22"/>
        <v>4.8000000000000001E-2</v>
      </c>
      <c r="AK44" s="530">
        <f t="shared" si="23"/>
        <v>0.14400000000000002</v>
      </c>
      <c r="AL44" s="522">
        <f>Hypothèses!$G$80</f>
        <v>0.42</v>
      </c>
      <c r="AM44" s="523">
        <f t="shared" si="6"/>
        <v>906.15347786739619</v>
      </c>
      <c r="AN44" s="524">
        <f t="array" ref="AN44">1-SUM(IF((Roadmap_Avion!$B$8:$B$38=$B44)*(Roadmap_Avion!$C$4:$Z$4=$B$2)*(Roadmap_Avion!$C$6:$Z$6=AN$7)*(Roadmap_Avion!$C$7:$Z$7=AN$9),Roadmap_Avion!$C$8:$Z$38,0))</f>
        <v>0.36250000000000004</v>
      </c>
      <c r="AO44" s="525">
        <f t="array" ref="AO44">SUM(IF((Roadmap_Avion!$B$8:$B$38=$B44)*(Roadmap_Avion!$C$4:$Z$4=$B$2)*(Roadmap_Avion!$C$6:$Z$6=AO$7)*(Roadmap_Avion!$C$7:$Z$7=AO$9),Roadmap_Avion!$C$8:$Z$38,0))</f>
        <v>0</v>
      </c>
      <c r="AP44" s="526">
        <f t="array" ref="AP44">SUM(IF((Roadmap_Avion!$B$8:$B$38=$B44)*(Roadmap_Avion!$C$4:$Z$4=$B$2)*(Roadmap_Avion!$C$6:$Z$6=AP$7)*(Roadmap_Avion!$C$7:$Z$7=AP$9),Roadmap_Avion!$C$8:$Z$38,0))</f>
        <v>1</v>
      </c>
      <c r="AQ44" s="527">
        <f t="array" ref="AQ44">IF($J44&lt;1,AQ43+$H44*AN44,SUMPRODUCT(($B$16:$B$46&lt;=$B44)*($B$16:$B$46&gt;MAX($B44-$D$2-$I44,2019))*$H$16:$H$46*AN$16:AN$46))</f>
        <v>0.3175</v>
      </c>
      <c r="AR44" s="528">
        <f t="shared" si="34"/>
        <v>618.44974864449784</v>
      </c>
      <c r="AS44" s="529">
        <f t="shared" si="8"/>
        <v>8.4000000000000005E-2</v>
      </c>
      <c r="AT44" s="530">
        <f t="shared" si="9"/>
        <v>0.252</v>
      </c>
      <c r="AU44" s="531">
        <f>Hypothèses!$G$81</f>
        <v>0.3</v>
      </c>
      <c r="AV44" s="523">
        <f t="shared" si="10"/>
        <v>647.25248419099728</v>
      </c>
      <c r="AW44" s="524">
        <f t="array" ref="AW44">1-SUM(IF((Roadmap_Avion!$B$8:$B$38=$B44)*(Roadmap_Avion!$C$4:$Z$4=$B$2)*(Roadmap_Avion!$C$6:$Z$6=AW$7)*(Roadmap_Avion!$C$7:$Z$7=AW$9),Roadmap_Avion!$C$8:$Z$38,0))</f>
        <v>0.4375</v>
      </c>
      <c r="AX44" s="525">
        <f t="array" ref="AX44">SUM(IF((Roadmap_Avion!$B$8:$B$38=$B44)*(Roadmap_Avion!$C$4:$Z$4=$B$2)*(Roadmap_Avion!$C$6:$Z$6=AX$7)*(Roadmap_Avion!$C$7:$Z$7=AX$9),Roadmap_Avion!$C$8:$Z$38,0))</f>
        <v>1</v>
      </c>
      <c r="AY44" s="526">
        <f t="array" ref="AY44">SUM(IF((Roadmap_Avion!$B$8:$B$38=$B44)*(Roadmap_Avion!$C$4:$Z$4=$B$2)*(Roadmap_Avion!$C$6:$Z$6=AY$7)*(Roadmap_Avion!$C$7:$Z$7=AY$9),Roadmap_Avion!$C$8:$Z$38,0))</f>
        <v>0</v>
      </c>
      <c r="AZ44" s="527">
        <f t="array" ref="AZ44">IF($J44&lt;1,AZ43+$H44*AW44,SUMPRODUCT(($B$16:$B$46&lt;=$B44)*($B$16:$B$46&gt;MAX($B44-$D$2-$I44,2019))*$H$16:$H$46*AW$16:AW$46))</f>
        <v>0.36250000000000004</v>
      </c>
      <c r="BA44" s="528">
        <f t="shared" si="35"/>
        <v>412.62345867176072</v>
      </c>
      <c r="BB44" s="529">
        <f t="shared" si="24"/>
        <v>0.23999999999999996</v>
      </c>
      <c r="BC44" s="529">
        <f t="shared" si="25"/>
        <v>0</v>
      </c>
      <c r="BD44" s="517">
        <f t="shared" si="12"/>
        <v>1449.9893984732096</v>
      </c>
      <c r="BE44" s="518">
        <f>BD44*(Hypothèses!$D$23/Hypothèses!$B$23)</f>
        <v>1726.1778553252495</v>
      </c>
      <c r="BF44" s="532">
        <f t="shared" si="13"/>
        <v>0.32793333333333341</v>
      </c>
      <c r="BG44" s="518">
        <f>BD44/Hypothèses!$B$23</f>
        <v>460.3140947533999</v>
      </c>
      <c r="BH44" s="532">
        <f t="shared" si="14"/>
        <v>0.37566666666666659</v>
      </c>
      <c r="BI44" s="532">
        <f t="shared" si="14"/>
        <v>0.42333333333333334</v>
      </c>
      <c r="BJ44" s="518">
        <f t="shared" si="26"/>
        <v>172.92466159569386</v>
      </c>
      <c r="BK44" s="533">
        <f t="shared" si="36"/>
        <v>275.99243856332703</v>
      </c>
      <c r="BL44" s="534">
        <f t="shared" si="37"/>
        <v>1.5960270560402228</v>
      </c>
      <c r="BM44" s="535">
        <f t="array" ref="BM44">SUM(IF((Prod_Carburant_Alt!$A$7:$A$37=$B44)*(Prod_Carburant_Alt!$B$3:$AI$3=$C$2)*(Prod_Carburant_Alt!$B$5:$AI$5=BM$7)*(Prod_Carburant_Alt!$B$6:$AI$6=BM$9),Prod_Carburant_Alt!$B$7:$AI$37,0))</f>
        <v>189.03591682419662</v>
      </c>
      <c r="BN44" s="534">
        <f t="shared" si="27"/>
        <v>4.8669253589354211</v>
      </c>
      <c r="BO44" s="536">
        <f t="array" ref="BO44">SUM(IF((Prod_Carburant_Alt!$A$7:$A$37=$B44)*(Prod_Carburant_Alt!$B$3:$AI$3=$C$2)*(Prod_Carburant_Alt!$B$5:$AI$5=BO$7)*(Prod_Carburant_Alt!$B$6:$AI$6=BO$9),Prod_Carburant_Alt!$B$7:$AI$37,0))</f>
        <v>0.20438251753392198</v>
      </c>
      <c r="BP44" s="543">
        <f t="array" ref="BP44">SUM(IF((Prod_Carburant_Alt!$A$7:$A$37=$B44)*(Prod_Carburant_Alt!$B$3:$AI$3=$C$2)*(Prod_Carburant_Alt!$B$5:$AI$5=BP$7)*(Prod_Carburant_Alt!$B$6:$AI$6=BP$9),Prod_Carburant_Alt!$B$7:$AI$37,0))</f>
        <v>86.956521739130409</v>
      </c>
      <c r="BQ44" s="536">
        <f t="shared" si="38"/>
        <v>0.50285783957431662</v>
      </c>
      <c r="BR44" s="537">
        <f t="shared" si="39"/>
        <v>184.32165619007287</v>
      </c>
      <c r="BS44" s="538">
        <f t="shared" si="40"/>
        <v>172.92466159569386</v>
      </c>
      <c r="BT44" s="539">
        <f t="shared" si="41"/>
        <v>0.62655579441179488</v>
      </c>
      <c r="BU44" s="535">
        <f t="shared" si="28"/>
        <v>118.44154903814649</v>
      </c>
      <c r="BV44" s="539">
        <f t="shared" si="42"/>
        <v>0.62655579441179488</v>
      </c>
      <c r="BW44" s="535">
        <f t="shared" si="29"/>
        <v>54.483112557547372</v>
      </c>
      <c r="BX44" s="539">
        <f t="shared" si="43"/>
        <v>0.62655579441179499</v>
      </c>
      <c r="BY44" s="538">
        <f t="shared" si="44"/>
        <v>194.86630011227263</v>
      </c>
      <c r="BZ44" s="540">
        <f>BY44*Hypothèses!$B$3/Hypothèses!$B$9</f>
        <v>71.590170790850763</v>
      </c>
      <c r="CA44" s="538">
        <f t="shared" si="45"/>
        <v>92.523133045433411</v>
      </c>
      <c r="CB44" s="533">
        <f>BW44*Prod_Carburant_Alt!$R$61+BZ44*Hypothèses!$B$13</f>
        <v>6521.6171073238693</v>
      </c>
      <c r="CC44" s="538">
        <f t="shared" si="46"/>
        <v>3021.7599550660771</v>
      </c>
      <c r="CD44" s="541">
        <f t="shared" si="47"/>
        <v>4.6417203610846034</v>
      </c>
      <c r="CE44" s="537">
        <f t="shared" si="48"/>
        <v>71.737788180562561</v>
      </c>
      <c r="CF44" s="503">
        <f>(CA44+BU44*BO44)*Hypothèses!$D$23+CE44</f>
        <v>509.47721949981479</v>
      </c>
      <c r="CG44" s="504">
        <f t="shared" si="16"/>
        <v>0.7048524183483873</v>
      </c>
      <c r="CH44" s="503">
        <f>(CA44+BU44*BO44)*Hypothèses!$B$23</f>
        <v>367.70112230817188</v>
      </c>
      <c r="CI44" s="503">
        <f t="shared" si="49"/>
        <v>0</v>
      </c>
      <c r="CJ44" s="503">
        <f>(BU44+BW44+CA44)*Hypothèses!$B$6+BZ44*Hypothèses!$B$11</f>
        <v>10.355673869078194</v>
      </c>
      <c r="CK44" s="503">
        <f>(BU44+BW44+CA44)*Hypothèses!$B$5+BZ44*Hypothèses!$B$10</f>
        <v>1013.2839716688238</v>
      </c>
      <c r="CL44" s="542">
        <f t="shared" si="17"/>
        <v>0.80164114862467273</v>
      </c>
    </row>
    <row r="45" spans="1:90" ht="14.25" customHeight="1">
      <c r="A45" s="331"/>
      <c r="B45" s="516">
        <v>2049</v>
      </c>
      <c r="C45" s="655">
        <f>Trajectoires!AA41</f>
        <v>2648.6249155748642</v>
      </c>
      <c r="D45" s="659">
        <f>C45/Hypothèses!$D$23</f>
        <v>706.2999774866305</v>
      </c>
      <c r="E45" s="659">
        <f>D45*Hypothèses!$B$23</f>
        <v>2224.8449290828862</v>
      </c>
      <c r="F45" s="659">
        <f>D45*Hypothèses!$B$5</f>
        <v>981.75696870641627</v>
      </c>
      <c r="G45" s="659">
        <f>D45*Hypothèses!$B$6</f>
        <v>22.601599279572177</v>
      </c>
      <c r="H45" s="519">
        <f t="shared" si="30"/>
        <v>6.6666666666666666E-2</v>
      </c>
      <c r="I45" s="520">
        <f>IF(J45&gt;=1,ROUND(COUNTIFS($B$16:$B45,"&gt;"&amp;MAX($B45-$D$2,2019),H$16:H45,1/25)*(1/$D$2-1/25)*25,0),0)</f>
        <v>0</v>
      </c>
      <c r="J45" s="521">
        <f t="shared" si="50"/>
        <v>1.8666666666666665</v>
      </c>
      <c r="K45" s="522">
        <f>Hypothèses!$G$77</f>
        <v>0.01</v>
      </c>
      <c r="L45" s="523">
        <f t="shared" si="0"/>
        <v>22.248449290828862</v>
      </c>
      <c r="M45" s="524">
        <f t="array" ref="M45">1-SUM(IF((Roadmap_Avion!$B$8:$B$38=$B45)*(Roadmap_Avion!$C$4:$Z$4=$B$2)*(Roadmap_Avion!$C$6:$Z$6=M$7)*(Roadmap_Avion!$C$7:$Z$7=M$9),Roadmap_Avion!$C$8:$Z$38,0))</f>
        <v>0.15000000000000002</v>
      </c>
      <c r="N45" s="525">
        <f t="array" ref="N45">SUM(IF((Roadmap_Avion!$B$8:$B$38=$B45)*(Roadmap_Avion!$C$4:$Z$4=$B$2)*(Roadmap_Avion!$C$6:$Z$6=N$7)*(Roadmap_Avion!$C$7:$Z$7=N$9),Roadmap_Avion!$C$8:$Z$38,0))</f>
        <v>0</v>
      </c>
      <c r="O45" s="526">
        <f t="array" ref="O45">SUM(IF((Roadmap_Avion!$B$8:$B$38=$B45)*(Roadmap_Avion!$C$4:$Z$4=$B$2)*(Roadmap_Avion!$C$6:$Z$6=O$7)*(Roadmap_Avion!$C$7:$Z$7=O$9),Roadmap_Avion!$C$8:$Z$38,0))</f>
        <v>1</v>
      </c>
      <c r="P45" s="527">
        <f t="array" ref="P45">IF($J45&lt;1,P44+$H45*M45,SUMPRODUCT(($B$16:$B$46&lt;=$B45)*($B$16:$B$46&gt;MAX($B45-$D$2-$I45,2019))*$H$16:$H$46*M$16:M$46))</f>
        <v>0.15000000000000008</v>
      </c>
      <c r="Q45" s="528">
        <f t="shared" si="31"/>
        <v>18.911181897204528</v>
      </c>
      <c r="R45" s="529">
        <f t="shared" si="18"/>
        <v>0</v>
      </c>
      <c r="S45" s="530">
        <f t="shared" si="19"/>
        <v>0.01</v>
      </c>
      <c r="T45" s="522">
        <f>Hypothèses!$G$78</f>
        <v>0.03</v>
      </c>
      <c r="U45" s="523">
        <f t="shared" si="2"/>
        <v>66.74534787248659</v>
      </c>
      <c r="V45" s="524">
        <f t="array" ref="V45">1-SUM(IF((Roadmap_Avion!$B$8:$B$38=$B45)*(Roadmap_Avion!$C$4:$Z$4=$B$2)*(Roadmap_Avion!$C$6:$Z$6=V$7)*(Roadmap_Avion!$C$7:$Z$7=V$9),Roadmap_Avion!$C$8:$Z$38,0))</f>
        <v>0.15000000000000002</v>
      </c>
      <c r="W45" s="525">
        <f t="array" ref="W45">SUM(IF((Roadmap_Avion!$B$8:$B$38=$B45)*(Roadmap_Avion!$C$4:$Z$4=$B$2)*(Roadmap_Avion!$C$6:$Z$6=W$7)*(Roadmap_Avion!$C$7:$Z$7=W$9),Roadmap_Avion!$C$8:$Z$38,0))</f>
        <v>0</v>
      </c>
      <c r="X45" s="526">
        <f t="array" ref="X45">SUM(IF((Roadmap_Avion!$B$8:$B$38=$B45)*(Roadmap_Avion!$C$4:$Z$4=$B$2)*(Roadmap_Avion!$C$6:$Z$6=X$7)*(Roadmap_Avion!$C$7:$Z$7=X$9),Roadmap_Avion!$C$8:$Z$38,0))</f>
        <v>1</v>
      </c>
      <c r="Y45" s="527">
        <f t="array" ref="Y45">IF($J45&lt;1,Y44+$H45*V45,SUMPRODUCT(($B$16:$B$46&lt;=$B45)*($B$16:$B$46&gt;MAX($B45-$D$2-$I45,2019))*$H$16:$H$46*V$16:V$46))</f>
        <v>0.26666666666666672</v>
      </c>
      <c r="Z45" s="528">
        <f t="shared" si="32"/>
        <v>48.946588439823493</v>
      </c>
      <c r="AA45" s="529">
        <f t="shared" si="20"/>
        <v>2.5000000000000001E-3</v>
      </c>
      <c r="AB45" s="530">
        <f t="shared" si="21"/>
        <v>0.02</v>
      </c>
      <c r="AC45" s="522">
        <f>Hypothèses!$G$79</f>
        <v>0.24</v>
      </c>
      <c r="AD45" s="523">
        <f t="shared" si="4"/>
        <v>533.96278297989272</v>
      </c>
      <c r="AE45" s="524">
        <f t="array" ref="AE45">1-SUM(IF((Roadmap_Avion!$B$8:$B$38=$B45)*(Roadmap_Avion!$C$4:$Z$4=$B$2)*(Roadmap_Avion!$C$6:$Z$6=AE$7)*(Roadmap_Avion!$C$7:$Z$7=AE$9),Roadmap_Avion!$C$8:$Z$38,0))</f>
        <v>0.36250000000000004</v>
      </c>
      <c r="AF45" s="525">
        <f t="array" ref="AF45">SUM(IF((Roadmap_Avion!$B$8:$B$38=$B45)*(Roadmap_Avion!$C$4:$Z$4=$B$2)*(Roadmap_Avion!$C$6:$Z$6=AF$7)*(Roadmap_Avion!$C$7:$Z$7=AF$9),Roadmap_Avion!$C$8:$Z$38,0))</f>
        <v>0</v>
      </c>
      <c r="AG45" s="526">
        <f t="array" ref="AG45">SUM(IF((Roadmap_Avion!$B$8:$B$38=$B45)*(Roadmap_Avion!$C$4:$Z$4=$B$2)*(Roadmap_Avion!$C$6:$Z$6=AG$7)*(Roadmap_Avion!$C$7:$Z$7=AG$9),Roadmap_Avion!$C$8:$Z$38,0))</f>
        <v>1</v>
      </c>
      <c r="AH45" s="527">
        <f t="array" ref="AH45">IF($J45&lt;1,AH44+$H45*AE45,SUMPRODUCT(($B$16:$B$46&lt;=$B45)*($B$16:$B$46&gt;MAX($B45-$D$2-$I45,2019))*$H$16:$H$46*AE$16:AE$46))</f>
        <v>0.32500000000000001</v>
      </c>
      <c r="AI45" s="528">
        <f t="shared" si="33"/>
        <v>360.42487851142761</v>
      </c>
      <c r="AJ45" s="529">
        <f t="shared" si="22"/>
        <v>0.04</v>
      </c>
      <c r="AK45" s="530">
        <f t="shared" si="23"/>
        <v>0.16</v>
      </c>
      <c r="AL45" s="522">
        <f>Hypothèses!$G$80</f>
        <v>0.42</v>
      </c>
      <c r="AM45" s="523">
        <f t="shared" si="6"/>
        <v>934.43487021481212</v>
      </c>
      <c r="AN45" s="524">
        <f t="array" ref="AN45">1-SUM(IF((Roadmap_Avion!$B$8:$B$38=$B45)*(Roadmap_Avion!$C$4:$Z$4=$B$2)*(Roadmap_Avion!$C$6:$Z$6=AN$7)*(Roadmap_Avion!$C$7:$Z$7=AN$9),Roadmap_Avion!$C$8:$Z$38,0))</f>
        <v>0.36250000000000004</v>
      </c>
      <c r="AO45" s="525">
        <f t="array" ref="AO45">SUM(IF((Roadmap_Avion!$B$8:$B$38=$B45)*(Roadmap_Avion!$C$4:$Z$4=$B$2)*(Roadmap_Avion!$C$6:$Z$6=AO$7)*(Roadmap_Avion!$C$7:$Z$7=AO$9),Roadmap_Avion!$C$8:$Z$38,0))</f>
        <v>0</v>
      </c>
      <c r="AP45" s="526">
        <f t="array" ref="AP45">SUM(IF((Roadmap_Avion!$B$8:$B$38=$B45)*(Roadmap_Avion!$C$4:$Z$4=$B$2)*(Roadmap_Avion!$C$6:$Z$6=AP$7)*(Roadmap_Avion!$C$7:$Z$7=AP$9),Roadmap_Avion!$C$8:$Z$38,0))</f>
        <v>1</v>
      </c>
      <c r="AQ45" s="527">
        <f t="array" ref="AQ45">IF($J45&lt;1,AQ44+$H45*AN45,SUMPRODUCT(($B$16:$B$46&lt;=$B45)*($B$16:$B$46&gt;MAX($B45-$D$2-$I45,2019))*$H$16:$H$46*AN$16:AN$46))</f>
        <v>0.32500000000000001</v>
      </c>
      <c r="AR45" s="528">
        <f t="shared" si="34"/>
        <v>630.74353739499827</v>
      </c>
      <c r="AS45" s="529">
        <f t="shared" si="8"/>
        <v>7.0000000000000007E-2</v>
      </c>
      <c r="AT45" s="530">
        <f t="shared" si="9"/>
        <v>0.28000000000000003</v>
      </c>
      <c r="AU45" s="531">
        <f>Hypothèses!$G$81</f>
        <v>0.3</v>
      </c>
      <c r="AV45" s="523">
        <f t="shared" si="10"/>
        <v>667.45347872486582</v>
      </c>
      <c r="AW45" s="524">
        <f t="array" ref="AW45">1-SUM(IF((Roadmap_Avion!$B$8:$B$38=$B45)*(Roadmap_Avion!$C$4:$Z$4=$B$2)*(Roadmap_Avion!$C$6:$Z$6=AW$7)*(Roadmap_Avion!$C$7:$Z$7=AW$9),Roadmap_Avion!$C$8:$Z$38,0))</f>
        <v>0.4375</v>
      </c>
      <c r="AX45" s="525">
        <f t="array" ref="AX45">SUM(IF((Roadmap_Avion!$B$8:$B$38=$B45)*(Roadmap_Avion!$C$4:$Z$4=$B$2)*(Roadmap_Avion!$C$6:$Z$6=AX$7)*(Roadmap_Avion!$C$7:$Z$7=AX$9),Roadmap_Avion!$C$8:$Z$38,0))</f>
        <v>1</v>
      </c>
      <c r="AY45" s="526">
        <f t="array" ref="AY45">SUM(IF((Roadmap_Avion!$B$8:$B$38=$B45)*(Roadmap_Avion!$C$4:$Z$4=$B$2)*(Roadmap_Avion!$C$6:$Z$6=AY$7)*(Roadmap_Avion!$C$7:$Z$7=AY$9),Roadmap_Avion!$C$8:$Z$38,0))</f>
        <v>0</v>
      </c>
      <c r="AZ45" s="527">
        <f t="array" ref="AZ45">IF($J45&lt;1,AZ44+$H45*AW45,SUMPRODUCT(($B$16:$B$46&lt;=$B45)*($B$16:$B$46&gt;MAX($B45-$D$2-$I45,2019))*$H$16:$H$46*AW$16:AW$46))</f>
        <v>0.37500000000000006</v>
      </c>
      <c r="BA45" s="528">
        <f t="shared" si="35"/>
        <v>417.15842420304114</v>
      </c>
      <c r="BB45" s="529">
        <f t="shared" si="24"/>
        <v>0.25</v>
      </c>
      <c r="BC45" s="529">
        <f t="shared" si="25"/>
        <v>0</v>
      </c>
      <c r="BD45" s="517">
        <f t="shared" si="12"/>
        <v>1476.1846104464953</v>
      </c>
      <c r="BE45" s="518">
        <f>BD45*(Hypothèses!$D$23/Hypothèses!$B$23)</f>
        <v>1757.362631483923</v>
      </c>
      <c r="BF45" s="532">
        <f t="shared" si="13"/>
        <v>0.3364999999999998</v>
      </c>
      <c r="BG45" s="518">
        <f>BD45/Hypothèses!$B$23</f>
        <v>468.63003506237948</v>
      </c>
      <c r="BH45" s="532">
        <f t="shared" si="14"/>
        <v>0.36250000000000004</v>
      </c>
      <c r="BI45" s="532">
        <f t="shared" si="14"/>
        <v>0.47000000000000003</v>
      </c>
      <c r="BJ45" s="518">
        <f t="shared" si="26"/>
        <v>169.87838771011258</v>
      </c>
      <c r="BK45" s="533">
        <f t="shared" si="36"/>
        <v>317.39130434782606</v>
      </c>
      <c r="BL45" s="534">
        <f t="shared" si="37"/>
        <v>1.868344223336023</v>
      </c>
      <c r="BM45" s="535">
        <f t="array" ref="BM45">SUM(IF((Prod_Carburant_Alt!$A$7:$A$37=$B45)*(Prod_Carburant_Alt!$B$3:$AI$3=$C$2)*(Prod_Carburant_Alt!$B$5:$AI$5=BM$7)*(Prod_Carburant_Alt!$B$6:$AI$6=BM$9),Prod_Carburant_Alt!$B$7:$AI$37,0))</f>
        <v>217.39130434782609</v>
      </c>
      <c r="BN45" s="534">
        <f t="shared" si="27"/>
        <v>5.5522859534502942</v>
      </c>
      <c r="BO45" s="536">
        <f t="array" ref="BO45">SUM(IF((Prod_Carburant_Alt!$A$7:$A$37=$B45)*(Prod_Carburant_Alt!$B$3:$AI$3=$C$2)*(Prod_Carburant_Alt!$B$5:$AI$5=BO$7)*(Prod_Carburant_Alt!$B$6:$AI$6=BO$9),Prod_Carburant_Alt!$B$7:$AI$37,0))</f>
        <v>0.204382517533922</v>
      </c>
      <c r="BP45" s="543">
        <f t="array" ref="BP45">SUM(IF((Prod_Carburant_Alt!$A$7:$A$37=$B45)*(Prod_Carburant_Alt!$B$3:$AI$3=$C$2)*(Prod_Carburant_Alt!$B$5:$AI$5=BP$7)*(Prod_Carburant_Alt!$B$6:$AI$6=BP$9),Prod_Carburant_Alt!$B$7:$AI$37,0))</f>
        <v>99.999999999999957</v>
      </c>
      <c r="BQ45" s="536">
        <f t="shared" si="38"/>
        <v>0.58865639913326728</v>
      </c>
      <c r="BR45" s="537">
        <f t="shared" si="39"/>
        <v>151.23873071455341</v>
      </c>
      <c r="BS45" s="538">
        <f t="shared" si="40"/>
        <v>169.87838771011258</v>
      </c>
      <c r="BT45" s="539">
        <f t="shared" si="41"/>
        <v>0.53523327634693008</v>
      </c>
      <c r="BU45" s="535">
        <f t="shared" si="28"/>
        <v>116.35506007541959</v>
      </c>
      <c r="BV45" s="539">
        <f t="shared" si="42"/>
        <v>0.53523327634693008</v>
      </c>
      <c r="BW45" s="535">
        <f t="shared" si="29"/>
        <v>53.523327634692983</v>
      </c>
      <c r="BX45" s="539">
        <f t="shared" si="43"/>
        <v>0.53523327634693008</v>
      </c>
      <c r="BY45" s="538">
        <f t="shared" si="44"/>
        <v>220.25611647931837</v>
      </c>
      <c r="BZ45" s="540">
        <f>BY45*Hypothèses!$B$3/Hypothèses!$B$9</f>
        <v>80.917906212613744</v>
      </c>
      <c r="CA45" s="538">
        <f t="shared" si="45"/>
        <v>78.495530872948535</v>
      </c>
      <c r="CB45" s="533">
        <f>BW45*Prod_Carburant_Alt!$R$61+BZ45*Hypothèses!$B$13</f>
        <v>7006.4176539435612</v>
      </c>
      <c r="CC45" s="538">
        <f t="shared" si="46"/>
        <v>3246.3899592293651</v>
      </c>
      <c r="CD45" s="541">
        <f t="shared" si="47"/>
        <v>4.9867741309206837</v>
      </c>
      <c r="CE45" s="537">
        <f t="shared" si="48"/>
        <v>77.070594193379179</v>
      </c>
      <c r="CF45" s="503">
        <f>(CA45+BU45*BO45)*Hypothèses!$D$23+CE45</f>
        <v>460.60736036452988</v>
      </c>
      <c r="CG45" s="504">
        <f t="shared" si="16"/>
        <v>0.73789851217241853</v>
      </c>
      <c r="CH45" s="503">
        <f>(CA45+BU45*BO45)*Hypothèses!$B$23</f>
        <v>322.17088358376657</v>
      </c>
      <c r="CI45" s="503">
        <f t="shared" si="49"/>
        <v>0</v>
      </c>
      <c r="CJ45" s="503">
        <f>(BU45+BW45+CA45)*Hypothèses!$B$6+BZ45*Hypothèses!$B$11</f>
        <v>10.051830956185913</v>
      </c>
      <c r="CK45" s="503">
        <f>(BU45+BW45+CA45)*Hypothèses!$B$5+BZ45*Hypothèses!$B$10</f>
        <v>1073.5009027439787</v>
      </c>
      <c r="CL45" s="542">
        <f t="shared" si="17"/>
        <v>0.82609566282639968</v>
      </c>
    </row>
    <row r="46" spans="1:90" ht="14.25" customHeight="1" thickBot="1">
      <c r="A46" s="331"/>
      <c r="B46" s="545">
        <v>2050</v>
      </c>
      <c r="C46" s="656">
        <f>Trajectoires!AA42</f>
        <v>2699.9564976387192</v>
      </c>
      <c r="D46" s="660">
        <f>C46/Hypothèses!$D$23</f>
        <v>719.98839937032506</v>
      </c>
      <c r="E46" s="660">
        <f>D46*Hypothèses!$B$23</f>
        <v>2267.9634580165239</v>
      </c>
      <c r="F46" s="660">
        <f>D46*Hypothèses!$B$5</f>
        <v>1000.7838751247517</v>
      </c>
      <c r="G46" s="660">
        <f>D46*Hypothèses!$B$6</f>
        <v>23.039628779850403</v>
      </c>
      <c r="H46" s="548">
        <f t="shared" si="30"/>
        <v>6.6666666666666666E-2</v>
      </c>
      <c r="I46" s="549">
        <f>IF(J46&gt;=1,ROUND(COUNTIFS($B$16:$B46,"&gt;"&amp;MAX($B46-$D$2,2019),H$16:H46,1/25)*(1/$D$2-1/25)*25,0),0)</f>
        <v>0</v>
      </c>
      <c r="J46" s="550">
        <f t="shared" si="50"/>
        <v>1.9333333333333331</v>
      </c>
      <c r="K46" s="551">
        <f>Hypothèses!$G$77</f>
        <v>0.01</v>
      </c>
      <c r="L46" s="552">
        <f t="shared" si="0"/>
        <v>22.679634580165239</v>
      </c>
      <c r="M46" s="553">
        <f t="array" ref="M46">1-SUM(IF((Roadmap_Avion!$B$8:$B$38=$B46)*(Roadmap_Avion!$C$4:$Z$4=$B$2)*(Roadmap_Avion!$C$6:$Z$6=M$7)*(Roadmap_Avion!$C$7:$Z$7=M$9),Roadmap_Avion!$C$8:$Z$38,0))</f>
        <v>0.15000000000000002</v>
      </c>
      <c r="N46" s="554">
        <f t="array" ref="N46">SUM(IF((Roadmap_Avion!$B$8:$B$38=$B46)*(Roadmap_Avion!$C$4:$Z$4=$B$2)*(Roadmap_Avion!$C$6:$Z$6=N$7)*(Roadmap_Avion!$C$7:$Z$7=N$9),Roadmap_Avion!$C$8:$Z$38,0))</f>
        <v>0</v>
      </c>
      <c r="O46" s="555">
        <f t="array" ref="O46">SUM(IF((Roadmap_Avion!$B$8:$B$38=$B46)*(Roadmap_Avion!$C$4:$Z$4=$B$2)*(Roadmap_Avion!$C$6:$Z$6=O$7)*(Roadmap_Avion!$C$7:$Z$7=O$9),Roadmap_Avion!$C$8:$Z$38,0))</f>
        <v>1</v>
      </c>
      <c r="P46" s="556">
        <f t="array" ref="P46">IF($J46&lt;1,P45+$H46*M46,SUMPRODUCT(($B$16:$B$46&lt;=$B46)*($B$16:$B$46&gt;MAX($B46-$D$2-$I46,2019))*$H$16:$H$46*M$16:M$46))</f>
        <v>0.15000000000000008</v>
      </c>
      <c r="Q46" s="557">
        <f t="shared" si="31"/>
        <v>19.277689393140449</v>
      </c>
      <c r="R46" s="558">
        <f t="shared" si="18"/>
        <v>0</v>
      </c>
      <c r="S46" s="559">
        <f t="shared" si="19"/>
        <v>0.01</v>
      </c>
      <c r="T46" s="551">
        <f>Hypothèses!$G$78</f>
        <v>0.03</v>
      </c>
      <c r="U46" s="552">
        <f t="shared" si="2"/>
        <v>68.038903740495712</v>
      </c>
      <c r="V46" s="553">
        <f t="array" ref="V46">1-SUM(IF((Roadmap_Avion!$B$8:$B$38=$B46)*(Roadmap_Avion!$C$4:$Z$4=$B$2)*(Roadmap_Avion!$C$6:$Z$6=V$7)*(Roadmap_Avion!$C$7:$Z$7=V$9),Roadmap_Avion!$C$8:$Z$38,0))</f>
        <v>0.15000000000000002</v>
      </c>
      <c r="W46" s="554">
        <f t="array" ref="W46">SUM(IF((Roadmap_Avion!$B$8:$B$38=$B46)*(Roadmap_Avion!$C$4:$Z$4=$B$2)*(Roadmap_Avion!$C$6:$Z$6=W$7)*(Roadmap_Avion!$C$7:$Z$7=W$9),Roadmap_Avion!$C$8:$Z$38,0))</f>
        <v>0</v>
      </c>
      <c r="X46" s="555">
        <f t="array" ref="X46">SUM(IF((Roadmap_Avion!$B$8:$B$38=$B46)*(Roadmap_Avion!$C$4:$Z$4=$B$2)*(Roadmap_Avion!$C$6:$Z$6=X$7)*(Roadmap_Avion!$C$7:$Z$7=X$9),Roadmap_Avion!$C$8:$Z$38,0))</f>
        <v>1</v>
      </c>
      <c r="Y46" s="556">
        <f t="array" ref="Y46">IF($J46&lt;1,Y45+$H46*V46,SUMPRODUCT(($B$16:$B$46&lt;=$B46)*($B$16:$B$46&gt;MAX($B46-$D$2-$I46,2019))*$H$16:$H$46*V$16:V$46))</f>
        <v>0.24333333333333343</v>
      </c>
      <c r="Z46" s="557">
        <f t="shared" si="32"/>
        <v>51.482770496975085</v>
      </c>
      <c r="AA46" s="558">
        <f t="shared" si="20"/>
        <v>2E-3</v>
      </c>
      <c r="AB46" s="559">
        <f t="shared" si="21"/>
        <v>2.1999999999999999E-2</v>
      </c>
      <c r="AC46" s="551">
        <f>Hypothèses!$G$79</f>
        <v>0.24</v>
      </c>
      <c r="AD46" s="552">
        <f t="shared" si="4"/>
        <v>544.3112299239657</v>
      </c>
      <c r="AE46" s="553">
        <f t="array" ref="AE46">1-SUM(IF((Roadmap_Avion!$B$8:$B$38=$B46)*(Roadmap_Avion!$C$4:$Z$4=$B$2)*(Roadmap_Avion!$C$6:$Z$6=AE$7)*(Roadmap_Avion!$C$7:$Z$7=AE$9),Roadmap_Avion!$C$8:$Z$38,0))</f>
        <v>0.36250000000000004</v>
      </c>
      <c r="AF46" s="554">
        <f t="array" ref="AF46">SUM(IF((Roadmap_Avion!$B$8:$B$38=$B46)*(Roadmap_Avion!$C$4:$Z$4=$B$2)*(Roadmap_Avion!$C$6:$Z$6=AF$7)*(Roadmap_Avion!$C$7:$Z$7=AF$9),Roadmap_Avion!$C$8:$Z$38,0))</f>
        <v>0</v>
      </c>
      <c r="AG46" s="555">
        <f t="array" ref="AG46">SUM(IF((Roadmap_Avion!$B$8:$B$38=$B46)*(Roadmap_Avion!$C$4:$Z$4=$B$2)*(Roadmap_Avion!$C$6:$Z$6=AG$7)*(Roadmap_Avion!$C$7:$Z$7=AG$9),Roadmap_Avion!$C$8:$Z$38,0))</f>
        <v>1</v>
      </c>
      <c r="AH46" s="556">
        <f t="array" ref="AH46">IF($J46&lt;1,AH45+$H46*AE46,SUMPRODUCT(($B$16:$B$46&lt;=$B46)*($B$16:$B$46&gt;MAX($B46-$D$2-$I46,2019))*$H$16:$H$46*AE$16:AE$46))</f>
        <v>0.33250000000000002</v>
      </c>
      <c r="AI46" s="557">
        <f t="shared" si="33"/>
        <v>363.32774597424708</v>
      </c>
      <c r="AJ46" s="558">
        <f t="shared" si="22"/>
        <v>3.2000000000000001E-2</v>
      </c>
      <c r="AK46" s="559">
        <f t="shared" si="23"/>
        <v>0.17599999999999999</v>
      </c>
      <c r="AL46" s="551">
        <f>Hypothèses!$G$80</f>
        <v>0.42</v>
      </c>
      <c r="AM46" s="552">
        <f t="shared" si="6"/>
        <v>952.54465236694</v>
      </c>
      <c r="AN46" s="553">
        <f t="array" ref="AN46">1-SUM(IF((Roadmap_Avion!$B$8:$B$38=$B46)*(Roadmap_Avion!$C$4:$Z$4=$B$2)*(Roadmap_Avion!$C$6:$Z$6=AN$7)*(Roadmap_Avion!$C$7:$Z$7=AN$9),Roadmap_Avion!$C$8:$Z$38,0))</f>
        <v>0.36250000000000004</v>
      </c>
      <c r="AO46" s="554">
        <f t="array" ref="AO46">SUM(IF((Roadmap_Avion!$B$8:$B$38=$B46)*(Roadmap_Avion!$C$4:$Z$4=$B$2)*(Roadmap_Avion!$C$6:$Z$6=AO$7)*(Roadmap_Avion!$C$7:$Z$7=AO$9),Roadmap_Avion!$C$8:$Z$38,0))</f>
        <v>0</v>
      </c>
      <c r="AP46" s="555">
        <f t="array" ref="AP46">SUM(IF((Roadmap_Avion!$B$8:$B$38=$B46)*(Roadmap_Avion!$C$4:$Z$4=$B$2)*(Roadmap_Avion!$C$6:$Z$6=AP$7)*(Roadmap_Avion!$C$7:$Z$7=AP$9),Roadmap_Avion!$C$8:$Z$38,0))</f>
        <v>1</v>
      </c>
      <c r="AQ46" s="556">
        <f t="array" ref="AQ46">IF($J46&lt;1,AQ45+$H46*AN46,SUMPRODUCT(($B$16:$B$46&lt;=$B46)*($B$16:$B$46&gt;MAX($B46-$D$2-$I46,2019))*$H$16:$H$46*AN$16:AN$46))</f>
        <v>0.33250000000000002</v>
      </c>
      <c r="AR46" s="557">
        <f t="shared" si="34"/>
        <v>635.82355545493249</v>
      </c>
      <c r="AS46" s="558">
        <f t="shared" si="8"/>
        <v>5.6000000000000001E-2</v>
      </c>
      <c r="AT46" s="559">
        <f t="shared" si="9"/>
        <v>0.308</v>
      </c>
      <c r="AU46" s="560">
        <f>Hypothèses!$G$81</f>
        <v>0.3</v>
      </c>
      <c r="AV46" s="552">
        <f t="shared" si="10"/>
        <v>680.38903740495709</v>
      </c>
      <c r="AW46" s="553">
        <f t="array" ref="AW46">1-SUM(IF((Roadmap_Avion!$B$8:$B$38=$B46)*(Roadmap_Avion!$C$4:$Z$4=$B$2)*(Roadmap_Avion!$C$6:$Z$6=AW$7)*(Roadmap_Avion!$C$7:$Z$7=AW$9),Roadmap_Avion!$C$8:$Z$38,0))</f>
        <v>0.4375</v>
      </c>
      <c r="AX46" s="554">
        <f t="array" ref="AX46">SUM(IF((Roadmap_Avion!$B$8:$B$38=$B46)*(Roadmap_Avion!$C$4:$Z$4=$B$2)*(Roadmap_Avion!$C$6:$Z$6=AX$7)*(Roadmap_Avion!$C$7:$Z$7=AX$9),Roadmap_Avion!$C$8:$Z$38,0))</f>
        <v>1</v>
      </c>
      <c r="AY46" s="555">
        <f t="array" ref="AY46">SUM(IF((Roadmap_Avion!$B$8:$B$38=$B46)*(Roadmap_Avion!$C$4:$Z$4=$B$2)*(Roadmap_Avion!$C$6:$Z$6=AY$7)*(Roadmap_Avion!$C$7:$Z$7=AY$9),Roadmap_Avion!$C$8:$Z$38,0))</f>
        <v>0</v>
      </c>
      <c r="AZ46" s="556">
        <f t="array" ref="AZ46">IF($J46&lt;1,AZ45+$H46*AW46,SUMPRODUCT(($B$16:$B$46&lt;=$B46)*($B$16:$B$46&gt;MAX($B46-$D$2-$I46,2019))*$H$16:$H$46*AW$16:AW$46))</f>
        <v>0.38750000000000007</v>
      </c>
      <c r="BA46" s="557">
        <f t="shared" si="35"/>
        <v>416.73828541053615</v>
      </c>
      <c r="BB46" s="558">
        <f t="shared" si="24"/>
        <v>0.26</v>
      </c>
      <c r="BC46" s="558">
        <f t="shared" si="25"/>
        <v>0</v>
      </c>
      <c r="BD46" s="546">
        <f t="shared" si="12"/>
        <v>1486.6500467298315</v>
      </c>
      <c r="BE46" s="547">
        <f>BD46*(Hypothèses!$D$23/Hypothèses!$B$23)</f>
        <v>1769.8214842021803</v>
      </c>
      <c r="BF46" s="561">
        <f t="shared" si="13"/>
        <v>0.34450000000000003</v>
      </c>
      <c r="BG46" s="547">
        <f>BD46/Hypothèses!$B$23</f>
        <v>471.95239578724812</v>
      </c>
      <c r="BH46" s="561">
        <f t="shared" si="14"/>
        <v>0.35</v>
      </c>
      <c r="BI46" s="561">
        <f t="shared" si="14"/>
        <v>0.51600000000000001</v>
      </c>
      <c r="BJ46" s="547">
        <f t="shared" si="26"/>
        <v>165.18333852553684</v>
      </c>
      <c r="BK46" s="562">
        <f t="shared" si="36"/>
        <v>375</v>
      </c>
      <c r="BL46" s="563">
        <f t="shared" si="37"/>
        <v>2.2702047515647359</v>
      </c>
      <c r="BM46" s="564">
        <f t="array" ref="BM46">SUM(IF((Prod_Carburant_Alt!$A$7:$A$37=$B46)*(Prod_Carburant_Alt!$B$3:$AI$3=$C$2)*(Prod_Carburant_Alt!$B$5:$AI$5=BM$7)*(Prod_Carburant_Alt!$B$6:$AI$6=BM$9),Prod_Carburant_Alt!$B$7:$AI$37,0))</f>
        <v>250</v>
      </c>
      <c r="BN46" s="563">
        <f t="shared" si="27"/>
        <v>6.5898541409716564</v>
      </c>
      <c r="BO46" s="565">
        <f t="array" ref="BO46">SUM(IF((Prod_Carburant_Alt!$A$7:$A$37=$B46)*(Prod_Carburant_Alt!$B$3:$AI$3=$C$2)*(Prod_Carburant_Alt!$B$5:$AI$5=BO$7)*(Prod_Carburant_Alt!$B$6:$AI$6=BO$9),Prod_Carburant_Alt!$B$7:$AI$37,0))</f>
        <v>0.204382517533922</v>
      </c>
      <c r="BP46" s="566">
        <f t="array" ref="BP46">SUM(IF((Prod_Carburant_Alt!$A$7:$A$37=$B46)*(Prod_Carburant_Alt!$B$3:$AI$3=$C$2)*(Prod_Carburant_Alt!$B$5:$AI$5=BP$7)*(Prod_Carburant_Alt!$B$6:$AI$6=BP$9),Prod_Carburant_Alt!$B$7:$AI$37,0))</f>
        <v>125</v>
      </c>
      <c r="BQ46" s="565">
        <f t="shared" si="38"/>
        <v>0.75673491718824526</v>
      </c>
      <c r="BR46" s="567">
        <f t="shared" si="39"/>
        <v>96.952395787248122</v>
      </c>
      <c r="BS46" s="568">
        <f t="shared" si="40"/>
        <v>165.18333852553684</v>
      </c>
      <c r="BT46" s="569">
        <f t="shared" si="41"/>
        <v>0.44048890273476493</v>
      </c>
      <c r="BU46" s="570">
        <f t="shared" si="28"/>
        <v>110.12222568369123</v>
      </c>
      <c r="BV46" s="571">
        <f t="shared" si="42"/>
        <v>0.44048890273476493</v>
      </c>
      <c r="BW46" s="572">
        <f t="shared" si="29"/>
        <v>55.061112841845613</v>
      </c>
      <c r="BX46" s="569">
        <f t="shared" si="43"/>
        <v>0.44048890273476493</v>
      </c>
      <c r="BY46" s="568">
        <f t="shared" si="44"/>
        <v>243.52743622622003</v>
      </c>
      <c r="BZ46" s="573">
        <f>BY46*Hypothèses!$B$3/Hypothèses!$B$9</f>
        <v>89.467346286394175</v>
      </c>
      <c r="CA46" s="568">
        <f t="shared" si="45"/>
        <v>63.241621035491249</v>
      </c>
      <c r="CB46" s="562">
        <f>BW46*Prod_Carburant_Alt!$R$61+BZ46*Hypothèses!$B$13</f>
        <v>7560.2402127554669</v>
      </c>
      <c r="CC46" s="574">
        <f t="shared" si="46"/>
        <v>3503.0009811415007</v>
      </c>
      <c r="CD46" s="575">
        <f t="shared" si="47"/>
        <v>5.3809538880821819</v>
      </c>
      <c r="CE46" s="567">
        <f t="shared" si="48"/>
        <v>83.162642340310143</v>
      </c>
      <c r="CF46" s="661">
        <f>(CA46+BU46*BO46)*Hypothèses!$D$23+CE46</f>
        <v>404.72018767967057</v>
      </c>
      <c r="CG46" s="577">
        <f t="shared" si="16"/>
        <v>0.77132146304455407</v>
      </c>
      <c r="CH46" s="661">
        <f>(CA46+BU46*BO46)*Hypothèses!$B$23</f>
        <v>270.10833808506277</v>
      </c>
      <c r="CI46" s="661">
        <f t="shared" si="49"/>
        <v>0</v>
      </c>
      <c r="CJ46" s="661">
        <f>(BU46+BW46+CA46)*Hypothèses!$B$6+BZ46*Hypothèses!$B$11</f>
        <v>9.635749709399148</v>
      </c>
      <c r="CK46" s="661">
        <f>(BU46+BW46+CA46)*Hypothèses!$B$5+BZ46*Hypothèses!$B$10</f>
        <v>1122.7168103673766</v>
      </c>
      <c r="CL46" s="578">
        <f t="shared" si="17"/>
        <v>0.85010121902570512</v>
      </c>
    </row>
    <row r="47" spans="1:90" ht="14.25" customHeight="1">
      <c r="A47" s="1149"/>
      <c r="B47" s="1149"/>
      <c r="BK47" s="427"/>
      <c r="BL47" s="427"/>
      <c r="BM47" s="428"/>
      <c r="BN47" s="427"/>
      <c r="BO47" s="427"/>
      <c r="BP47" s="429"/>
      <c r="BQ47" s="429"/>
      <c r="BR47" s="429"/>
      <c r="BS47" s="427"/>
      <c r="BT47" s="427"/>
      <c r="BU47" s="429"/>
      <c r="BV47" s="429"/>
      <c r="BW47" s="429"/>
      <c r="BX47" s="429"/>
      <c r="BY47" s="429"/>
      <c r="BZ47" s="429"/>
      <c r="CA47" s="429"/>
      <c r="CB47" s="429"/>
      <c r="CC47" s="429"/>
      <c r="CD47" s="429"/>
      <c r="CE47" s="429"/>
      <c r="CF47" s="429"/>
      <c r="CG47" s="429"/>
      <c r="CH47" s="429"/>
      <c r="CI47" s="429"/>
      <c r="CJ47" s="429"/>
      <c r="CK47" s="429"/>
      <c r="CL47" s="430"/>
    </row>
    <row r="48" spans="1:90" ht="14.25" customHeight="1">
      <c r="A48" s="1149"/>
      <c r="B48" s="1149"/>
      <c r="Q48" s="579"/>
      <c r="R48" s="579"/>
      <c r="S48" s="579"/>
      <c r="Z48" s="579"/>
      <c r="AA48" s="579"/>
      <c r="AB48" s="579"/>
      <c r="AI48" s="579"/>
      <c r="AJ48" s="579"/>
      <c r="AK48" s="579"/>
      <c r="AR48" s="579"/>
      <c r="AS48" s="579"/>
      <c r="AT48" s="579"/>
      <c r="BA48" s="579"/>
      <c r="BB48" s="579"/>
      <c r="BC48" s="579"/>
      <c r="BK48" s="427"/>
      <c r="BL48" s="427"/>
      <c r="BM48" s="428"/>
      <c r="BN48" s="427"/>
      <c r="BO48" s="427"/>
      <c r="BP48" s="429"/>
      <c r="BQ48" s="429"/>
      <c r="BR48" s="429"/>
      <c r="BS48" s="427"/>
      <c r="BT48" s="427"/>
      <c r="BU48" s="429"/>
      <c r="BV48" s="429"/>
      <c r="BW48" s="429"/>
      <c r="BX48" s="429"/>
      <c r="BY48" s="580"/>
      <c r="BZ48" s="580"/>
      <c r="CA48" s="580"/>
      <c r="CB48" s="429"/>
      <c r="CC48" s="429"/>
      <c r="CD48" s="429"/>
      <c r="CE48" s="429"/>
      <c r="CF48" s="429"/>
      <c r="CG48" s="429"/>
      <c r="CH48" s="429"/>
      <c r="CI48" s="429"/>
      <c r="CJ48" s="429"/>
      <c r="CK48" s="429"/>
      <c r="CL48" s="430"/>
    </row>
    <row r="49" spans="17:90" ht="14.25" customHeight="1">
      <c r="Q49" s="579"/>
      <c r="R49" s="579"/>
      <c r="S49" s="579"/>
      <c r="Z49" s="579"/>
      <c r="AA49" s="579"/>
      <c r="AB49" s="579"/>
      <c r="AI49" s="579"/>
      <c r="AJ49" s="579"/>
      <c r="AK49" s="579"/>
      <c r="AR49" s="579"/>
      <c r="AS49" s="579"/>
      <c r="AT49" s="579"/>
      <c r="BA49" s="579"/>
      <c r="BB49" s="579"/>
      <c r="BC49" s="579"/>
      <c r="BK49" s="427"/>
      <c r="BL49" s="427"/>
      <c r="BM49" s="428"/>
      <c r="BN49" s="427"/>
      <c r="BO49" s="427"/>
      <c r="BP49" s="429"/>
      <c r="BQ49" s="429"/>
      <c r="BR49" s="429"/>
      <c r="BS49" s="427"/>
      <c r="BT49" s="427"/>
      <c r="BU49" s="429"/>
      <c r="BV49" s="429"/>
      <c r="BW49" s="429"/>
      <c r="BX49" s="429"/>
      <c r="BY49" s="429"/>
      <c r="BZ49" s="429"/>
      <c r="CA49" s="429"/>
      <c r="CB49" s="429"/>
      <c r="CC49" s="429"/>
      <c r="CD49" s="429"/>
      <c r="CE49" s="429"/>
      <c r="CF49" s="429"/>
      <c r="CG49" s="429"/>
      <c r="CH49" s="429"/>
      <c r="CI49" s="429"/>
      <c r="CJ49" s="429"/>
      <c r="CK49" s="429"/>
      <c r="CL49" s="430"/>
    </row>
    <row r="50" spans="17:90" ht="14.25" customHeight="1">
      <c r="Q50" s="579"/>
      <c r="R50" s="579"/>
      <c r="S50" s="579"/>
      <c r="Z50" s="579"/>
      <c r="AA50" s="579"/>
      <c r="AB50" s="579"/>
      <c r="AI50" s="579"/>
      <c r="AJ50" s="579"/>
      <c r="AK50" s="579"/>
      <c r="AR50" s="579"/>
      <c r="AS50" s="579"/>
      <c r="AT50" s="579"/>
      <c r="BA50" s="579"/>
      <c r="BB50" s="579"/>
      <c r="BC50" s="579"/>
      <c r="BK50" s="427"/>
      <c r="BL50" s="427"/>
      <c r="BM50" s="428"/>
      <c r="BN50" s="427"/>
      <c r="BO50" s="427"/>
      <c r="BP50" s="429"/>
      <c r="BQ50" s="429"/>
      <c r="BR50" s="429"/>
      <c r="BS50" s="427"/>
      <c r="BT50" s="427"/>
      <c r="BU50" s="429"/>
      <c r="BV50" s="429"/>
      <c r="BW50" s="429"/>
      <c r="BX50" s="429"/>
      <c r="BY50" s="429"/>
      <c r="BZ50" s="429"/>
      <c r="CA50" s="429"/>
      <c r="CB50" s="429"/>
      <c r="CC50" s="429"/>
      <c r="CD50" s="429"/>
      <c r="CE50" s="429"/>
      <c r="CF50" s="429"/>
      <c r="CG50" s="429"/>
      <c r="CH50" s="429"/>
      <c r="CI50" s="429"/>
      <c r="CJ50" s="429"/>
      <c r="CK50" s="429"/>
      <c r="CL50" s="430"/>
    </row>
    <row r="51" spans="17:90" ht="14.25" customHeight="1">
      <c r="Q51" s="579"/>
      <c r="R51" s="579"/>
      <c r="S51" s="579"/>
      <c r="Z51" s="579"/>
      <c r="AA51" s="579"/>
      <c r="AB51" s="579"/>
      <c r="AI51" s="579"/>
      <c r="AJ51" s="579"/>
      <c r="AK51" s="579"/>
      <c r="AR51" s="579"/>
      <c r="AS51" s="579"/>
      <c r="AT51" s="579"/>
      <c r="BA51" s="579"/>
      <c r="BB51" s="579"/>
      <c r="BC51" s="579"/>
      <c r="BK51" s="427"/>
      <c r="BL51" s="427"/>
      <c r="BM51" s="428"/>
      <c r="BN51" s="427"/>
      <c r="BO51" s="427"/>
      <c r="BP51" s="429"/>
      <c r="BQ51" s="429"/>
      <c r="BR51" s="429"/>
      <c r="BS51" s="427"/>
      <c r="BT51" s="427"/>
      <c r="BU51" s="429"/>
      <c r="BV51" s="429"/>
      <c r="BW51" s="429"/>
      <c r="BX51" s="429"/>
      <c r="BY51" s="429"/>
      <c r="BZ51" s="429"/>
      <c r="CA51" s="429"/>
      <c r="CB51" s="429"/>
      <c r="CC51" s="429"/>
      <c r="CD51" s="429"/>
      <c r="CE51" s="429"/>
      <c r="CF51" s="429"/>
      <c r="CG51" s="429"/>
      <c r="CH51" s="429"/>
      <c r="CI51" s="429"/>
      <c r="CJ51" s="429"/>
      <c r="CK51" s="429"/>
      <c r="CL51" s="430"/>
    </row>
    <row r="52" spans="17:90" ht="14.25" customHeight="1">
      <c r="Q52" s="579"/>
      <c r="R52" s="579"/>
      <c r="S52" s="579"/>
      <c r="Z52" s="579"/>
      <c r="AA52" s="579"/>
      <c r="AB52" s="579"/>
      <c r="AI52" s="579"/>
      <c r="AJ52" s="579"/>
      <c r="AK52" s="579"/>
      <c r="AR52" s="579"/>
      <c r="AS52" s="579"/>
      <c r="AT52" s="579"/>
      <c r="BA52" s="579"/>
      <c r="BB52" s="579"/>
      <c r="BC52" s="579"/>
      <c r="BK52" s="427"/>
      <c r="BL52" s="427"/>
      <c r="BM52" s="428"/>
      <c r="BN52" s="427"/>
      <c r="BO52" s="427"/>
      <c r="BP52" s="429"/>
      <c r="BQ52" s="429"/>
      <c r="BR52" s="429"/>
      <c r="BS52" s="427"/>
      <c r="BT52" s="427"/>
      <c r="BU52" s="429"/>
      <c r="BV52" s="429"/>
      <c r="BW52" s="429"/>
      <c r="BX52" s="429"/>
      <c r="BY52" s="429"/>
      <c r="BZ52" s="429"/>
      <c r="CA52" s="429"/>
      <c r="CB52" s="429"/>
      <c r="CC52" s="429"/>
      <c r="CD52" s="429"/>
      <c r="CE52" s="429"/>
      <c r="CF52" s="429"/>
      <c r="CG52" s="429"/>
      <c r="CH52" s="429"/>
      <c r="CI52" s="429"/>
      <c r="CJ52" s="429"/>
      <c r="CK52" s="429"/>
      <c r="CL52" s="430"/>
    </row>
    <row r="53" spans="17:90" ht="14.25" customHeight="1">
      <c r="Q53" s="579"/>
      <c r="R53" s="579"/>
      <c r="S53" s="579"/>
      <c r="Z53" s="579"/>
      <c r="AA53" s="579"/>
      <c r="AB53" s="579"/>
      <c r="AI53" s="579"/>
      <c r="AJ53" s="579"/>
      <c r="AK53" s="579"/>
      <c r="AR53" s="579"/>
      <c r="AS53" s="579"/>
      <c r="AT53" s="579"/>
      <c r="BA53" s="579"/>
      <c r="BB53" s="579"/>
      <c r="BC53" s="579"/>
      <c r="BK53" s="427"/>
      <c r="BL53" s="427"/>
      <c r="BM53" s="428"/>
      <c r="BN53" s="427"/>
      <c r="BO53" s="427"/>
      <c r="BP53" s="429"/>
      <c r="BQ53" s="429"/>
      <c r="BR53" s="429"/>
      <c r="BS53" s="427"/>
      <c r="BT53" s="427"/>
      <c r="BU53" s="429"/>
      <c r="BV53" s="429"/>
      <c r="BW53" s="429"/>
      <c r="BX53" s="429"/>
      <c r="BY53" s="429"/>
      <c r="BZ53" s="429"/>
      <c r="CA53" s="429"/>
      <c r="CB53" s="429"/>
      <c r="CC53" s="429"/>
      <c r="CD53" s="429"/>
      <c r="CE53" s="429"/>
      <c r="CF53" s="429"/>
      <c r="CG53" s="429"/>
      <c r="CH53" s="429"/>
      <c r="CI53" s="429"/>
      <c r="CJ53" s="429"/>
      <c r="CK53" s="429"/>
      <c r="CL53" s="430"/>
    </row>
    <row r="54" spans="17:90" ht="14.25" customHeight="1">
      <c r="Q54" s="579"/>
      <c r="R54" s="579"/>
      <c r="S54" s="579"/>
      <c r="Z54" s="579"/>
      <c r="AA54" s="579"/>
      <c r="AB54" s="579"/>
      <c r="AI54" s="579"/>
      <c r="AJ54" s="579"/>
      <c r="AK54" s="579"/>
      <c r="AR54" s="579"/>
      <c r="AS54" s="579"/>
      <c r="AT54" s="579"/>
      <c r="BA54" s="579"/>
      <c r="BB54" s="579"/>
      <c r="BC54" s="579"/>
      <c r="BK54" s="427"/>
      <c r="BL54" s="427"/>
      <c r="BM54" s="428"/>
      <c r="BN54" s="427"/>
      <c r="BO54" s="427"/>
      <c r="BP54" s="429"/>
      <c r="BQ54" s="429"/>
      <c r="BR54" s="429"/>
      <c r="BS54" s="427"/>
      <c r="BT54" s="427"/>
      <c r="BU54" s="429"/>
      <c r="BV54" s="429"/>
      <c r="BW54" s="429"/>
      <c r="BX54" s="429"/>
      <c r="BY54" s="429"/>
      <c r="BZ54" s="429"/>
      <c r="CA54" s="429"/>
      <c r="CB54" s="429"/>
      <c r="CC54" s="429"/>
      <c r="CD54" s="429"/>
      <c r="CE54" s="429"/>
      <c r="CF54" s="429"/>
      <c r="CG54" s="429"/>
      <c r="CH54" s="429"/>
      <c r="CI54" s="429"/>
      <c r="CJ54" s="429"/>
      <c r="CK54" s="429"/>
      <c r="CL54" s="430"/>
    </row>
    <row r="55" spans="17:90" ht="14.25" customHeight="1">
      <c r="Q55" s="579"/>
      <c r="R55" s="579"/>
      <c r="S55" s="579"/>
      <c r="Z55" s="579"/>
      <c r="AA55" s="579"/>
      <c r="AB55" s="579"/>
      <c r="AI55" s="579"/>
      <c r="AJ55" s="579"/>
      <c r="AK55" s="579"/>
      <c r="AR55" s="579"/>
      <c r="AS55" s="579"/>
      <c r="AT55" s="579"/>
      <c r="BA55" s="579"/>
      <c r="BB55" s="579"/>
      <c r="BC55" s="579"/>
      <c r="BK55" s="427"/>
      <c r="BL55" s="427"/>
      <c r="BM55" s="428"/>
      <c r="BN55" s="427"/>
      <c r="BO55" s="427"/>
      <c r="BP55" s="429"/>
      <c r="BQ55" s="429"/>
      <c r="BR55" s="429"/>
      <c r="BS55" s="427"/>
      <c r="BT55" s="427"/>
      <c r="BU55" s="429"/>
      <c r="BV55" s="429"/>
      <c r="BW55" s="429"/>
      <c r="BX55" s="429"/>
      <c r="BY55" s="429"/>
      <c r="BZ55" s="429"/>
      <c r="CA55" s="429"/>
      <c r="CB55" s="429"/>
      <c r="CC55" s="429"/>
      <c r="CD55" s="429"/>
      <c r="CE55" s="429"/>
      <c r="CF55" s="429"/>
      <c r="CG55" s="429"/>
      <c r="CH55" s="429"/>
      <c r="CI55" s="429"/>
      <c r="CJ55" s="429"/>
      <c r="CK55" s="429"/>
      <c r="CL55" s="430"/>
    </row>
    <row r="56" spans="17:90" ht="14.25" customHeight="1">
      <c r="Q56" s="579"/>
      <c r="R56" s="579"/>
      <c r="S56" s="579"/>
      <c r="Z56" s="579"/>
      <c r="AA56" s="579"/>
      <c r="AB56" s="579"/>
      <c r="AI56" s="579"/>
      <c r="AJ56" s="579"/>
      <c r="AK56" s="579"/>
      <c r="AR56" s="579"/>
      <c r="AS56" s="579"/>
      <c r="AT56" s="579"/>
      <c r="BA56" s="579"/>
      <c r="BB56" s="579"/>
      <c r="BC56" s="579"/>
      <c r="BK56" s="581"/>
      <c r="BL56" s="581"/>
      <c r="BM56" s="582"/>
      <c r="BN56" s="581"/>
      <c r="BO56" s="581"/>
      <c r="BP56" s="430"/>
      <c r="BQ56" s="430"/>
      <c r="BR56" s="430"/>
      <c r="BS56" s="581"/>
      <c r="BT56" s="581"/>
      <c r="BU56" s="430"/>
      <c r="BV56" s="430"/>
      <c r="BW56" s="430"/>
      <c r="BX56" s="430"/>
      <c r="BY56" s="430"/>
      <c r="BZ56" s="430"/>
      <c r="CA56" s="430"/>
      <c r="CB56" s="430"/>
      <c r="CC56" s="430"/>
      <c r="CD56" s="430"/>
      <c r="CE56" s="430"/>
      <c r="CF56" s="430"/>
      <c r="CG56" s="430"/>
      <c r="CH56" s="430"/>
      <c r="CI56" s="430"/>
      <c r="CJ56" s="430"/>
      <c r="CK56" s="430"/>
      <c r="CL56" s="430"/>
    </row>
    <row r="57" spans="17:90" ht="14.25" customHeight="1">
      <c r="Q57" s="579"/>
      <c r="R57" s="579"/>
      <c r="S57" s="579"/>
      <c r="Z57" s="579"/>
      <c r="AA57" s="579"/>
      <c r="AB57" s="579"/>
      <c r="AI57" s="579"/>
      <c r="AJ57" s="579"/>
      <c r="AK57" s="579"/>
      <c r="AR57" s="579"/>
      <c r="AS57" s="579"/>
      <c r="AT57" s="579"/>
      <c r="BA57" s="579"/>
      <c r="BB57" s="579"/>
      <c r="BC57" s="579"/>
      <c r="BK57" s="581"/>
      <c r="BL57" s="581"/>
      <c r="BM57" s="582"/>
      <c r="BN57" s="581"/>
      <c r="BO57" s="581"/>
      <c r="BP57" s="430"/>
      <c r="BQ57" s="430"/>
      <c r="BR57" s="430"/>
      <c r="BS57" s="581"/>
      <c r="BT57" s="581"/>
      <c r="BU57" s="430"/>
      <c r="BV57" s="430"/>
      <c r="BW57" s="430"/>
      <c r="BX57" s="430"/>
      <c r="BY57" s="430"/>
      <c r="BZ57" s="430"/>
      <c r="CA57" s="430"/>
      <c r="CB57" s="430"/>
      <c r="CC57" s="430"/>
      <c r="CD57" s="430"/>
      <c r="CE57" s="430"/>
      <c r="CF57" s="430"/>
      <c r="CG57" s="430"/>
      <c r="CH57" s="430"/>
      <c r="CI57" s="430"/>
      <c r="CJ57" s="430"/>
      <c r="CK57" s="430"/>
      <c r="CL57" s="430"/>
    </row>
    <row r="58" spans="17:90" ht="14.25" customHeight="1">
      <c r="Q58" s="579"/>
      <c r="R58" s="579"/>
      <c r="S58" s="579"/>
      <c r="Z58" s="579"/>
      <c r="AA58" s="579"/>
      <c r="AB58" s="579"/>
      <c r="AI58" s="579"/>
      <c r="AJ58" s="579"/>
      <c r="AK58" s="579"/>
      <c r="AR58" s="579"/>
      <c r="AS58" s="579"/>
      <c r="AT58" s="579"/>
      <c r="BA58" s="579"/>
      <c r="BB58" s="579"/>
      <c r="BC58" s="579"/>
      <c r="BK58" s="581"/>
      <c r="BL58" s="581"/>
      <c r="BM58" s="582"/>
      <c r="BN58" s="581"/>
      <c r="BO58" s="581"/>
      <c r="BP58" s="430"/>
      <c r="BQ58" s="430"/>
      <c r="BR58" s="430"/>
      <c r="BS58" s="581"/>
      <c r="BT58" s="581"/>
      <c r="BU58" s="430"/>
      <c r="BV58" s="430"/>
      <c r="BW58" s="430"/>
      <c r="BX58" s="430"/>
      <c r="BY58" s="430"/>
      <c r="BZ58" s="430"/>
      <c r="CA58" s="430"/>
      <c r="CB58" s="430"/>
      <c r="CC58" s="430"/>
      <c r="CD58" s="430"/>
      <c r="CE58" s="430"/>
      <c r="CF58" s="430"/>
      <c r="CG58" s="430"/>
      <c r="CH58" s="430"/>
      <c r="CI58" s="430"/>
      <c r="CJ58" s="430"/>
      <c r="CK58" s="430"/>
      <c r="CL58" s="430"/>
    </row>
    <row r="59" spans="17:90" ht="14.25" customHeight="1">
      <c r="Q59" s="579"/>
      <c r="R59" s="579"/>
      <c r="S59" s="579"/>
      <c r="Z59" s="579"/>
      <c r="AA59" s="579"/>
      <c r="AB59" s="579"/>
      <c r="AI59" s="579"/>
      <c r="AJ59" s="579"/>
      <c r="AK59" s="579"/>
      <c r="AR59" s="579"/>
      <c r="AS59" s="579"/>
      <c r="AT59" s="579"/>
      <c r="BA59" s="579"/>
      <c r="BB59" s="579"/>
      <c r="BC59" s="579"/>
      <c r="BK59" s="581"/>
      <c r="BL59" s="581"/>
      <c r="BM59" s="582"/>
      <c r="BN59" s="581"/>
      <c r="BO59" s="581"/>
      <c r="BP59" s="430"/>
      <c r="BQ59" s="430"/>
      <c r="BR59" s="430"/>
      <c r="BS59" s="581"/>
      <c r="BT59" s="581"/>
      <c r="BU59" s="430"/>
      <c r="BV59" s="430"/>
      <c r="BW59" s="430"/>
      <c r="BX59" s="430"/>
      <c r="BY59" s="430"/>
      <c r="BZ59" s="430"/>
      <c r="CA59" s="430"/>
      <c r="CB59" s="430"/>
      <c r="CC59" s="430"/>
      <c r="CD59" s="430"/>
      <c r="CE59" s="430"/>
      <c r="CF59" s="430"/>
      <c r="CG59" s="430"/>
      <c r="CH59" s="430"/>
      <c r="CI59" s="430"/>
      <c r="CJ59" s="430"/>
      <c r="CK59" s="430"/>
      <c r="CL59" s="430"/>
    </row>
    <row r="60" spans="17:90" ht="14.25" customHeight="1">
      <c r="Q60" s="579"/>
      <c r="R60" s="579"/>
      <c r="S60" s="579"/>
      <c r="Z60" s="579"/>
      <c r="AA60" s="579"/>
      <c r="AB60" s="579"/>
      <c r="AI60" s="579"/>
      <c r="AJ60" s="579"/>
      <c r="AK60" s="579"/>
      <c r="AR60" s="579"/>
      <c r="AS60" s="579"/>
      <c r="AT60" s="579"/>
      <c r="BA60" s="579"/>
      <c r="BB60" s="579"/>
      <c r="BC60" s="579"/>
      <c r="BK60" s="581"/>
      <c r="BL60" s="581"/>
      <c r="BM60" s="582"/>
      <c r="BN60" s="581"/>
      <c r="BO60" s="581"/>
      <c r="BP60" s="430"/>
      <c r="BQ60" s="430"/>
      <c r="BR60" s="430"/>
      <c r="BS60" s="581"/>
      <c r="BT60" s="581"/>
      <c r="BU60" s="430"/>
      <c r="BV60" s="430"/>
      <c r="BW60" s="430"/>
      <c r="BX60" s="430"/>
      <c r="BY60" s="430"/>
      <c r="BZ60" s="430"/>
      <c r="CA60" s="430"/>
      <c r="CB60" s="430"/>
      <c r="CC60" s="430"/>
      <c r="CD60" s="430"/>
      <c r="CE60" s="430"/>
      <c r="CF60" s="430"/>
      <c r="CG60" s="430"/>
      <c r="CH60" s="430"/>
      <c r="CI60" s="430"/>
      <c r="CJ60" s="430"/>
      <c r="CK60" s="430"/>
      <c r="CL60" s="430"/>
    </row>
    <row r="61" spans="17:90" ht="14.25" customHeight="1">
      <c r="Q61" s="579"/>
      <c r="R61" s="579"/>
      <c r="S61" s="579"/>
      <c r="Z61" s="579"/>
      <c r="AA61" s="579"/>
      <c r="AB61" s="579"/>
      <c r="AI61" s="579"/>
      <c r="AJ61" s="579"/>
      <c r="AK61" s="579"/>
      <c r="AR61" s="579"/>
      <c r="AS61" s="579"/>
      <c r="AT61" s="579"/>
      <c r="BA61" s="579"/>
      <c r="BB61" s="579"/>
      <c r="BC61" s="579"/>
      <c r="BK61" s="581"/>
      <c r="BL61" s="581"/>
      <c r="BM61" s="582"/>
      <c r="BN61" s="581"/>
      <c r="BO61" s="581"/>
      <c r="BP61" s="430"/>
      <c r="BQ61" s="430"/>
      <c r="BR61" s="430"/>
      <c r="BS61" s="581"/>
      <c r="BT61" s="581"/>
      <c r="BU61" s="430"/>
      <c r="BV61" s="430"/>
      <c r="BW61" s="430"/>
      <c r="BX61" s="430"/>
      <c r="BY61" s="430"/>
      <c r="BZ61" s="430"/>
      <c r="CA61" s="430"/>
      <c r="CB61" s="430"/>
      <c r="CC61" s="430"/>
      <c r="CD61" s="430"/>
      <c r="CE61" s="430"/>
      <c r="CF61" s="430"/>
      <c r="CG61" s="430"/>
      <c r="CH61" s="430"/>
      <c r="CI61" s="430"/>
      <c r="CJ61" s="430"/>
      <c r="CK61" s="430"/>
      <c r="CL61" s="430"/>
    </row>
    <row r="62" spans="17:90" ht="14.25" customHeight="1">
      <c r="Q62" s="579"/>
      <c r="R62" s="579"/>
      <c r="S62" s="579"/>
      <c r="Z62" s="579"/>
      <c r="AA62" s="579"/>
      <c r="AB62" s="579"/>
      <c r="AI62" s="579"/>
      <c r="AJ62" s="579"/>
      <c r="AK62" s="579"/>
      <c r="AR62" s="579"/>
      <c r="AS62" s="579"/>
      <c r="AT62" s="579"/>
      <c r="BA62" s="579"/>
      <c r="BB62" s="579"/>
      <c r="BC62" s="579"/>
      <c r="BK62" s="581"/>
      <c r="BL62" s="581"/>
      <c r="BM62" s="582"/>
      <c r="BN62" s="581"/>
      <c r="BO62" s="581"/>
      <c r="BP62" s="430"/>
      <c r="BQ62" s="430"/>
      <c r="BR62" s="430"/>
      <c r="BS62" s="581"/>
      <c r="BT62" s="581"/>
      <c r="BU62" s="430"/>
      <c r="BV62" s="430"/>
      <c r="BW62" s="430"/>
      <c r="BX62" s="430"/>
      <c r="BY62" s="430"/>
      <c r="BZ62" s="430"/>
      <c r="CA62" s="430"/>
      <c r="CB62" s="430"/>
      <c r="CC62" s="430"/>
      <c r="CD62" s="430"/>
      <c r="CE62" s="430"/>
      <c r="CF62" s="430"/>
      <c r="CG62" s="430"/>
      <c r="CH62" s="430"/>
      <c r="CI62" s="430"/>
      <c r="CJ62" s="430"/>
      <c r="CK62" s="430"/>
      <c r="CL62" s="430"/>
    </row>
    <row r="63" spans="17:90" ht="14.25" customHeight="1">
      <c r="Q63" s="579"/>
      <c r="R63" s="579"/>
      <c r="S63" s="579"/>
      <c r="Z63" s="579"/>
      <c r="AA63" s="579"/>
      <c r="AB63" s="579"/>
      <c r="AI63" s="579"/>
      <c r="AJ63" s="579"/>
      <c r="AK63" s="579"/>
      <c r="AR63" s="579"/>
      <c r="AS63" s="579"/>
      <c r="AT63" s="579"/>
      <c r="BA63" s="579"/>
      <c r="BB63" s="579"/>
      <c r="BC63" s="579"/>
      <c r="BK63" s="581"/>
      <c r="BL63" s="581"/>
      <c r="BM63" s="582"/>
      <c r="BN63" s="581"/>
      <c r="BO63" s="581"/>
      <c r="BP63" s="430"/>
      <c r="BQ63" s="430"/>
      <c r="BR63" s="430"/>
      <c r="BS63" s="581"/>
      <c r="BT63" s="581"/>
      <c r="BU63" s="430"/>
      <c r="BV63" s="430"/>
      <c r="BW63" s="430"/>
      <c r="BX63" s="430"/>
      <c r="BY63" s="430"/>
      <c r="BZ63" s="430"/>
      <c r="CA63" s="430"/>
      <c r="CB63" s="430"/>
      <c r="CC63" s="430"/>
      <c r="CD63" s="430"/>
      <c r="CE63" s="430"/>
      <c r="CF63" s="430"/>
      <c r="CG63" s="430"/>
      <c r="CH63" s="430"/>
      <c r="CI63" s="430"/>
      <c r="CJ63" s="430"/>
      <c r="CK63" s="430"/>
      <c r="CL63" s="430"/>
    </row>
    <row r="64" spans="17:90" ht="14.25" customHeight="1">
      <c r="Q64" s="579"/>
      <c r="R64" s="579"/>
      <c r="S64" s="579"/>
      <c r="Z64" s="579"/>
      <c r="AA64" s="579"/>
      <c r="AB64" s="579"/>
      <c r="AI64" s="579"/>
      <c r="AJ64" s="579"/>
      <c r="AK64" s="579"/>
      <c r="AR64" s="579"/>
      <c r="AS64" s="579"/>
      <c r="AT64" s="579"/>
      <c r="BA64" s="579"/>
      <c r="BB64" s="579"/>
      <c r="BC64" s="579"/>
      <c r="BK64" s="581"/>
      <c r="BL64" s="581"/>
      <c r="BM64" s="582"/>
      <c r="BN64" s="581"/>
      <c r="BO64" s="581"/>
      <c r="BP64" s="430"/>
      <c r="BQ64" s="430"/>
      <c r="BR64" s="430"/>
      <c r="BS64" s="581"/>
      <c r="BT64" s="581"/>
      <c r="BU64" s="430"/>
      <c r="BV64" s="430"/>
      <c r="BW64" s="430"/>
      <c r="BX64" s="430"/>
      <c r="BY64" s="430"/>
      <c r="BZ64" s="430"/>
      <c r="CA64" s="430"/>
      <c r="CB64" s="430"/>
      <c r="CC64" s="430"/>
      <c r="CD64" s="430"/>
      <c r="CE64" s="430"/>
      <c r="CF64" s="430"/>
      <c r="CG64" s="430"/>
      <c r="CH64" s="430"/>
      <c r="CI64" s="430"/>
      <c r="CJ64" s="430"/>
      <c r="CK64" s="430"/>
      <c r="CL64" s="430"/>
    </row>
    <row r="65" spans="17:90" ht="14.25" customHeight="1">
      <c r="Q65" s="579"/>
      <c r="R65" s="579"/>
      <c r="S65" s="579"/>
      <c r="Z65" s="579"/>
      <c r="AA65" s="579"/>
      <c r="AB65" s="579"/>
      <c r="AI65" s="579"/>
      <c r="AJ65" s="579"/>
      <c r="AK65" s="579"/>
      <c r="AR65" s="579"/>
      <c r="AS65" s="579"/>
      <c r="AT65" s="579"/>
      <c r="BA65" s="579"/>
      <c r="BB65" s="579"/>
      <c r="BC65" s="579"/>
      <c r="BK65" s="581"/>
      <c r="BL65" s="581"/>
      <c r="BM65" s="582"/>
      <c r="BN65" s="581"/>
      <c r="BO65" s="581"/>
      <c r="BP65" s="430"/>
      <c r="BQ65" s="430"/>
      <c r="BR65" s="430"/>
      <c r="BS65" s="581"/>
      <c r="BT65" s="581"/>
      <c r="BU65" s="430"/>
      <c r="BV65" s="430"/>
      <c r="BW65" s="430"/>
      <c r="BX65" s="430"/>
      <c r="BY65" s="430"/>
      <c r="BZ65" s="430"/>
      <c r="CA65" s="430"/>
      <c r="CB65" s="430"/>
      <c r="CC65" s="430"/>
      <c r="CD65" s="430"/>
      <c r="CE65" s="430"/>
      <c r="CF65" s="430"/>
      <c r="CG65" s="430"/>
      <c r="CH65" s="430"/>
      <c r="CI65" s="430"/>
      <c r="CJ65" s="430"/>
      <c r="CK65" s="430"/>
      <c r="CL65" s="430"/>
    </row>
    <row r="66" spans="17:90" ht="14.25" customHeight="1">
      <c r="Q66" s="579"/>
      <c r="R66" s="579"/>
      <c r="S66" s="579"/>
      <c r="Z66" s="579"/>
      <c r="AA66" s="579"/>
      <c r="AB66" s="579"/>
      <c r="AI66" s="579"/>
      <c r="AJ66" s="579"/>
      <c r="AK66" s="579"/>
      <c r="AR66" s="579"/>
      <c r="AS66" s="579"/>
      <c r="AT66" s="579"/>
      <c r="BA66" s="579"/>
      <c r="BB66" s="579"/>
      <c r="BC66" s="579"/>
      <c r="BK66" s="581"/>
      <c r="BL66" s="581"/>
      <c r="BM66" s="582"/>
      <c r="BN66" s="581"/>
      <c r="BO66" s="581"/>
      <c r="BP66" s="430"/>
      <c r="BQ66" s="430"/>
      <c r="BR66" s="430"/>
      <c r="BS66" s="581"/>
      <c r="BT66" s="581"/>
      <c r="BU66" s="430"/>
      <c r="BV66" s="430"/>
      <c r="BW66" s="430"/>
      <c r="BX66" s="430"/>
      <c r="BY66" s="430"/>
      <c r="BZ66" s="430"/>
      <c r="CA66" s="430"/>
      <c r="CB66" s="430"/>
      <c r="CC66" s="430"/>
      <c r="CD66" s="430"/>
      <c r="CE66" s="430"/>
      <c r="CF66" s="430"/>
      <c r="CG66" s="430"/>
      <c r="CH66" s="430"/>
      <c r="CI66" s="430"/>
      <c r="CJ66" s="430"/>
      <c r="CK66" s="430"/>
      <c r="CL66" s="430"/>
    </row>
    <row r="67" spans="17:90" ht="14.25" customHeight="1">
      <c r="Q67" s="579"/>
      <c r="R67" s="579"/>
      <c r="S67" s="579"/>
      <c r="Z67" s="579"/>
      <c r="AA67" s="579"/>
      <c r="AB67" s="579"/>
      <c r="AI67" s="579"/>
      <c r="AJ67" s="579"/>
      <c r="AK67" s="579"/>
      <c r="AR67" s="579"/>
      <c r="AS67" s="579"/>
      <c r="AT67" s="579"/>
      <c r="BA67" s="579"/>
      <c r="BB67" s="579"/>
      <c r="BC67" s="579"/>
      <c r="BK67" s="581"/>
      <c r="BL67" s="581"/>
      <c r="BM67" s="582"/>
      <c r="BN67" s="581"/>
      <c r="BO67" s="581"/>
      <c r="BP67" s="430"/>
      <c r="BQ67" s="430"/>
      <c r="BR67" s="430"/>
      <c r="BS67" s="581"/>
      <c r="BT67" s="581"/>
      <c r="BU67" s="430"/>
      <c r="BV67" s="430"/>
      <c r="BW67" s="430"/>
      <c r="BX67" s="430"/>
      <c r="BY67" s="430"/>
      <c r="BZ67" s="430"/>
      <c r="CA67" s="430"/>
      <c r="CB67" s="430"/>
      <c r="CC67" s="430"/>
      <c r="CD67" s="430"/>
      <c r="CE67" s="430"/>
      <c r="CF67" s="430"/>
      <c r="CG67" s="430"/>
      <c r="CH67" s="430"/>
      <c r="CI67" s="430"/>
      <c r="CJ67" s="430"/>
      <c r="CK67" s="430"/>
      <c r="CL67" s="430"/>
    </row>
    <row r="68" spans="17:90" ht="14.25" customHeight="1">
      <c r="Q68" s="579"/>
      <c r="R68" s="579"/>
      <c r="S68" s="579"/>
      <c r="Z68" s="579"/>
      <c r="AA68" s="579"/>
      <c r="AB68" s="579"/>
      <c r="AI68" s="579"/>
      <c r="AJ68" s="579"/>
      <c r="AK68" s="579"/>
      <c r="AR68" s="579"/>
      <c r="AS68" s="579"/>
      <c r="AT68" s="579"/>
      <c r="BA68" s="579"/>
      <c r="BB68" s="579"/>
      <c r="BC68" s="579"/>
      <c r="BK68" s="581"/>
      <c r="BL68" s="581"/>
      <c r="BM68" s="582"/>
      <c r="BN68" s="581"/>
      <c r="BO68" s="581"/>
      <c r="BP68" s="430"/>
      <c r="BQ68" s="430"/>
      <c r="BR68" s="430"/>
      <c r="BS68" s="581"/>
      <c r="BT68" s="581"/>
      <c r="BU68" s="430"/>
      <c r="BV68" s="430"/>
      <c r="BW68" s="430"/>
      <c r="BX68" s="430"/>
      <c r="BY68" s="430"/>
      <c r="BZ68" s="430"/>
      <c r="CA68" s="430"/>
      <c r="CB68" s="430"/>
      <c r="CC68" s="430"/>
      <c r="CD68" s="430"/>
      <c r="CE68" s="430"/>
      <c r="CF68" s="430"/>
      <c r="CG68" s="430"/>
      <c r="CH68" s="430"/>
      <c r="CI68" s="430"/>
      <c r="CJ68" s="430"/>
      <c r="CK68" s="430"/>
      <c r="CL68" s="430"/>
    </row>
    <row r="69" spans="17:90" ht="14.25" customHeight="1">
      <c r="Q69" s="579"/>
      <c r="R69" s="579"/>
      <c r="S69" s="579"/>
      <c r="Z69" s="579"/>
      <c r="AA69" s="579"/>
      <c r="AB69" s="579"/>
      <c r="AI69" s="579"/>
      <c r="AJ69" s="579"/>
      <c r="AK69" s="579"/>
      <c r="AR69" s="579"/>
      <c r="AS69" s="579"/>
      <c r="AT69" s="579"/>
      <c r="BA69" s="579"/>
      <c r="BB69" s="579"/>
      <c r="BC69" s="579"/>
      <c r="BK69" s="581"/>
      <c r="BL69" s="581"/>
      <c r="BM69" s="582"/>
      <c r="BN69" s="581"/>
      <c r="BO69" s="581"/>
      <c r="BP69" s="430"/>
      <c r="BQ69" s="430"/>
      <c r="BR69" s="430"/>
      <c r="BS69" s="581"/>
      <c r="BT69" s="581"/>
      <c r="BU69" s="430"/>
      <c r="BV69" s="430"/>
      <c r="BW69" s="430"/>
      <c r="BX69" s="430"/>
      <c r="BY69" s="430"/>
      <c r="BZ69" s="430"/>
      <c r="CA69" s="430"/>
      <c r="CB69" s="430"/>
      <c r="CC69" s="430"/>
      <c r="CD69" s="430"/>
      <c r="CE69" s="430"/>
      <c r="CF69" s="430"/>
      <c r="CG69" s="430"/>
      <c r="CH69" s="430"/>
      <c r="CI69" s="430"/>
      <c r="CJ69" s="430"/>
      <c r="CK69" s="430"/>
      <c r="CL69" s="430"/>
    </row>
    <row r="70" spans="17:90" ht="14.25" customHeight="1">
      <c r="Q70" s="579"/>
      <c r="R70" s="579"/>
      <c r="S70" s="579"/>
      <c r="Z70" s="579"/>
      <c r="AA70" s="579"/>
      <c r="AB70" s="579"/>
      <c r="AI70" s="579"/>
      <c r="AJ70" s="579"/>
      <c r="AK70" s="579"/>
      <c r="AR70" s="579"/>
      <c r="AS70" s="579"/>
      <c r="AT70" s="579"/>
      <c r="BA70" s="579"/>
      <c r="BB70" s="579"/>
      <c r="BC70" s="579"/>
      <c r="BK70" s="581"/>
      <c r="BL70" s="581"/>
      <c r="BM70" s="582"/>
      <c r="BN70" s="581"/>
      <c r="BO70" s="581"/>
      <c r="BP70" s="430"/>
      <c r="BQ70" s="430"/>
      <c r="BR70" s="430"/>
      <c r="BS70" s="581"/>
      <c r="BT70" s="581"/>
      <c r="BU70" s="430"/>
      <c r="BV70" s="430"/>
      <c r="BW70" s="430"/>
      <c r="BX70" s="430"/>
      <c r="BY70" s="430"/>
      <c r="BZ70" s="430"/>
      <c r="CA70" s="430"/>
      <c r="CB70" s="430"/>
      <c r="CC70" s="430"/>
      <c r="CD70" s="430"/>
      <c r="CE70" s="430"/>
      <c r="CF70" s="430"/>
      <c r="CG70" s="430"/>
      <c r="CH70" s="430"/>
      <c r="CI70" s="430"/>
      <c r="CJ70" s="430"/>
      <c r="CK70" s="430"/>
      <c r="CL70" s="430"/>
    </row>
    <row r="71" spans="17:90" ht="14.25" customHeight="1">
      <c r="Q71" s="579"/>
      <c r="R71" s="579"/>
      <c r="S71" s="579"/>
      <c r="Z71" s="579"/>
      <c r="AA71" s="579"/>
      <c r="AB71" s="579"/>
      <c r="AI71" s="579"/>
      <c r="AJ71" s="579"/>
      <c r="AK71" s="579"/>
      <c r="AR71" s="579"/>
      <c r="AS71" s="579"/>
      <c r="AT71" s="579"/>
      <c r="BA71" s="579"/>
      <c r="BB71" s="579"/>
      <c r="BC71" s="579"/>
      <c r="BK71" s="581"/>
      <c r="BL71" s="581"/>
      <c r="BM71" s="582"/>
      <c r="BN71" s="581"/>
      <c r="BO71" s="581"/>
      <c r="BP71" s="430"/>
      <c r="BQ71" s="430"/>
      <c r="BR71" s="430"/>
      <c r="BS71" s="581"/>
      <c r="BT71" s="581"/>
      <c r="BU71" s="430"/>
      <c r="BV71" s="430"/>
      <c r="BW71" s="430"/>
      <c r="BX71" s="430"/>
      <c r="BY71" s="430"/>
      <c r="BZ71" s="430"/>
      <c r="CA71" s="430"/>
      <c r="CB71" s="430"/>
      <c r="CC71" s="430"/>
      <c r="CD71" s="430"/>
      <c r="CE71" s="430"/>
      <c r="CF71" s="430"/>
      <c r="CG71" s="430"/>
      <c r="CH71" s="430"/>
      <c r="CI71" s="430"/>
      <c r="CJ71" s="430"/>
      <c r="CK71" s="430"/>
      <c r="CL71" s="430"/>
    </row>
    <row r="72" spans="17:90" ht="14.25" customHeight="1">
      <c r="Q72" s="579"/>
      <c r="R72" s="579"/>
      <c r="S72" s="579"/>
      <c r="Z72" s="579"/>
      <c r="AA72" s="579"/>
      <c r="AB72" s="579"/>
      <c r="AI72" s="579"/>
      <c r="AJ72" s="579"/>
      <c r="AK72" s="579"/>
      <c r="AR72" s="579"/>
      <c r="AS72" s="579"/>
      <c r="AT72" s="579"/>
      <c r="BA72" s="579"/>
      <c r="BB72" s="579"/>
      <c r="BC72" s="579"/>
      <c r="BK72" s="581"/>
      <c r="BL72" s="581"/>
      <c r="BM72" s="582"/>
      <c r="BN72" s="581"/>
      <c r="BO72" s="581"/>
      <c r="BP72" s="430"/>
      <c r="BQ72" s="430"/>
      <c r="BR72" s="430"/>
      <c r="BS72" s="581"/>
      <c r="BT72" s="581"/>
      <c r="BU72" s="430"/>
      <c r="BV72" s="430"/>
      <c r="BW72" s="430"/>
      <c r="BX72" s="430"/>
      <c r="BY72" s="430"/>
      <c r="BZ72" s="430"/>
      <c r="CA72" s="430"/>
      <c r="CB72" s="430"/>
      <c r="CC72" s="430"/>
      <c r="CD72" s="430"/>
      <c r="CE72" s="430"/>
      <c r="CF72" s="430"/>
      <c r="CG72" s="430"/>
      <c r="CH72" s="430"/>
      <c r="CI72" s="430"/>
      <c r="CJ72" s="430"/>
      <c r="CK72" s="430"/>
      <c r="CL72" s="430"/>
    </row>
    <row r="73" spans="17:90" ht="14.25" customHeight="1">
      <c r="Q73" s="579"/>
      <c r="R73" s="579"/>
      <c r="S73" s="579"/>
      <c r="Z73" s="579"/>
      <c r="AA73" s="579"/>
      <c r="AB73" s="579"/>
      <c r="AI73" s="579"/>
      <c r="AJ73" s="579"/>
      <c r="AK73" s="579"/>
      <c r="AR73" s="579"/>
      <c r="AS73" s="579"/>
      <c r="AT73" s="579"/>
      <c r="BA73" s="579"/>
      <c r="BB73" s="579"/>
      <c r="BC73" s="579"/>
      <c r="BK73" s="581"/>
      <c r="BL73" s="581"/>
      <c r="BM73" s="582"/>
      <c r="BN73" s="581"/>
      <c r="BO73" s="581"/>
      <c r="BP73" s="430"/>
      <c r="BQ73" s="430"/>
      <c r="BR73" s="430"/>
      <c r="BS73" s="581"/>
      <c r="BT73" s="581"/>
      <c r="BU73" s="430"/>
      <c r="BV73" s="430"/>
      <c r="BW73" s="430"/>
      <c r="BX73" s="430"/>
      <c r="BY73" s="430"/>
      <c r="BZ73" s="430"/>
      <c r="CA73" s="430"/>
      <c r="CB73" s="430"/>
      <c r="CC73" s="430"/>
      <c r="CD73" s="430"/>
      <c r="CE73" s="430"/>
      <c r="CF73" s="430"/>
      <c r="CG73" s="430"/>
      <c r="CH73" s="430"/>
      <c r="CI73" s="430"/>
      <c r="CJ73" s="430"/>
      <c r="CK73" s="430"/>
      <c r="CL73" s="430"/>
    </row>
    <row r="74" spans="17:90" ht="14.25" customHeight="1">
      <c r="Q74" s="579"/>
      <c r="R74" s="579"/>
      <c r="S74" s="579"/>
      <c r="Z74" s="579"/>
      <c r="AA74" s="579"/>
      <c r="AB74" s="579"/>
      <c r="AI74" s="579"/>
      <c r="AJ74" s="579"/>
      <c r="AK74" s="579"/>
      <c r="AR74" s="579"/>
      <c r="AS74" s="579"/>
      <c r="AT74" s="579"/>
      <c r="BA74" s="579"/>
      <c r="BB74" s="579"/>
      <c r="BC74" s="579"/>
      <c r="BK74" s="581"/>
      <c r="BL74" s="581"/>
      <c r="BM74" s="582"/>
      <c r="BN74" s="581"/>
      <c r="BO74" s="581"/>
      <c r="BP74" s="430"/>
      <c r="BQ74" s="430"/>
      <c r="BR74" s="430"/>
      <c r="BS74" s="581"/>
      <c r="BT74" s="581"/>
      <c r="BU74" s="430"/>
      <c r="BV74" s="430"/>
      <c r="BW74" s="430"/>
      <c r="BX74" s="430"/>
      <c r="BY74" s="430"/>
      <c r="BZ74" s="430"/>
      <c r="CA74" s="430"/>
      <c r="CB74" s="430"/>
      <c r="CC74" s="430"/>
      <c r="CD74" s="430"/>
      <c r="CE74" s="430"/>
      <c r="CF74" s="430"/>
      <c r="CG74" s="430"/>
      <c r="CH74" s="430"/>
      <c r="CI74" s="430"/>
      <c r="CJ74" s="430"/>
      <c r="CK74" s="430"/>
      <c r="CL74" s="430"/>
    </row>
    <row r="75" spans="17:90" ht="14.25" customHeight="1">
      <c r="Q75" s="579"/>
      <c r="R75" s="579"/>
      <c r="S75" s="579"/>
      <c r="Z75" s="579"/>
      <c r="AA75" s="579"/>
      <c r="AB75" s="579"/>
      <c r="AI75" s="579"/>
      <c r="AJ75" s="579"/>
      <c r="AK75" s="579"/>
      <c r="AR75" s="579"/>
      <c r="AS75" s="579"/>
      <c r="AT75" s="579"/>
      <c r="BA75" s="579"/>
      <c r="BB75" s="579"/>
      <c r="BC75" s="579"/>
      <c r="BK75" s="581"/>
      <c r="BL75" s="581"/>
      <c r="BM75" s="582"/>
      <c r="BN75" s="581"/>
      <c r="BO75" s="581"/>
      <c r="BP75" s="430"/>
      <c r="BQ75" s="430"/>
      <c r="BR75" s="430"/>
      <c r="BS75" s="581"/>
      <c r="BT75" s="581"/>
      <c r="BU75" s="430"/>
      <c r="BV75" s="430"/>
      <c r="BW75" s="430"/>
      <c r="BX75" s="430"/>
      <c r="BY75" s="430"/>
      <c r="BZ75" s="430"/>
      <c r="CA75" s="430"/>
      <c r="CB75" s="430"/>
      <c r="CC75" s="430"/>
      <c r="CD75" s="430"/>
      <c r="CE75" s="430"/>
      <c r="CF75" s="430"/>
      <c r="CG75" s="430"/>
      <c r="CH75" s="430"/>
      <c r="CI75" s="430"/>
      <c r="CJ75" s="430"/>
      <c r="CK75" s="430"/>
      <c r="CL75" s="430"/>
    </row>
    <row r="76" spans="17:90" ht="14.25" customHeight="1">
      <c r="Q76" s="579"/>
      <c r="R76" s="579"/>
      <c r="S76" s="579"/>
      <c r="Z76" s="579"/>
      <c r="AA76" s="579"/>
      <c r="AB76" s="579"/>
      <c r="AI76" s="579"/>
      <c r="AJ76" s="579"/>
      <c r="AK76" s="579"/>
      <c r="AR76" s="579"/>
      <c r="AS76" s="579"/>
      <c r="AT76" s="579"/>
      <c r="BA76" s="579"/>
      <c r="BB76" s="579"/>
      <c r="BC76" s="579"/>
      <c r="BK76" s="581"/>
      <c r="BL76" s="581"/>
      <c r="BM76" s="582"/>
      <c r="BN76" s="581"/>
      <c r="BO76" s="581"/>
      <c r="BP76" s="430"/>
      <c r="BQ76" s="430"/>
      <c r="BR76" s="430"/>
      <c r="BS76" s="581"/>
      <c r="BT76" s="581"/>
      <c r="BU76" s="430"/>
      <c r="BV76" s="430"/>
      <c r="BW76" s="430"/>
      <c r="BX76" s="430"/>
      <c r="BY76" s="430"/>
      <c r="BZ76" s="430"/>
      <c r="CA76" s="430"/>
      <c r="CB76" s="430"/>
      <c r="CC76" s="430"/>
      <c r="CD76" s="430"/>
      <c r="CE76" s="430"/>
      <c r="CF76" s="430"/>
      <c r="CG76" s="430"/>
      <c r="CH76" s="430"/>
      <c r="CI76" s="430"/>
      <c r="CJ76" s="430"/>
      <c r="CK76" s="430"/>
      <c r="CL76" s="430"/>
    </row>
    <row r="77" spans="17:90" ht="14.25" customHeight="1">
      <c r="Q77" s="579"/>
      <c r="R77" s="579"/>
      <c r="S77" s="579"/>
      <c r="Z77" s="579"/>
      <c r="AA77" s="579"/>
      <c r="AB77" s="579"/>
      <c r="AI77" s="579"/>
      <c r="AJ77" s="579"/>
      <c r="AK77" s="579"/>
      <c r="AR77" s="579"/>
      <c r="AS77" s="579"/>
      <c r="AT77" s="579"/>
      <c r="BA77" s="579"/>
      <c r="BB77" s="579"/>
      <c r="BC77" s="579"/>
      <c r="BK77" s="581"/>
      <c r="BL77" s="581"/>
      <c r="BM77" s="582"/>
      <c r="BN77" s="581"/>
      <c r="BO77" s="581"/>
      <c r="BP77" s="430"/>
      <c r="BQ77" s="430"/>
      <c r="BR77" s="430"/>
      <c r="BS77" s="581"/>
      <c r="BT77" s="581"/>
      <c r="BU77" s="430"/>
      <c r="BV77" s="430"/>
      <c r="BW77" s="430"/>
      <c r="BX77" s="430"/>
      <c r="BY77" s="430"/>
      <c r="BZ77" s="430"/>
      <c r="CA77" s="430"/>
      <c r="CB77" s="430"/>
      <c r="CC77" s="430"/>
      <c r="CD77" s="430"/>
      <c r="CE77" s="430"/>
      <c r="CF77" s="430"/>
      <c r="CG77" s="430"/>
      <c r="CH77" s="430"/>
      <c r="CI77" s="430"/>
      <c r="CJ77" s="430"/>
      <c r="CK77" s="430"/>
      <c r="CL77" s="430"/>
    </row>
    <row r="78" spans="17:90" ht="14.25" customHeight="1">
      <c r="Q78" s="579"/>
      <c r="R78" s="579"/>
      <c r="S78" s="579"/>
      <c r="Z78" s="579"/>
      <c r="AA78" s="579"/>
      <c r="AB78" s="579"/>
      <c r="AI78" s="579"/>
      <c r="AJ78" s="579"/>
      <c r="AK78" s="579"/>
      <c r="AR78" s="579"/>
      <c r="AS78" s="579"/>
      <c r="AT78" s="579"/>
      <c r="BA78" s="579"/>
      <c r="BB78" s="579"/>
      <c r="BC78" s="579"/>
      <c r="BK78" s="581"/>
      <c r="BL78" s="581"/>
      <c r="BM78" s="582"/>
      <c r="BN78" s="581"/>
      <c r="BO78" s="581"/>
      <c r="BP78" s="430"/>
      <c r="BQ78" s="430"/>
      <c r="BR78" s="430"/>
      <c r="BS78" s="581"/>
      <c r="BT78" s="581"/>
      <c r="BU78" s="430"/>
      <c r="BV78" s="430"/>
      <c r="BW78" s="430"/>
      <c r="BX78" s="430"/>
      <c r="BY78" s="430"/>
      <c r="BZ78" s="430"/>
      <c r="CA78" s="430"/>
      <c r="CB78" s="430"/>
      <c r="CC78" s="430"/>
      <c r="CD78" s="430"/>
      <c r="CE78" s="430"/>
      <c r="CF78" s="430"/>
      <c r="CG78" s="430"/>
      <c r="CH78" s="430"/>
      <c r="CI78" s="430"/>
      <c r="CJ78" s="430"/>
      <c r="CK78" s="430"/>
      <c r="CL78" s="430"/>
    </row>
    <row r="79" spans="17:90" ht="14.25" customHeight="1">
      <c r="Q79" s="579"/>
      <c r="R79" s="579"/>
      <c r="S79" s="579"/>
      <c r="Z79" s="579"/>
      <c r="AA79" s="579"/>
      <c r="AB79" s="579"/>
      <c r="AI79" s="579"/>
      <c r="AJ79" s="579"/>
      <c r="AK79" s="579"/>
      <c r="AR79" s="579"/>
      <c r="AS79" s="579"/>
      <c r="AT79" s="579"/>
      <c r="BA79" s="579"/>
      <c r="BB79" s="579"/>
      <c r="BC79" s="579"/>
      <c r="BK79" s="581"/>
      <c r="BL79" s="581"/>
      <c r="BM79" s="582"/>
      <c r="BN79" s="581"/>
      <c r="BO79" s="581"/>
      <c r="BP79" s="430"/>
      <c r="BQ79" s="430"/>
      <c r="BR79" s="430"/>
      <c r="BS79" s="581"/>
      <c r="BT79" s="581"/>
      <c r="BU79" s="430"/>
      <c r="BV79" s="430"/>
      <c r="BW79" s="430"/>
      <c r="BX79" s="430"/>
      <c r="BY79" s="430"/>
      <c r="BZ79" s="430"/>
      <c r="CA79" s="430"/>
      <c r="CB79" s="430"/>
      <c r="CC79" s="430"/>
      <c r="CD79" s="430"/>
      <c r="CE79" s="430"/>
      <c r="CF79" s="430"/>
      <c r="CG79" s="430"/>
      <c r="CH79" s="430"/>
      <c r="CI79" s="430"/>
      <c r="CJ79" s="430"/>
      <c r="CK79" s="430"/>
      <c r="CL79" s="430"/>
    </row>
    <row r="80" spans="17:90" ht="14.25" customHeight="1">
      <c r="Q80" s="579"/>
      <c r="R80" s="579"/>
      <c r="S80" s="579"/>
      <c r="Z80" s="579"/>
      <c r="AA80" s="579"/>
      <c r="AB80" s="579"/>
      <c r="AI80" s="579"/>
      <c r="AJ80" s="579"/>
      <c r="AK80" s="579"/>
      <c r="AR80" s="579"/>
      <c r="AS80" s="579"/>
      <c r="AT80" s="579"/>
      <c r="BA80" s="579"/>
      <c r="BB80" s="579"/>
      <c r="BC80" s="579"/>
      <c r="BK80" s="581"/>
      <c r="BL80" s="581"/>
      <c r="BM80" s="582"/>
      <c r="BN80" s="581"/>
      <c r="BO80" s="581"/>
      <c r="BP80" s="430"/>
      <c r="BQ80" s="430"/>
      <c r="BR80" s="430"/>
      <c r="BS80" s="581"/>
      <c r="BT80" s="581"/>
      <c r="BU80" s="430"/>
      <c r="BV80" s="430"/>
      <c r="BW80" s="430"/>
      <c r="BX80" s="430"/>
      <c r="BY80" s="430"/>
      <c r="BZ80" s="430"/>
      <c r="CA80" s="430"/>
      <c r="CB80" s="430"/>
      <c r="CC80" s="430"/>
      <c r="CD80" s="430"/>
      <c r="CE80" s="430"/>
      <c r="CF80" s="430"/>
      <c r="CG80" s="430"/>
      <c r="CH80" s="430"/>
      <c r="CI80" s="430"/>
      <c r="CJ80" s="430"/>
      <c r="CK80" s="430"/>
      <c r="CL80" s="430"/>
    </row>
    <row r="81" spans="17:90" ht="14.25" customHeight="1">
      <c r="Q81" s="579"/>
      <c r="R81" s="579"/>
      <c r="S81" s="579"/>
      <c r="Z81" s="579"/>
      <c r="AA81" s="579"/>
      <c r="AB81" s="579"/>
      <c r="AI81" s="579"/>
      <c r="AJ81" s="579"/>
      <c r="AK81" s="579"/>
      <c r="AR81" s="579"/>
      <c r="AS81" s="579"/>
      <c r="AT81" s="579"/>
      <c r="BA81" s="579"/>
      <c r="BB81" s="579"/>
      <c r="BC81" s="579"/>
      <c r="BK81" s="581"/>
      <c r="BL81" s="581"/>
      <c r="BM81" s="582"/>
      <c r="BN81" s="581"/>
      <c r="BO81" s="581"/>
      <c r="BP81" s="430"/>
      <c r="BQ81" s="430"/>
      <c r="BR81" s="430"/>
      <c r="BS81" s="581"/>
      <c r="BT81" s="581"/>
      <c r="BU81" s="430"/>
      <c r="BV81" s="430"/>
      <c r="BW81" s="430"/>
      <c r="BX81" s="430"/>
      <c r="BY81" s="430"/>
      <c r="BZ81" s="430"/>
      <c r="CA81" s="430"/>
      <c r="CB81" s="430"/>
      <c r="CC81" s="430"/>
      <c r="CD81" s="430"/>
      <c r="CE81" s="430"/>
      <c r="CF81" s="430"/>
      <c r="CG81" s="430"/>
      <c r="CH81" s="430"/>
      <c r="CI81" s="430"/>
      <c r="CJ81" s="430"/>
      <c r="CK81" s="430"/>
      <c r="CL81" s="430"/>
    </row>
    <row r="82" spans="17:90" ht="14.25" customHeight="1">
      <c r="Q82" s="579"/>
      <c r="R82" s="579"/>
      <c r="S82" s="579"/>
      <c r="Z82" s="579"/>
      <c r="AA82" s="579"/>
      <c r="AB82" s="579"/>
      <c r="AI82" s="579"/>
      <c r="AJ82" s="579"/>
      <c r="AK82" s="579"/>
      <c r="AR82" s="579"/>
      <c r="AS82" s="579"/>
      <c r="AT82" s="579"/>
      <c r="BA82" s="579"/>
      <c r="BB82" s="579"/>
      <c r="BC82" s="579"/>
      <c r="BK82" s="581"/>
      <c r="BL82" s="581"/>
      <c r="BM82" s="582"/>
      <c r="BN82" s="581"/>
      <c r="BO82" s="581"/>
      <c r="BP82" s="430"/>
      <c r="BQ82" s="430"/>
      <c r="BR82" s="430"/>
      <c r="BS82" s="581"/>
      <c r="BT82" s="581"/>
      <c r="BU82" s="430"/>
      <c r="BV82" s="430"/>
      <c r="BW82" s="430"/>
      <c r="BX82" s="430"/>
      <c r="BY82" s="430"/>
      <c r="BZ82" s="430"/>
      <c r="CA82" s="430"/>
      <c r="CB82" s="430"/>
      <c r="CC82" s="430"/>
      <c r="CD82" s="430"/>
      <c r="CE82" s="430"/>
      <c r="CF82" s="430"/>
      <c r="CG82" s="430"/>
      <c r="CH82" s="430"/>
      <c r="CI82" s="430"/>
      <c r="CJ82" s="430"/>
      <c r="CK82" s="430"/>
      <c r="CL82" s="430"/>
    </row>
    <row r="83" spans="17:90" ht="14.25" customHeight="1">
      <c r="Q83" s="579"/>
      <c r="R83" s="579"/>
      <c r="S83" s="579"/>
      <c r="Z83" s="579"/>
      <c r="AA83" s="579"/>
      <c r="AB83" s="579"/>
      <c r="AI83" s="579"/>
      <c r="AJ83" s="579"/>
      <c r="AK83" s="579"/>
      <c r="AR83" s="579"/>
      <c r="AS83" s="579"/>
      <c r="AT83" s="579"/>
      <c r="BA83" s="579"/>
      <c r="BB83" s="579"/>
      <c r="BC83" s="579"/>
      <c r="BK83" s="581"/>
      <c r="BL83" s="581"/>
      <c r="BM83" s="582"/>
      <c r="BN83" s="581"/>
      <c r="BO83" s="581"/>
      <c r="BP83" s="430"/>
      <c r="BQ83" s="430"/>
      <c r="BR83" s="430"/>
      <c r="BS83" s="581"/>
      <c r="BT83" s="581"/>
      <c r="BU83" s="430"/>
      <c r="BV83" s="430"/>
      <c r="BW83" s="430"/>
      <c r="BX83" s="430"/>
      <c r="BY83" s="430"/>
      <c r="BZ83" s="430"/>
      <c r="CA83" s="430"/>
      <c r="CB83" s="430"/>
      <c r="CC83" s="430"/>
      <c r="CD83" s="430"/>
      <c r="CE83" s="430"/>
      <c r="CF83" s="430"/>
      <c r="CG83" s="430"/>
      <c r="CH83" s="430"/>
      <c r="CI83" s="430"/>
      <c r="CJ83" s="430"/>
      <c r="CK83" s="430"/>
      <c r="CL83" s="430"/>
    </row>
    <row r="84" spans="17:90" ht="14.25" customHeight="1">
      <c r="Q84" s="579"/>
      <c r="R84" s="579"/>
      <c r="S84" s="579"/>
      <c r="Z84" s="579"/>
      <c r="AA84" s="579"/>
      <c r="AB84" s="579"/>
      <c r="AI84" s="579"/>
      <c r="AJ84" s="579"/>
      <c r="AK84" s="579"/>
      <c r="AR84" s="579"/>
      <c r="AS84" s="579"/>
      <c r="AT84" s="579"/>
      <c r="BA84" s="579"/>
      <c r="BB84" s="579"/>
      <c r="BC84" s="579"/>
      <c r="BK84" s="581"/>
      <c r="BL84" s="581"/>
      <c r="BM84" s="582"/>
      <c r="BN84" s="581"/>
      <c r="BO84" s="581"/>
      <c r="BP84" s="430"/>
      <c r="BQ84" s="430"/>
      <c r="BR84" s="430"/>
      <c r="BS84" s="581"/>
      <c r="BT84" s="581"/>
      <c r="BU84" s="430"/>
      <c r="BV84" s="430"/>
      <c r="BW84" s="430"/>
      <c r="BX84" s="430"/>
      <c r="BY84" s="430"/>
      <c r="BZ84" s="430"/>
      <c r="CA84" s="430"/>
      <c r="CB84" s="430"/>
      <c r="CC84" s="430"/>
      <c r="CD84" s="430"/>
      <c r="CE84" s="430"/>
      <c r="CF84" s="430"/>
      <c r="CG84" s="430"/>
      <c r="CH84" s="430"/>
      <c r="CI84" s="430"/>
      <c r="CJ84" s="430"/>
      <c r="CK84" s="430"/>
      <c r="CL84" s="430"/>
    </row>
    <row r="85" spans="17:90" ht="14.25" customHeight="1">
      <c r="BK85" s="581"/>
      <c r="BL85" s="581"/>
      <c r="BM85" s="582"/>
      <c r="BN85" s="581"/>
      <c r="BO85" s="581"/>
      <c r="BP85" s="430"/>
      <c r="BQ85" s="430"/>
      <c r="BR85" s="430"/>
      <c r="BS85" s="581"/>
      <c r="BT85" s="581"/>
      <c r="BU85" s="430"/>
      <c r="BV85" s="430"/>
      <c r="BW85" s="430"/>
      <c r="BX85" s="430"/>
      <c r="BY85" s="430"/>
      <c r="BZ85" s="430"/>
      <c r="CA85" s="430"/>
      <c r="CB85" s="430"/>
      <c r="CC85" s="430"/>
      <c r="CD85" s="430"/>
      <c r="CE85" s="430"/>
      <c r="CF85" s="430"/>
      <c r="CG85" s="430"/>
      <c r="CH85" s="430"/>
      <c r="CI85" s="430"/>
      <c r="CJ85" s="430"/>
      <c r="CK85" s="430"/>
      <c r="CL85" s="430"/>
    </row>
    <row r="86" spans="17:90" ht="14.25" customHeight="1">
      <c r="BK86" s="581"/>
      <c r="BL86" s="581"/>
      <c r="BM86" s="582"/>
      <c r="BN86" s="581"/>
      <c r="BO86" s="581"/>
      <c r="BP86" s="430"/>
      <c r="BQ86" s="430"/>
      <c r="BR86" s="430"/>
      <c r="BS86" s="581"/>
      <c r="BT86" s="581"/>
      <c r="BU86" s="430"/>
      <c r="BV86" s="430"/>
      <c r="BW86" s="430"/>
      <c r="BX86" s="430"/>
      <c r="BY86" s="430"/>
      <c r="BZ86" s="430"/>
      <c r="CA86" s="430"/>
      <c r="CB86" s="430"/>
      <c r="CC86" s="430"/>
      <c r="CD86" s="430"/>
      <c r="CE86" s="430"/>
      <c r="CF86" s="430"/>
      <c r="CG86" s="430"/>
      <c r="CH86" s="430"/>
      <c r="CI86" s="430"/>
      <c r="CJ86" s="430"/>
      <c r="CK86" s="430"/>
      <c r="CL86" s="430"/>
    </row>
    <row r="87" spans="17:90" ht="14.25" customHeight="1">
      <c r="BK87" s="581"/>
      <c r="BL87" s="581"/>
      <c r="BM87" s="582"/>
      <c r="BN87" s="581"/>
      <c r="BO87" s="581"/>
      <c r="BP87" s="430"/>
      <c r="BQ87" s="430"/>
      <c r="BR87" s="430"/>
      <c r="BS87" s="581"/>
      <c r="BT87" s="581"/>
      <c r="BU87" s="430"/>
      <c r="BV87" s="430"/>
      <c r="BW87" s="430"/>
      <c r="BX87" s="430"/>
      <c r="BY87" s="430"/>
      <c r="BZ87" s="430"/>
      <c r="CA87" s="430"/>
      <c r="CB87" s="430"/>
      <c r="CC87" s="430"/>
      <c r="CD87" s="430"/>
      <c r="CE87" s="430"/>
      <c r="CF87" s="430"/>
      <c r="CG87" s="430"/>
      <c r="CH87" s="430"/>
      <c r="CI87" s="430"/>
      <c r="CJ87" s="430"/>
      <c r="CK87" s="430"/>
      <c r="CL87" s="430"/>
    </row>
    <row r="88" spans="17:90" ht="14.25" customHeight="1">
      <c r="BK88" s="581"/>
      <c r="BL88" s="581"/>
      <c r="BM88" s="582"/>
      <c r="BN88" s="581"/>
      <c r="BO88" s="581"/>
      <c r="BP88" s="430"/>
      <c r="BQ88" s="430"/>
      <c r="BR88" s="430"/>
      <c r="BS88" s="581"/>
      <c r="BT88" s="581"/>
      <c r="BU88" s="430"/>
      <c r="BV88" s="430"/>
      <c r="BW88" s="430"/>
      <c r="BX88" s="430"/>
      <c r="BY88" s="430"/>
      <c r="BZ88" s="430"/>
      <c r="CA88" s="430"/>
      <c r="CB88" s="430"/>
      <c r="CC88" s="430"/>
      <c r="CD88" s="430"/>
      <c r="CE88" s="430"/>
      <c r="CF88" s="430"/>
      <c r="CG88" s="430"/>
      <c r="CH88" s="430"/>
      <c r="CI88" s="430"/>
      <c r="CJ88" s="430"/>
      <c r="CK88" s="430"/>
      <c r="CL88" s="430"/>
    </row>
    <row r="89" spans="17:90" ht="14.25" customHeight="1">
      <c r="BK89" s="581"/>
      <c r="BL89" s="581"/>
      <c r="BM89" s="582"/>
      <c r="BN89" s="581"/>
      <c r="BO89" s="581"/>
      <c r="BP89" s="430"/>
      <c r="BQ89" s="430"/>
      <c r="BR89" s="430"/>
      <c r="BS89" s="581"/>
      <c r="BT89" s="581"/>
      <c r="BU89" s="430"/>
      <c r="BV89" s="430"/>
      <c r="BW89" s="430"/>
      <c r="BX89" s="430"/>
      <c r="BY89" s="430"/>
      <c r="BZ89" s="430"/>
      <c r="CA89" s="430"/>
      <c r="CB89" s="430"/>
      <c r="CC89" s="430"/>
      <c r="CD89" s="430"/>
      <c r="CE89" s="430"/>
      <c r="CF89" s="430"/>
      <c r="CG89" s="430"/>
      <c r="CH89" s="430"/>
      <c r="CI89" s="430"/>
      <c r="CJ89" s="430"/>
      <c r="CK89" s="430"/>
      <c r="CL89" s="430"/>
    </row>
    <row r="90" spans="17:90" ht="14.25" customHeight="1">
      <c r="BK90" s="581"/>
      <c r="BL90" s="581"/>
      <c r="BM90" s="582"/>
      <c r="BN90" s="581"/>
      <c r="BO90" s="581"/>
      <c r="BP90" s="430"/>
      <c r="BQ90" s="430"/>
      <c r="BR90" s="430"/>
      <c r="BS90" s="581"/>
      <c r="BT90" s="581"/>
      <c r="BU90" s="430"/>
      <c r="BV90" s="430"/>
      <c r="BW90" s="430"/>
      <c r="BX90" s="430"/>
      <c r="BY90" s="430"/>
      <c r="BZ90" s="430"/>
      <c r="CA90" s="430"/>
      <c r="CB90" s="430"/>
      <c r="CC90" s="430"/>
      <c r="CD90" s="430"/>
      <c r="CE90" s="430"/>
      <c r="CF90" s="430"/>
      <c r="CG90" s="430"/>
      <c r="CH90" s="430"/>
      <c r="CI90" s="430"/>
      <c r="CJ90" s="430"/>
      <c r="CK90" s="430"/>
      <c r="CL90" s="430"/>
    </row>
    <row r="91" spans="17:90" ht="14.25" customHeight="1">
      <c r="BK91" s="581"/>
      <c r="BL91" s="581"/>
      <c r="BM91" s="582"/>
      <c r="BN91" s="581"/>
      <c r="BO91" s="581"/>
      <c r="BP91" s="430"/>
      <c r="BQ91" s="430"/>
      <c r="BR91" s="430"/>
      <c r="BS91" s="581"/>
      <c r="BT91" s="581"/>
      <c r="BU91" s="430"/>
      <c r="BV91" s="430"/>
      <c r="BW91" s="430"/>
      <c r="BX91" s="430"/>
      <c r="BY91" s="430"/>
      <c r="BZ91" s="430"/>
      <c r="CA91" s="430"/>
      <c r="CB91" s="430"/>
      <c r="CC91" s="430"/>
      <c r="CD91" s="430"/>
      <c r="CE91" s="430"/>
      <c r="CF91" s="430"/>
      <c r="CG91" s="430"/>
      <c r="CH91" s="430"/>
      <c r="CI91" s="430"/>
      <c r="CJ91" s="430"/>
      <c r="CK91" s="430"/>
      <c r="CL91" s="430"/>
    </row>
    <row r="92" spans="17:90" ht="14.25" customHeight="1">
      <c r="BK92" s="581"/>
      <c r="BL92" s="581"/>
      <c r="BM92" s="582"/>
      <c r="BN92" s="581"/>
      <c r="BO92" s="581"/>
      <c r="BP92" s="430"/>
      <c r="BQ92" s="430"/>
      <c r="BR92" s="430"/>
      <c r="BS92" s="581"/>
      <c r="BT92" s="581"/>
      <c r="BU92" s="430"/>
      <c r="BV92" s="430"/>
      <c r="BW92" s="430"/>
      <c r="BX92" s="430"/>
      <c r="BY92" s="430"/>
      <c r="BZ92" s="430"/>
      <c r="CA92" s="430"/>
      <c r="CB92" s="430"/>
      <c r="CC92" s="430"/>
      <c r="CD92" s="430"/>
      <c r="CE92" s="430"/>
      <c r="CF92" s="430"/>
      <c r="CG92" s="430"/>
      <c r="CH92" s="430"/>
      <c r="CI92" s="430"/>
      <c r="CJ92" s="430"/>
      <c r="CK92" s="430"/>
      <c r="CL92" s="430"/>
    </row>
    <row r="93" spans="17:90" ht="14.25" customHeight="1">
      <c r="BK93" s="581"/>
      <c r="BL93" s="581"/>
      <c r="BM93" s="582"/>
      <c r="BN93" s="581"/>
      <c r="BO93" s="581"/>
      <c r="BP93" s="430"/>
      <c r="BQ93" s="430"/>
      <c r="BR93" s="430"/>
      <c r="BS93" s="581"/>
      <c r="BT93" s="581"/>
      <c r="BU93" s="430"/>
      <c r="BV93" s="430"/>
      <c r="BW93" s="430"/>
      <c r="BX93" s="430"/>
      <c r="BY93" s="430"/>
      <c r="BZ93" s="430"/>
      <c r="CA93" s="430"/>
      <c r="CB93" s="430"/>
      <c r="CC93" s="430"/>
      <c r="CD93" s="430"/>
      <c r="CE93" s="430"/>
      <c r="CF93" s="430"/>
      <c r="CG93" s="430"/>
      <c r="CH93" s="430"/>
      <c r="CI93" s="430"/>
      <c r="CJ93" s="430"/>
      <c r="CK93" s="430"/>
      <c r="CL93" s="430"/>
    </row>
    <row r="94" spans="17:90" ht="14.25" customHeight="1">
      <c r="BK94" s="581"/>
      <c r="BL94" s="581"/>
      <c r="BM94" s="582"/>
      <c r="BN94" s="581"/>
      <c r="BO94" s="581"/>
      <c r="BP94" s="430"/>
      <c r="BQ94" s="430"/>
      <c r="BR94" s="430"/>
      <c r="BS94" s="581"/>
      <c r="BT94" s="581"/>
      <c r="BU94" s="430"/>
      <c r="BV94" s="430"/>
      <c r="BW94" s="430"/>
      <c r="BX94" s="430"/>
      <c r="BY94" s="430"/>
      <c r="BZ94" s="430"/>
      <c r="CA94" s="430"/>
      <c r="CB94" s="430"/>
      <c r="CC94" s="430"/>
      <c r="CD94" s="430"/>
      <c r="CE94" s="430"/>
      <c r="CF94" s="430"/>
      <c r="CG94" s="430"/>
      <c r="CH94" s="430"/>
      <c r="CI94" s="430"/>
      <c r="CJ94" s="430"/>
      <c r="CK94" s="430"/>
      <c r="CL94" s="430"/>
    </row>
    <row r="95" spans="17:90" ht="14.25" customHeight="1">
      <c r="BK95" s="581"/>
      <c r="BL95" s="581"/>
      <c r="BM95" s="582"/>
      <c r="BN95" s="581"/>
      <c r="BO95" s="581"/>
      <c r="BP95" s="430"/>
      <c r="BQ95" s="430"/>
      <c r="BR95" s="430"/>
      <c r="BS95" s="581"/>
      <c r="BT95" s="581"/>
      <c r="BU95" s="430"/>
      <c r="BV95" s="430"/>
      <c r="BW95" s="430"/>
      <c r="BX95" s="430"/>
      <c r="BY95" s="430"/>
      <c r="BZ95" s="430"/>
      <c r="CA95" s="430"/>
      <c r="CB95" s="430"/>
      <c r="CC95" s="430"/>
      <c r="CD95" s="430"/>
      <c r="CE95" s="430"/>
      <c r="CF95" s="430"/>
      <c r="CG95" s="430"/>
      <c r="CH95" s="430"/>
      <c r="CI95" s="430"/>
      <c r="CJ95" s="430"/>
      <c r="CK95" s="430"/>
      <c r="CL95" s="430"/>
    </row>
    <row r="96" spans="17:90" ht="14.25" customHeight="1">
      <c r="BK96" s="581"/>
      <c r="BL96" s="581"/>
      <c r="BM96" s="582"/>
      <c r="BN96" s="581"/>
      <c r="BO96" s="581"/>
      <c r="BP96" s="430"/>
      <c r="BQ96" s="430"/>
      <c r="BR96" s="430"/>
      <c r="BS96" s="581"/>
      <c r="BT96" s="581"/>
      <c r="BU96" s="430"/>
      <c r="BV96" s="430"/>
      <c r="BW96" s="430"/>
      <c r="BX96" s="430"/>
      <c r="BY96" s="430"/>
      <c r="BZ96" s="430"/>
      <c r="CA96" s="430"/>
      <c r="CB96" s="430"/>
      <c r="CC96" s="430"/>
      <c r="CD96" s="430"/>
      <c r="CE96" s="430"/>
      <c r="CF96" s="430"/>
      <c r="CG96" s="430"/>
      <c r="CH96" s="430"/>
      <c r="CI96" s="430"/>
      <c r="CJ96" s="430"/>
      <c r="CK96" s="430"/>
      <c r="CL96" s="430"/>
    </row>
    <row r="97" spans="63:90" ht="14.25" customHeight="1">
      <c r="BK97" s="581"/>
      <c r="BL97" s="581"/>
      <c r="BM97" s="582"/>
      <c r="BN97" s="581"/>
      <c r="BO97" s="581"/>
      <c r="BP97" s="430"/>
      <c r="BQ97" s="430"/>
      <c r="BR97" s="430"/>
      <c r="BS97" s="581"/>
      <c r="BT97" s="581"/>
      <c r="BU97" s="430"/>
      <c r="BV97" s="430"/>
      <c r="BW97" s="430"/>
      <c r="BX97" s="430"/>
      <c r="BY97" s="430"/>
      <c r="BZ97" s="430"/>
      <c r="CA97" s="430"/>
      <c r="CB97" s="430"/>
      <c r="CC97" s="430"/>
      <c r="CD97" s="430"/>
      <c r="CE97" s="430"/>
      <c r="CF97" s="430"/>
      <c r="CG97" s="430"/>
      <c r="CH97" s="430"/>
      <c r="CI97" s="430"/>
      <c r="CJ97" s="430"/>
      <c r="CK97" s="430"/>
      <c r="CL97" s="430"/>
    </row>
    <row r="98" spans="63:90" ht="14.25" customHeight="1">
      <c r="BK98" s="581"/>
      <c r="BL98" s="581"/>
      <c r="BM98" s="582"/>
      <c r="BN98" s="581"/>
      <c r="BO98" s="581"/>
      <c r="BP98" s="430"/>
      <c r="BQ98" s="430"/>
      <c r="BR98" s="430"/>
      <c r="BS98" s="581"/>
      <c r="BT98" s="581"/>
      <c r="BU98" s="430"/>
      <c r="BV98" s="430"/>
      <c r="BW98" s="430"/>
      <c r="BX98" s="430"/>
      <c r="BY98" s="430"/>
      <c r="BZ98" s="430"/>
      <c r="CA98" s="430"/>
      <c r="CB98" s="430"/>
      <c r="CC98" s="430"/>
      <c r="CD98" s="430"/>
      <c r="CE98" s="430"/>
      <c r="CF98" s="430"/>
      <c r="CG98" s="430"/>
      <c r="CH98" s="430"/>
      <c r="CI98" s="430"/>
      <c r="CJ98" s="430"/>
      <c r="CK98" s="430"/>
      <c r="CL98" s="430"/>
    </row>
    <row r="99" spans="63:90" ht="14.25" customHeight="1">
      <c r="BK99" s="581"/>
      <c r="BL99" s="581"/>
      <c r="BM99" s="582"/>
      <c r="BN99" s="581"/>
      <c r="BO99" s="581"/>
      <c r="BP99" s="430"/>
      <c r="BQ99" s="430"/>
      <c r="BR99" s="430"/>
      <c r="BS99" s="581"/>
      <c r="BT99" s="581"/>
      <c r="BU99" s="430"/>
      <c r="BV99" s="430"/>
      <c r="BW99" s="430"/>
      <c r="BX99" s="430"/>
      <c r="BY99" s="430"/>
      <c r="BZ99" s="430"/>
      <c r="CA99" s="430"/>
      <c r="CB99" s="430"/>
      <c r="CC99" s="430"/>
      <c r="CD99" s="430"/>
      <c r="CE99" s="430"/>
      <c r="CF99" s="430"/>
      <c r="CG99" s="430"/>
      <c r="CH99" s="430"/>
      <c r="CI99" s="430"/>
      <c r="CJ99" s="430"/>
      <c r="CK99" s="430"/>
      <c r="CL99" s="430"/>
    </row>
    <row r="100" spans="63:90" ht="14.25" customHeight="1">
      <c r="BK100" s="581"/>
      <c r="BL100" s="581"/>
      <c r="BM100" s="582"/>
      <c r="BN100" s="581"/>
      <c r="BO100" s="581"/>
      <c r="BP100" s="430"/>
      <c r="BQ100" s="430"/>
      <c r="BR100" s="430"/>
      <c r="BS100" s="581"/>
      <c r="BT100" s="581"/>
      <c r="BU100" s="430"/>
      <c r="BV100" s="430"/>
      <c r="BW100" s="430"/>
      <c r="BX100" s="430"/>
      <c r="BY100" s="430"/>
      <c r="BZ100" s="430"/>
      <c r="CA100" s="430"/>
      <c r="CB100" s="430"/>
      <c r="CC100" s="430"/>
      <c r="CD100" s="430"/>
      <c r="CE100" s="430"/>
      <c r="CF100" s="430"/>
      <c r="CG100" s="430"/>
      <c r="CH100" s="430"/>
      <c r="CI100" s="430"/>
      <c r="CJ100" s="430"/>
      <c r="CK100" s="430"/>
      <c r="CL100" s="430"/>
    </row>
    <row r="101" spans="63:90" ht="14.25" customHeight="1">
      <c r="BK101" s="581"/>
      <c r="BL101" s="581"/>
      <c r="BM101" s="582"/>
      <c r="BN101" s="581"/>
      <c r="BO101" s="581"/>
      <c r="BP101" s="430"/>
      <c r="BQ101" s="430"/>
      <c r="BR101" s="430"/>
      <c r="BS101" s="581"/>
      <c r="BT101" s="581"/>
      <c r="BU101" s="430"/>
      <c r="BV101" s="430"/>
      <c r="BW101" s="430"/>
      <c r="BX101" s="430"/>
      <c r="BY101" s="430"/>
      <c r="BZ101" s="430"/>
      <c r="CA101" s="430"/>
      <c r="CB101" s="430"/>
      <c r="CC101" s="430"/>
      <c r="CD101" s="430"/>
      <c r="CE101" s="430"/>
      <c r="CF101" s="430"/>
      <c r="CG101" s="430"/>
      <c r="CH101" s="430"/>
      <c r="CI101" s="430"/>
      <c r="CJ101" s="430"/>
      <c r="CK101" s="430"/>
      <c r="CL101" s="430"/>
    </row>
    <row r="102" spans="63:90" ht="14.25" customHeight="1">
      <c r="BK102" s="581"/>
      <c r="BL102" s="581"/>
      <c r="BM102" s="582"/>
      <c r="BN102" s="581"/>
      <c r="BO102" s="581"/>
      <c r="BP102" s="430"/>
      <c r="BQ102" s="430"/>
      <c r="BR102" s="430"/>
      <c r="BS102" s="581"/>
      <c r="BT102" s="581"/>
      <c r="BU102" s="430"/>
      <c r="BV102" s="430"/>
      <c r="BW102" s="430"/>
      <c r="BX102" s="430"/>
      <c r="BY102" s="430"/>
      <c r="BZ102" s="430"/>
      <c r="CA102" s="430"/>
      <c r="CB102" s="430"/>
      <c r="CC102" s="430"/>
      <c r="CD102" s="430"/>
      <c r="CE102" s="430"/>
      <c r="CF102" s="430"/>
      <c r="CG102" s="430"/>
      <c r="CH102" s="430"/>
      <c r="CI102" s="430"/>
      <c r="CJ102" s="430"/>
      <c r="CK102" s="430"/>
      <c r="CL102" s="430"/>
    </row>
    <row r="103" spans="63:90" ht="14.25" customHeight="1">
      <c r="BK103" s="581"/>
      <c r="BL103" s="581"/>
      <c r="BM103" s="582"/>
      <c r="BN103" s="581"/>
      <c r="BO103" s="581"/>
      <c r="BP103" s="430"/>
      <c r="BQ103" s="430"/>
      <c r="BR103" s="430"/>
      <c r="BS103" s="581"/>
      <c r="BT103" s="581"/>
      <c r="BU103" s="430"/>
      <c r="BV103" s="430"/>
      <c r="BW103" s="430"/>
      <c r="BX103" s="430"/>
      <c r="BY103" s="430"/>
      <c r="BZ103" s="430"/>
      <c r="CA103" s="430"/>
      <c r="CB103" s="430"/>
      <c r="CC103" s="430"/>
      <c r="CD103" s="430"/>
      <c r="CE103" s="430"/>
      <c r="CF103" s="430"/>
      <c r="CG103" s="430"/>
      <c r="CH103" s="430"/>
      <c r="CI103" s="430"/>
      <c r="CJ103" s="430"/>
      <c r="CK103" s="430"/>
      <c r="CL103" s="430"/>
    </row>
    <row r="104" spans="63:90" ht="14.25" customHeight="1">
      <c r="BK104" s="581"/>
      <c r="BL104" s="581"/>
      <c r="BM104" s="582"/>
      <c r="BN104" s="581"/>
      <c r="BO104" s="581"/>
      <c r="BP104" s="430"/>
      <c r="BQ104" s="430"/>
      <c r="BR104" s="430"/>
      <c r="BS104" s="581"/>
      <c r="BT104" s="581"/>
      <c r="BU104" s="430"/>
      <c r="BV104" s="430"/>
      <c r="BW104" s="430"/>
      <c r="BX104" s="430"/>
      <c r="BY104" s="430"/>
      <c r="BZ104" s="430"/>
      <c r="CA104" s="430"/>
      <c r="CB104" s="430"/>
      <c r="CC104" s="430"/>
      <c r="CD104" s="430"/>
      <c r="CE104" s="430"/>
      <c r="CF104" s="430"/>
      <c r="CG104" s="430"/>
      <c r="CH104" s="430"/>
      <c r="CI104" s="430"/>
      <c r="CJ104" s="430"/>
      <c r="CK104" s="430"/>
      <c r="CL104" s="430"/>
    </row>
    <row r="105" spans="63:90" ht="14.25" customHeight="1">
      <c r="BK105" s="581"/>
      <c r="BL105" s="581"/>
      <c r="BM105" s="582"/>
      <c r="BN105" s="581"/>
      <c r="BO105" s="581"/>
      <c r="BP105" s="430"/>
      <c r="BQ105" s="430"/>
      <c r="BR105" s="430"/>
      <c r="BS105" s="581"/>
      <c r="BT105" s="581"/>
      <c r="BU105" s="430"/>
      <c r="BV105" s="430"/>
      <c r="BW105" s="430"/>
      <c r="BX105" s="430"/>
      <c r="BY105" s="430"/>
      <c r="BZ105" s="430"/>
      <c r="CA105" s="430"/>
      <c r="CB105" s="430"/>
      <c r="CC105" s="430"/>
      <c r="CD105" s="430"/>
      <c r="CE105" s="430"/>
      <c r="CF105" s="430"/>
      <c r="CG105" s="430"/>
      <c r="CH105" s="430"/>
      <c r="CI105" s="430"/>
      <c r="CJ105" s="430"/>
      <c r="CK105" s="430"/>
      <c r="CL105" s="430"/>
    </row>
    <row r="106" spans="63:90" ht="14.25" customHeight="1">
      <c r="BK106" s="581"/>
      <c r="BL106" s="581"/>
      <c r="BM106" s="582"/>
      <c r="BN106" s="581"/>
      <c r="BO106" s="581"/>
      <c r="BP106" s="430"/>
      <c r="BQ106" s="430"/>
      <c r="BR106" s="430"/>
      <c r="BS106" s="581"/>
      <c r="BT106" s="581"/>
      <c r="BU106" s="430"/>
      <c r="BV106" s="430"/>
      <c r="BW106" s="430"/>
      <c r="BX106" s="430"/>
      <c r="BY106" s="430"/>
      <c r="BZ106" s="430"/>
      <c r="CA106" s="430"/>
      <c r="CB106" s="430"/>
      <c r="CC106" s="430"/>
      <c r="CD106" s="430"/>
      <c r="CE106" s="430"/>
      <c r="CF106" s="430"/>
      <c r="CG106" s="430"/>
      <c r="CH106" s="430"/>
      <c r="CI106" s="430"/>
      <c r="CJ106" s="430"/>
      <c r="CK106" s="430"/>
      <c r="CL106" s="430"/>
    </row>
    <row r="107" spans="63:90" ht="14.25" customHeight="1">
      <c r="BK107" s="581"/>
      <c r="BL107" s="581"/>
      <c r="BM107" s="582"/>
      <c r="BN107" s="581"/>
      <c r="BO107" s="581"/>
      <c r="BP107" s="430"/>
      <c r="BQ107" s="430"/>
      <c r="BR107" s="430"/>
      <c r="BS107" s="581"/>
      <c r="BT107" s="581"/>
      <c r="BU107" s="430"/>
      <c r="BV107" s="430"/>
      <c r="BW107" s="430"/>
      <c r="BX107" s="430"/>
      <c r="BY107" s="430"/>
      <c r="BZ107" s="430"/>
      <c r="CA107" s="430"/>
      <c r="CB107" s="430"/>
      <c r="CC107" s="430"/>
      <c r="CD107" s="430"/>
      <c r="CE107" s="430"/>
      <c r="CF107" s="430"/>
      <c r="CG107" s="430"/>
      <c r="CH107" s="430"/>
      <c r="CI107" s="430"/>
      <c r="CJ107" s="430"/>
      <c r="CK107" s="430"/>
      <c r="CL107" s="430"/>
    </row>
    <row r="108" spans="63:90" ht="14.25" customHeight="1">
      <c r="BK108" s="581"/>
      <c r="BL108" s="581"/>
      <c r="BM108" s="582"/>
      <c r="BN108" s="581"/>
      <c r="BO108" s="581"/>
      <c r="BP108" s="430"/>
      <c r="BQ108" s="430"/>
      <c r="BR108" s="430"/>
      <c r="BS108" s="581"/>
      <c r="BT108" s="581"/>
      <c r="BU108" s="430"/>
      <c r="BV108" s="430"/>
      <c r="BW108" s="430"/>
      <c r="BX108" s="430"/>
      <c r="BY108" s="430"/>
      <c r="BZ108" s="430"/>
      <c r="CA108" s="430"/>
      <c r="CB108" s="430"/>
      <c r="CC108" s="430"/>
      <c r="CD108" s="430"/>
      <c r="CE108" s="430"/>
      <c r="CF108" s="430"/>
      <c r="CG108" s="430"/>
      <c r="CH108" s="430"/>
      <c r="CI108" s="430"/>
      <c r="CJ108" s="430"/>
      <c r="CK108" s="430"/>
      <c r="CL108" s="430"/>
    </row>
    <row r="109" spans="63:90" ht="14.25" customHeight="1">
      <c r="BK109" s="581"/>
      <c r="BL109" s="581"/>
      <c r="BM109" s="582"/>
      <c r="BN109" s="581"/>
      <c r="BO109" s="581"/>
      <c r="BP109" s="430"/>
      <c r="BQ109" s="430"/>
      <c r="BR109" s="430"/>
      <c r="BS109" s="581"/>
      <c r="BT109" s="581"/>
      <c r="BU109" s="430"/>
      <c r="BV109" s="430"/>
      <c r="BW109" s="430"/>
      <c r="BX109" s="430"/>
      <c r="BY109" s="430"/>
      <c r="BZ109" s="430"/>
      <c r="CA109" s="430"/>
      <c r="CB109" s="430"/>
      <c r="CC109" s="430"/>
      <c r="CD109" s="430"/>
      <c r="CE109" s="430"/>
      <c r="CF109" s="430"/>
      <c r="CG109" s="430"/>
      <c r="CH109" s="430"/>
      <c r="CI109" s="430"/>
      <c r="CJ109" s="430"/>
      <c r="CK109" s="430"/>
      <c r="CL109" s="430"/>
    </row>
    <row r="110" spans="63:90" ht="14.25" customHeight="1">
      <c r="BK110" s="581"/>
      <c r="BL110" s="581"/>
      <c r="BM110" s="582"/>
      <c r="BN110" s="581"/>
      <c r="BO110" s="581"/>
      <c r="BP110" s="430"/>
      <c r="BQ110" s="430"/>
      <c r="BR110" s="430"/>
      <c r="BS110" s="581"/>
      <c r="BT110" s="581"/>
      <c r="BU110" s="430"/>
      <c r="BV110" s="430"/>
      <c r="BW110" s="430"/>
      <c r="BX110" s="430"/>
      <c r="BY110" s="430"/>
      <c r="BZ110" s="430"/>
      <c r="CA110" s="430"/>
      <c r="CB110" s="430"/>
      <c r="CC110" s="430"/>
      <c r="CD110" s="430"/>
      <c r="CE110" s="430"/>
      <c r="CF110" s="430"/>
      <c r="CG110" s="430"/>
      <c r="CH110" s="430"/>
      <c r="CI110" s="430"/>
      <c r="CJ110" s="430"/>
      <c r="CK110" s="430"/>
      <c r="CL110" s="430"/>
    </row>
    <row r="111" spans="63:90" ht="14.25" customHeight="1">
      <c r="BK111" s="581"/>
      <c r="BL111" s="581"/>
      <c r="BM111" s="582"/>
      <c r="BN111" s="581"/>
      <c r="BO111" s="581"/>
      <c r="BP111" s="430"/>
      <c r="BQ111" s="430"/>
      <c r="BR111" s="430"/>
      <c r="BS111" s="581"/>
      <c r="BT111" s="581"/>
      <c r="BU111" s="430"/>
      <c r="BV111" s="430"/>
      <c r="BW111" s="430"/>
      <c r="BX111" s="430"/>
      <c r="BY111" s="430"/>
      <c r="BZ111" s="430"/>
      <c r="CA111" s="430"/>
      <c r="CB111" s="430"/>
      <c r="CC111" s="430"/>
      <c r="CD111" s="430"/>
      <c r="CE111" s="430"/>
      <c r="CF111" s="430"/>
      <c r="CG111" s="430"/>
      <c r="CH111" s="430"/>
      <c r="CI111" s="430"/>
      <c r="CJ111" s="430"/>
      <c r="CK111" s="430"/>
      <c r="CL111" s="430"/>
    </row>
    <row r="112" spans="63:90" ht="14.25" customHeight="1">
      <c r="BK112" s="581"/>
      <c r="BL112" s="581"/>
      <c r="BM112" s="582"/>
      <c r="BN112" s="581"/>
      <c r="BO112" s="581"/>
      <c r="BP112" s="430"/>
      <c r="BQ112" s="430"/>
      <c r="BR112" s="430"/>
      <c r="BS112" s="581"/>
      <c r="BT112" s="581"/>
      <c r="BU112" s="430"/>
      <c r="BV112" s="430"/>
      <c r="BW112" s="430"/>
      <c r="BX112" s="430"/>
      <c r="BY112" s="430"/>
      <c r="BZ112" s="430"/>
      <c r="CA112" s="430"/>
      <c r="CB112" s="430"/>
      <c r="CC112" s="430"/>
      <c r="CD112" s="430"/>
      <c r="CE112" s="430"/>
      <c r="CF112" s="430"/>
      <c r="CG112" s="430"/>
      <c r="CH112" s="430"/>
      <c r="CI112" s="430"/>
      <c r="CJ112" s="430"/>
      <c r="CK112" s="430"/>
      <c r="CL112" s="430"/>
    </row>
    <row r="113" spans="63:90" ht="14.25" customHeight="1">
      <c r="BK113" s="581"/>
      <c r="BL113" s="581"/>
      <c r="BM113" s="582"/>
      <c r="BN113" s="581"/>
      <c r="BO113" s="581"/>
      <c r="BP113" s="430"/>
      <c r="BQ113" s="430"/>
      <c r="BR113" s="430"/>
      <c r="BS113" s="581"/>
      <c r="BT113" s="581"/>
      <c r="BU113" s="430"/>
      <c r="BV113" s="430"/>
      <c r="BW113" s="430"/>
      <c r="BX113" s="430"/>
      <c r="BY113" s="430"/>
      <c r="BZ113" s="430"/>
      <c r="CA113" s="430"/>
      <c r="CB113" s="430"/>
      <c r="CC113" s="430"/>
      <c r="CD113" s="430"/>
      <c r="CE113" s="430"/>
      <c r="CF113" s="430"/>
      <c r="CG113" s="430"/>
      <c r="CH113" s="430"/>
      <c r="CI113" s="430"/>
      <c r="CJ113" s="430"/>
      <c r="CK113" s="430"/>
      <c r="CL113" s="430"/>
    </row>
    <row r="114" spans="63:90" ht="14.25" customHeight="1">
      <c r="BK114" s="581"/>
      <c r="BL114" s="581"/>
      <c r="BM114" s="582"/>
      <c r="BN114" s="581"/>
      <c r="BO114" s="581"/>
      <c r="BP114" s="430"/>
      <c r="BQ114" s="430"/>
      <c r="BR114" s="430"/>
      <c r="BS114" s="581"/>
      <c r="BT114" s="581"/>
      <c r="BU114" s="430"/>
      <c r="BV114" s="430"/>
      <c r="BW114" s="430"/>
      <c r="BX114" s="430"/>
      <c r="BY114" s="430"/>
      <c r="BZ114" s="430"/>
      <c r="CA114" s="430"/>
      <c r="CB114" s="430"/>
      <c r="CC114" s="430"/>
      <c r="CD114" s="430"/>
      <c r="CE114" s="430"/>
      <c r="CF114" s="430"/>
      <c r="CG114" s="430"/>
      <c r="CH114" s="430"/>
      <c r="CI114" s="430"/>
      <c r="CJ114" s="430"/>
      <c r="CK114" s="430"/>
      <c r="CL114" s="430"/>
    </row>
    <row r="115" spans="63:90" ht="14.25" customHeight="1">
      <c r="BK115" s="581"/>
      <c r="BL115" s="581"/>
      <c r="BM115" s="582"/>
      <c r="BN115" s="581"/>
      <c r="BO115" s="581"/>
      <c r="BP115" s="430"/>
      <c r="BQ115" s="430"/>
      <c r="BR115" s="430"/>
      <c r="BS115" s="581"/>
      <c r="BT115" s="581"/>
      <c r="BU115" s="430"/>
      <c r="BV115" s="430"/>
      <c r="BW115" s="430"/>
      <c r="BX115" s="430"/>
      <c r="BY115" s="430"/>
      <c r="BZ115" s="430"/>
      <c r="CA115" s="430"/>
      <c r="CB115" s="430"/>
      <c r="CC115" s="430"/>
      <c r="CD115" s="430"/>
      <c r="CE115" s="430"/>
      <c r="CF115" s="430"/>
      <c r="CG115" s="430"/>
      <c r="CH115" s="430"/>
      <c r="CI115" s="430"/>
      <c r="CJ115" s="430"/>
      <c r="CK115" s="430"/>
      <c r="CL115" s="430"/>
    </row>
    <row r="116" spans="63:90" ht="14.25" customHeight="1">
      <c r="BK116" s="581"/>
      <c r="BL116" s="581"/>
      <c r="BM116" s="582"/>
      <c r="BN116" s="581"/>
      <c r="BO116" s="581"/>
      <c r="BP116" s="430"/>
      <c r="BQ116" s="430"/>
      <c r="BR116" s="430"/>
      <c r="BS116" s="581"/>
      <c r="BT116" s="581"/>
      <c r="BU116" s="430"/>
      <c r="BV116" s="430"/>
      <c r="BW116" s="430"/>
      <c r="BX116" s="430"/>
      <c r="BY116" s="430"/>
      <c r="BZ116" s="430"/>
      <c r="CA116" s="430"/>
      <c r="CB116" s="430"/>
      <c r="CC116" s="430"/>
      <c r="CD116" s="430"/>
      <c r="CE116" s="430"/>
      <c r="CF116" s="430"/>
      <c r="CG116" s="430"/>
      <c r="CH116" s="430"/>
      <c r="CI116" s="430"/>
      <c r="CJ116" s="430"/>
      <c r="CK116" s="430"/>
      <c r="CL116" s="430"/>
    </row>
    <row r="117" spans="63:90" ht="14.25" customHeight="1">
      <c r="BK117" s="581"/>
      <c r="BL117" s="581"/>
      <c r="BM117" s="582"/>
      <c r="BN117" s="581"/>
      <c r="BO117" s="581"/>
      <c r="BP117" s="430"/>
      <c r="BQ117" s="430"/>
      <c r="BR117" s="430"/>
      <c r="BS117" s="581"/>
      <c r="BT117" s="581"/>
      <c r="BU117" s="430"/>
      <c r="BV117" s="430"/>
      <c r="BW117" s="430"/>
      <c r="BX117" s="430"/>
      <c r="BY117" s="430"/>
      <c r="BZ117" s="430"/>
      <c r="CA117" s="430"/>
      <c r="CB117" s="430"/>
      <c r="CC117" s="430"/>
      <c r="CD117" s="430"/>
      <c r="CE117" s="430"/>
      <c r="CF117" s="430"/>
      <c r="CG117" s="430"/>
      <c r="CH117" s="430"/>
      <c r="CI117" s="430"/>
      <c r="CJ117" s="430"/>
      <c r="CK117" s="430"/>
      <c r="CL117" s="430"/>
    </row>
    <row r="118" spans="63:90" ht="14.25" customHeight="1">
      <c r="BK118" s="581"/>
      <c r="BL118" s="581"/>
      <c r="BM118" s="582"/>
      <c r="BN118" s="581"/>
      <c r="BO118" s="581"/>
      <c r="BP118" s="430"/>
      <c r="BQ118" s="430"/>
      <c r="BR118" s="430"/>
      <c r="BS118" s="581"/>
      <c r="BT118" s="581"/>
      <c r="BU118" s="430"/>
      <c r="BV118" s="430"/>
      <c r="BW118" s="430"/>
      <c r="BX118" s="430"/>
      <c r="BY118" s="430"/>
      <c r="BZ118" s="430"/>
      <c r="CA118" s="430"/>
      <c r="CB118" s="430"/>
      <c r="CC118" s="430"/>
      <c r="CD118" s="430"/>
      <c r="CE118" s="430"/>
      <c r="CF118" s="430"/>
      <c r="CG118" s="430"/>
      <c r="CH118" s="430"/>
      <c r="CI118" s="430"/>
      <c r="CJ118" s="430"/>
      <c r="CK118" s="430"/>
      <c r="CL118" s="430"/>
    </row>
    <row r="119" spans="63:90" ht="14.25" customHeight="1">
      <c r="BK119" s="581"/>
      <c r="BL119" s="581"/>
      <c r="BM119" s="582"/>
      <c r="BN119" s="581"/>
      <c r="BO119" s="581"/>
      <c r="BP119" s="430"/>
      <c r="BQ119" s="430"/>
      <c r="BR119" s="430"/>
      <c r="BS119" s="581"/>
      <c r="BT119" s="581"/>
      <c r="BU119" s="430"/>
      <c r="BV119" s="430"/>
      <c r="BW119" s="430"/>
      <c r="BX119" s="430"/>
      <c r="BY119" s="430"/>
      <c r="BZ119" s="430"/>
      <c r="CA119" s="430"/>
      <c r="CB119" s="430"/>
      <c r="CC119" s="430"/>
      <c r="CD119" s="430"/>
      <c r="CE119" s="430"/>
      <c r="CF119" s="430"/>
      <c r="CG119" s="430"/>
      <c r="CH119" s="430"/>
      <c r="CI119" s="430"/>
      <c r="CJ119" s="430"/>
      <c r="CK119" s="430"/>
      <c r="CL119" s="430"/>
    </row>
    <row r="120" spans="63:90" ht="14.25" customHeight="1">
      <c r="BK120" s="581"/>
      <c r="BL120" s="581"/>
      <c r="BM120" s="582"/>
      <c r="BN120" s="581"/>
      <c r="BO120" s="581"/>
      <c r="BP120" s="430"/>
      <c r="BQ120" s="430"/>
      <c r="BR120" s="430"/>
      <c r="BS120" s="581"/>
      <c r="BT120" s="581"/>
      <c r="BU120" s="430"/>
      <c r="BV120" s="430"/>
      <c r="BW120" s="430"/>
      <c r="BX120" s="430"/>
      <c r="BY120" s="430"/>
      <c r="BZ120" s="430"/>
      <c r="CA120" s="430"/>
      <c r="CB120" s="430"/>
      <c r="CC120" s="430"/>
      <c r="CD120" s="430"/>
      <c r="CE120" s="430"/>
      <c r="CF120" s="430"/>
      <c r="CG120" s="430"/>
      <c r="CH120" s="430"/>
      <c r="CI120" s="430"/>
      <c r="CJ120" s="430"/>
      <c r="CK120" s="430"/>
      <c r="CL120" s="430"/>
    </row>
    <row r="121" spans="63:90" ht="14.25" customHeight="1">
      <c r="BK121" s="581"/>
      <c r="BL121" s="581"/>
      <c r="BM121" s="582"/>
      <c r="BN121" s="581"/>
      <c r="BO121" s="581"/>
      <c r="BP121" s="430"/>
      <c r="BQ121" s="430"/>
      <c r="BR121" s="430"/>
      <c r="BS121" s="581"/>
      <c r="BT121" s="581"/>
      <c r="BU121" s="430"/>
      <c r="BV121" s="430"/>
      <c r="BW121" s="430"/>
      <c r="BX121" s="430"/>
      <c r="BY121" s="430"/>
      <c r="BZ121" s="430"/>
      <c r="CA121" s="430"/>
      <c r="CB121" s="430"/>
      <c r="CC121" s="430"/>
      <c r="CD121" s="430"/>
      <c r="CE121" s="430"/>
      <c r="CF121" s="430"/>
      <c r="CG121" s="430"/>
      <c r="CH121" s="430"/>
      <c r="CI121" s="430"/>
      <c r="CJ121" s="430"/>
      <c r="CK121" s="430"/>
      <c r="CL121" s="430"/>
    </row>
    <row r="122" spans="63:90" ht="14.25" customHeight="1">
      <c r="BK122" s="581"/>
      <c r="BL122" s="581"/>
      <c r="BM122" s="582"/>
      <c r="BN122" s="581"/>
      <c r="BO122" s="581"/>
      <c r="BP122" s="430"/>
      <c r="BQ122" s="430"/>
      <c r="BR122" s="430"/>
      <c r="BS122" s="581"/>
      <c r="BT122" s="581"/>
      <c r="BU122" s="430"/>
      <c r="BV122" s="430"/>
      <c r="BW122" s="430"/>
      <c r="BX122" s="430"/>
      <c r="BY122" s="430"/>
      <c r="BZ122" s="430"/>
      <c r="CA122" s="430"/>
      <c r="CB122" s="430"/>
      <c r="CC122" s="430"/>
      <c r="CD122" s="430"/>
      <c r="CE122" s="430"/>
      <c r="CF122" s="430"/>
      <c r="CG122" s="430"/>
      <c r="CH122" s="430"/>
      <c r="CI122" s="430"/>
      <c r="CJ122" s="430"/>
      <c r="CK122" s="430"/>
      <c r="CL122" s="430"/>
    </row>
    <row r="123" spans="63:90" ht="14.25" customHeight="1">
      <c r="BK123" s="581"/>
      <c r="BL123" s="581"/>
      <c r="BM123" s="582"/>
      <c r="BN123" s="581"/>
      <c r="BO123" s="581"/>
      <c r="BP123" s="430"/>
      <c r="BQ123" s="430"/>
      <c r="BR123" s="430"/>
      <c r="BS123" s="581"/>
      <c r="BT123" s="581"/>
      <c r="BU123" s="430"/>
      <c r="BV123" s="430"/>
      <c r="BW123" s="430"/>
      <c r="BX123" s="430"/>
      <c r="BY123" s="430"/>
      <c r="BZ123" s="430"/>
      <c r="CA123" s="430"/>
      <c r="CB123" s="430"/>
      <c r="CC123" s="430"/>
      <c r="CD123" s="430"/>
      <c r="CE123" s="430"/>
      <c r="CF123" s="430"/>
      <c r="CG123" s="430"/>
      <c r="CH123" s="430"/>
      <c r="CI123" s="430"/>
      <c r="CJ123" s="430"/>
      <c r="CK123" s="430"/>
      <c r="CL123" s="430"/>
    </row>
    <row r="124" spans="63:90" ht="14.25" customHeight="1">
      <c r="BK124" s="581"/>
      <c r="BL124" s="581"/>
      <c r="BM124" s="582"/>
      <c r="BN124" s="581"/>
      <c r="BO124" s="581"/>
      <c r="BP124" s="430"/>
      <c r="BQ124" s="430"/>
      <c r="BR124" s="430"/>
      <c r="BS124" s="581"/>
      <c r="BT124" s="581"/>
      <c r="BU124" s="430"/>
      <c r="BV124" s="430"/>
      <c r="BW124" s="430"/>
      <c r="BX124" s="430"/>
      <c r="BY124" s="430"/>
      <c r="BZ124" s="430"/>
      <c r="CA124" s="430"/>
      <c r="CB124" s="430"/>
      <c r="CC124" s="430"/>
      <c r="CD124" s="430"/>
      <c r="CE124" s="430"/>
      <c r="CF124" s="430"/>
      <c r="CG124" s="430"/>
      <c r="CH124" s="430"/>
      <c r="CI124" s="430"/>
      <c r="CJ124" s="430"/>
      <c r="CK124" s="430"/>
      <c r="CL124" s="430"/>
    </row>
    <row r="125" spans="63:90" ht="14.25" customHeight="1">
      <c r="BK125" s="581"/>
      <c r="BL125" s="581"/>
      <c r="BM125" s="582"/>
      <c r="BN125" s="581"/>
      <c r="BO125" s="581"/>
      <c r="BP125" s="430"/>
      <c r="BQ125" s="430"/>
      <c r="BR125" s="430"/>
      <c r="BS125" s="581"/>
      <c r="BT125" s="581"/>
      <c r="BU125" s="430"/>
      <c r="BV125" s="430"/>
      <c r="BW125" s="430"/>
      <c r="BX125" s="430"/>
      <c r="BY125" s="430"/>
      <c r="BZ125" s="430"/>
      <c r="CA125" s="430"/>
      <c r="CB125" s="430"/>
      <c r="CC125" s="430"/>
      <c r="CD125" s="430"/>
      <c r="CE125" s="430"/>
      <c r="CF125" s="430"/>
      <c r="CG125" s="430"/>
      <c r="CH125" s="430"/>
      <c r="CI125" s="430"/>
      <c r="CJ125" s="430"/>
      <c r="CK125" s="430"/>
      <c r="CL125" s="430"/>
    </row>
    <row r="126" spans="63:90" ht="14.25" customHeight="1">
      <c r="BK126" s="581"/>
      <c r="BL126" s="581"/>
      <c r="BM126" s="582"/>
      <c r="BN126" s="581"/>
      <c r="BO126" s="581"/>
      <c r="BP126" s="430"/>
      <c r="BQ126" s="430"/>
      <c r="BR126" s="430"/>
      <c r="BS126" s="581"/>
      <c r="BT126" s="581"/>
      <c r="BU126" s="430"/>
      <c r="BV126" s="430"/>
      <c r="BW126" s="430"/>
      <c r="BX126" s="430"/>
      <c r="BY126" s="430"/>
      <c r="BZ126" s="430"/>
      <c r="CA126" s="430"/>
      <c r="CB126" s="430"/>
      <c r="CC126" s="430"/>
      <c r="CD126" s="430"/>
      <c r="CE126" s="430"/>
      <c r="CF126" s="430"/>
      <c r="CG126" s="430"/>
      <c r="CH126" s="430"/>
      <c r="CI126" s="430"/>
      <c r="CJ126" s="430"/>
      <c r="CK126" s="430"/>
      <c r="CL126" s="430"/>
    </row>
    <row r="127" spans="63:90" ht="14.25" customHeight="1">
      <c r="BK127" s="581"/>
      <c r="BL127" s="581"/>
      <c r="BM127" s="582"/>
      <c r="BN127" s="581"/>
      <c r="BO127" s="581"/>
      <c r="BP127" s="430"/>
      <c r="BQ127" s="430"/>
      <c r="BR127" s="430"/>
      <c r="BS127" s="581"/>
      <c r="BT127" s="581"/>
      <c r="BU127" s="430"/>
      <c r="BV127" s="430"/>
      <c r="BW127" s="430"/>
      <c r="BX127" s="430"/>
      <c r="BY127" s="430"/>
      <c r="BZ127" s="430"/>
      <c r="CA127" s="430"/>
      <c r="CB127" s="430"/>
      <c r="CC127" s="430"/>
      <c r="CD127" s="430"/>
      <c r="CE127" s="430"/>
      <c r="CF127" s="430"/>
      <c r="CG127" s="430"/>
      <c r="CH127" s="430"/>
      <c r="CI127" s="430"/>
      <c r="CJ127" s="430"/>
      <c r="CK127" s="430"/>
      <c r="CL127" s="430"/>
    </row>
    <row r="128" spans="63:90" ht="14.25" customHeight="1">
      <c r="BK128" s="581"/>
      <c r="BL128" s="581"/>
      <c r="BM128" s="582"/>
      <c r="BN128" s="581"/>
      <c r="BO128" s="581"/>
      <c r="BP128" s="430"/>
      <c r="BQ128" s="430"/>
      <c r="BR128" s="430"/>
      <c r="BS128" s="581"/>
      <c r="BT128" s="581"/>
      <c r="BU128" s="430"/>
      <c r="BV128" s="430"/>
      <c r="BW128" s="430"/>
      <c r="BX128" s="430"/>
      <c r="BY128" s="430"/>
      <c r="BZ128" s="430"/>
      <c r="CA128" s="430"/>
      <c r="CB128" s="430"/>
      <c r="CC128" s="430"/>
      <c r="CD128" s="430"/>
      <c r="CE128" s="430"/>
      <c r="CF128" s="430"/>
      <c r="CG128" s="430"/>
      <c r="CH128" s="430"/>
      <c r="CI128" s="430"/>
      <c r="CJ128" s="430"/>
      <c r="CK128" s="430"/>
      <c r="CL128" s="430"/>
    </row>
    <row r="129" spans="63:90" ht="14.25" customHeight="1">
      <c r="BK129" s="581"/>
      <c r="BL129" s="581"/>
      <c r="BM129" s="582"/>
      <c r="BN129" s="581"/>
      <c r="BO129" s="581"/>
      <c r="BP129" s="430"/>
      <c r="BQ129" s="430"/>
      <c r="BR129" s="430"/>
      <c r="BS129" s="581"/>
      <c r="BT129" s="581"/>
      <c r="BU129" s="430"/>
      <c r="BV129" s="430"/>
      <c r="BW129" s="430"/>
      <c r="BX129" s="430"/>
      <c r="BY129" s="430"/>
      <c r="BZ129" s="430"/>
      <c r="CA129" s="430"/>
      <c r="CB129" s="430"/>
      <c r="CC129" s="430"/>
      <c r="CD129" s="430"/>
      <c r="CE129" s="430"/>
      <c r="CF129" s="430"/>
      <c r="CG129" s="430"/>
      <c r="CH129" s="430"/>
      <c r="CI129" s="430"/>
      <c r="CJ129" s="430"/>
      <c r="CK129" s="430"/>
      <c r="CL129" s="430"/>
    </row>
    <row r="130" spans="63:90" ht="14.25" customHeight="1">
      <c r="BK130" s="581"/>
      <c r="BL130" s="581"/>
      <c r="BM130" s="582"/>
      <c r="BN130" s="581"/>
      <c r="BO130" s="581"/>
      <c r="BP130" s="430"/>
      <c r="BQ130" s="430"/>
      <c r="BR130" s="430"/>
      <c r="BS130" s="581"/>
      <c r="BT130" s="581"/>
      <c r="BU130" s="430"/>
      <c r="BV130" s="430"/>
      <c r="BW130" s="430"/>
      <c r="BX130" s="430"/>
      <c r="BY130" s="430"/>
      <c r="BZ130" s="430"/>
      <c r="CA130" s="430"/>
      <c r="CB130" s="430"/>
      <c r="CC130" s="430"/>
      <c r="CD130" s="430"/>
      <c r="CE130" s="430"/>
      <c r="CF130" s="430"/>
      <c r="CG130" s="430"/>
      <c r="CH130" s="430"/>
      <c r="CI130" s="430"/>
      <c r="CJ130" s="430"/>
      <c r="CK130" s="430"/>
      <c r="CL130" s="430"/>
    </row>
    <row r="131" spans="63:90" ht="14.25" customHeight="1">
      <c r="BK131" s="581"/>
      <c r="BL131" s="581"/>
      <c r="BM131" s="582"/>
      <c r="BN131" s="581"/>
      <c r="BO131" s="581"/>
      <c r="BP131" s="430"/>
      <c r="BQ131" s="430"/>
      <c r="BR131" s="430"/>
      <c r="BS131" s="581"/>
      <c r="BT131" s="581"/>
      <c r="BU131" s="430"/>
      <c r="BV131" s="430"/>
      <c r="BW131" s="430"/>
      <c r="BX131" s="430"/>
      <c r="BY131" s="430"/>
      <c r="BZ131" s="430"/>
      <c r="CA131" s="430"/>
      <c r="CB131" s="430"/>
      <c r="CC131" s="430"/>
      <c r="CD131" s="430"/>
      <c r="CE131" s="430"/>
      <c r="CF131" s="430"/>
      <c r="CG131" s="430"/>
      <c r="CH131" s="430"/>
      <c r="CI131" s="430"/>
      <c r="CJ131" s="430"/>
      <c r="CK131" s="430"/>
      <c r="CL131" s="430"/>
    </row>
    <row r="132" spans="63:90" ht="14.25" customHeight="1">
      <c r="BK132" s="581"/>
      <c r="BL132" s="581"/>
      <c r="BM132" s="582"/>
      <c r="BN132" s="581"/>
      <c r="BO132" s="581"/>
      <c r="BP132" s="430"/>
      <c r="BQ132" s="430"/>
      <c r="BR132" s="430"/>
      <c r="BS132" s="581"/>
      <c r="BT132" s="581"/>
      <c r="BU132" s="430"/>
      <c r="BV132" s="430"/>
      <c r="BW132" s="430"/>
      <c r="BX132" s="430"/>
      <c r="BY132" s="430"/>
      <c r="BZ132" s="430"/>
      <c r="CA132" s="430"/>
      <c r="CB132" s="430"/>
      <c r="CC132" s="430"/>
      <c r="CD132" s="430"/>
      <c r="CE132" s="430"/>
      <c r="CF132" s="430"/>
      <c r="CG132" s="430"/>
      <c r="CH132" s="430"/>
      <c r="CI132" s="430"/>
      <c r="CJ132" s="430"/>
      <c r="CK132" s="430"/>
      <c r="CL132" s="430"/>
    </row>
    <row r="133" spans="63:90" ht="14.25" customHeight="1">
      <c r="BK133" s="581"/>
      <c r="BL133" s="581"/>
      <c r="BM133" s="582"/>
      <c r="BN133" s="581"/>
      <c r="BO133" s="581"/>
      <c r="BP133" s="430"/>
      <c r="BQ133" s="430"/>
      <c r="BR133" s="430"/>
      <c r="BS133" s="581"/>
      <c r="BT133" s="581"/>
      <c r="BU133" s="430"/>
      <c r="BV133" s="430"/>
      <c r="BW133" s="430"/>
      <c r="BX133" s="430"/>
      <c r="BY133" s="430"/>
      <c r="BZ133" s="430"/>
      <c r="CA133" s="430"/>
      <c r="CB133" s="430"/>
      <c r="CC133" s="430"/>
      <c r="CD133" s="430"/>
      <c r="CE133" s="430"/>
      <c r="CF133" s="430"/>
      <c r="CG133" s="430"/>
      <c r="CH133" s="430"/>
      <c r="CI133" s="430"/>
      <c r="CJ133" s="430"/>
      <c r="CK133" s="430"/>
      <c r="CL133" s="430"/>
    </row>
    <row r="134" spans="63:90" ht="14.25" customHeight="1">
      <c r="BK134" s="581"/>
      <c r="BL134" s="581"/>
      <c r="BM134" s="582"/>
      <c r="BN134" s="581"/>
      <c r="BO134" s="581"/>
      <c r="BP134" s="430"/>
      <c r="BQ134" s="430"/>
      <c r="BR134" s="430"/>
      <c r="BS134" s="581"/>
      <c r="BT134" s="581"/>
      <c r="BU134" s="430"/>
      <c r="BV134" s="430"/>
      <c r="BW134" s="430"/>
      <c r="BX134" s="430"/>
      <c r="BY134" s="430"/>
      <c r="BZ134" s="430"/>
      <c r="CA134" s="430"/>
      <c r="CB134" s="430"/>
      <c r="CC134" s="430"/>
      <c r="CD134" s="430"/>
      <c r="CE134" s="430"/>
      <c r="CF134" s="430"/>
      <c r="CG134" s="430"/>
      <c r="CH134" s="430"/>
      <c r="CI134" s="430"/>
      <c r="CJ134" s="430"/>
      <c r="CK134" s="430"/>
      <c r="CL134" s="430"/>
    </row>
    <row r="135" spans="63:90" ht="14.25" customHeight="1">
      <c r="BK135" s="581"/>
      <c r="BL135" s="581"/>
      <c r="BM135" s="582"/>
      <c r="BN135" s="581"/>
      <c r="BO135" s="581"/>
      <c r="BP135" s="430"/>
      <c r="BQ135" s="430"/>
      <c r="BR135" s="430"/>
      <c r="BS135" s="581"/>
      <c r="BT135" s="581"/>
      <c r="BU135" s="430"/>
      <c r="BV135" s="430"/>
      <c r="BW135" s="430"/>
      <c r="BX135" s="430"/>
      <c r="BY135" s="430"/>
      <c r="BZ135" s="430"/>
      <c r="CA135" s="430"/>
      <c r="CB135" s="430"/>
      <c r="CC135" s="430"/>
      <c r="CD135" s="430"/>
      <c r="CE135" s="430"/>
      <c r="CF135" s="430"/>
      <c r="CG135" s="430"/>
      <c r="CH135" s="430"/>
      <c r="CI135" s="430"/>
      <c r="CJ135" s="430"/>
      <c r="CK135" s="430"/>
      <c r="CL135" s="430"/>
    </row>
    <row r="136" spans="63:90" ht="14.25" customHeight="1">
      <c r="BK136" s="581"/>
      <c r="BL136" s="581"/>
      <c r="BM136" s="582"/>
      <c r="BN136" s="581"/>
      <c r="BO136" s="581"/>
      <c r="BP136" s="430"/>
      <c r="BQ136" s="430"/>
      <c r="BR136" s="430"/>
      <c r="BS136" s="581"/>
      <c r="BT136" s="581"/>
      <c r="BU136" s="430"/>
      <c r="BV136" s="430"/>
      <c r="BW136" s="430"/>
      <c r="BX136" s="430"/>
      <c r="BY136" s="430"/>
      <c r="BZ136" s="430"/>
      <c r="CA136" s="430"/>
      <c r="CB136" s="430"/>
      <c r="CC136" s="430"/>
      <c r="CD136" s="430"/>
      <c r="CE136" s="430"/>
      <c r="CF136" s="430"/>
      <c r="CG136" s="430"/>
      <c r="CH136" s="430"/>
      <c r="CI136" s="430"/>
      <c r="CJ136" s="430"/>
      <c r="CK136" s="430"/>
      <c r="CL136" s="430"/>
    </row>
    <row r="137" spans="63:90" ht="14.25" customHeight="1">
      <c r="BK137" s="581"/>
      <c r="BL137" s="581"/>
      <c r="BM137" s="582"/>
      <c r="BN137" s="581"/>
      <c r="BO137" s="581"/>
      <c r="BP137" s="430"/>
      <c r="BQ137" s="430"/>
      <c r="BR137" s="430"/>
      <c r="BS137" s="581"/>
      <c r="BT137" s="581"/>
      <c r="BU137" s="430"/>
      <c r="BV137" s="430"/>
      <c r="BW137" s="430"/>
      <c r="BX137" s="430"/>
      <c r="BY137" s="430"/>
      <c r="BZ137" s="430"/>
      <c r="CA137" s="430"/>
      <c r="CB137" s="430"/>
      <c r="CC137" s="430"/>
      <c r="CD137" s="430"/>
      <c r="CE137" s="430"/>
      <c r="CF137" s="430"/>
      <c r="CG137" s="430"/>
      <c r="CH137" s="430"/>
      <c r="CI137" s="430"/>
      <c r="CJ137" s="430"/>
      <c r="CK137" s="430"/>
      <c r="CL137" s="430"/>
    </row>
    <row r="138" spans="63:90" ht="14.25" customHeight="1">
      <c r="BK138" s="581"/>
      <c r="BL138" s="581"/>
      <c r="BM138" s="582"/>
      <c r="BN138" s="581"/>
      <c r="BO138" s="581"/>
      <c r="BP138" s="430"/>
      <c r="BQ138" s="430"/>
      <c r="BR138" s="430"/>
      <c r="BS138" s="581"/>
      <c r="BT138" s="581"/>
      <c r="BU138" s="430"/>
      <c r="BV138" s="430"/>
      <c r="BW138" s="430"/>
      <c r="BX138" s="430"/>
      <c r="BY138" s="430"/>
      <c r="BZ138" s="430"/>
      <c r="CA138" s="430"/>
      <c r="CB138" s="430"/>
      <c r="CC138" s="430"/>
      <c r="CD138" s="430"/>
      <c r="CE138" s="430"/>
      <c r="CF138" s="430"/>
      <c r="CG138" s="430"/>
      <c r="CH138" s="430"/>
      <c r="CI138" s="430"/>
      <c r="CJ138" s="430"/>
      <c r="CK138" s="430"/>
      <c r="CL138" s="430"/>
    </row>
    <row r="139" spans="63:90" ht="14.25" customHeight="1">
      <c r="BK139" s="581"/>
      <c r="BL139" s="581"/>
      <c r="BM139" s="582"/>
      <c r="BN139" s="581"/>
      <c r="BO139" s="581"/>
      <c r="BP139" s="430"/>
      <c r="BQ139" s="430"/>
      <c r="BR139" s="430"/>
      <c r="BS139" s="581"/>
      <c r="BT139" s="581"/>
      <c r="BU139" s="430"/>
      <c r="BV139" s="430"/>
      <c r="BW139" s="430"/>
      <c r="BX139" s="430"/>
      <c r="BY139" s="430"/>
      <c r="BZ139" s="430"/>
      <c r="CA139" s="430"/>
      <c r="CB139" s="430"/>
      <c r="CC139" s="430"/>
      <c r="CD139" s="430"/>
      <c r="CE139" s="430"/>
      <c r="CF139" s="430"/>
      <c r="CG139" s="430"/>
      <c r="CH139" s="430"/>
      <c r="CI139" s="430"/>
      <c r="CJ139" s="430"/>
      <c r="CK139" s="430"/>
      <c r="CL139" s="430"/>
    </row>
    <row r="140" spans="63:90" ht="14.25" customHeight="1">
      <c r="BK140" s="581"/>
      <c r="BL140" s="581"/>
      <c r="BM140" s="582"/>
      <c r="BN140" s="581"/>
      <c r="BO140" s="581"/>
      <c r="BP140" s="430"/>
      <c r="BQ140" s="430"/>
      <c r="BR140" s="430"/>
      <c r="BS140" s="581"/>
      <c r="BT140" s="581"/>
      <c r="BU140" s="430"/>
      <c r="BV140" s="430"/>
      <c r="BW140" s="430"/>
      <c r="BX140" s="430"/>
      <c r="BY140" s="430"/>
      <c r="BZ140" s="430"/>
      <c r="CA140" s="430"/>
      <c r="CB140" s="430"/>
      <c r="CC140" s="430"/>
      <c r="CD140" s="430"/>
      <c r="CE140" s="430"/>
      <c r="CF140" s="430"/>
      <c r="CG140" s="430"/>
      <c r="CH140" s="430"/>
      <c r="CI140" s="430"/>
      <c r="CJ140" s="430"/>
      <c r="CK140" s="430"/>
      <c r="CL140" s="430"/>
    </row>
    <row r="141" spans="63:90" ht="14.25" customHeight="1">
      <c r="BK141" s="581"/>
      <c r="BL141" s="581"/>
      <c r="BM141" s="582"/>
      <c r="BN141" s="581"/>
      <c r="BO141" s="581"/>
      <c r="BP141" s="430"/>
      <c r="BQ141" s="430"/>
      <c r="BR141" s="430"/>
      <c r="BS141" s="581"/>
      <c r="BT141" s="581"/>
      <c r="BU141" s="430"/>
      <c r="BV141" s="430"/>
      <c r="BW141" s="430"/>
      <c r="BX141" s="430"/>
      <c r="BY141" s="430"/>
      <c r="BZ141" s="430"/>
      <c r="CA141" s="430"/>
      <c r="CB141" s="430"/>
      <c r="CC141" s="430"/>
      <c r="CD141" s="430"/>
      <c r="CE141" s="430"/>
      <c r="CF141" s="430"/>
      <c r="CG141" s="430"/>
      <c r="CH141" s="430"/>
      <c r="CI141" s="430"/>
      <c r="CJ141" s="430"/>
      <c r="CK141" s="430"/>
      <c r="CL141" s="430"/>
    </row>
    <row r="142" spans="63:90" ht="14.25" customHeight="1">
      <c r="BK142" s="581"/>
      <c r="BL142" s="581"/>
      <c r="BM142" s="582"/>
      <c r="BN142" s="581"/>
      <c r="BO142" s="581"/>
      <c r="BP142" s="430"/>
      <c r="BQ142" s="430"/>
      <c r="BR142" s="430"/>
      <c r="BS142" s="581"/>
      <c r="BT142" s="581"/>
      <c r="BU142" s="430"/>
      <c r="BV142" s="430"/>
      <c r="BW142" s="430"/>
      <c r="BX142" s="430"/>
      <c r="BY142" s="430"/>
      <c r="BZ142" s="430"/>
      <c r="CA142" s="430"/>
      <c r="CB142" s="430"/>
      <c r="CC142" s="430"/>
      <c r="CD142" s="430"/>
      <c r="CE142" s="430"/>
      <c r="CF142" s="430"/>
      <c r="CG142" s="430"/>
      <c r="CH142" s="430"/>
      <c r="CI142" s="430"/>
      <c r="CJ142" s="430"/>
      <c r="CK142" s="430"/>
      <c r="CL142" s="430"/>
    </row>
    <row r="143" spans="63:90" ht="14.25" customHeight="1">
      <c r="BK143" s="581"/>
      <c r="BL143" s="581"/>
      <c r="BM143" s="582"/>
      <c r="BN143" s="581"/>
      <c r="BO143" s="581"/>
      <c r="BP143" s="430"/>
      <c r="BQ143" s="430"/>
      <c r="BR143" s="430"/>
      <c r="BS143" s="581"/>
      <c r="BT143" s="581"/>
      <c r="BU143" s="430"/>
      <c r="BV143" s="430"/>
      <c r="BW143" s="430"/>
      <c r="BX143" s="430"/>
      <c r="BY143" s="430"/>
      <c r="BZ143" s="430"/>
      <c r="CA143" s="430"/>
      <c r="CB143" s="430"/>
      <c r="CC143" s="430"/>
      <c r="CD143" s="430"/>
      <c r="CE143" s="430"/>
      <c r="CF143" s="430"/>
      <c r="CG143" s="430"/>
      <c r="CH143" s="430"/>
      <c r="CI143" s="430"/>
      <c r="CJ143" s="430"/>
      <c r="CK143" s="430"/>
      <c r="CL143" s="430"/>
    </row>
    <row r="144" spans="63:90" ht="14.25" customHeight="1">
      <c r="BK144" s="581"/>
      <c r="BL144" s="581"/>
      <c r="BM144" s="582"/>
      <c r="BN144" s="581"/>
      <c r="BO144" s="581"/>
      <c r="BP144" s="430"/>
      <c r="BQ144" s="430"/>
      <c r="BR144" s="430"/>
      <c r="BS144" s="581"/>
      <c r="BT144" s="581"/>
      <c r="BU144" s="430"/>
      <c r="BV144" s="430"/>
      <c r="BW144" s="430"/>
      <c r="BX144" s="430"/>
      <c r="BY144" s="430"/>
      <c r="BZ144" s="430"/>
      <c r="CA144" s="430"/>
      <c r="CB144" s="430"/>
      <c r="CC144" s="430"/>
      <c r="CD144" s="430"/>
      <c r="CE144" s="430"/>
      <c r="CF144" s="430"/>
      <c r="CG144" s="430"/>
      <c r="CH144" s="430"/>
      <c r="CI144" s="430"/>
      <c r="CJ144" s="430"/>
      <c r="CK144" s="430"/>
      <c r="CL144" s="430"/>
    </row>
    <row r="145" spans="63:90" ht="14.25" customHeight="1">
      <c r="BK145" s="581"/>
      <c r="BL145" s="581"/>
      <c r="BM145" s="582"/>
      <c r="BN145" s="581"/>
      <c r="BO145" s="581"/>
      <c r="BP145" s="430"/>
      <c r="BQ145" s="430"/>
      <c r="BR145" s="430"/>
      <c r="BS145" s="581"/>
      <c r="BT145" s="581"/>
      <c r="BU145" s="430"/>
      <c r="BV145" s="430"/>
      <c r="BW145" s="430"/>
      <c r="BX145" s="430"/>
      <c r="BY145" s="430"/>
      <c r="BZ145" s="430"/>
      <c r="CA145" s="430"/>
      <c r="CB145" s="430"/>
      <c r="CC145" s="430"/>
      <c r="CD145" s="430"/>
      <c r="CE145" s="430"/>
      <c r="CF145" s="430"/>
      <c r="CG145" s="430"/>
      <c r="CH145" s="430"/>
      <c r="CI145" s="430"/>
      <c r="CJ145" s="430"/>
      <c r="CK145" s="430"/>
      <c r="CL145" s="430"/>
    </row>
    <row r="146" spans="63:90" ht="14.25" customHeight="1">
      <c r="BK146" s="581"/>
      <c r="BL146" s="581"/>
      <c r="BM146" s="582"/>
      <c r="BN146" s="581"/>
      <c r="BO146" s="581"/>
      <c r="BP146" s="430"/>
      <c r="BQ146" s="430"/>
      <c r="BR146" s="430"/>
      <c r="BS146" s="581"/>
      <c r="BT146" s="581"/>
      <c r="BU146" s="430"/>
      <c r="BV146" s="430"/>
      <c r="BW146" s="430"/>
      <c r="BX146" s="430"/>
      <c r="BY146" s="430"/>
      <c r="BZ146" s="430"/>
      <c r="CA146" s="430"/>
      <c r="CB146" s="430"/>
      <c r="CC146" s="430"/>
      <c r="CD146" s="430"/>
      <c r="CE146" s="430"/>
      <c r="CF146" s="430"/>
      <c r="CG146" s="430"/>
      <c r="CH146" s="430"/>
      <c r="CI146" s="430"/>
      <c r="CJ146" s="430"/>
      <c r="CK146" s="430"/>
      <c r="CL146" s="430"/>
    </row>
    <row r="147" spans="63:90" ht="14.25" customHeight="1">
      <c r="BK147" s="581"/>
      <c r="BL147" s="581"/>
      <c r="BM147" s="582"/>
      <c r="BN147" s="581"/>
      <c r="BO147" s="581"/>
      <c r="BP147" s="430"/>
      <c r="BQ147" s="430"/>
      <c r="BR147" s="430"/>
      <c r="BS147" s="581"/>
      <c r="BT147" s="581"/>
      <c r="BU147" s="430"/>
      <c r="BV147" s="430"/>
      <c r="BW147" s="430"/>
      <c r="BX147" s="430"/>
      <c r="BY147" s="430"/>
      <c r="BZ147" s="430"/>
      <c r="CA147" s="430"/>
      <c r="CB147" s="430"/>
      <c r="CC147" s="430"/>
      <c r="CD147" s="430"/>
      <c r="CE147" s="430"/>
      <c r="CF147" s="430"/>
      <c r="CG147" s="430"/>
      <c r="CH147" s="430"/>
      <c r="CI147" s="430"/>
      <c r="CJ147" s="430"/>
      <c r="CK147" s="430"/>
      <c r="CL147" s="430"/>
    </row>
    <row r="148" spans="63:90" ht="14.25" customHeight="1">
      <c r="BK148" s="581"/>
      <c r="BL148" s="581"/>
      <c r="BM148" s="582"/>
      <c r="BN148" s="581"/>
      <c r="BO148" s="581"/>
      <c r="BP148" s="430"/>
      <c r="BQ148" s="430"/>
      <c r="BR148" s="430"/>
      <c r="BS148" s="581"/>
      <c r="BT148" s="581"/>
      <c r="BU148" s="430"/>
      <c r="BV148" s="430"/>
      <c r="BW148" s="430"/>
      <c r="BX148" s="430"/>
      <c r="BY148" s="430"/>
      <c r="BZ148" s="430"/>
      <c r="CA148" s="430"/>
      <c r="CB148" s="430"/>
      <c r="CC148" s="430"/>
      <c r="CD148" s="430"/>
      <c r="CE148" s="430"/>
      <c r="CF148" s="430"/>
      <c r="CG148" s="430"/>
      <c r="CH148" s="430"/>
      <c r="CI148" s="430"/>
      <c r="CJ148" s="430"/>
      <c r="CK148" s="430"/>
      <c r="CL148" s="430"/>
    </row>
    <row r="149" spans="63:90" ht="14.25" customHeight="1">
      <c r="BK149" s="581"/>
      <c r="BL149" s="581"/>
      <c r="BM149" s="582"/>
      <c r="BN149" s="581"/>
      <c r="BO149" s="581"/>
      <c r="BP149" s="430"/>
      <c r="BQ149" s="430"/>
      <c r="BR149" s="430"/>
      <c r="BS149" s="581"/>
      <c r="BT149" s="581"/>
      <c r="BU149" s="430"/>
      <c r="BV149" s="430"/>
      <c r="BW149" s="430"/>
      <c r="BX149" s="430"/>
      <c r="BY149" s="430"/>
      <c r="BZ149" s="430"/>
      <c r="CA149" s="430"/>
      <c r="CB149" s="430"/>
      <c r="CC149" s="430"/>
      <c r="CD149" s="430"/>
      <c r="CE149" s="430"/>
      <c r="CF149" s="430"/>
      <c r="CG149" s="430"/>
      <c r="CH149" s="430"/>
      <c r="CI149" s="430"/>
      <c r="CJ149" s="430"/>
      <c r="CK149" s="430"/>
      <c r="CL149" s="430"/>
    </row>
    <row r="150" spans="63:90" ht="14.25" customHeight="1">
      <c r="BK150" s="581"/>
      <c r="BL150" s="581"/>
      <c r="BM150" s="582"/>
      <c r="BN150" s="581"/>
      <c r="BO150" s="581"/>
      <c r="BP150" s="430"/>
      <c r="BQ150" s="430"/>
      <c r="BR150" s="430"/>
      <c r="BS150" s="581"/>
      <c r="BT150" s="581"/>
      <c r="BU150" s="430"/>
      <c r="BV150" s="430"/>
      <c r="BW150" s="430"/>
      <c r="BX150" s="430"/>
      <c r="BY150" s="430"/>
      <c r="BZ150" s="430"/>
      <c r="CA150" s="430"/>
      <c r="CB150" s="430"/>
      <c r="CC150" s="430"/>
      <c r="CD150" s="430"/>
      <c r="CE150" s="430"/>
      <c r="CF150" s="430"/>
      <c r="CG150" s="430"/>
      <c r="CH150" s="430"/>
      <c r="CI150" s="430"/>
      <c r="CJ150" s="430"/>
      <c r="CK150" s="430"/>
      <c r="CL150" s="430"/>
    </row>
    <row r="151" spans="63:90" ht="14.25" customHeight="1">
      <c r="BK151" s="581"/>
      <c r="BL151" s="581"/>
      <c r="BM151" s="582"/>
      <c r="BN151" s="581"/>
      <c r="BO151" s="581"/>
      <c r="BP151" s="430"/>
      <c r="BQ151" s="430"/>
      <c r="BR151" s="430"/>
      <c r="BS151" s="581"/>
      <c r="BT151" s="581"/>
      <c r="BU151" s="430"/>
      <c r="BV151" s="430"/>
      <c r="BW151" s="430"/>
      <c r="BX151" s="430"/>
      <c r="BY151" s="430"/>
      <c r="BZ151" s="430"/>
      <c r="CA151" s="430"/>
      <c r="CB151" s="430"/>
      <c r="CC151" s="430"/>
      <c r="CD151" s="430"/>
      <c r="CE151" s="430"/>
      <c r="CF151" s="430"/>
      <c r="CG151" s="430"/>
      <c r="CH151" s="430"/>
      <c r="CI151" s="430"/>
      <c r="CJ151" s="430"/>
      <c r="CK151" s="430"/>
      <c r="CL151" s="430"/>
    </row>
    <row r="152" spans="63:90" ht="14.25" customHeight="1">
      <c r="BK152" s="581"/>
      <c r="BL152" s="581"/>
      <c r="BM152" s="582"/>
      <c r="BN152" s="581"/>
      <c r="BO152" s="581"/>
      <c r="BP152" s="430"/>
      <c r="BQ152" s="430"/>
      <c r="BR152" s="430"/>
      <c r="BS152" s="581"/>
      <c r="BT152" s="581"/>
      <c r="BU152" s="430"/>
      <c r="BV152" s="430"/>
      <c r="BW152" s="430"/>
      <c r="BX152" s="430"/>
      <c r="BY152" s="430"/>
      <c r="BZ152" s="430"/>
      <c r="CA152" s="430"/>
      <c r="CB152" s="430"/>
      <c r="CC152" s="430"/>
      <c r="CD152" s="430"/>
      <c r="CE152" s="430"/>
      <c r="CF152" s="430"/>
      <c r="CG152" s="430"/>
      <c r="CH152" s="430"/>
      <c r="CI152" s="430"/>
      <c r="CJ152" s="430"/>
      <c r="CK152" s="430"/>
      <c r="CL152" s="430"/>
    </row>
    <row r="153" spans="63:90" ht="14.25" customHeight="1">
      <c r="BK153" s="581"/>
      <c r="BL153" s="581"/>
      <c r="BM153" s="582"/>
      <c r="BN153" s="581"/>
      <c r="BO153" s="581"/>
      <c r="BP153" s="430"/>
      <c r="BQ153" s="430"/>
      <c r="BR153" s="430"/>
      <c r="BS153" s="581"/>
      <c r="BT153" s="581"/>
      <c r="BU153" s="430"/>
      <c r="BV153" s="430"/>
      <c r="BW153" s="430"/>
      <c r="BX153" s="430"/>
      <c r="BY153" s="430"/>
      <c r="BZ153" s="430"/>
      <c r="CA153" s="430"/>
      <c r="CB153" s="430"/>
      <c r="CC153" s="430"/>
      <c r="CD153" s="430"/>
      <c r="CE153" s="430"/>
      <c r="CF153" s="430"/>
      <c r="CG153" s="430"/>
      <c r="CH153" s="430"/>
      <c r="CI153" s="430"/>
      <c r="CJ153" s="430"/>
      <c r="CK153" s="430"/>
      <c r="CL153" s="430"/>
    </row>
    <row r="154" spans="63:90" ht="14.25" customHeight="1">
      <c r="BK154" s="581"/>
      <c r="BL154" s="581"/>
      <c r="BM154" s="582"/>
      <c r="BN154" s="581"/>
      <c r="BO154" s="581"/>
      <c r="BP154" s="430"/>
      <c r="BQ154" s="430"/>
      <c r="BR154" s="430"/>
      <c r="BS154" s="581"/>
      <c r="BT154" s="581"/>
      <c r="BU154" s="430"/>
      <c r="BV154" s="430"/>
      <c r="BW154" s="430"/>
      <c r="BX154" s="430"/>
      <c r="BY154" s="430"/>
      <c r="BZ154" s="430"/>
      <c r="CA154" s="430"/>
      <c r="CB154" s="430"/>
      <c r="CC154" s="430"/>
      <c r="CD154" s="430"/>
      <c r="CE154" s="430"/>
      <c r="CF154" s="430"/>
      <c r="CG154" s="430"/>
      <c r="CH154" s="430"/>
      <c r="CI154" s="430"/>
      <c r="CJ154" s="430"/>
      <c r="CK154" s="430"/>
      <c r="CL154" s="430"/>
    </row>
    <row r="155" spans="63:90" ht="14.25" customHeight="1">
      <c r="BK155" s="581"/>
      <c r="BL155" s="581"/>
      <c r="BM155" s="582"/>
      <c r="BN155" s="581"/>
      <c r="BO155" s="581"/>
      <c r="BP155" s="430"/>
      <c r="BQ155" s="430"/>
      <c r="BR155" s="430"/>
      <c r="BS155" s="581"/>
      <c r="BT155" s="581"/>
      <c r="BU155" s="430"/>
      <c r="BV155" s="430"/>
      <c r="BW155" s="430"/>
      <c r="BX155" s="430"/>
      <c r="BY155" s="430"/>
      <c r="BZ155" s="430"/>
      <c r="CA155" s="430"/>
      <c r="CB155" s="430"/>
      <c r="CC155" s="430"/>
      <c r="CD155" s="430"/>
      <c r="CE155" s="430"/>
      <c r="CF155" s="430"/>
      <c r="CG155" s="430"/>
      <c r="CH155" s="430"/>
      <c r="CI155" s="430"/>
      <c r="CJ155" s="430"/>
      <c r="CK155" s="430"/>
      <c r="CL155" s="430"/>
    </row>
    <row r="156" spans="63:90" ht="14.25" customHeight="1">
      <c r="BK156" s="581"/>
      <c r="BL156" s="581"/>
      <c r="BM156" s="582"/>
      <c r="BN156" s="581"/>
      <c r="BO156" s="581"/>
      <c r="BP156" s="430"/>
      <c r="BQ156" s="430"/>
      <c r="BR156" s="430"/>
      <c r="BS156" s="581"/>
      <c r="BT156" s="581"/>
      <c r="BU156" s="430"/>
      <c r="BV156" s="430"/>
      <c r="BW156" s="430"/>
      <c r="BX156" s="430"/>
      <c r="BY156" s="430"/>
      <c r="BZ156" s="430"/>
      <c r="CA156" s="430"/>
      <c r="CB156" s="430"/>
      <c r="CC156" s="430"/>
      <c r="CD156" s="430"/>
      <c r="CE156" s="430"/>
      <c r="CF156" s="430"/>
      <c r="CG156" s="430"/>
      <c r="CH156" s="430"/>
      <c r="CI156" s="430"/>
      <c r="CJ156" s="430"/>
      <c r="CK156" s="430"/>
      <c r="CL156" s="430"/>
    </row>
    <row r="157" spans="63:90" ht="14.25" customHeight="1">
      <c r="BK157" s="581"/>
      <c r="BL157" s="581"/>
      <c r="BM157" s="582"/>
      <c r="BN157" s="581"/>
      <c r="BO157" s="581"/>
      <c r="BP157" s="430"/>
      <c r="BQ157" s="430"/>
      <c r="BR157" s="430"/>
      <c r="BS157" s="581"/>
      <c r="BT157" s="581"/>
      <c r="BU157" s="430"/>
      <c r="BV157" s="430"/>
      <c r="BW157" s="430"/>
      <c r="BX157" s="430"/>
      <c r="BY157" s="430"/>
      <c r="BZ157" s="430"/>
      <c r="CA157" s="430"/>
      <c r="CB157" s="430"/>
      <c r="CC157" s="430"/>
      <c r="CD157" s="430"/>
      <c r="CE157" s="430"/>
      <c r="CF157" s="430"/>
      <c r="CG157" s="430"/>
      <c r="CH157" s="430"/>
      <c r="CI157" s="430"/>
      <c r="CJ157" s="430"/>
      <c r="CK157" s="430"/>
      <c r="CL157" s="430"/>
    </row>
    <row r="158" spans="63:90" ht="14.25" customHeight="1">
      <c r="BK158" s="581"/>
      <c r="BL158" s="581"/>
      <c r="BM158" s="582"/>
      <c r="BN158" s="581"/>
      <c r="BO158" s="581"/>
      <c r="BP158" s="430"/>
      <c r="BQ158" s="430"/>
      <c r="BR158" s="430"/>
      <c r="BS158" s="581"/>
      <c r="BT158" s="581"/>
      <c r="BU158" s="430"/>
      <c r="BV158" s="430"/>
      <c r="BW158" s="430"/>
      <c r="BX158" s="430"/>
      <c r="BY158" s="430"/>
      <c r="BZ158" s="430"/>
      <c r="CA158" s="430"/>
      <c r="CB158" s="430"/>
      <c r="CC158" s="430"/>
      <c r="CD158" s="430"/>
      <c r="CE158" s="430"/>
      <c r="CF158" s="430"/>
      <c r="CG158" s="430"/>
      <c r="CH158" s="430"/>
      <c r="CI158" s="430"/>
      <c r="CJ158" s="430"/>
      <c r="CK158" s="430"/>
      <c r="CL158" s="430"/>
    </row>
    <row r="159" spans="63:90" ht="14.25" customHeight="1">
      <c r="BK159" s="581"/>
      <c r="BL159" s="581"/>
      <c r="BM159" s="582"/>
      <c r="BN159" s="581"/>
      <c r="BO159" s="581"/>
      <c r="BP159" s="430"/>
      <c r="BQ159" s="430"/>
      <c r="BR159" s="430"/>
      <c r="BS159" s="581"/>
      <c r="BT159" s="581"/>
      <c r="BU159" s="430"/>
      <c r="BV159" s="430"/>
      <c r="BW159" s="430"/>
      <c r="BX159" s="430"/>
      <c r="BY159" s="430"/>
      <c r="BZ159" s="430"/>
      <c r="CA159" s="430"/>
      <c r="CB159" s="430"/>
      <c r="CC159" s="430"/>
      <c r="CD159" s="430"/>
      <c r="CE159" s="430"/>
      <c r="CF159" s="430"/>
      <c r="CG159" s="430"/>
      <c r="CH159" s="430"/>
      <c r="CI159" s="430"/>
      <c r="CJ159" s="430"/>
      <c r="CK159" s="430"/>
      <c r="CL159" s="430"/>
    </row>
    <row r="160" spans="63:90" ht="14.25" customHeight="1">
      <c r="BK160" s="581"/>
      <c r="BL160" s="581"/>
      <c r="BM160" s="582"/>
      <c r="BN160" s="581"/>
      <c r="BO160" s="581"/>
      <c r="BP160" s="430"/>
      <c r="BQ160" s="430"/>
      <c r="BR160" s="430"/>
      <c r="BS160" s="581"/>
      <c r="BT160" s="581"/>
      <c r="BU160" s="430"/>
      <c r="BV160" s="430"/>
      <c r="BW160" s="430"/>
      <c r="BX160" s="430"/>
      <c r="BY160" s="430"/>
      <c r="BZ160" s="430"/>
      <c r="CA160" s="430"/>
      <c r="CB160" s="430"/>
      <c r="CC160" s="430"/>
      <c r="CD160" s="430"/>
      <c r="CE160" s="430"/>
      <c r="CF160" s="430"/>
      <c r="CG160" s="430"/>
      <c r="CH160" s="430"/>
      <c r="CI160" s="430"/>
      <c r="CJ160" s="430"/>
      <c r="CK160" s="430"/>
      <c r="CL160" s="430"/>
    </row>
    <row r="161" spans="63:90" ht="14.25" customHeight="1">
      <c r="BK161" s="581"/>
      <c r="BL161" s="581"/>
      <c r="BM161" s="582"/>
      <c r="BN161" s="581"/>
      <c r="BO161" s="581"/>
      <c r="BP161" s="430"/>
      <c r="BQ161" s="430"/>
      <c r="BR161" s="430"/>
      <c r="BS161" s="581"/>
      <c r="BT161" s="581"/>
      <c r="BU161" s="430"/>
      <c r="BV161" s="430"/>
      <c r="BW161" s="430"/>
      <c r="BX161" s="430"/>
      <c r="BY161" s="430"/>
      <c r="BZ161" s="430"/>
      <c r="CA161" s="430"/>
      <c r="CB161" s="430"/>
      <c r="CC161" s="430"/>
      <c r="CD161" s="430"/>
      <c r="CE161" s="430"/>
      <c r="CF161" s="430"/>
      <c r="CG161" s="430"/>
      <c r="CH161" s="430"/>
      <c r="CI161" s="430"/>
      <c r="CJ161" s="430"/>
      <c r="CK161" s="430"/>
      <c r="CL161" s="430"/>
    </row>
    <row r="162" spans="63:90" ht="14.25" customHeight="1">
      <c r="BK162" s="581"/>
      <c r="BL162" s="581"/>
      <c r="BM162" s="582"/>
      <c r="BN162" s="581"/>
      <c r="BO162" s="581"/>
      <c r="BP162" s="430"/>
      <c r="BQ162" s="430"/>
      <c r="BR162" s="430"/>
      <c r="BS162" s="581"/>
      <c r="BT162" s="581"/>
      <c r="BU162" s="430"/>
      <c r="BV162" s="430"/>
      <c r="BW162" s="430"/>
      <c r="BX162" s="430"/>
      <c r="BY162" s="430"/>
      <c r="BZ162" s="430"/>
      <c r="CA162" s="430"/>
      <c r="CB162" s="430"/>
      <c r="CC162" s="430"/>
      <c r="CD162" s="430"/>
      <c r="CE162" s="430"/>
      <c r="CF162" s="430"/>
      <c r="CG162" s="430"/>
      <c r="CH162" s="430"/>
      <c r="CI162" s="430"/>
      <c r="CJ162" s="430"/>
      <c r="CK162" s="430"/>
      <c r="CL162" s="430"/>
    </row>
    <row r="163" spans="63:90" ht="14.25" customHeight="1">
      <c r="BK163" s="581"/>
      <c r="BL163" s="581"/>
      <c r="BM163" s="582"/>
      <c r="BN163" s="581"/>
      <c r="BO163" s="581"/>
      <c r="BP163" s="430"/>
      <c r="BQ163" s="430"/>
      <c r="BR163" s="430"/>
      <c r="BS163" s="581"/>
      <c r="BT163" s="581"/>
      <c r="BU163" s="430"/>
      <c r="BV163" s="430"/>
      <c r="BW163" s="430"/>
      <c r="BX163" s="430"/>
      <c r="BY163" s="430"/>
      <c r="BZ163" s="430"/>
      <c r="CA163" s="430"/>
      <c r="CB163" s="430"/>
      <c r="CC163" s="430"/>
      <c r="CD163" s="430"/>
      <c r="CE163" s="430"/>
      <c r="CF163" s="430"/>
      <c r="CG163" s="430"/>
      <c r="CH163" s="430"/>
      <c r="CI163" s="430"/>
      <c r="CJ163" s="430"/>
      <c r="CK163" s="430"/>
      <c r="CL163" s="430"/>
    </row>
    <row r="164" spans="63:90" ht="14.25" customHeight="1">
      <c r="BK164" s="581"/>
      <c r="BL164" s="581"/>
      <c r="BM164" s="582"/>
      <c r="BN164" s="581"/>
      <c r="BO164" s="581"/>
      <c r="BP164" s="430"/>
      <c r="BQ164" s="430"/>
      <c r="BR164" s="430"/>
      <c r="BS164" s="581"/>
      <c r="BT164" s="581"/>
      <c r="BU164" s="430"/>
      <c r="BV164" s="430"/>
      <c r="BW164" s="430"/>
      <c r="BX164" s="430"/>
      <c r="BY164" s="430"/>
      <c r="BZ164" s="430"/>
      <c r="CA164" s="430"/>
      <c r="CB164" s="430"/>
      <c r="CC164" s="430"/>
      <c r="CD164" s="430"/>
      <c r="CE164" s="430"/>
      <c r="CF164" s="430"/>
      <c r="CG164" s="430"/>
      <c r="CH164" s="430"/>
      <c r="CI164" s="430"/>
      <c r="CJ164" s="430"/>
      <c r="CK164" s="430"/>
      <c r="CL164" s="430"/>
    </row>
    <row r="165" spans="63:90" ht="14.25" customHeight="1">
      <c r="BK165" s="581"/>
      <c r="BL165" s="581"/>
      <c r="BM165" s="582"/>
      <c r="BN165" s="581"/>
      <c r="BO165" s="581"/>
      <c r="BP165" s="430"/>
      <c r="BQ165" s="430"/>
      <c r="BR165" s="430"/>
      <c r="BS165" s="581"/>
      <c r="BT165" s="581"/>
      <c r="BU165" s="430"/>
      <c r="BV165" s="430"/>
      <c r="BW165" s="430"/>
      <c r="BX165" s="430"/>
      <c r="BY165" s="430"/>
      <c r="BZ165" s="430"/>
      <c r="CA165" s="430"/>
      <c r="CB165" s="430"/>
      <c r="CC165" s="430"/>
      <c r="CD165" s="430"/>
      <c r="CE165" s="430"/>
      <c r="CF165" s="430"/>
      <c r="CG165" s="430"/>
      <c r="CH165" s="430"/>
      <c r="CI165" s="430"/>
      <c r="CJ165" s="430"/>
      <c r="CK165" s="430"/>
      <c r="CL165" s="430"/>
    </row>
    <row r="166" spans="63:90" ht="14.25" customHeight="1">
      <c r="BK166" s="581"/>
      <c r="BL166" s="581"/>
      <c r="BM166" s="582"/>
      <c r="BN166" s="581"/>
      <c r="BO166" s="581"/>
      <c r="BP166" s="430"/>
      <c r="BQ166" s="430"/>
      <c r="BR166" s="430"/>
      <c r="BS166" s="581"/>
      <c r="BT166" s="581"/>
      <c r="BU166" s="430"/>
      <c r="BV166" s="430"/>
      <c r="BW166" s="430"/>
      <c r="BX166" s="430"/>
      <c r="BY166" s="430"/>
      <c r="BZ166" s="430"/>
      <c r="CA166" s="430"/>
      <c r="CB166" s="430"/>
      <c r="CC166" s="430"/>
      <c r="CD166" s="430"/>
      <c r="CE166" s="430"/>
      <c r="CF166" s="430"/>
      <c r="CG166" s="430"/>
      <c r="CH166" s="430"/>
      <c r="CI166" s="430"/>
      <c r="CJ166" s="430"/>
      <c r="CK166" s="430"/>
      <c r="CL166" s="430"/>
    </row>
    <row r="167" spans="63:90" ht="14.25" customHeight="1">
      <c r="BK167" s="581"/>
      <c r="BL167" s="581"/>
      <c r="BM167" s="582"/>
      <c r="BN167" s="581"/>
      <c r="BO167" s="581"/>
      <c r="BP167" s="430"/>
      <c r="BQ167" s="430"/>
      <c r="BR167" s="430"/>
      <c r="BS167" s="581"/>
      <c r="BT167" s="581"/>
      <c r="BU167" s="430"/>
      <c r="BV167" s="430"/>
      <c r="BW167" s="430"/>
      <c r="BX167" s="430"/>
      <c r="BY167" s="430"/>
      <c r="BZ167" s="430"/>
      <c r="CA167" s="430"/>
      <c r="CB167" s="430"/>
      <c r="CC167" s="430"/>
      <c r="CD167" s="430"/>
      <c r="CE167" s="430"/>
      <c r="CF167" s="430"/>
      <c r="CG167" s="430"/>
      <c r="CH167" s="430"/>
      <c r="CI167" s="430"/>
      <c r="CJ167" s="430"/>
      <c r="CK167" s="430"/>
      <c r="CL167" s="430"/>
    </row>
    <row r="168" spans="63:90" ht="14.25" customHeight="1">
      <c r="BK168" s="581"/>
      <c r="BL168" s="581"/>
      <c r="BM168" s="582"/>
      <c r="BN168" s="581"/>
      <c r="BO168" s="581"/>
      <c r="BP168" s="430"/>
      <c r="BQ168" s="430"/>
      <c r="BR168" s="430"/>
      <c r="BS168" s="581"/>
      <c r="BT168" s="581"/>
      <c r="BU168" s="430"/>
      <c r="BV168" s="430"/>
      <c r="BW168" s="430"/>
      <c r="BX168" s="430"/>
      <c r="BY168" s="430"/>
      <c r="BZ168" s="430"/>
      <c r="CA168" s="430"/>
      <c r="CB168" s="430"/>
      <c r="CC168" s="430"/>
      <c r="CD168" s="430"/>
      <c r="CE168" s="430"/>
      <c r="CF168" s="430"/>
      <c r="CG168" s="430"/>
      <c r="CH168" s="430"/>
      <c r="CI168" s="430"/>
      <c r="CJ168" s="430"/>
      <c r="CK168" s="430"/>
      <c r="CL168" s="430"/>
    </row>
    <row r="169" spans="63:90" ht="14.25" customHeight="1">
      <c r="BK169" s="581"/>
      <c r="BL169" s="581"/>
      <c r="BM169" s="582"/>
      <c r="BN169" s="581"/>
      <c r="BO169" s="581"/>
      <c r="BP169" s="430"/>
      <c r="BQ169" s="430"/>
      <c r="BR169" s="430"/>
      <c r="BS169" s="581"/>
      <c r="BT169" s="581"/>
      <c r="BU169" s="430"/>
      <c r="BV169" s="430"/>
      <c r="BW169" s="430"/>
      <c r="BX169" s="430"/>
      <c r="BY169" s="430"/>
      <c r="BZ169" s="430"/>
      <c r="CA169" s="430"/>
      <c r="CB169" s="430"/>
      <c r="CC169" s="430"/>
      <c r="CD169" s="430"/>
      <c r="CE169" s="430"/>
      <c r="CF169" s="430"/>
      <c r="CG169" s="430"/>
      <c r="CH169" s="430"/>
      <c r="CI169" s="430"/>
      <c r="CJ169" s="430"/>
      <c r="CK169" s="430"/>
      <c r="CL169" s="430"/>
    </row>
    <row r="170" spans="63:90" ht="14.25" customHeight="1">
      <c r="BK170" s="581"/>
      <c r="BL170" s="581"/>
      <c r="BM170" s="582"/>
      <c r="BN170" s="581"/>
      <c r="BO170" s="581"/>
      <c r="BP170" s="430"/>
      <c r="BQ170" s="430"/>
      <c r="BR170" s="430"/>
      <c r="BS170" s="581"/>
      <c r="BT170" s="581"/>
      <c r="BU170" s="430"/>
      <c r="BV170" s="430"/>
      <c r="BW170" s="430"/>
      <c r="BX170" s="430"/>
      <c r="BY170" s="430"/>
      <c r="BZ170" s="430"/>
      <c r="CA170" s="430"/>
      <c r="CB170" s="430"/>
      <c r="CC170" s="430"/>
      <c r="CD170" s="430"/>
      <c r="CE170" s="430"/>
      <c r="CF170" s="430"/>
      <c r="CG170" s="430"/>
      <c r="CH170" s="430"/>
      <c r="CI170" s="430"/>
      <c r="CJ170" s="430"/>
      <c r="CK170" s="430"/>
      <c r="CL170" s="430"/>
    </row>
    <row r="171" spans="63:90" ht="14.25" customHeight="1">
      <c r="BK171" s="581"/>
      <c r="BL171" s="581"/>
      <c r="BM171" s="582"/>
      <c r="BN171" s="581"/>
      <c r="BO171" s="581"/>
      <c r="BP171" s="430"/>
      <c r="BQ171" s="430"/>
      <c r="BR171" s="430"/>
      <c r="BS171" s="581"/>
      <c r="BT171" s="581"/>
      <c r="BU171" s="430"/>
      <c r="BV171" s="430"/>
      <c r="BW171" s="430"/>
      <c r="BX171" s="430"/>
      <c r="BY171" s="430"/>
      <c r="BZ171" s="430"/>
      <c r="CA171" s="430"/>
      <c r="CB171" s="430"/>
      <c r="CC171" s="430"/>
      <c r="CD171" s="430"/>
      <c r="CE171" s="430"/>
      <c r="CF171" s="430"/>
      <c r="CG171" s="430"/>
      <c r="CH171" s="430"/>
      <c r="CI171" s="430"/>
      <c r="CJ171" s="430"/>
      <c r="CK171" s="430"/>
      <c r="CL171" s="430"/>
    </row>
    <row r="172" spans="63:90" ht="14.25" customHeight="1">
      <c r="BK172" s="581"/>
      <c r="BL172" s="581"/>
      <c r="BM172" s="582"/>
      <c r="BN172" s="581"/>
      <c r="BO172" s="581"/>
      <c r="BP172" s="430"/>
      <c r="BQ172" s="430"/>
      <c r="BR172" s="430"/>
      <c r="BS172" s="581"/>
      <c r="BT172" s="581"/>
      <c r="BU172" s="430"/>
      <c r="BV172" s="430"/>
      <c r="BW172" s="430"/>
      <c r="BX172" s="430"/>
      <c r="BY172" s="430"/>
      <c r="BZ172" s="430"/>
      <c r="CA172" s="430"/>
      <c r="CB172" s="430"/>
      <c r="CC172" s="430"/>
      <c r="CD172" s="430"/>
      <c r="CE172" s="430"/>
      <c r="CF172" s="430"/>
      <c r="CG172" s="430"/>
      <c r="CH172" s="430"/>
      <c r="CI172" s="430"/>
      <c r="CJ172" s="430"/>
      <c r="CK172" s="430"/>
      <c r="CL172" s="430"/>
    </row>
    <row r="173" spans="63:90" ht="14.25" customHeight="1">
      <c r="BK173" s="581"/>
      <c r="BL173" s="581"/>
      <c r="BM173" s="582"/>
      <c r="BN173" s="581"/>
      <c r="BO173" s="581"/>
      <c r="BP173" s="430"/>
      <c r="BQ173" s="430"/>
      <c r="BR173" s="430"/>
      <c r="BS173" s="581"/>
      <c r="BT173" s="581"/>
      <c r="BU173" s="430"/>
      <c r="BV173" s="430"/>
      <c r="BW173" s="430"/>
      <c r="BX173" s="430"/>
      <c r="BY173" s="430"/>
      <c r="BZ173" s="430"/>
      <c r="CA173" s="430"/>
      <c r="CB173" s="430"/>
      <c r="CC173" s="430"/>
      <c r="CD173" s="430"/>
      <c r="CE173" s="430"/>
      <c r="CF173" s="430"/>
      <c r="CG173" s="430"/>
      <c r="CH173" s="430"/>
      <c r="CI173" s="430"/>
      <c r="CJ173" s="430"/>
      <c r="CK173" s="430"/>
      <c r="CL173" s="430"/>
    </row>
    <row r="174" spans="63:90" ht="14.25" customHeight="1">
      <c r="BK174" s="581"/>
      <c r="BL174" s="581"/>
      <c r="BM174" s="582"/>
      <c r="BN174" s="581"/>
      <c r="BO174" s="581"/>
      <c r="BP174" s="430"/>
      <c r="BQ174" s="430"/>
      <c r="BR174" s="430"/>
      <c r="BS174" s="581"/>
      <c r="BT174" s="581"/>
      <c r="BU174" s="430"/>
      <c r="BV174" s="430"/>
      <c r="BW174" s="430"/>
      <c r="BX174" s="430"/>
      <c r="BY174" s="430"/>
      <c r="BZ174" s="430"/>
      <c r="CA174" s="430"/>
      <c r="CB174" s="430"/>
      <c r="CC174" s="430"/>
      <c r="CD174" s="430"/>
      <c r="CE174" s="430"/>
      <c r="CF174" s="430"/>
      <c r="CG174" s="430"/>
      <c r="CH174" s="430"/>
      <c r="CI174" s="430"/>
      <c r="CJ174" s="430"/>
      <c r="CK174" s="430"/>
      <c r="CL174" s="430"/>
    </row>
    <row r="175" spans="63:90" ht="14.25" customHeight="1">
      <c r="BK175" s="581"/>
      <c r="BL175" s="581"/>
      <c r="BM175" s="582"/>
      <c r="BN175" s="581"/>
      <c r="BO175" s="581"/>
      <c r="BP175" s="430"/>
      <c r="BQ175" s="430"/>
      <c r="BR175" s="430"/>
      <c r="BS175" s="581"/>
      <c r="BT175" s="581"/>
      <c r="BU175" s="430"/>
      <c r="BV175" s="430"/>
      <c r="BW175" s="430"/>
      <c r="BX175" s="430"/>
      <c r="BY175" s="430"/>
      <c r="BZ175" s="430"/>
      <c r="CA175" s="430"/>
      <c r="CB175" s="430"/>
      <c r="CC175" s="430"/>
      <c r="CD175" s="430"/>
      <c r="CE175" s="430"/>
      <c r="CF175" s="430"/>
      <c r="CG175" s="430"/>
      <c r="CH175" s="430"/>
      <c r="CI175" s="430"/>
      <c r="CJ175" s="430"/>
      <c r="CK175" s="430"/>
      <c r="CL175" s="430"/>
    </row>
    <row r="176" spans="63:90" ht="14.25" customHeight="1">
      <c r="BK176" s="581"/>
      <c r="BL176" s="581"/>
      <c r="BM176" s="582"/>
      <c r="BN176" s="581"/>
      <c r="BO176" s="581"/>
      <c r="BP176" s="430"/>
      <c r="BQ176" s="430"/>
      <c r="BR176" s="430"/>
      <c r="BS176" s="581"/>
      <c r="BT176" s="581"/>
      <c r="BU176" s="430"/>
      <c r="BV176" s="430"/>
      <c r="BW176" s="430"/>
      <c r="BX176" s="430"/>
      <c r="BY176" s="430"/>
      <c r="BZ176" s="430"/>
      <c r="CA176" s="430"/>
      <c r="CB176" s="430"/>
      <c r="CC176" s="430"/>
      <c r="CD176" s="430"/>
      <c r="CE176" s="430"/>
      <c r="CF176" s="430"/>
      <c r="CG176" s="430"/>
      <c r="CH176" s="430"/>
      <c r="CI176" s="430"/>
      <c r="CJ176" s="430"/>
      <c r="CK176" s="430"/>
      <c r="CL176" s="430"/>
    </row>
    <row r="177" spans="63:90" ht="14.25" customHeight="1">
      <c r="BK177" s="581"/>
      <c r="BL177" s="581"/>
      <c r="BM177" s="582"/>
      <c r="BN177" s="581"/>
      <c r="BO177" s="581"/>
      <c r="BP177" s="430"/>
      <c r="BQ177" s="430"/>
      <c r="BR177" s="430"/>
      <c r="BS177" s="581"/>
      <c r="BT177" s="581"/>
      <c r="BU177" s="430"/>
      <c r="BV177" s="430"/>
      <c r="BW177" s="430"/>
      <c r="BX177" s="430"/>
      <c r="BY177" s="430"/>
      <c r="BZ177" s="430"/>
      <c r="CA177" s="430"/>
      <c r="CB177" s="430"/>
      <c r="CC177" s="430"/>
      <c r="CD177" s="430"/>
      <c r="CE177" s="430"/>
      <c r="CF177" s="430"/>
      <c r="CG177" s="430"/>
      <c r="CH177" s="430"/>
      <c r="CI177" s="430"/>
      <c r="CJ177" s="430"/>
      <c r="CK177" s="430"/>
      <c r="CL177" s="430"/>
    </row>
    <row r="178" spans="63:90" ht="14.25" customHeight="1">
      <c r="BK178" s="581"/>
      <c r="BL178" s="581"/>
      <c r="BM178" s="582"/>
      <c r="BN178" s="581"/>
      <c r="BO178" s="581"/>
      <c r="BP178" s="430"/>
      <c r="BQ178" s="430"/>
      <c r="BR178" s="430"/>
      <c r="BS178" s="581"/>
      <c r="BT178" s="581"/>
      <c r="BU178" s="430"/>
      <c r="BV178" s="430"/>
      <c r="BW178" s="430"/>
      <c r="BX178" s="430"/>
      <c r="BY178" s="430"/>
      <c r="BZ178" s="430"/>
      <c r="CA178" s="430"/>
      <c r="CB178" s="430"/>
      <c r="CC178" s="430"/>
      <c r="CD178" s="430"/>
      <c r="CE178" s="430"/>
      <c r="CF178" s="430"/>
      <c r="CG178" s="430"/>
      <c r="CH178" s="430"/>
      <c r="CI178" s="430"/>
      <c r="CJ178" s="430"/>
      <c r="CK178" s="430"/>
      <c r="CL178" s="430"/>
    </row>
    <row r="179" spans="63:90" ht="14.25" customHeight="1">
      <c r="BK179" s="581"/>
      <c r="BL179" s="581"/>
      <c r="BM179" s="582"/>
      <c r="BN179" s="581"/>
      <c r="BO179" s="581"/>
      <c r="BP179" s="430"/>
      <c r="BQ179" s="430"/>
      <c r="BR179" s="430"/>
      <c r="BS179" s="581"/>
      <c r="BT179" s="581"/>
      <c r="BU179" s="430"/>
      <c r="BV179" s="430"/>
      <c r="BW179" s="430"/>
      <c r="BX179" s="430"/>
      <c r="BY179" s="430"/>
      <c r="BZ179" s="430"/>
      <c r="CA179" s="430"/>
      <c r="CB179" s="430"/>
      <c r="CC179" s="430"/>
      <c r="CD179" s="430"/>
      <c r="CE179" s="430"/>
      <c r="CF179" s="430"/>
      <c r="CG179" s="430"/>
      <c r="CH179" s="430"/>
      <c r="CI179" s="430"/>
      <c r="CJ179" s="430"/>
      <c r="CK179" s="430"/>
      <c r="CL179" s="430"/>
    </row>
    <row r="180" spans="63:90" ht="14.25" customHeight="1">
      <c r="BK180" s="581"/>
      <c r="BL180" s="581"/>
      <c r="BM180" s="582"/>
      <c r="BN180" s="581"/>
      <c r="BO180" s="581"/>
      <c r="BP180" s="430"/>
      <c r="BQ180" s="430"/>
      <c r="BR180" s="430"/>
      <c r="BS180" s="581"/>
      <c r="BT180" s="581"/>
      <c r="BU180" s="430"/>
      <c r="BV180" s="430"/>
      <c r="BW180" s="430"/>
      <c r="BX180" s="430"/>
      <c r="BY180" s="430"/>
      <c r="BZ180" s="430"/>
      <c r="CA180" s="430"/>
      <c r="CB180" s="430"/>
      <c r="CC180" s="430"/>
      <c r="CD180" s="430"/>
      <c r="CE180" s="430"/>
      <c r="CF180" s="430"/>
      <c r="CG180" s="430"/>
      <c r="CH180" s="430"/>
      <c r="CI180" s="430"/>
      <c r="CJ180" s="430"/>
      <c r="CK180" s="430"/>
      <c r="CL180" s="430"/>
    </row>
    <row r="181" spans="63:90" ht="14.25" customHeight="1">
      <c r="BK181" s="581"/>
      <c r="BL181" s="581"/>
      <c r="BM181" s="582"/>
      <c r="BN181" s="581"/>
      <c r="BO181" s="581"/>
      <c r="BP181" s="430"/>
      <c r="BQ181" s="430"/>
      <c r="BR181" s="430"/>
      <c r="BS181" s="581"/>
      <c r="BT181" s="581"/>
      <c r="BU181" s="430"/>
      <c r="BV181" s="430"/>
      <c r="BW181" s="430"/>
      <c r="BX181" s="430"/>
      <c r="BY181" s="430"/>
      <c r="BZ181" s="430"/>
      <c r="CA181" s="430"/>
      <c r="CB181" s="430"/>
      <c r="CC181" s="430"/>
      <c r="CD181" s="430"/>
      <c r="CE181" s="430"/>
      <c r="CF181" s="430"/>
      <c r="CG181" s="430"/>
      <c r="CH181" s="430"/>
      <c r="CI181" s="430"/>
      <c r="CJ181" s="430"/>
      <c r="CK181" s="430"/>
      <c r="CL181" s="430"/>
    </row>
    <row r="182" spans="63:90" ht="14.25" customHeight="1">
      <c r="BK182" s="581"/>
      <c r="BL182" s="581"/>
      <c r="BM182" s="582"/>
      <c r="BN182" s="581"/>
      <c r="BO182" s="581"/>
      <c r="BP182" s="430"/>
      <c r="BQ182" s="430"/>
      <c r="BR182" s="430"/>
      <c r="BS182" s="581"/>
      <c r="BT182" s="581"/>
      <c r="BU182" s="430"/>
      <c r="BV182" s="430"/>
      <c r="BW182" s="430"/>
      <c r="BX182" s="430"/>
      <c r="BY182" s="430"/>
      <c r="BZ182" s="430"/>
      <c r="CA182" s="430"/>
      <c r="CB182" s="430"/>
      <c r="CC182" s="430"/>
      <c r="CD182" s="430"/>
      <c r="CE182" s="430"/>
      <c r="CF182" s="430"/>
      <c r="CG182" s="430"/>
      <c r="CH182" s="430"/>
      <c r="CI182" s="430"/>
      <c r="CJ182" s="430"/>
      <c r="CK182" s="430"/>
      <c r="CL182" s="430"/>
    </row>
    <row r="183" spans="63:90" ht="14.25" customHeight="1">
      <c r="BK183" s="581"/>
      <c r="BL183" s="581"/>
      <c r="BM183" s="582"/>
      <c r="BN183" s="581"/>
      <c r="BO183" s="581"/>
      <c r="BP183" s="430"/>
      <c r="BQ183" s="430"/>
      <c r="BR183" s="430"/>
      <c r="BS183" s="581"/>
      <c r="BT183" s="581"/>
      <c r="BU183" s="430"/>
      <c r="BV183" s="430"/>
      <c r="BW183" s="430"/>
      <c r="BX183" s="430"/>
      <c r="BY183" s="430"/>
      <c r="BZ183" s="430"/>
      <c r="CA183" s="430"/>
      <c r="CB183" s="430"/>
      <c r="CC183" s="430"/>
      <c r="CD183" s="430"/>
      <c r="CE183" s="430"/>
      <c r="CF183" s="430"/>
      <c r="CG183" s="430"/>
      <c r="CH183" s="430"/>
      <c r="CI183" s="430"/>
      <c r="CJ183" s="430"/>
      <c r="CK183" s="430"/>
      <c r="CL183" s="430"/>
    </row>
    <row r="184" spans="63:90" ht="14.25" customHeight="1">
      <c r="BK184" s="581"/>
      <c r="BL184" s="581"/>
      <c r="BM184" s="582"/>
      <c r="BN184" s="581"/>
      <c r="BO184" s="581"/>
      <c r="BP184" s="430"/>
      <c r="BQ184" s="430"/>
      <c r="BR184" s="430"/>
      <c r="BS184" s="581"/>
      <c r="BT184" s="581"/>
      <c r="BU184" s="430"/>
      <c r="BV184" s="430"/>
      <c r="BW184" s="430"/>
      <c r="BX184" s="430"/>
      <c r="BY184" s="430"/>
      <c r="BZ184" s="430"/>
      <c r="CA184" s="430"/>
      <c r="CB184" s="430"/>
      <c r="CC184" s="430"/>
      <c r="CD184" s="430"/>
      <c r="CE184" s="430"/>
      <c r="CF184" s="430"/>
      <c r="CG184" s="430"/>
      <c r="CH184" s="430"/>
      <c r="CI184" s="430"/>
      <c r="CJ184" s="430"/>
      <c r="CK184" s="430"/>
      <c r="CL184" s="430"/>
    </row>
    <row r="185" spans="63:90" ht="14.25" customHeight="1">
      <c r="BK185" s="581"/>
      <c r="BL185" s="581"/>
      <c r="BM185" s="582"/>
      <c r="BN185" s="581"/>
      <c r="BO185" s="581"/>
      <c r="BP185" s="430"/>
      <c r="BQ185" s="430"/>
      <c r="BR185" s="430"/>
      <c r="BS185" s="581"/>
      <c r="BT185" s="581"/>
      <c r="BU185" s="430"/>
      <c r="BV185" s="430"/>
      <c r="BW185" s="430"/>
      <c r="BX185" s="430"/>
      <c r="BY185" s="430"/>
      <c r="BZ185" s="430"/>
      <c r="CA185" s="430"/>
      <c r="CB185" s="430"/>
      <c r="CC185" s="430"/>
      <c r="CD185" s="430"/>
      <c r="CE185" s="430"/>
      <c r="CF185" s="430"/>
      <c r="CG185" s="430"/>
      <c r="CH185" s="430"/>
      <c r="CI185" s="430"/>
      <c r="CJ185" s="430"/>
      <c r="CK185" s="430"/>
      <c r="CL185" s="430"/>
    </row>
    <row r="186" spans="63:90" ht="14.25" customHeight="1">
      <c r="BK186" s="581"/>
      <c r="BL186" s="581"/>
      <c r="BM186" s="582"/>
      <c r="BN186" s="581"/>
      <c r="BO186" s="581"/>
      <c r="BP186" s="430"/>
      <c r="BQ186" s="430"/>
      <c r="BR186" s="430"/>
      <c r="BS186" s="581"/>
      <c r="BT186" s="581"/>
      <c r="BU186" s="430"/>
      <c r="BV186" s="430"/>
      <c r="BW186" s="430"/>
      <c r="BX186" s="430"/>
      <c r="BY186" s="430"/>
      <c r="BZ186" s="430"/>
      <c r="CA186" s="430"/>
      <c r="CB186" s="430"/>
      <c r="CC186" s="430"/>
      <c r="CD186" s="430"/>
      <c r="CE186" s="430"/>
      <c r="CF186" s="430"/>
      <c r="CG186" s="430"/>
      <c r="CH186" s="430"/>
      <c r="CI186" s="430"/>
      <c r="CJ186" s="430"/>
      <c r="CK186" s="430"/>
      <c r="CL186" s="430"/>
    </row>
    <row r="187" spans="63:90" ht="14.25" customHeight="1">
      <c r="BK187" s="581"/>
      <c r="BL187" s="581"/>
      <c r="BM187" s="582"/>
      <c r="BN187" s="581"/>
      <c r="BO187" s="581"/>
      <c r="BP187" s="430"/>
      <c r="BQ187" s="430"/>
      <c r="BR187" s="430"/>
      <c r="BS187" s="581"/>
      <c r="BT187" s="581"/>
      <c r="BU187" s="430"/>
      <c r="BV187" s="430"/>
      <c r="BW187" s="430"/>
      <c r="BX187" s="430"/>
      <c r="BY187" s="430"/>
      <c r="BZ187" s="430"/>
      <c r="CA187" s="430"/>
      <c r="CB187" s="430"/>
      <c r="CC187" s="430"/>
      <c r="CD187" s="430"/>
      <c r="CE187" s="430"/>
      <c r="CF187" s="430"/>
      <c r="CG187" s="430"/>
      <c r="CH187" s="430"/>
      <c r="CI187" s="430"/>
      <c r="CJ187" s="430"/>
      <c r="CK187" s="430"/>
      <c r="CL187" s="430"/>
    </row>
    <row r="188" spans="63:90" ht="14.25" customHeight="1">
      <c r="BK188" s="581"/>
      <c r="BL188" s="581"/>
      <c r="BM188" s="582"/>
      <c r="BN188" s="581"/>
      <c r="BO188" s="581"/>
      <c r="BP188" s="430"/>
      <c r="BQ188" s="430"/>
      <c r="BR188" s="430"/>
      <c r="BS188" s="581"/>
      <c r="BT188" s="581"/>
      <c r="BU188" s="430"/>
      <c r="BV188" s="430"/>
      <c r="BW188" s="430"/>
      <c r="BX188" s="430"/>
      <c r="BY188" s="430"/>
      <c r="BZ188" s="430"/>
      <c r="CA188" s="430"/>
      <c r="CB188" s="430"/>
      <c r="CC188" s="430"/>
      <c r="CD188" s="430"/>
      <c r="CE188" s="430"/>
      <c r="CF188" s="430"/>
      <c r="CG188" s="430"/>
      <c r="CH188" s="430"/>
      <c r="CI188" s="430"/>
      <c r="CJ188" s="430"/>
      <c r="CK188" s="430"/>
      <c r="CL188" s="430"/>
    </row>
    <row r="189" spans="63:90" ht="14.25" customHeight="1">
      <c r="BK189" s="581"/>
      <c r="BL189" s="581"/>
      <c r="BM189" s="582"/>
      <c r="BN189" s="581"/>
      <c r="BO189" s="581"/>
      <c r="BP189" s="430"/>
      <c r="BQ189" s="430"/>
      <c r="BR189" s="430"/>
      <c r="BS189" s="581"/>
      <c r="BT189" s="581"/>
      <c r="BU189" s="430"/>
      <c r="BV189" s="430"/>
      <c r="BW189" s="430"/>
      <c r="BX189" s="430"/>
      <c r="BY189" s="430"/>
      <c r="BZ189" s="430"/>
      <c r="CA189" s="430"/>
      <c r="CB189" s="430"/>
      <c r="CC189" s="430"/>
      <c r="CD189" s="430"/>
      <c r="CE189" s="430"/>
      <c r="CF189" s="430"/>
      <c r="CG189" s="430"/>
      <c r="CH189" s="430"/>
      <c r="CI189" s="430"/>
      <c r="CJ189" s="430"/>
      <c r="CK189" s="430"/>
      <c r="CL189" s="430"/>
    </row>
    <row r="190" spans="63:90" ht="14.25" customHeight="1">
      <c r="BK190" s="581"/>
      <c r="BL190" s="581"/>
      <c r="BM190" s="582"/>
      <c r="BN190" s="581"/>
      <c r="BO190" s="581"/>
      <c r="BP190" s="430"/>
      <c r="BQ190" s="430"/>
      <c r="BR190" s="430"/>
      <c r="BS190" s="581"/>
      <c r="BT190" s="581"/>
      <c r="BU190" s="430"/>
      <c r="BV190" s="430"/>
      <c r="BW190" s="430"/>
      <c r="BX190" s="430"/>
      <c r="BY190" s="430"/>
      <c r="BZ190" s="430"/>
      <c r="CA190" s="430"/>
      <c r="CB190" s="430"/>
      <c r="CC190" s="430"/>
      <c r="CD190" s="430"/>
      <c r="CE190" s="430"/>
      <c r="CF190" s="430"/>
      <c r="CG190" s="430"/>
      <c r="CH190" s="430"/>
      <c r="CI190" s="430"/>
      <c r="CJ190" s="430"/>
      <c r="CK190" s="430"/>
      <c r="CL190" s="430"/>
    </row>
    <row r="191" spans="63:90" ht="14.25" customHeight="1">
      <c r="BK191" s="581"/>
      <c r="BL191" s="581"/>
      <c r="BM191" s="582"/>
      <c r="BN191" s="581"/>
      <c r="BO191" s="581"/>
      <c r="BP191" s="430"/>
      <c r="BQ191" s="430"/>
      <c r="BR191" s="430"/>
      <c r="BS191" s="581"/>
      <c r="BT191" s="581"/>
      <c r="BU191" s="430"/>
      <c r="BV191" s="430"/>
      <c r="BW191" s="430"/>
      <c r="BX191" s="430"/>
      <c r="BY191" s="430"/>
      <c r="BZ191" s="430"/>
      <c r="CA191" s="430"/>
      <c r="CB191" s="430"/>
      <c r="CC191" s="430"/>
      <c r="CD191" s="430"/>
      <c r="CE191" s="430"/>
      <c r="CF191" s="430"/>
      <c r="CG191" s="430"/>
      <c r="CH191" s="430"/>
      <c r="CI191" s="430"/>
      <c r="CJ191" s="430"/>
      <c r="CK191" s="430"/>
      <c r="CL191" s="430"/>
    </row>
    <row r="192" spans="63:90" ht="14.25" customHeight="1">
      <c r="BK192" s="581"/>
      <c r="BL192" s="581"/>
      <c r="BM192" s="582"/>
      <c r="BN192" s="581"/>
      <c r="BO192" s="581"/>
      <c r="BP192" s="430"/>
      <c r="BQ192" s="430"/>
      <c r="BR192" s="430"/>
      <c r="BS192" s="581"/>
      <c r="BT192" s="581"/>
      <c r="BU192" s="430"/>
      <c r="BV192" s="430"/>
      <c r="BW192" s="430"/>
      <c r="BX192" s="430"/>
      <c r="BY192" s="430"/>
      <c r="BZ192" s="430"/>
      <c r="CA192" s="430"/>
      <c r="CB192" s="430"/>
      <c r="CC192" s="430"/>
      <c r="CD192" s="430"/>
      <c r="CE192" s="430"/>
      <c r="CF192" s="430"/>
      <c r="CG192" s="430"/>
      <c r="CH192" s="430"/>
      <c r="CI192" s="430"/>
      <c r="CJ192" s="430"/>
      <c r="CK192" s="430"/>
      <c r="CL192" s="430"/>
    </row>
    <row r="193" spans="63:90" ht="14.25" customHeight="1">
      <c r="BK193" s="581"/>
      <c r="BL193" s="581"/>
      <c r="BM193" s="582"/>
      <c r="BN193" s="581"/>
      <c r="BO193" s="581"/>
      <c r="BP193" s="430"/>
      <c r="BQ193" s="430"/>
      <c r="BR193" s="430"/>
      <c r="BS193" s="581"/>
      <c r="BT193" s="581"/>
      <c r="BU193" s="430"/>
      <c r="BV193" s="430"/>
      <c r="BW193" s="430"/>
      <c r="BX193" s="430"/>
      <c r="BY193" s="430"/>
      <c r="BZ193" s="430"/>
      <c r="CA193" s="430"/>
      <c r="CB193" s="430"/>
      <c r="CC193" s="430"/>
      <c r="CD193" s="430"/>
      <c r="CE193" s="430"/>
      <c r="CF193" s="430"/>
      <c r="CG193" s="430"/>
      <c r="CH193" s="430"/>
      <c r="CI193" s="430"/>
      <c r="CJ193" s="430"/>
      <c r="CK193" s="430"/>
      <c r="CL193" s="430"/>
    </row>
    <row r="194" spans="63:90" ht="14.25" customHeight="1">
      <c r="BK194" s="581"/>
      <c r="BL194" s="581"/>
      <c r="BM194" s="582"/>
      <c r="BN194" s="581"/>
      <c r="BO194" s="581"/>
      <c r="BP194" s="430"/>
      <c r="BQ194" s="430"/>
      <c r="BR194" s="430"/>
      <c r="BS194" s="581"/>
      <c r="BT194" s="581"/>
      <c r="BU194" s="430"/>
      <c r="BV194" s="430"/>
      <c r="BW194" s="430"/>
      <c r="BX194" s="430"/>
      <c r="BY194" s="430"/>
      <c r="BZ194" s="430"/>
      <c r="CA194" s="430"/>
      <c r="CB194" s="430"/>
      <c r="CC194" s="430"/>
      <c r="CD194" s="430"/>
      <c r="CE194" s="430"/>
      <c r="CF194" s="430"/>
      <c r="CG194" s="430"/>
      <c r="CH194" s="430"/>
      <c r="CI194" s="430"/>
      <c r="CJ194" s="430"/>
      <c r="CK194" s="430"/>
      <c r="CL194" s="430"/>
    </row>
    <row r="195" spans="63:90" ht="14.25" customHeight="1">
      <c r="BK195" s="581"/>
      <c r="BL195" s="581"/>
      <c r="BM195" s="582"/>
      <c r="BN195" s="581"/>
      <c r="BO195" s="581"/>
      <c r="BP195" s="430"/>
      <c r="BQ195" s="430"/>
      <c r="BR195" s="430"/>
      <c r="BS195" s="581"/>
      <c r="BT195" s="581"/>
      <c r="BU195" s="430"/>
      <c r="BV195" s="430"/>
      <c r="BW195" s="430"/>
      <c r="BX195" s="430"/>
      <c r="BY195" s="430"/>
      <c r="BZ195" s="430"/>
      <c r="CA195" s="430"/>
      <c r="CB195" s="430"/>
      <c r="CC195" s="430"/>
      <c r="CD195" s="430"/>
      <c r="CE195" s="430"/>
      <c r="CF195" s="430"/>
      <c r="CG195" s="430"/>
      <c r="CH195" s="430"/>
      <c r="CI195" s="430"/>
      <c r="CJ195" s="430"/>
      <c r="CK195" s="430"/>
      <c r="CL195" s="430"/>
    </row>
    <row r="196" spans="63:90" ht="14.25" customHeight="1">
      <c r="BK196" s="581"/>
      <c r="BL196" s="581"/>
      <c r="BM196" s="582"/>
      <c r="BN196" s="581"/>
      <c r="BO196" s="581"/>
      <c r="BP196" s="430"/>
      <c r="BQ196" s="430"/>
      <c r="BR196" s="430"/>
      <c r="BS196" s="581"/>
      <c r="BT196" s="581"/>
      <c r="BU196" s="430"/>
      <c r="BV196" s="430"/>
      <c r="BW196" s="430"/>
      <c r="BX196" s="430"/>
      <c r="BY196" s="430"/>
      <c r="BZ196" s="430"/>
      <c r="CA196" s="430"/>
      <c r="CB196" s="430"/>
      <c r="CC196" s="430"/>
      <c r="CD196" s="430"/>
      <c r="CE196" s="430"/>
      <c r="CF196" s="430"/>
      <c r="CG196" s="430"/>
      <c r="CH196" s="430"/>
      <c r="CI196" s="430"/>
      <c r="CJ196" s="430"/>
      <c r="CK196" s="430"/>
      <c r="CL196" s="430"/>
    </row>
    <row r="197" spans="63:90" ht="14.25" customHeight="1">
      <c r="BK197" s="581"/>
      <c r="BL197" s="581"/>
      <c r="BM197" s="582"/>
      <c r="BN197" s="581"/>
      <c r="BO197" s="581"/>
      <c r="BP197" s="430"/>
      <c r="BQ197" s="430"/>
      <c r="BR197" s="430"/>
      <c r="BS197" s="581"/>
      <c r="BT197" s="581"/>
      <c r="BU197" s="430"/>
      <c r="BV197" s="430"/>
      <c r="BW197" s="430"/>
      <c r="BX197" s="430"/>
      <c r="BY197" s="430"/>
      <c r="BZ197" s="430"/>
      <c r="CA197" s="430"/>
      <c r="CB197" s="430"/>
      <c r="CC197" s="430"/>
      <c r="CD197" s="430"/>
      <c r="CE197" s="430"/>
      <c r="CF197" s="430"/>
      <c r="CG197" s="430"/>
      <c r="CH197" s="430"/>
      <c r="CI197" s="430"/>
      <c r="CJ197" s="430"/>
      <c r="CK197" s="430"/>
      <c r="CL197" s="430"/>
    </row>
    <row r="198" spans="63:90" ht="14.25" customHeight="1">
      <c r="BK198" s="581"/>
      <c r="BL198" s="581"/>
      <c r="BM198" s="582"/>
      <c r="BN198" s="581"/>
      <c r="BO198" s="581"/>
      <c r="BP198" s="430"/>
      <c r="BQ198" s="430"/>
      <c r="BR198" s="430"/>
      <c r="BS198" s="581"/>
      <c r="BT198" s="581"/>
      <c r="BU198" s="430"/>
      <c r="BV198" s="430"/>
      <c r="BW198" s="430"/>
      <c r="BX198" s="430"/>
      <c r="BY198" s="430"/>
      <c r="BZ198" s="430"/>
      <c r="CA198" s="430"/>
      <c r="CB198" s="430"/>
      <c r="CC198" s="430"/>
      <c r="CD198" s="430"/>
      <c r="CE198" s="430"/>
      <c r="CF198" s="430"/>
      <c r="CG198" s="430"/>
      <c r="CH198" s="430"/>
      <c r="CI198" s="430"/>
      <c r="CJ198" s="430"/>
      <c r="CK198" s="430"/>
      <c r="CL198" s="430"/>
    </row>
    <row r="199" spans="63:90" ht="14.25" customHeight="1">
      <c r="BK199" s="581"/>
      <c r="BL199" s="581"/>
      <c r="BM199" s="582"/>
      <c r="BN199" s="581"/>
      <c r="BO199" s="581"/>
      <c r="BP199" s="430"/>
      <c r="BQ199" s="430"/>
      <c r="BR199" s="430"/>
      <c r="BS199" s="581"/>
      <c r="BT199" s="581"/>
      <c r="BU199" s="430"/>
      <c r="BV199" s="430"/>
      <c r="BW199" s="430"/>
      <c r="BX199" s="430"/>
      <c r="BY199" s="430"/>
      <c r="BZ199" s="430"/>
      <c r="CA199" s="430"/>
      <c r="CB199" s="430"/>
      <c r="CC199" s="430"/>
      <c r="CD199" s="430"/>
      <c r="CE199" s="430"/>
      <c r="CF199" s="430"/>
      <c r="CG199" s="430"/>
      <c r="CH199" s="430"/>
      <c r="CI199" s="430"/>
      <c r="CJ199" s="430"/>
      <c r="CK199" s="430"/>
      <c r="CL199" s="430"/>
    </row>
    <row r="200" spans="63:90" ht="14.25" customHeight="1">
      <c r="BK200" s="581"/>
      <c r="BL200" s="581"/>
      <c r="BM200" s="582"/>
      <c r="BN200" s="581"/>
      <c r="BO200" s="581"/>
      <c r="BP200" s="430"/>
      <c r="BQ200" s="430"/>
      <c r="BR200" s="430"/>
      <c r="BS200" s="581"/>
      <c r="BT200" s="581"/>
      <c r="BU200" s="430"/>
      <c r="BV200" s="430"/>
      <c r="BW200" s="430"/>
      <c r="BX200" s="430"/>
      <c r="BY200" s="430"/>
      <c r="BZ200" s="430"/>
      <c r="CA200" s="430"/>
      <c r="CB200" s="430"/>
      <c r="CC200" s="430"/>
      <c r="CD200" s="430"/>
      <c r="CE200" s="430"/>
      <c r="CF200" s="430"/>
      <c r="CG200" s="430"/>
      <c r="CH200" s="430"/>
      <c r="CI200" s="430"/>
      <c r="CJ200" s="430"/>
      <c r="CK200" s="430"/>
      <c r="CL200" s="430"/>
    </row>
    <row r="201" spans="63:90" ht="14.25" customHeight="1">
      <c r="BK201" s="581"/>
      <c r="BL201" s="581"/>
      <c r="BM201" s="582"/>
      <c r="BN201" s="581"/>
      <c r="BO201" s="581"/>
      <c r="BP201" s="430"/>
      <c r="BQ201" s="430"/>
      <c r="BR201" s="430"/>
      <c r="BS201" s="581"/>
      <c r="BT201" s="581"/>
      <c r="BU201" s="430"/>
      <c r="BV201" s="430"/>
      <c r="BW201" s="430"/>
      <c r="BX201" s="430"/>
      <c r="BY201" s="430"/>
      <c r="BZ201" s="430"/>
      <c r="CA201" s="430"/>
      <c r="CB201" s="430"/>
      <c r="CC201" s="430"/>
      <c r="CD201" s="430"/>
      <c r="CE201" s="430"/>
      <c r="CF201" s="430"/>
      <c r="CG201" s="430"/>
      <c r="CH201" s="430"/>
      <c r="CI201" s="430"/>
      <c r="CJ201" s="430"/>
      <c r="CK201" s="430"/>
      <c r="CL201" s="430"/>
    </row>
    <row r="202" spans="63:90" ht="14.25" customHeight="1">
      <c r="BK202" s="581"/>
      <c r="BL202" s="581"/>
      <c r="BM202" s="582"/>
      <c r="BN202" s="581"/>
      <c r="BO202" s="581"/>
      <c r="BP202" s="430"/>
      <c r="BQ202" s="430"/>
      <c r="BR202" s="430"/>
      <c r="BS202" s="581"/>
      <c r="BT202" s="581"/>
      <c r="BU202" s="430"/>
      <c r="BV202" s="430"/>
      <c r="BW202" s="430"/>
      <c r="BX202" s="430"/>
      <c r="BY202" s="430"/>
      <c r="BZ202" s="430"/>
      <c r="CA202" s="430"/>
      <c r="CB202" s="430"/>
      <c r="CC202" s="430"/>
      <c r="CD202" s="430"/>
      <c r="CE202" s="430"/>
      <c r="CF202" s="430"/>
      <c r="CG202" s="430"/>
      <c r="CH202" s="430"/>
      <c r="CI202" s="430"/>
      <c r="CJ202" s="430"/>
      <c r="CK202" s="430"/>
      <c r="CL202" s="430"/>
    </row>
    <row r="203" spans="63:90" ht="14.25" customHeight="1">
      <c r="BK203" s="581"/>
      <c r="BL203" s="581"/>
      <c r="BM203" s="582"/>
      <c r="BN203" s="581"/>
      <c r="BO203" s="581"/>
      <c r="BP203" s="430"/>
      <c r="BQ203" s="430"/>
      <c r="BR203" s="430"/>
      <c r="BS203" s="581"/>
      <c r="BT203" s="581"/>
      <c r="BU203" s="430"/>
      <c r="BV203" s="430"/>
      <c r="BW203" s="430"/>
      <c r="BX203" s="430"/>
      <c r="BY203" s="430"/>
      <c r="BZ203" s="430"/>
      <c r="CA203" s="430"/>
      <c r="CB203" s="430"/>
      <c r="CC203" s="430"/>
      <c r="CD203" s="430"/>
      <c r="CE203" s="430"/>
      <c r="CF203" s="430"/>
      <c r="CG203" s="430"/>
      <c r="CH203" s="430"/>
      <c r="CI203" s="430"/>
      <c r="CJ203" s="430"/>
      <c r="CK203" s="430"/>
      <c r="CL203" s="430"/>
    </row>
    <row r="204" spans="63:90" ht="14.25" customHeight="1">
      <c r="BK204" s="581"/>
      <c r="BL204" s="581"/>
      <c r="BM204" s="582"/>
      <c r="BN204" s="581"/>
      <c r="BO204" s="581"/>
      <c r="BP204" s="430"/>
      <c r="BQ204" s="430"/>
      <c r="BR204" s="430"/>
      <c r="BS204" s="581"/>
      <c r="BT204" s="581"/>
      <c r="BU204" s="430"/>
      <c r="BV204" s="430"/>
      <c r="BW204" s="430"/>
      <c r="BX204" s="430"/>
      <c r="BY204" s="430"/>
      <c r="BZ204" s="430"/>
      <c r="CA204" s="430"/>
      <c r="CB204" s="430"/>
      <c r="CC204" s="430"/>
      <c r="CD204" s="430"/>
      <c r="CE204" s="430"/>
      <c r="CF204" s="430"/>
      <c r="CG204" s="430"/>
      <c r="CH204" s="430"/>
      <c r="CI204" s="430"/>
      <c r="CJ204" s="430"/>
      <c r="CK204" s="430"/>
      <c r="CL204" s="430"/>
    </row>
    <row r="205" spans="63:90" ht="14.25" customHeight="1">
      <c r="BK205" s="581"/>
      <c r="BL205" s="581"/>
      <c r="BM205" s="582"/>
      <c r="BN205" s="581"/>
      <c r="BO205" s="581"/>
      <c r="BP205" s="430"/>
      <c r="BQ205" s="430"/>
      <c r="BR205" s="430"/>
      <c r="BS205" s="581"/>
      <c r="BT205" s="581"/>
      <c r="BU205" s="430"/>
      <c r="BV205" s="430"/>
      <c r="BW205" s="430"/>
      <c r="BX205" s="430"/>
      <c r="BY205" s="430"/>
      <c r="BZ205" s="430"/>
      <c r="CA205" s="430"/>
      <c r="CB205" s="430"/>
      <c r="CC205" s="430"/>
      <c r="CD205" s="430"/>
      <c r="CE205" s="430"/>
      <c r="CF205" s="430"/>
      <c r="CG205" s="430"/>
      <c r="CH205" s="430"/>
      <c r="CI205" s="430"/>
      <c r="CJ205" s="430"/>
      <c r="CK205" s="430"/>
      <c r="CL205" s="430"/>
    </row>
    <row r="206" spans="63:90" ht="14.25" customHeight="1">
      <c r="BK206" s="581"/>
      <c r="BL206" s="581"/>
      <c r="BM206" s="582"/>
      <c r="BN206" s="581"/>
      <c r="BO206" s="581"/>
      <c r="BP206" s="430"/>
      <c r="BQ206" s="430"/>
      <c r="BR206" s="430"/>
      <c r="BS206" s="581"/>
      <c r="BT206" s="581"/>
      <c r="BU206" s="430"/>
      <c r="BV206" s="430"/>
      <c r="BW206" s="430"/>
      <c r="BX206" s="430"/>
      <c r="BY206" s="430"/>
      <c r="BZ206" s="430"/>
      <c r="CA206" s="430"/>
      <c r="CB206" s="430"/>
      <c r="CC206" s="430"/>
      <c r="CD206" s="430"/>
      <c r="CE206" s="430"/>
      <c r="CF206" s="430"/>
      <c r="CG206" s="430"/>
      <c r="CH206" s="430"/>
      <c r="CI206" s="430"/>
      <c r="CJ206" s="430"/>
      <c r="CK206" s="430"/>
      <c r="CL206" s="430"/>
    </row>
    <row r="207" spans="63:90" ht="14.25" customHeight="1">
      <c r="BK207" s="581"/>
      <c r="BL207" s="581"/>
      <c r="BM207" s="582"/>
      <c r="BN207" s="581"/>
      <c r="BO207" s="581"/>
      <c r="BP207" s="430"/>
      <c r="BQ207" s="430"/>
      <c r="BR207" s="430"/>
      <c r="BS207" s="581"/>
      <c r="BT207" s="581"/>
      <c r="BU207" s="430"/>
      <c r="BV207" s="430"/>
      <c r="BW207" s="430"/>
      <c r="BX207" s="430"/>
      <c r="BY207" s="430"/>
      <c r="BZ207" s="430"/>
      <c r="CA207" s="430"/>
      <c r="CB207" s="430"/>
      <c r="CC207" s="430"/>
      <c r="CD207" s="430"/>
      <c r="CE207" s="430"/>
      <c r="CF207" s="430"/>
      <c r="CG207" s="430"/>
      <c r="CH207" s="430"/>
      <c r="CI207" s="430"/>
      <c r="CJ207" s="430"/>
      <c r="CK207" s="430"/>
      <c r="CL207" s="430"/>
    </row>
    <row r="208" spans="63:90" ht="14.25" customHeight="1">
      <c r="BK208" s="581"/>
      <c r="BL208" s="581"/>
      <c r="BM208" s="582"/>
      <c r="BN208" s="581"/>
      <c r="BO208" s="581"/>
      <c r="BP208" s="430"/>
      <c r="BQ208" s="430"/>
      <c r="BR208" s="430"/>
      <c r="BS208" s="581"/>
      <c r="BT208" s="581"/>
      <c r="BU208" s="430"/>
      <c r="BV208" s="430"/>
      <c r="BW208" s="430"/>
      <c r="BX208" s="430"/>
      <c r="BY208" s="430"/>
      <c r="BZ208" s="430"/>
      <c r="CA208" s="430"/>
      <c r="CB208" s="430"/>
      <c r="CC208" s="430"/>
      <c r="CD208" s="430"/>
      <c r="CE208" s="430"/>
      <c r="CF208" s="430"/>
      <c r="CG208" s="430"/>
      <c r="CH208" s="430"/>
      <c r="CI208" s="430"/>
      <c r="CJ208" s="430"/>
      <c r="CK208" s="430"/>
      <c r="CL208" s="430"/>
    </row>
    <row r="209" spans="63:90" ht="14.25" customHeight="1">
      <c r="BK209" s="581"/>
      <c r="BL209" s="581"/>
      <c r="BM209" s="582"/>
      <c r="BN209" s="581"/>
      <c r="BO209" s="581"/>
      <c r="BP209" s="430"/>
      <c r="BQ209" s="430"/>
      <c r="BR209" s="430"/>
      <c r="BS209" s="581"/>
      <c r="BT209" s="581"/>
      <c r="BU209" s="430"/>
      <c r="BV209" s="430"/>
      <c r="BW209" s="430"/>
      <c r="BX209" s="430"/>
      <c r="BY209" s="430"/>
      <c r="BZ209" s="430"/>
      <c r="CA209" s="430"/>
      <c r="CB209" s="430"/>
      <c r="CC209" s="430"/>
      <c r="CD209" s="430"/>
      <c r="CE209" s="430"/>
      <c r="CF209" s="430"/>
      <c r="CG209" s="430"/>
      <c r="CH209" s="430"/>
      <c r="CI209" s="430"/>
      <c r="CJ209" s="430"/>
      <c r="CK209" s="430"/>
      <c r="CL209" s="430"/>
    </row>
    <row r="210" spans="63:90" ht="14.25" customHeight="1">
      <c r="BK210" s="581"/>
      <c r="BL210" s="581"/>
      <c r="BM210" s="582"/>
      <c r="BN210" s="581"/>
      <c r="BO210" s="581"/>
      <c r="BP210" s="430"/>
      <c r="BQ210" s="430"/>
      <c r="BR210" s="430"/>
      <c r="BS210" s="581"/>
      <c r="BT210" s="581"/>
      <c r="BU210" s="430"/>
      <c r="BV210" s="430"/>
      <c r="BW210" s="430"/>
      <c r="BX210" s="430"/>
      <c r="BY210" s="430"/>
      <c r="BZ210" s="430"/>
      <c r="CA210" s="430"/>
      <c r="CB210" s="430"/>
      <c r="CC210" s="430"/>
      <c r="CD210" s="430"/>
      <c r="CE210" s="430"/>
      <c r="CF210" s="430"/>
      <c r="CG210" s="430"/>
      <c r="CH210" s="430"/>
      <c r="CI210" s="430"/>
      <c r="CJ210" s="430"/>
      <c r="CK210" s="430"/>
      <c r="CL210" s="430"/>
    </row>
    <row r="211" spans="63:90" ht="14.25" customHeight="1">
      <c r="BK211" s="581"/>
      <c r="BL211" s="581"/>
      <c r="BM211" s="582"/>
      <c r="BN211" s="581"/>
      <c r="BO211" s="581"/>
      <c r="BP211" s="430"/>
      <c r="BQ211" s="430"/>
      <c r="BR211" s="430"/>
      <c r="BS211" s="581"/>
      <c r="BT211" s="581"/>
      <c r="BU211" s="430"/>
      <c r="BV211" s="430"/>
      <c r="BW211" s="430"/>
      <c r="BX211" s="430"/>
      <c r="BY211" s="430"/>
      <c r="BZ211" s="430"/>
      <c r="CA211" s="430"/>
      <c r="CB211" s="430"/>
      <c r="CC211" s="430"/>
      <c r="CD211" s="430"/>
      <c r="CE211" s="430"/>
      <c r="CF211" s="430"/>
      <c r="CG211" s="430"/>
      <c r="CH211" s="430"/>
      <c r="CI211" s="430"/>
      <c r="CJ211" s="430"/>
      <c r="CK211" s="430"/>
      <c r="CL211" s="430"/>
    </row>
    <row r="212" spans="63:90" ht="14.25" customHeight="1">
      <c r="BK212" s="581"/>
      <c r="BL212" s="581"/>
      <c r="BM212" s="582"/>
      <c r="BN212" s="581"/>
      <c r="BO212" s="581"/>
      <c r="BP212" s="430"/>
      <c r="BQ212" s="430"/>
      <c r="BR212" s="430"/>
      <c r="BS212" s="581"/>
      <c r="BT212" s="581"/>
      <c r="BU212" s="430"/>
      <c r="BV212" s="430"/>
      <c r="BW212" s="430"/>
      <c r="BX212" s="430"/>
      <c r="BY212" s="430"/>
      <c r="BZ212" s="430"/>
      <c r="CA212" s="430"/>
      <c r="CB212" s="430"/>
      <c r="CC212" s="430"/>
      <c r="CD212" s="430"/>
      <c r="CE212" s="430"/>
      <c r="CF212" s="430"/>
      <c r="CG212" s="430"/>
      <c r="CH212" s="430"/>
      <c r="CI212" s="430"/>
      <c r="CJ212" s="430"/>
      <c r="CK212" s="430"/>
      <c r="CL212" s="430"/>
    </row>
    <row r="213" spans="63:90" ht="14.25" customHeight="1">
      <c r="BK213" s="581"/>
      <c r="BL213" s="581"/>
      <c r="BM213" s="582"/>
      <c r="BN213" s="581"/>
      <c r="BO213" s="581"/>
      <c r="BP213" s="430"/>
      <c r="BQ213" s="430"/>
      <c r="BR213" s="430"/>
      <c r="BS213" s="581"/>
      <c r="BT213" s="581"/>
      <c r="BU213" s="430"/>
      <c r="BV213" s="430"/>
      <c r="BW213" s="430"/>
      <c r="BX213" s="430"/>
      <c r="BY213" s="430"/>
      <c r="BZ213" s="430"/>
      <c r="CA213" s="430"/>
      <c r="CB213" s="430"/>
      <c r="CC213" s="430"/>
      <c r="CD213" s="430"/>
      <c r="CE213" s="430"/>
      <c r="CF213" s="430"/>
      <c r="CG213" s="430"/>
      <c r="CH213" s="430"/>
      <c r="CI213" s="430"/>
      <c r="CJ213" s="430"/>
      <c r="CK213" s="430"/>
      <c r="CL213" s="430"/>
    </row>
    <row r="214" spans="63:90" ht="14.25" customHeight="1">
      <c r="BK214" s="581"/>
      <c r="BL214" s="581"/>
      <c r="BM214" s="582"/>
      <c r="BN214" s="581"/>
      <c r="BO214" s="581"/>
      <c r="BP214" s="430"/>
      <c r="BQ214" s="430"/>
      <c r="BR214" s="430"/>
      <c r="BS214" s="581"/>
      <c r="BT214" s="581"/>
      <c r="BU214" s="430"/>
      <c r="BV214" s="430"/>
      <c r="BW214" s="430"/>
      <c r="BX214" s="430"/>
      <c r="BY214" s="430"/>
      <c r="BZ214" s="430"/>
      <c r="CA214" s="430"/>
      <c r="CB214" s="430"/>
      <c r="CC214" s="430"/>
      <c r="CD214" s="430"/>
      <c r="CE214" s="430"/>
      <c r="CF214" s="430"/>
      <c r="CG214" s="430"/>
      <c r="CH214" s="430"/>
      <c r="CI214" s="430"/>
      <c r="CJ214" s="430"/>
      <c r="CK214" s="430"/>
      <c r="CL214" s="430"/>
    </row>
    <row r="215" spans="63:90" ht="14.25" customHeight="1">
      <c r="BK215" s="581"/>
      <c r="BL215" s="581"/>
      <c r="BM215" s="582"/>
      <c r="BN215" s="581"/>
      <c r="BO215" s="581"/>
      <c r="BP215" s="430"/>
      <c r="BQ215" s="430"/>
      <c r="BR215" s="430"/>
      <c r="BS215" s="581"/>
      <c r="BT215" s="581"/>
      <c r="BU215" s="430"/>
      <c r="BV215" s="430"/>
      <c r="BW215" s="430"/>
      <c r="BX215" s="430"/>
      <c r="BY215" s="430"/>
      <c r="BZ215" s="430"/>
      <c r="CA215" s="430"/>
      <c r="CB215" s="430"/>
      <c r="CC215" s="430"/>
      <c r="CD215" s="430"/>
      <c r="CE215" s="430"/>
      <c r="CF215" s="430"/>
      <c r="CG215" s="430"/>
      <c r="CH215" s="430"/>
      <c r="CI215" s="430"/>
      <c r="CJ215" s="430"/>
      <c r="CK215" s="430"/>
      <c r="CL215" s="430"/>
    </row>
    <row r="216" spans="63:90" ht="14.25" customHeight="1">
      <c r="BK216" s="581"/>
      <c r="BL216" s="581"/>
      <c r="BM216" s="582"/>
      <c r="BN216" s="581"/>
      <c r="BO216" s="581"/>
      <c r="BP216" s="430"/>
      <c r="BQ216" s="430"/>
      <c r="BR216" s="430"/>
      <c r="BS216" s="581"/>
      <c r="BT216" s="581"/>
      <c r="BU216" s="430"/>
      <c r="BV216" s="430"/>
      <c r="BW216" s="430"/>
      <c r="BX216" s="430"/>
      <c r="BY216" s="430"/>
      <c r="BZ216" s="430"/>
      <c r="CA216" s="430"/>
      <c r="CB216" s="430"/>
      <c r="CC216" s="430"/>
      <c r="CD216" s="430"/>
      <c r="CE216" s="430"/>
      <c r="CF216" s="430"/>
      <c r="CG216" s="430"/>
      <c r="CH216" s="430"/>
      <c r="CI216" s="430"/>
      <c r="CJ216" s="430"/>
      <c r="CK216" s="430"/>
      <c r="CL216" s="430"/>
    </row>
    <row r="217" spans="63:90" ht="14.25" customHeight="1">
      <c r="BK217" s="581"/>
      <c r="BL217" s="581"/>
      <c r="BM217" s="582"/>
      <c r="BN217" s="581"/>
      <c r="BO217" s="581"/>
      <c r="BP217" s="430"/>
      <c r="BQ217" s="430"/>
      <c r="BR217" s="430"/>
      <c r="BS217" s="581"/>
      <c r="BT217" s="581"/>
      <c r="BU217" s="430"/>
      <c r="BV217" s="430"/>
      <c r="BW217" s="430"/>
      <c r="BX217" s="430"/>
      <c r="BY217" s="430"/>
      <c r="BZ217" s="430"/>
      <c r="CA217" s="430"/>
      <c r="CB217" s="430"/>
      <c r="CC217" s="430"/>
      <c r="CD217" s="430"/>
      <c r="CE217" s="430"/>
      <c r="CF217" s="430"/>
      <c r="CG217" s="430"/>
      <c r="CH217" s="430"/>
      <c r="CI217" s="430"/>
      <c r="CJ217" s="430"/>
      <c r="CK217" s="430"/>
      <c r="CL217" s="430"/>
    </row>
    <row r="218" spans="63:90" ht="14.25" customHeight="1">
      <c r="BK218" s="581"/>
      <c r="BL218" s="581"/>
      <c r="BM218" s="582"/>
      <c r="BN218" s="581"/>
      <c r="BO218" s="581"/>
      <c r="BP218" s="430"/>
      <c r="BQ218" s="430"/>
      <c r="BR218" s="430"/>
      <c r="BS218" s="581"/>
      <c r="BT218" s="581"/>
      <c r="BU218" s="430"/>
      <c r="BV218" s="430"/>
      <c r="BW218" s="430"/>
      <c r="BX218" s="430"/>
      <c r="BY218" s="430"/>
      <c r="BZ218" s="430"/>
      <c r="CA218" s="430"/>
      <c r="CB218" s="430"/>
      <c r="CC218" s="430"/>
      <c r="CD218" s="430"/>
      <c r="CE218" s="430"/>
      <c r="CF218" s="430"/>
      <c r="CG218" s="430"/>
      <c r="CH218" s="430"/>
      <c r="CI218" s="430"/>
      <c r="CJ218" s="430"/>
      <c r="CK218" s="430"/>
      <c r="CL218" s="430"/>
    </row>
    <row r="219" spans="63:90" ht="14.25" customHeight="1">
      <c r="BK219" s="581"/>
      <c r="BL219" s="581"/>
      <c r="BM219" s="582"/>
      <c r="BN219" s="581"/>
      <c r="BO219" s="581"/>
      <c r="BP219" s="430"/>
      <c r="BQ219" s="430"/>
      <c r="BR219" s="430"/>
      <c r="BS219" s="581"/>
      <c r="BT219" s="581"/>
      <c r="BU219" s="430"/>
      <c r="BV219" s="430"/>
      <c r="BW219" s="430"/>
      <c r="BX219" s="430"/>
      <c r="BY219" s="430"/>
      <c r="BZ219" s="430"/>
      <c r="CA219" s="430"/>
      <c r="CB219" s="430"/>
      <c r="CC219" s="430"/>
      <c r="CD219" s="430"/>
      <c r="CE219" s="430"/>
      <c r="CF219" s="430"/>
      <c r="CG219" s="430"/>
      <c r="CH219" s="430"/>
      <c r="CI219" s="430"/>
      <c r="CJ219" s="430"/>
      <c r="CK219" s="430"/>
      <c r="CL219" s="430"/>
    </row>
    <row r="220" spans="63:90" ht="14.25" customHeight="1">
      <c r="BK220" s="581"/>
      <c r="BL220" s="581"/>
      <c r="BM220" s="582"/>
      <c r="BN220" s="581"/>
      <c r="BO220" s="581"/>
      <c r="BP220" s="430"/>
      <c r="BQ220" s="430"/>
      <c r="BR220" s="430"/>
      <c r="BS220" s="581"/>
      <c r="BT220" s="581"/>
      <c r="BU220" s="430"/>
      <c r="BV220" s="430"/>
      <c r="BW220" s="430"/>
      <c r="BX220" s="430"/>
      <c r="BY220" s="430"/>
      <c r="BZ220" s="430"/>
      <c r="CA220" s="430"/>
      <c r="CB220" s="430"/>
      <c r="CC220" s="430"/>
      <c r="CD220" s="430"/>
      <c r="CE220" s="430"/>
      <c r="CF220" s="430"/>
      <c r="CG220" s="430"/>
      <c r="CH220" s="430"/>
      <c r="CI220" s="430"/>
      <c r="CJ220" s="430"/>
      <c r="CK220" s="430"/>
      <c r="CL220" s="430"/>
    </row>
    <row r="221" spans="63:90" ht="14.25" customHeight="1">
      <c r="BK221" s="581"/>
      <c r="BL221" s="581"/>
      <c r="BM221" s="582"/>
      <c r="BN221" s="581"/>
      <c r="BO221" s="581"/>
      <c r="BP221" s="430"/>
      <c r="BQ221" s="430"/>
      <c r="BR221" s="430"/>
      <c r="BS221" s="581"/>
      <c r="BT221" s="581"/>
      <c r="BU221" s="430"/>
      <c r="BV221" s="430"/>
      <c r="BW221" s="430"/>
      <c r="BX221" s="430"/>
      <c r="BY221" s="430"/>
      <c r="BZ221" s="430"/>
      <c r="CA221" s="430"/>
      <c r="CB221" s="430"/>
      <c r="CC221" s="430"/>
      <c r="CD221" s="430"/>
      <c r="CE221" s="430"/>
      <c r="CF221" s="430"/>
      <c r="CG221" s="430"/>
      <c r="CH221" s="430"/>
      <c r="CI221" s="430"/>
      <c r="CJ221" s="430"/>
      <c r="CK221" s="430"/>
      <c r="CL221" s="430"/>
    </row>
    <row r="222" spans="63:90" ht="14.25" customHeight="1">
      <c r="BK222" s="581"/>
      <c r="BL222" s="581"/>
      <c r="BM222" s="582"/>
      <c r="BN222" s="581"/>
      <c r="BO222" s="581"/>
      <c r="BP222" s="430"/>
      <c r="BQ222" s="430"/>
      <c r="BR222" s="430"/>
      <c r="BS222" s="581"/>
      <c r="BT222" s="581"/>
      <c r="BU222" s="430"/>
      <c r="BV222" s="430"/>
      <c r="BW222" s="430"/>
      <c r="BX222" s="430"/>
      <c r="BY222" s="430"/>
      <c r="BZ222" s="430"/>
      <c r="CA222" s="430"/>
      <c r="CB222" s="430"/>
      <c r="CC222" s="430"/>
      <c r="CD222" s="430"/>
      <c r="CE222" s="430"/>
      <c r="CF222" s="430"/>
      <c r="CG222" s="430"/>
      <c r="CH222" s="430"/>
      <c r="CI222" s="430"/>
      <c r="CJ222" s="430"/>
      <c r="CK222" s="430"/>
      <c r="CL222" s="430"/>
    </row>
    <row r="223" spans="63:90" ht="14.25" customHeight="1">
      <c r="BK223" s="581"/>
      <c r="BL223" s="581"/>
      <c r="BM223" s="582"/>
      <c r="BN223" s="581"/>
      <c r="BO223" s="581"/>
      <c r="BP223" s="430"/>
      <c r="BQ223" s="430"/>
      <c r="BR223" s="430"/>
      <c r="BS223" s="581"/>
      <c r="BT223" s="581"/>
      <c r="BU223" s="430"/>
      <c r="BV223" s="430"/>
      <c r="BW223" s="430"/>
      <c r="BX223" s="430"/>
      <c r="BY223" s="430"/>
      <c r="BZ223" s="430"/>
      <c r="CA223" s="430"/>
      <c r="CB223" s="430"/>
      <c r="CC223" s="430"/>
      <c r="CD223" s="430"/>
      <c r="CE223" s="430"/>
      <c r="CF223" s="430"/>
      <c r="CG223" s="430"/>
      <c r="CH223" s="430"/>
      <c r="CI223" s="430"/>
      <c r="CJ223" s="430"/>
      <c r="CK223" s="430"/>
      <c r="CL223" s="430"/>
    </row>
    <row r="224" spans="63:90" ht="14.25" customHeight="1">
      <c r="BK224" s="581"/>
      <c r="BL224" s="581"/>
      <c r="BM224" s="582"/>
      <c r="BN224" s="581"/>
      <c r="BO224" s="581"/>
      <c r="BP224" s="430"/>
      <c r="BQ224" s="430"/>
      <c r="BR224" s="430"/>
      <c r="BS224" s="581"/>
      <c r="BT224" s="581"/>
      <c r="BU224" s="430"/>
      <c r="BV224" s="430"/>
      <c r="BW224" s="430"/>
      <c r="BX224" s="430"/>
      <c r="BY224" s="430"/>
      <c r="BZ224" s="430"/>
      <c r="CA224" s="430"/>
      <c r="CB224" s="430"/>
      <c r="CC224" s="430"/>
      <c r="CD224" s="430"/>
      <c r="CE224" s="430"/>
      <c r="CF224" s="430"/>
      <c r="CG224" s="430"/>
      <c r="CH224" s="430"/>
      <c r="CI224" s="430"/>
      <c r="CJ224" s="430"/>
      <c r="CK224" s="430"/>
      <c r="CL224" s="430"/>
    </row>
    <row r="225" spans="63:90" ht="14.25" customHeight="1">
      <c r="BK225" s="581"/>
      <c r="BL225" s="581"/>
      <c r="BM225" s="582"/>
      <c r="BN225" s="581"/>
      <c r="BO225" s="581"/>
      <c r="BP225" s="430"/>
      <c r="BQ225" s="430"/>
      <c r="BR225" s="430"/>
      <c r="BS225" s="581"/>
      <c r="BT225" s="581"/>
      <c r="BU225" s="430"/>
      <c r="BV225" s="430"/>
      <c r="BW225" s="430"/>
      <c r="BX225" s="430"/>
      <c r="BY225" s="430"/>
      <c r="BZ225" s="430"/>
      <c r="CA225" s="430"/>
      <c r="CB225" s="430"/>
      <c r="CC225" s="430"/>
      <c r="CD225" s="430"/>
      <c r="CE225" s="430"/>
      <c r="CF225" s="430"/>
      <c r="CG225" s="430"/>
      <c r="CH225" s="430"/>
      <c r="CI225" s="430"/>
      <c r="CJ225" s="430"/>
      <c r="CK225" s="430"/>
      <c r="CL225" s="430"/>
    </row>
    <row r="226" spans="63:90" ht="14.25" customHeight="1">
      <c r="BK226" s="581"/>
      <c r="BL226" s="581"/>
      <c r="BM226" s="582"/>
      <c r="BN226" s="581"/>
      <c r="BO226" s="581"/>
      <c r="BP226" s="430"/>
      <c r="BQ226" s="430"/>
      <c r="BR226" s="430"/>
      <c r="BS226" s="581"/>
      <c r="BT226" s="581"/>
      <c r="BU226" s="430"/>
      <c r="BV226" s="430"/>
      <c r="BW226" s="430"/>
      <c r="BX226" s="430"/>
      <c r="BY226" s="430"/>
      <c r="BZ226" s="430"/>
      <c r="CA226" s="430"/>
      <c r="CB226" s="430"/>
      <c r="CC226" s="430"/>
      <c r="CD226" s="430"/>
      <c r="CE226" s="430"/>
      <c r="CF226" s="430"/>
      <c r="CG226" s="430"/>
      <c r="CH226" s="430"/>
      <c r="CI226" s="430"/>
      <c r="CJ226" s="430"/>
      <c r="CK226" s="430"/>
      <c r="CL226" s="430"/>
    </row>
    <row r="227" spans="63:90" ht="14.25" customHeight="1">
      <c r="BK227" s="581"/>
      <c r="BL227" s="581"/>
      <c r="BM227" s="582"/>
      <c r="BN227" s="581"/>
      <c r="BO227" s="581"/>
      <c r="BP227" s="430"/>
      <c r="BQ227" s="430"/>
      <c r="BR227" s="430"/>
      <c r="BS227" s="581"/>
      <c r="BT227" s="581"/>
      <c r="BU227" s="430"/>
      <c r="BV227" s="430"/>
      <c r="BW227" s="430"/>
      <c r="BX227" s="430"/>
      <c r="BY227" s="430"/>
      <c r="BZ227" s="430"/>
      <c r="CA227" s="430"/>
      <c r="CB227" s="430"/>
      <c r="CC227" s="430"/>
      <c r="CD227" s="430"/>
      <c r="CE227" s="430"/>
      <c r="CF227" s="430"/>
      <c r="CG227" s="430"/>
      <c r="CH227" s="430"/>
      <c r="CI227" s="430"/>
      <c r="CJ227" s="430"/>
      <c r="CK227" s="430"/>
      <c r="CL227" s="430"/>
    </row>
    <row r="228" spans="63:90" ht="14.25" customHeight="1">
      <c r="BK228" s="581"/>
      <c r="BL228" s="581"/>
      <c r="BM228" s="582"/>
      <c r="BN228" s="581"/>
      <c r="BO228" s="581"/>
      <c r="BP228" s="430"/>
      <c r="BQ228" s="430"/>
      <c r="BR228" s="430"/>
      <c r="BS228" s="581"/>
      <c r="BT228" s="581"/>
      <c r="BU228" s="430"/>
      <c r="BV228" s="430"/>
      <c r="BW228" s="430"/>
      <c r="BX228" s="430"/>
      <c r="BY228" s="430"/>
      <c r="BZ228" s="430"/>
      <c r="CA228" s="430"/>
      <c r="CB228" s="430"/>
      <c r="CC228" s="430"/>
      <c r="CD228" s="430"/>
      <c r="CE228" s="430"/>
      <c r="CF228" s="430"/>
      <c r="CG228" s="430"/>
      <c r="CH228" s="430"/>
      <c r="CI228" s="430"/>
      <c r="CJ228" s="430"/>
      <c r="CK228" s="430"/>
      <c r="CL228" s="430"/>
    </row>
    <row r="229" spans="63:90" ht="14.25" customHeight="1">
      <c r="BK229" s="581"/>
      <c r="BL229" s="581"/>
      <c r="BM229" s="582"/>
      <c r="BN229" s="581"/>
      <c r="BO229" s="581"/>
      <c r="BP229" s="430"/>
      <c r="BQ229" s="430"/>
      <c r="BR229" s="430"/>
      <c r="BS229" s="581"/>
      <c r="BT229" s="581"/>
      <c r="BU229" s="430"/>
      <c r="BV229" s="430"/>
      <c r="BW229" s="430"/>
      <c r="BX229" s="430"/>
      <c r="BY229" s="430"/>
      <c r="BZ229" s="430"/>
      <c r="CA229" s="430"/>
      <c r="CB229" s="430"/>
      <c r="CC229" s="430"/>
      <c r="CD229" s="430"/>
      <c r="CE229" s="430"/>
      <c r="CF229" s="430"/>
      <c r="CG229" s="430"/>
      <c r="CH229" s="430"/>
      <c r="CI229" s="430"/>
      <c r="CJ229" s="430"/>
      <c r="CK229" s="430"/>
      <c r="CL229" s="430"/>
    </row>
    <row r="230" spans="63:90" ht="14.25" customHeight="1">
      <c r="BK230" s="581"/>
      <c r="BL230" s="581"/>
      <c r="BM230" s="582"/>
      <c r="BN230" s="581"/>
      <c r="BO230" s="581"/>
      <c r="BP230" s="430"/>
      <c r="BQ230" s="430"/>
      <c r="BR230" s="430"/>
      <c r="BS230" s="581"/>
      <c r="BT230" s="581"/>
      <c r="BU230" s="430"/>
      <c r="BV230" s="430"/>
      <c r="BW230" s="430"/>
      <c r="BX230" s="430"/>
      <c r="BY230" s="430"/>
      <c r="BZ230" s="430"/>
      <c r="CA230" s="430"/>
      <c r="CB230" s="430"/>
      <c r="CC230" s="430"/>
      <c r="CD230" s="430"/>
      <c r="CE230" s="430"/>
      <c r="CF230" s="430"/>
      <c r="CG230" s="430"/>
      <c r="CH230" s="430"/>
      <c r="CI230" s="430"/>
      <c r="CJ230" s="430"/>
      <c r="CK230" s="430"/>
      <c r="CL230" s="430"/>
    </row>
    <row r="231" spans="63:90" ht="14.25" customHeight="1">
      <c r="BK231" s="581"/>
      <c r="BL231" s="581"/>
      <c r="BM231" s="582"/>
      <c r="BN231" s="581"/>
      <c r="BO231" s="581"/>
      <c r="BP231" s="430"/>
      <c r="BQ231" s="430"/>
      <c r="BR231" s="430"/>
      <c r="BS231" s="581"/>
      <c r="BT231" s="581"/>
      <c r="BU231" s="430"/>
      <c r="BV231" s="430"/>
      <c r="BW231" s="430"/>
      <c r="BX231" s="430"/>
      <c r="BY231" s="430"/>
      <c r="BZ231" s="430"/>
      <c r="CA231" s="430"/>
      <c r="CB231" s="430"/>
      <c r="CC231" s="430"/>
      <c r="CD231" s="430"/>
      <c r="CE231" s="430"/>
      <c r="CF231" s="430"/>
      <c r="CG231" s="430"/>
      <c r="CH231" s="430"/>
      <c r="CI231" s="430"/>
      <c r="CJ231" s="430"/>
      <c r="CK231" s="430"/>
      <c r="CL231" s="430"/>
    </row>
    <row r="232" spans="63:90" ht="14.25" customHeight="1">
      <c r="BK232" s="581"/>
      <c r="BL232" s="581"/>
      <c r="BM232" s="582"/>
      <c r="BN232" s="581"/>
      <c r="BO232" s="581"/>
      <c r="BP232" s="430"/>
      <c r="BQ232" s="430"/>
      <c r="BR232" s="430"/>
      <c r="BS232" s="581"/>
      <c r="BT232" s="581"/>
      <c r="BU232" s="430"/>
      <c r="BV232" s="430"/>
      <c r="BW232" s="430"/>
      <c r="BX232" s="430"/>
      <c r="BY232" s="430"/>
      <c r="BZ232" s="430"/>
      <c r="CA232" s="430"/>
      <c r="CB232" s="430"/>
      <c r="CC232" s="430"/>
      <c r="CD232" s="430"/>
      <c r="CE232" s="430"/>
      <c r="CF232" s="430"/>
      <c r="CG232" s="430"/>
      <c r="CH232" s="430"/>
      <c r="CI232" s="430"/>
      <c r="CJ232" s="430"/>
      <c r="CK232" s="430"/>
      <c r="CL232" s="430"/>
    </row>
    <row r="233" spans="63:90" ht="14.25" customHeight="1">
      <c r="BK233" s="581"/>
      <c r="BL233" s="581"/>
      <c r="BM233" s="582"/>
      <c r="BN233" s="581"/>
      <c r="BO233" s="581"/>
      <c r="BP233" s="430"/>
      <c r="BQ233" s="430"/>
      <c r="BR233" s="430"/>
      <c r="BS233" s="581"/>
      <c r="BT233" s="581"/>
      <c r="BU233" s="430"/>
      <c r="BV233" s="430"/>
      <c r="BW233" s="430"/>
      <c r="BX233" s="430"/>
      <c r="BY233" s="430"/>
      <c r="BZ233" s="430"/>
      <c r="CA233" s="430"/>
      <c r="CB233" s="430"/>
      <c r="CC233" s="430"/>
      <c r="CD233" s="430"/>
      <c r="CE233" s="430"/>
      <c r="CF233" s="430"/>
      <c r="CG233" s="430"/>
      <c r="CH233" s="430"/>
      <c r="CI233" s="430"/>
      <c r="CJ233" s="430"/>
      <c r="CK233" s="430"/>
      <c r="CL233" s="430"/>
    </row>
    <row r="234" spans="63:90" ht="14.25" customHeight="1">
      <c r="BK234" s="581"/>
      <c r="BL234" s="581"/>
      <c r="BM234" s="582"/>
      <c r="BN234" s="581"/>
      <c r="BO234" s="581"/>
      <c r="BP234" s="430"/>
      <c r="BQ234" s="430"/>
      <c r="BR234" s="430"/>
      <c r="BS234" s="581"/>
      <c r="BT234" s="581"/>
      <c r="BU234" s="430"/>
      <c r="BV234" s="430"/>
      <c r="BW234" s="430"/>
      <c r="BX234" s="430"/>
      <c r="BY234" s="430"/>
      <c r="BZ234" s="430"/>
      <c r="CA234" s="430"/>
      <c r="CB234" s="430"/>
      <c r="CC234" s="430"/>
      <c r="CD234" s="430"/>
      <c r="CE234" s="430"/>
      <c r="CF234" s="430"/>
      <c r="CG234" s="430"/>
      <c r="CH234" s="430"/>
      <c r="CI234" s="430"/>
      <c r="CJ234" s="430"/>
      <c r="CK234" s="430"/>
      <c r="CL234" s="430"/>
    </row>
    <row r="235" spans="63:90" ht="14.25" customHeight="1">
      <c r="BK235" s="581"/>
      <c r="BL235" s="581"/>
      <c r="BM235" s="582"/>
      <c r="BN235" s="581"/>
      <c r="BO235" s="581"/>
      <c r="BP235" s="430"/>
      <c r="BQ235" s="430"/>
      <c r="BR235" s="430"/>
      <c r="BS235" s="581"/>
      <c r="BT235" s="581"/>
      <c r="BU235" s="430"/>
      <c r="BV235" s="430"/>
      <c r="BW235" s="430"/>
      <c r="BX235" s="430"/>
      <c r="BY235" s="430"/>
      <c r="BZ235" s="430"/>
      <c r="CA235" s="430"/>
      <c r="CB235" s="430"/>
      <c r="CC235" s="430"/>
      <c r="CD235" s="430"/>
      <c r="CE235" s="430"/>
      <c r="CF235" s="430"/>
      <c r="CG235" s="430"/>
      <c r="CH235" s="430"/>
      <c r="CI235" s="430"/>
      <c r="CJ235" s="430"/>
      <c r="CK235" s="430"/>
      <c r="CL235" s="430"/>
    </row>
    <row r="236" spans="63:90" ht="14.25" customHeight="1">
      <c r="BK236" s="581"/>
      <c r="BL236" s="581"/>
      <c r="BM236" s="582"/>
      <c r="BN236" s="581"/>
      <c r="BO236" s="581"/>
      <c r="BP236" s="430"/>
      <c r="BQ236" s="430"/>
      <c r="BR236" s="430"/>
      <c r="BS236" s="581"/>
      <c r="BT236" s="581"/>
      <c r="BU236" s="430"/>
      <c r="BV236" s="430"/>
      <c r="BW236" s="430"/>
      <c r="BX236" s="430"/>
      <c r="BY236" s="430"/>
      <c r="BZ236" s="430"/>
      <c r="CA236" s="430"/>
      <c r="CB236" s="430"/>
      <c r="CC236" s="430"/>
      <c r="CD236" s="430"/>
      <c r="CE236" s="430"/>
      <c r="CF236" s="430"/>
      <c r="CG236" s="430"/>
      <c r="CH236" s="430"/>
      <c r="CI236" s="430"/>
      <c r="CJ236" s="430"/>
      <c r="CK236" s="430"/>
      <c r="CL236" s="430"/>
    </row>
    <row r="237" spans="63:90" ht="14.25" customHeight="1">
      <c r="BK237" s="581"/>
      <c r="BL237" s="581"/>
      <c r="BM237" s="582"/>
      <c r="BN237" s="581"/>
      <c r="BO237" s="581"/>
      <c r="BP237" s="430"/>
      <c r="BQ237" s="430"/>
      <c r="BR237" s="430"/>
      <c r="BS237" s="581"/>
      <c r="BT237" s="581"/>
      <c r="BU237" s="430"/>
      <c r="BV237" s="430"/>
      <c r="BW237" s="430"/>
      <c r="BX237" s="430"/>
      <c r="BY237" s="430"/>
      <c r="BZ237" s="430"/>
      <c r="CA237" s="430"/>
      <c r="CB237" s="430"/>
      <c r="CC237" s="430"/>
      <c r="CD237" s="430"/>
      <c r="CE237" s="430"/>
      <c r="CF237" s="430"/>
      <c r="CG237" s="430"/>
      <c r="CH237" s="430"/>
      <c r="CI237" s="430"/>
      <c r="CJ237" s="430"/>
      <c r="CK237" s="430"/>
      <c r="CL237" s="430"/>
    </row>
    <row r="238" spans="63:90" ht="14.25" customHeight="1">
      <c r="BK238" s="581"/>
      <c r="BL238" s="581"/>
      <c r="BM238" s="582"/>
      <c r="BN238" s="581"/>
      <c r="BO238" s="581"/>
      <c r="BP238" s="430"/>
      <c r="BQ238" s="430"/>
      <c r="BR238" s="430"/>
      <c r="BS238" s="581"/>
      <c r="BT238" s="581"/>
      <c r="BU238" s="430"/>
      <c r="BV238" s="430"/>
      <c r="BW238" s="430"/>
      <c r="BX238" s="430"/>
      <c r="BY238" s="430"/>
      <c r="BZ238" s="430"/>
      <c r="CA238" s="430"/>
      <c r="CB238" s="430"/>
      <c r="CC238" s="430"/>
      <c r="CD238" s="430"/>
      <c r="CE238" s="430"/>
      <c r="CF238" s="430"/>
      <c r="CG238" s="430"/>
      <c r="CH238" s="430"/>
      <c r="CI238" s="430"/>
      <c r="CJ238" s="430"/>
      <c r="CK238" s="430"/>
      <c r="CL238" s="430"/>
    </row>
    <row r="239" spans="63:90" ht="14.25" customHeight="1">
      <c r="BK239" s="581"/>
      <c r="BL239" s="581"/>
      <c r="BM239" s="582"/>
      <c r="BN239" s="581"/>
      <c r="BO239" s="581"/>
      <c r="BP239" s="430"/>
      <c r="BQ239" s="430"/>
      <c r="BR239" s="430"/>
      <c r="BS239" s="581"/>
      <c r="BT239" s="581"/>
      <c r="BU239" s="430"/>
      <c r="BV239" s="430"/>
      <c r="BW239" s="430"/>
      <c r="BX239" s="430"/>
      <c r="BY239" s="430"/>
      <c r="BZ239" s="430"/>
      <c r="CA239" s="430"/>
      <c r="CB239" s="430"/>
      <c r="CC239" s="430"/>
      <c r="CD239" s="430"/>
      <c r="CE239" s="430"/>
      <c r="CF239" s="430"/>
      <c r="CG239" s="430"/>
      <c r="CH239" s="430"/>
      <c r="CI239" s="430"/>
      <c r="CJ239" s="430"/>
      <c r="CK239" s="430"/>
      <c r="CL239" s="430"/>
    </row>
    <row r="240" spans="63:90" ht="14.25" customHeight="1">
      <c r="BK240" s="581"/>
      <c r="BL240" s="581"/>
      <c r="BM240" s="582"/>
      <c r="BN240" s="581"/>
      <c r="BO240" s="581"/>
      <c r="BP240" s="430"/>
      <c r="BQ240" s="430"/>
      <c r="BR240" s="430"/>
      <c r="BS240" s="581"/>
      <c r="BT240" s="581"/>
      <c r="BU240" s="430"/>
      <c r="BV240" s="430"/>
      <c r="BW240" s="430"/>
      <c r="BX240" s="430"/>
      <c r="BY240" s="430"/>
      <c r="BZ240" s="430"/>
      <c r="CA240" s="430"/>
      <c r="CB240" s="430"/>
      <c r="CC240" s="430"/>
      <c r="CD240" s="430"/>
      <c r="CE240" s="430"/>
      <c r="CF240" s="430"/>
      <c r="CG240" s="430"/>
      <c r="CH240" s="430"/>
      <c r="CI240" s="430"/>
      <c r="CJ240" s="430"/>
      <c r="CK240" s="430"/>
      <c r="CL240" s="430"/>
    </row>
    <row r="241" spans="63:90" ht="14.25" customHeight="1">
      <c r="BK241" s="581"/>
      <c r="BL241" s="581"/>
      <c r="BM241" s="582"/>
      <c r="BN241" s="581"/>
      <c r="BO241" s="581"/>
      <c r="BP241" s="430"/>
      <c r="BQ241" s="430"/>
      <c r="BR241" s="430"/>
      <c r="BS241" s="581"/>
      <c r="BT241" s="581"/>
      <c r="BU241" s="430"/>
      <c r="BV241" s="430"/>
      <c r="BW241" s="430"/>
      <c r="BX241" s="430"/>
      <c r="BY241" s="430"/>
      <c r="BZ241" s="430"/>
      <c r="CA241" s="430"/>
      <c r="CB241" s="430"/>
      <c r="CC241" s="430"/>
      <c r="CD241" s="430"/>
      <c r="CE241" s="430"/>
      <c r="CF241" s="430"/>
      <c r="CG241" s="430"/>
      <c r="CH241" s="430"/>
      <c r="CI241" s="430"/>
      <c r="CJ241" s="430"/>
      <c r="CK241" s="430"/>
      <c r="CL241" s="430"/>
    </row>
    <row r="242" spans="63:90" ht="14.25" customHeight="1">
      <c r="BK242" s="581"/>
      <c r="BL242" s="581"/>
      <c r="BM242" s="582"/>
      <c r="BN242" s="581"/>
      <c r="BO242" s="581"/>
      <c r="BP242" s="430"/>
      <c r="BQ242" s="430"/>
      <c r="BR242" s="430"/>
      <c r="BS242" s="581"/>
      <c r="BT242" s="581"/>
      <c r="BU242" s="430"/>
      <c r="BV242" s="430"/>
      <c r="BW242" s="430"/>
      <c r="BX242" s="430"/>
      <c r="BY242" s="430"/>
      <c r="BZ242" s="430"/>
      <c r="CA242" s="430"/>
      <c r="CB242" s="430"/>
      <c r="CC242" s="430"/>
      <c r="CD242" s="430"/>
      <c r="CE242" s="430"/>
      <c r="CF242" s="430"/>
      <c r="CG242" s="430"/>
      <c r="CH242" s="430"/>
      <c r="CI242" s="430"/>
      <c r="CJ242" s="430"/>
      <c r="CK242" s="430"/>
      <c r="CL242" s="430"/>
    </row>
    <row r="243" spans="63:90" ht="14.25" customHeight="1">
      <c r="BK243" s="581"/>
      <c r="BL243" s="581"/>
      <c r="BM243" s="582"/>
      <c r="BN243" s="581"/>
      <c r="BO243" s="581"/>
      <c r="BP243" s="430"/>
      <c r="BQ243" s="430"/>
      <c r="BR243" s="430"/>
      <c r="BS243" s="581"/>
      <c r="BT243" s="581"/>
      <c r="BU243" s="430"/>
      <c r="BV243" s="430"/>
      <c r="BW243" s="430"/>
      <c r="BX243" s="430"/>
      <c r="BY243" s="430"/>
      <c r="BZ243" s="430"/>
      <c r="CA243" s="430"/>
      <c r="CB243" s="430"/>
      <c r="CC243" s="430"/>
      <c r="CD243" s="430"/>
      <c r="CE243" s="430"/>
      <c r="CF243" s="430"/>
      <c r="CG243" s="430"/>
      <c r="CH243" s="430"/>
      <c r="CI243" s="430"/>
      <c r="CJ243" s="430"/>
      <c r="CK243" s="430"/>
      <c r="CL243" s="430"/>
    </row>
    <row r="244" spans="63:90" ht="14.25" customHeight="1">
      <c r="BK244" s="581"/>
      <c r="BL244" s="581"/>
      <c r="BM244" s="582"/>
      <c r="BN244" s="581"/>
      <c r="BO244" s="581"/>
      <c r="BP244" s="430"/>
      <c r="BQ244" s="430"/>
      <c r="BR244" s="430"/>
      <c r="BS244" s="581"/>
      <c r="BT244" s="581"/>
      <c r="BU244" s="430"/>
      <c r="BV244" s="430"/>
      <c r="BW244" s="430"/>
      <c r="BX244" s="430"/>
      <c r="BY244" s="430"/>
      <c r="BZ244" s="430"/>
      <c r="CA244" s="430"/>
      <c r="CB244" s="430"/>
      <c r="CC244" s="430"/>
      <c r="CD244" s="430"/>
      <c r="CE244" s="430"/>
      <c r="CF244" s="430"/>
      <c r="CG244" s="430"/>
      <c r="CH244" s="430"/>
      <c r="CI244" s="430"/>
      <c r="CJ244" s="430"/>
      <c r="CK244" s="430"/>
      <c r="CL244" s="430"/>
    </row>
    <row r="245" spans="63:90" ht="14.25" customHeight="1">
      <c r="BK245" s="581"/>
      <c r="BL245" s="581"/>
      <c r="BM245" s="582"/>
      <c r="BN245" s="581"/>
      <c r="BO245" s="581"/>
      <c r="BP245" s="430"/>
      <c r="BQ245" s="430"/>
      <c r="BR245" s="430"/>
      <c r="BS245" s="581"/>
      <c r="BT245" s="581"/>
      <c r="BU245" s="430"/>
      <c r="BV245" s="430"/>
      <c r="BW245" s="430"/>
      <c r="BX245" s="430"/>
      <c r="BY245" s="430"/>
      <c r="BZ245" s="430"/>
      <c r="CA245" s="430"/>
      <c r="CB245" s="430"/>
      <c r="CC245" s="430"/>
      <c r="CD245" s="430"/>
      <c r="CE245" s="430"/>
      <c r="CF245" s="430"/>
      <c r="CG245" s="430"/>
      <c r="CH245" s="430"/>
      <c r="CI245" s="430"/>
      <c r="CJ245" s="430"/>
      <c r="CK245" s="430"/>
      <c r="CL245" s="430"/>
    </row>
    <row r="246" spans="63:90" ht="14.25" customHeight="1">
      <c r="BK246" s="581"/>
      <c r="BL246" s="581"/>
      <c r="BM246" s="582"/>
      <c r="BN246" s="581"/>
      <c r="BO246" s="581"/>
      <c r="BP246" s="430"/>
      <c r="BQ246" s="430"/>
      <c r="BR246" s="430"/>
      <c r="BS246" s="581"/>
      <c r="BT246" s="581"/>
      <c r="BU246" s="430"/>
      <c r="BV246" s="430"/>
      <c r="BW246" s="430"/>
      <c r="BX246" s="430"/>
      <c r="BY246" s="430"/>
      <c r="BZ246" s="430"/>
      <c r="CA246" s="430"/>
      <c r="CB246" s="430"/>
      <c r="CC246" s="430"/>
      <c r="CD246" s="430"/>
      <c r="CE246" s="430"/>
      <c r="CF246" s="430"/>
      <c r="CG246" s="430"/>
      <c r="CH246" s="430"/>
      <c r="CI246" s="430"/>
      <c r="CJ246" s="430"/>
      <c r="CK246" s="430"/>
      <c r="CL246" s="430"/>
    </row>
    <row r="247" spans="63:90" ht="14.25" customHeight="1">
      <c r="BK247" s="430"/>
      <c r="BL247" s="430"/>
      <c r="BM247" s="430"/>
      <c r="BN247" s="430"/>
      <c r="BO247" s="430"/>
      <c r="BP247" s="430"/>
      <c r="BQ247" s="430"/>
      <c r="BR247" s="430"/>
      <c r="BS247" s="430"/>
      <c r="BT247" s="430"/>
      <c r="BU247" s="430"/>
      <c r="BV247" s="430"/>
      <c r="BW247" s="430"/>
      <c r="BX247" s="430"/>
      <c r="BY247" s="430"/>
      <c r="BZ247" s="430"/>
      <c r="CA247" s="430"/>
      <c r="CB247" s="430"/>
      <c r="CC247" s="430"/>
      <c r="CD247" s="430"/>
      <c r="CE247" s="430"/>
      <c r="CF247" s="430"/>
      <c r="CG247" s="430"/>
      <c r="CH247" s="430"/>
      <c r="CI247" s="430"/>
      <c r="CJ247" s="430"/>
      <c r="CK247" s="430"/>
      <c r="CL247" s="430"/>
    </row>
    <row r="248" spans="63:90" ht="14.25" customHeight="1">
      <c r="BK248" s="430"/>
      <c r="BL248" s="430"/>
      <c r="BM248" s="430"/>
      <c r="BN248" s="430"/>
      <c r="BO248" s="430"/>
      <c r="BP248" s="430"/>
      <c r="BQ248" s="430"/>
      <c r="BR248" s="430"/>
      <c r="BS248" s="430"/>
      <c r="BT248" s="430"/>
      <c r="BU248" s="430"/>
      <c r="BV248" s="430"/>
      <c r="BW248" s="430"/>
      <c r="BX248" s="430"/>
      <c r="BY248" s="430"/>
      <c r="BZ248" s="430"/>
      <c r="CA248" s="430"/>
      <c r="CB248" s="430"/>
      <c r="CC248" s="430"/>
      <c r="CD248" s="430"/>
      <c r="CE248" s="430"/>
      <c r="CF248" s="430"/>
      <c r="CG248" s="430"/>
      <c r="CH248" s="430"/>
      <c r="CI248" s="430"/>
      <c r="CJ248" s="430"/>
      <c r="CK248" s="430"/>
      <c r="CL248" s="430"/>
    </row>
    <row r="249" spans="63:90" ht="14.25" customHeight="1">
      <c r="BK249" s="430"/>
      <c r="BL249" s="430"/>
      <c r="BM249" s="430"/>
      <c r="BN249" s="430"/>
      <c r="BO249" s="430"/>
      <c r="BP249" s="430"/>
      <c r="BQ249" s="430"/>
      <c r="BR249" s="430"/>
      <c r="BS249" s="430"/>
      <c r="BT249" s="430"/>
      <c r="BU249" s="430"/>
      <c r="BV249" s="430"/>
      <c r="BW249" s="430"/>
      <c r="BX249" s="430"/>
      <c r="BY249" s="430"/>
      <c r="BZ249" s="430"/>
      <c r="CA249" s="430"/>
      <c r="CB249" s="430"/>
      <c r="CC249" s="430"/>
      <c r="CD249" s="430"/>
      <c r="CE249" s="430"/>
      <c r="CF249" s="430"/>
      <c r="CG249" s="430"/>
      <c r="CH249" s="430"/>
      <c r="CI249" s="430"/>
      <c r="CJ249" s="430"/>
      <c r="CK249" s="430"/>
      <c r="CL249" s="430"/>
    </row>
    <row r="250" spans="63:90" ht="14.25" customHeight="1">
      <c r="BK250" s="430"/>
      <c r="BL250" s="430"/>
      <c r="BM250" s="430"/>
      <c r="BN250" s="430"/>
      <c r="BO250" s="430"/>
      <c r="BP250" s="430"/>
      <c r="BQ250" s="430"/>
      <c r="BR250" s="430"/>
      <c r="BS250" s="430"/>
      <c r="BT250" s="430"/>
      <c r="BU250" s="430"/>
      <c r="BV250" s="430"/>
      <c r="BW250" s="430"/>
      <c r="BX250" s="430"/>
      <c r="BY250" s="430"/>
      <c r="BZ250" s="430"/>
      <c r="CA250" s="430"/>
      <c r="CB250" s="430"/>
      <c r="CC250" s="430"/>
      <c r="CD250" s="430"/>
      <c r="CE250" s="430"/>
      <c r="CF250" s="430"/>
      <c r="CG250" s="430"/>
      <c r="CH250" s="430"/>
      <c r="CI250" s="430"/>
      <c r="CJ250" s="430"/>
      <c r="CK250" s="430"/>
      <c r="CL250" s="430"/>
    </row>
    <row r="251" spans="63:90" ht="14.25" customHeight="1">
      <c r="BK251" s="430"/>
      <c r="BL251" s="430"/>
      <c r="BM251" s="430"/>
      <c r="BN251" s="430"/>
      <c r="BO251" s="430"/>
      <c r="BP251" s="430"/>
      <c r="BQ251" s="430"/>
      <c r="BR251" s="430"/>
      <c r="BS251" s="430"/>
      <c r="BT251" s="430"/>
      <c r="BU251" s="430"/>
      <c r="BV251" s="430"/>
      <c r="BW251" s="430"/>
      <c r="BX251" s="430"/>
      <c r="BY251" s="430"/>
      <c r="BZ251" s="430"/>
      <c r="CA251" s="430"/>
      <c r="CB251" s="430"/>
      <c r="CC251" s="430"/>
      <c r="CD251" s="430"/>
      <c r="CE251" s="430"/>
      <c r="CF251" s="430"/>
      <c r="CG251" s="430"/>
      <c r="CH251" s="430"/>
      <c r="CI251" s="430"/>
      <c r="CJ251" s="430"/>
      <c r="CK251" s="430"/>
      <c r="CL251" s="430"/>
    </row>
    <row r="252" spans="63:90" ht="14.25" customHeight="1">
      <c r="BK252" s="430"/>
      <c r="BL252" s="430"/>
      <c r="BM252" s="430"/>
      <c r="BN252" s="430"/>
      <c r="BO252" s="430"/>
      <c r="BP252" s="430"/>
      <c r="BQ252" s="430"/>
      <c r="BR252" s="430"/>
      <c r="BS252" s="430"/>
      <c r="BT252" s="430"/>
      <c r="BU252" s="430"/>
      <c r="BV252" s="430"/>
      <c r="BW252" s="430"/>
      <c r="BX252" s="430"/>
      <c r="BY252" s="430"/>
      <c r="BZ252" s="430"/>
      <c r="CA252" s="430"/>
      <c r="CB252" s="430"/>
      <c r="CC252" s="430"/>
      <c r="CD252" s="430"/>
      <c r="CE252" s="430"/>
      <c r="CF252" s="430"/>
      <c r="CG252" s="430"/>
      <c r="CH252" s="430"/>
      <c r="CI252" s="430"/>
      <c r="CJ252" s="430"/>
      <c r="CK252" s="430"/>
      <c r="CL252" s="430"/>
    </row>
    <row r="253" spans="63:90" ht="14.25" customHeight="1">
      <c r="BK253" s="430"/>
      <c r="BL253" s="430"/>
      <c r="BM253" s="430"/>
      <c r="BN253" s="430"/>
      <c r="BO253" s="430"/>
      <c r="BP253" s="430"/>
      <c r="BQ253" s="430"/>
      <c r="BR253" s="430"/>
      <c r="BS253" s="430"/>
      <c r="BT253" s="430"/>
      <c r="BU253" s="430"/>
      <c r="BV253" s="430"/>
      <c r="BW253" s="430"/>
      <c r="BX253" s="430"/>
      <c r="BY253" s="430"/>
      <c r="BZ253" s="430"/>
      <c r="CA253" s="430"/>
      <c r="CB253" s="430"/>
      <c r="CC253" s="430"/>
      <c r="CD253" s="430"/>
      <c r="CE253" s="430"/>
      <c r="CF253" s="430"/>
      <c r="CG253" s="430"/>
      <c r="CH253" s="430"/>
      <c r="CI253" s="430"/>
      <c r="CJ253" s="430"/>
      <c r="CK253" s="430"/>
      <c r="CL253" s="430"/>
    </row>
    <row r="254" spans="63:90" ht="14.25" customHeight="1">
      <c r="BK254" s="430"/>
      <c r="BL254" s="430"/>
      <c r="BM254" s="430"/>
      <c r="BN254" s="430"/>
      <c r="BO254" s="430"/>
      <c r="BP254" s="430"/>
      <c r="BQ254" s="430"/>
      <c r="BR254" s="430"/>
      <c r="BS254" s="430"/>
      <c r="BT254" s="430"/>
      <c r="BU254" s="430"/>
      <c r="BV254" s="430"/>
      <c r="BW254" s="430"/>
      <c r="BX254" s="430"/>
      <c r="BY254" s="430"/>
      <c r="BZ254" s="430"/>
      <c r="CA254" s="430"/>
      <c r="CB254" s="430"/>
      <c r="CC254" s="430"/>
      <c r="CD254" s="430"/>
      <c r="CE254" s="430"/>
      <c r="CF254" s="430"/>
      <c r="CG254" s="430"/>
      <c r="CH254" s="430"/>
      <c r="CI254" s="430"/>
      <c r="CJ254" s="430"/>
      <c r="CK254" s="430"/>
      <c r="CL254" s="430"/>
    </row>
    <row r="255" spans="63:90" ht="14.25" customHeight="1">
      <c r="BK255" s="430"/>
      <c r="BL255" s="430"/>
      <c r="BM255" s="430"/>
      <c r="BN255" s="430"/>
      <c r="BO255" s="430"/>
      <c r="BP255" s="430"/>
      <c r="BQ255" s="430"/>
      <c r="BR255" s="430"/>
      <c r="BS255" s="430"/>
      <c r="BT255" s="430"/>
      <c r="BU255" s="430"/>
      <c r="BV255" s="430"/>
      <c r="BW255" s="430"/>
      <c r="BX255" s="430"/>
      <c r="BY255" s="430"/>
      <c r="BZ255" s="430"/>
      <c r="CA255" s="430"/>
      <c r="CB255" s="430"/>
      <c r="CC255" s="430"/>
      <c r="CD255" s="430"/>
      <c r="CE255" s="430"/>
      <c r="CF255" s="430"/>
      <c r="CG255" s="430"/>
      <c r="CH255" s="430"/>
      <c r="CI255" s="430"/>
      <c r="CJ255" s="430"/>
      <c r="CK255" s="430"/>
      <c r="CL255" s="430"/>
    </row>
    <row r="256" spans="63:90" ht="14.25" customHeight="1">
      <c r="BK256" s="430"/>
      <c r="BL256" s="430"/>
      <c r="BM256" s="430"/>
      <c r="BN256" s="430"/>
      <c r="BO256" s="430"/>
      <c r="BP256" s="430"/>
      <c r="BQ256" s="430"/>
      <c r="BR256" s="430"/>
      <c r="BS256" s="430"/>
      <c r="BT256" s="430"/>
      <c r="BU256" s="430"/>
      <c r="BV256" s="430"/>
      <c r="BW256" s="430"/>
      <c r="BX256" s="430"/>
      <c r="BY256" s="430"/>
      <c r="BZ256" s="430"/>
      <c r="CA256" s="430"/>
      <c r="CB256" s="430"/>
      <c r="CC256" s="430"/>
      <c r="CD256" s="430"/>
      <c r="CE256" s="430"/>
      <c r="CF256" s="430"/>
      <c r="CG256" s="430"/>
      <c r="CH256" s="430"/>
      <c r="CI256" s="430"/>
      <c r="CJ256" s="430"/>
      <c r="CK256" s="430"/>
      <c r="CL256" s="430"/>
    </row>
    <row r="257" spans="63:90" ht="14.25" customHeight="1">
      <c r="BK257" s="430"/>
      <c r="BL257" s="430"/>
      <c r="BM257" s="430"/>
      <c r="BN257" s="430"/>
      <c r="BO257" s="430"/>
      <c r="BP257" s="430"/>
      <c r="BQ257" s="430"/>
      <c r="BR257" s="430"/>
      <c r="BS257" s="430"/>
      <c r="BT257" s="430"/>
      <c r="BU257" s="430"/>
      <c r="BV257" s="430"/>
      <c r="BW257" s="430"/>
      <c r="BX257" s="430"/>
      <c r="BY257" s="430"/>
      <c r="BZ257" s="430"/>
      <c r="CA257" s="430"/>
      <c r="CB257" s="430"/>
      <c r="CC257" s="430"/>
      <c r="CD257" s="430"/>
      <c r="CE257" s="430"/>
      <c r="CF257" s="430"/>
      <c r="CG257" s="430"/>
      <c r="CH257" s="430"/>
      <c r="CI257" s="430"/>
      <c r="CJ257" s="430"/>
      <c r="CK257" s="430"/>
      <c r="CL257" s="430"/>
    </row>
    <row r="258" spans="63:90" ht="14.25" customHeight="1">
      <c r="BK258" s="430"/>
      <c r="BL258" s="430"/>
      <c r="BM258" s="430"/>
      <c r="BN258" s="430"/>
      <c r="BO258" s="430"/>
      <c r="BP258" s="430"/>
      <c r="BQ258" s="430"/>
      <c r="BR258" s="430"/>
      <c r="BS258" s="430"/>
      <c r="BT258" s="430"/>
      <c r="BU258" s="430"/>
      <c r="BV258" s="430"/>
      <c r="BW258" s="430"/>
      <c r="BX258" s="430"/>
      <c r="BY258" s="430"/>
      <c r="BZ258" s="430"/>
      <c r="CA258" s="430"/>
      <c r="CB258" s="430"/>
      <c r="CC258" s="430"/>
      <c r="CD258" s="430"/>
      <c r="CE258" s="430"/>
      <c r="CF258" s="430"/>
      <c r="CG258" s="430"/>
      <c r="CH258" s="430"/>
      <c r="CI258" s="430"/>
      <c r="CJ258" s="430"/>
      <c r="CK258" s="430"/>
      <c r="CL258" s="430"/>
    </row>
    <row r="259" spans="63:90" ht="14.25" customHeight="1">
      <c r="BK259" s="430"/>
      <c r="BL259" s="430"/>
      <c r="BM259" s="430"/>
      <c r="BN259" s="430"/>
      <c r="BO259" s="430"/>
      <c r="BP259" s="430"/>
      <c r="BQ259" s="430"/>
      <c r="BR259" s="430"/>
      <c r="BS259" s="430"/>
      <c r="BT259" s="430"/>
      <c r="BU259" s="430"/>
      <c r="BV259" s="430"/>
      <c r="BW259" s="430"/>
      <c r="BX259" s="430"/>
      <c r="BY259" s="430"/>
      <c r="BZ259" s="430"/>
      <c r="CA259" s="430"/>
      <c r="CB259" s="430"/>
      <c r="CC259" s="430"/>
      <c r="CD259" s="430"/>
      <c r="CE259" s="430"/>
      <c r="CF259" s="430"/>
      <c r="CG259" s="430"/>
      <c r="CH259" s="430"/>
      <c r="CI259" s="430"/>
      <c r="CJ259" s="430"/>
      <c r="CK259" s="430"/>
      <c r="CL259" s="430"/>
    </row>
    <row r="260" spans="63:90" ht="14.25" customHeight="1">
      <c r="BK260" s="430"/>
      <c r="BL260" s="430"/>
      <c r="BM260" s="430"/>
      <c r="BN260" s="430"/>
      <c r="BO260" s="430"/>
      <c r="BP260" s="430"/>
      <c r="BQ260" s="430"/>
      <c r="BR260" s="430"/>
      <c r="BS260" s="430"/>
      <c r="BT260" s="430"/>
      <c r="BU260" s="430"/>
      <c r="BV260" s="430"/>
      <c r="BW260" s="430"/>
      <c r="BX260" s="430"/>
      <c r="BY260" s="430"/>
      <c r="BZ260" s="430"/>
      <c r="CA260" s="430"/>
      <c r="CB260" s="430"/>
      <c r="CC260" s="430"/>
      <c r="CD260" s="430"/>
      <c r="CE260" s="430"/>
      <c r="CF260" s="430"/>
      <c r="CG260" s="430"/>
      <c r="CH260" s="430"/>
      <c r="CI260" s="430"/>
      <c r="CJ260" s="430"/>
      <c r="CK260" s="430"/>
      <c r="CL260" s="430"/>
    </row>
    <row r="261" spans="63:90" ht="14.25" customHeight="1">
      <c r="BK261" s="430"/>
      <c r="BL261" s="430"/>
      <c r="BM261" s="430"/>
      <c r="BN261" s="430"/>
      <c r="BO261" s="430"/>
      <c r="BP261" s="430"/>
      <c r="BQ261" s="430"/>
      <c r="BR261" s="430"/>
      <c r="BS261" s="430"/>
      <c r="BT261" s="430"/>
      <c r="BU261" s="430"/>
      <c r="BV261" s="430"/>
      <c r="BW261" s="430"/>
      <c r="BX261" s="430"/>
      <c r="BY261" s="430"/>
      <c r="BZ261" s="430"/>
      <c r="CA261" s="430"/>
      <c r="CB261" s="430"/>
      <c r="CC261" s="430"/>
      <c r="CD261" s="430"/>
      <c r="CE261" s="430"/>
      <c r="CF261" s="430"/>
      <c r="CG261" s="430"/>
      <c r="CH261" s="430"/>
      <c r="CI261" s="430"/>
      <c r="CJ261" s="430"/>
      <c r="CK261" s="430"/>
      <c r="CL261" s="430"/>
    </row>
    <row r="262" spans="63:90" ht="14.25" customHeight="1">
      <c r="BK262" s="430"/>
      <c r="BL262" s="430"/>
      <c r="BM262" s="430"/>
      <c r="BN262" s="430"/>
      <c r="BO262" s="430"/>
      <c r="BP262" s="430"/>
      <c r="BQ262" s="430"/>
      <c r="BR262" s="430"/>
      <c r="BS262" s="430"/>
      <c r="BT262" s="430"/>
      <c r="BU262" s="430"/>
      <c r="BV262" s="430"/>
      <c r="BW262" s="430"/>
      <c r="BX262" s="430"/>
      <c r="BY262" s="430"/>
      <c r="BZ262" s="430"/>
      <c r="CA262" s="430"/>
      <c r="CB262" s="430"/>
      <c r="CC262" s="430"/>
      <c r="CD262" s="430"/>
      <c r="CE262" s="430"/>
      <c r="CF262" s="430"/>
      <c r="CG262" s="430"/>
      <c r="CH262" s="430"/>
      <c r="CI262" s="430"/>
      <c r="CJ262" s="430"/>
      <c r="CK262" s="430"/>
      <c r="CL262" s="430"/>
    </row>
    <row r="263" spans="63:90" ht="14.25" customHeight="1">
      <c r="BK263" s="430"/>
      <c r="BL263" s="430"/>
      <c r="BM263" s="430"/>
      <c r="BN263" s="430"/>
      <c r="BO263" s="430"/>
      <c r="BP263" s="430"/>
      <c r="BQ263" s="430"/>
      <c r="BR263" s="430"/>
      <c r="BS263" s="430"/>
      <c r="BT263" s="430"/>
      <c r="BU263" s="430"/>
      <c r="BV263" s="430"/>
      <c r="BW263" s="430"/>
      <c r="BX263" s="430"/>
      <c r="BY263" s="430"/>
      <c r="BZ263" s="430"/>
      <c r="CA263" s="430"/>
      <c r="CB263" s="430"/>
      <c r="CC263" s="430"/>
      <c r="CD263" s="430"/>
      <c r="CE263" s="430"/>
      <c r="CF263" s="430"/>
      <c r="CG263" s="430"/>
      <c r="CH263" s="430"/>
      <c r="CI263" s="430"/>
      <c r="CJ263" s="430"/>
      <c r="CK263" s="430"/>
      <c r="CL263" s="430"/>
    </row>
    <row r="264" spans="63:90" ht="14.25" customHeight="1">
      <c r="BK264" s="430"/>
      <c r="BL264" s="430"/>
      <c r="BM264" s="430"/>
      <c r="BN264" s="430"/>
      <c r="BO264" s="430"/>
      <c r="BP264" s="430"/>
      <c r="BQ264" s="430"/>
      <c r="BR264" s="430"/>
      <c r="BS264" s="430"/>
      <c r="BT264" s="430"/>
      <c r="BU264" s="430"/>
      <c r="BV264" s="430"/>
      <c r="BW264" s="430"/>
      <c r="BX264" s="430"/>
      <c r="BY264" s="430"/>
      <c r="BZ264" s="430"/>
      <c r="CA264" s="430"/>
      <c r="CB264" s="430"/>
      <c r="CC264" s="430"/>
      <c r="CD264" s="430"/>
      <c r="CE264" s="430"/>
      <c r="CF264" s="430"/>
      <c r="CG264" s="430"/>
      <c r="CH264" s="430"/>
      <c r="CI264" s="430"/>
      <c r="CJ264" s="430"/>
      <c r="CK264" s="430"/>
      <c r="CL264" s="430"/>
    </row>
    <row r="265" spans="63:90" ht="14.25" customHeight="1">
      <c r="BK265" s="430"/>
      <c r="BL265" s="430"/>
      <c r="BM265" s="430"/>
      <c r="BN265" s="430"/>
      <c r="BO265" s="430"/>
      <c r="BP265" s="430"/>
      <c r="BQ265" s="430"/>
      <c r="BR265" s="430"/>
      <c r="BS265" s="430"/>
      <c r="BT265" s="430"/>
      <c r="BU265" s="430"/>
      <c r="BV265" s="430"/>
      <c r="BW265" s="430"/>
      <c r="BX265" s="430"/>
      <c r="BY265" s="430"/>
      <c r="BZ265" s="430"/>
      <c r="CA265" s="430"/>
      <c r="CB265" s="430"/>
      <c r="CC265" s="430"/>
      <c r="CD265" s="430"/>
      <c r="CE265" s="430"/>
      <c r="CF265" s="430"/>
      <c r="CG265" s="430"/>
      <c r="CH265" s="430"/>
      <c r="CI265" s="430"/>
      <c r="CJ265" s="430"/>
      <c r="CK265" s="430"/>
      <c r="CL265" s="430"/>
    </row>
    <row r="266" spans="63:90" ht="14.25" customHeight="1">
      <c r="BK266" s="430"/>
      <c r="BL266" s="430"/>
      <c r="BM266" s="430"/>
      <c r="BN266" s="430"/>
      <c r="BO266" s="430"/>
      <c r="BP266" s="430"/>
      <c r="BQ266" s="430"/>
      <c r="BR266" s="430"/>
      <c r="BS266" s="430"/>
      <c r="BT266" s="430"/>
      <c r="BU266" s="430"/>
      <c r="BV266" s="430"/>
      <c r="BW266" s="430"/>
      <c r="BX266" s="430"/>
      <c r="BY266" s="430"/>
      <c r="BZ266" s="430"/>
      <c r="CA266" s="430"/>
      <c r="CB266" s="430"/>
      <c r="CC266" s="430"/>
      <c r="CD266" s="430"/>
      <c r="CE266" s="430"/>
      <c r="CF266" s="430"/>
      <c r="CG266" s="430"/>
      <c r="CH266" s="430"/>
      <c r="CI266" s="430"/>
      <c r="CJ266" s="430"/>
      <c r="CK266" s="430"/>
      <c r="CL266" s="430"/>
    </row>
    <row r="267" spans="63:90" ht="14.25" customHeight="1">
      <c r="BK267" s="430"/>
      <c r="BL267" s="430"/>
      <c r="BM267" s="430"/>
      <c r="BN267" s="430"/>
      <c r="BO267" s="430"/>
      <c r="BP267" s="430"/>
      <c r="BQ267" s="430"/>
      <c r="BR267" s="430"/>
      <c r="BS267" s="430"/>
      <c r="BT267" s="430"/>
      <c r="BU267" s="430"/>
      <c r="BV267" s="430"/>
      <c r="BW267" s="430"/>
      <c r="BX267" s="430"/>
      <c r="BY267" s="430"/>
      <c r="BZ267" s="430"/>
      <c r="CA267" s="430"/>
      <c r="CB267" s="430"/>
      <c r="CC267" s="430"/>
      <c r="CD267" s="430"/>
      <c r="CE267" s="430"/>
      <c r="CF267" s="430"/>
      <c r="CG267" s="430"/>
      <c r="CH267" s="430"/>
      <c r="CI267" s="430"/>
      <c r="CJ267" s="430"/>
      <c r="CK267" s="430"/>
      <c r="CL267" s="430"/>
    </row>
    <row r="268" spans="63:90" ht="14.25" customHeight="1">
      <c r="BK268" s="430"/>
      <c r="BL268" s="430"/>
      <c r="BM268" s="430"/>
      <c r="BN268" s="430"/>
      <c r="BO268" s="430"/>
      <c r="BP268" s="430"/>
      <c r="BQ268" s="430"/>
      <c r="BR268" s="430"/>
      <c r="BS268" s="430"/>
      <c r="BT268" s="430"/>
      <c r="BU268" s="430"/>
      <c r="BV268" s="430"/>
      <c r="BW268" s="430"/>
      <c r="BX268" s="430"/>
      <c r="BY268" s="430"/>
      <c r="BZ268" s="430"/>
      <c r="CA268" s="430"/>
      <c r="CB268" s="430"/>
      <c r="CC268" s="430"/>
      <c r="CD268" s="430"/>
      <c r="CE268" s="430"/>
      <c r="CF268" s="430"/>
      <c r="CG268" s="430"/>
      <c r="CH268" s="430"/>
      <c r="CI268" s="430"/>
      <c r="CJ268" s="430"/>
      <c r="CK268" s="430"/>
      <c r="CL268" s="430"/>
    </row>
    <row r="269" spans="63:90" ht="14.25" customHeight="1">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c r="CE269" s="430"/>
      <c r="CF269" s="430"/>
      <c r="CG269" s="430"/>
      <c r="CH269" s="430"/>
      <c r="CI269" s="430"/>
      <c r="CJ269" s="430"/>
      <c r="CK269" s="430"/>
      <c r="CL269" s="430"/>
    </row>
    <row r="270" spans="63:90" ht="14.25" customHeight="1">
      <c r="BK270" s="430"/>
      <c r="BL270" s="430"/>
      <c r="BM270" s="430"/>
      <c r="BN270" s="430"/>
      <c r="BO270" s="430"/>
      <c r="BP270" s="430"/>
      <c r="BQ270" s="430"/>
      <c r="BR270" s="430"/>
      <c r="BS270" s="430"/>
      <c r="BT270" s="430"/>
      <c r="BU270" s="430"/>
      <c r="BV270" s="430"/>
      <c r="BW270" s="430"/>
      <c r="BX270" s="430"/>
      <c r="BY270" s="430"/>
      <c r="BZ270" s="430"/>
      <c r="CA270" s="430"/>
      <c r="CB270" s="430"/>
      <c r="CC270" s="430"/>
      <c r="CD270" s="430"/>
      <c r="CE270" s="430"/>
      <c r="CF270" s="430"/>
      <c r="CG270" s="430"/>
      <c r="CH270" s="430"/>
      <c r="CI270" s="430"/>
      <c r="CJ270" s="430"/>
      <c r="CK270" s="430"/>
      <c r="CL270" s="430"/>
    </row>
    <row r="271" spans="63:90" ht="14.25" customHeight="1">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c r="CE271" s="430"/>
      <c r="CF271" s="430"/>
      <c r="CG271" s="430"/>
      <c r="CH271" s="430"/>
      <c r="CI271" s="430"/>
      <c r="CJ271" s="430"/>
      <c r="CK271" s="430"/>
      <c r="CL271" s="430"/>
    </row>
    <row r="272" spans="63:90" ht="14.25" customHeight="1">
      <c r="BK272" s="430"/>
      <c r="BL272" s="430"/>
      <c r="BM272" s="430"/>
      <c r="BN272" s="430"/>
      <c r="BO272" s="430"/>
      <c r="BP272" s="430"/>
      <c r="BQ272" s="430"/>
      <c r="BR272" s="430"/>
      <c r="BS272" s="430"/>
      <c r="BT272" s="430"/>
      <c r="BU272" s="430"/>
      <c r="BV272" s="430"/>
      <c r="BW272" s="430"/>
      <c r="BX272" s="430"/>
      <c r="BY272" s="430"/>
      <c r="BZ272" s="430"/>
      <c r="CA272" s="430"/>
      <c r="CB272" s="430"/>
      <c r="CC272" s="430"/>
      <c r="CD272" s="430"/>
      <c r="CE272" s="430"/>
      <c r="CF272" s="430"/>
      <c r="CG272" s="430"/>
      <c r="CH272" s="430"/>
      <c r="CI272" s="430"/>
      <c r="CJ272" s="430"/>
      <c r="CK272" s="430"/>
      <c r="CL272" s="430"/>
    </row>
    <row r="273" spans="63:90" ht="14.25" customHeight="1">
      <c r="BK273" s="430"/>
      <c r="BL273" s="430"/>
      <c r="BM273" s="430"/>
      <c r="BN273" s="430"/>
      <c r="BO273" s="430"/>
      <c r="BP273" s="430"/>
      <c r="BQ273" s="430"/>
      <c r="BR273" s="430"/>
      <c r="BS273" s="430"/>
      <c r="BT273" s="430"/>
      <c r="BU273" s="430"/>
      <c r="BV273" s="430"/>
      <c r="BW273" s="430"/>
      <c r="BX273" s="430"/>
      <c r="BY273" s="430"/>
      <c r="BZ273" s="430"/>
      <c r="CA273" s="430"/>
      <c r="CB273" s="430"/>
      <c r="CC273" s="430"/>
      <c r="CD273" s="430"/>
      <c r="CE273" s="430"/>
      <c r="CF273" s="430"/>
      <c r="CG273" s="430"/>
      <c r="CH273" s="430"/>
      <c r="CI273" s="430"/>
      <c r="CJ273" s="430"/>
      <c r="CK273" s="430"/>
      <c r="CL273" s="430"/>
    </row>
    <row r="274" spans="63:90" ht="14.25" customHeight="1">
      <c r="BK274" s="430"/>
      <c r="BL274" s="430"/>
      <c r="BM274" s="430"/>
      <c r="BN274" s="430"/>
      <c r="BO274" s="430"/>
      <c r="BP274" s="430"/>
      <c r="BQ274" s="430"/>
      <c r="BR274" s="430"/>
      <c r="BS274" s="430"/>
      <c r="BT274" s="430"/>
      <c r="BU274" s="430"/>
      <c r="BV274" s="430"/>
      <c r="BW274" s="430"/>
      <c r="BX274" s="430"/>
      <c r="BY274" s="430"/>
      <c r="BZ274" s="430"/>
      <c r="CA274" s="430"/>
      <c r="CB274" s="430"/>
      <c r="CC274" s="430"/>
      <c r="CD274" s="430"/>
      <c r="CE274" s="430"/>
      <c r="CF274" s="430"/>
      <c r="CG274" s="430"/>
      <c r="CH274" s="430"/>
      <c r="CI274" s="430"/>
      <c r="CJ274" s="430"/>
      <c r="CK274" s="430"/>
      <c r="CL274" s="430"/>
    </row>
    <row r="275" spans="63:90" ht="14.25" customHeight="1">
      <c r="BK275" s="430"/>
      <c r="BL275" s="430"/>
      <c r="BM275" s="430"/>
      <c r="BN275" s="430"/>
      <c r="BO275" s="430"/>
      <c r="BP275" s="430"/>
      <c r="BQ275" s="430"/>
      <c r="BR275" s="430"/>
      <c r="BS275" s="430"/>
      <c r="BT275" s="430"/>
      <c r="BU275" s="430"/>
      <c r="BV275" s="430"/>
      <c r="BW275" s="430"/>
      <c r="BX275" s="430"/>
      <c r="BY275" s="430"/>
      <c r="BZ275" s="430"/>
      <c r="CA275" s="430"/>
      <c r="CB275" s="430"/>
      <c r="CC275" s="430"/>
      <c r="CD275" s="430"/>
      <c r="CE275" s="430"/>
      <c r="CF275" s="430"/>
      <c r="CG275" s="430"/>
      <c r="CH275" s="430"/>
      <c r="CI275" s="430"/>
      <c r="CJ275" s="430"/>
      <c r="CK275" s="430"/>
      <c r="CL275" s="430"/>
    </row>
    <row r="276" spans="63:90" ht="14.25" customHeight="1">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c r="CE276" s="430"/>
      <c r="CF276" s="430"/>
      <c r="CG276" s="430"/>
      <c r="CH276" s="430"/>
      <c r="CI276" s="430"/>
      <c r="CJ276" s="430"/>
      <c r="CK276" s="430"/>
      <c r="CL276" s="430"/>
    </row>
    <row r="277" spans="63:90" ht="14.25" customHeight="1">
      <c r="BK277" s="430"/>
      <c r="BL277" s="430"/>
      <c r="BM277" s="430"/>
      <c r="BN277" s="430"/>
      <c r="BO277" s="430"/>
      <c r="BP277" s="430"/>
      <c r="BQ277" s="430"/>
      <c r="BR277" s="430"/>
      <c r="BS277" s="430"/>
      <c r="BT277" s="430"/>
      <c r="BU277" s="430"/>
      <c r="BV277" s="430"/>
      <c r="BW277" s="430"/>
      <c r="BX277" s="430"/>
      <c r="BY277" s="430"/>
      <c r="BZ277" s="430"/>
      <c r="CA277" s="430"/>
      <c r="CB277" s="430"/>
      <c r="CC277" s="430"/>
      <c r="CD277" s="430"/>
      <c r="CE277" s="430"/>
      <c r="CF277" s="430"/>
      <c r="CG277" s="430"/>
      <c r="CH277" s="430"/>
      <c r="CI277" s="430"/>
      <c r="CJ277" s="430"/>
      <c r="CK277" s="430"/>
      <c r="CL277" s="430"/>
    </row>
    <row r="278" spans="63:90" ht="14.25" customHeight="1">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c r="CE278" s="430"/>
      <c r="CF278" s="430"/>
      <c r="CG278" s="430"/>
      <c r="CH278" s="430"/>
      <c r="CI278" s="430"/>
      <c r="CJ278" s="430"/>
      <c r="CK278" s="430"/>
      <c r="CL278" s="430"/>
    </row>
    <row r="279" spans="63:90" ht="14.25" customHeight="1">
      <c r="BK279" s="430"/>
      <c r="BL279" s="430"/>
      <c r="BM279" s="430"/>
      <c r="BN279" s="430"/>
      <c r="BO279" s="430"/>
      <c r="BP279" s="430"/>
      <c r="BQ279" s="430"/>
      <c r="BR279" s="430"/>
      <c r="BS279" s="430"/>
      <c r="BT279" s="430"/>
      <c r="BU279" s="430"/>
      <c r="BV279" s="430"/>
      <c r="BW279" s="430"/>
      <c r="BX279" s="430"/>
      <c r="BY279" s="430"/>
      <c r="BZ279" s="430"/>
      <c r="CA279" s="430"/>
      <c r="CB279" s="430"/>
      <c r="CC279" s="430"/>
      <c r="CD279" s="430"/>
      <c r="CE279" s="430"/>
      <c r="CF279" s="430"/>
      <c r="CG279" s="430"/>
      <c r="CH279" s="430"/>
      <c r="CI279" s="430"/>
      <c r="CJ279" s="430"/>
      <c r="CK279" s="430"/>
      <c r="CL279" s="430"/>
    </row>
    <row r="280" spans="63:90" ht="14.25" customHeight="1">
      <c r="BK280" s="430"/>
      <c r="BL280" s="430"/>
      <c r="BM280" s="430"/>
      <c r="BN280" s="430"/>
      <c r="BO280" s="430"/>
      <c r="BP280" s="430"/>
      <c r="BQ280" s="430"/>
      <c r="BR280" s="430"/>
      <c r="BS280" s="430"/>
      <c r="BT280" s="430"/>
      <c r="BU280" s="430"/>
      <c r="BV280" s="430"/>
      <c r="BW280" s="430"/>
      <c r="BX280" s="430"/>
      <c r="BY280" s="430"/>
      <c r="BZ280" s="430"/>
      <c r="CA280" s="430"/>
      <c r="CB280" s="430"/>
      <c r="CC280" s="430"/>
      <c r="CD280" s="430"/>
      <c r="CE280" s="430"/>
      <c r="CF280" s="430"/>
      <c r="CG280" s="430"/>
      <c r="CH280" s="430"/>
      <c r="CI280" s="430"/>
      <c r="CJ280" s="430"/>
      <c r="CK280" s="430"/>
      <c r="CL280" s="430"/>
    </row>
    <row r="281" spans="63:90" ht="14.25" customHeight="1">
      <c r="BK281" s="430"/>
      <c r="BL281" s="430"/>
      <c r="BM281" s="430"/>
      <c r="BN281" s="430"/>
      <c r="BO281" s="430"/>
      <c r="BP281" s="430"/>
      <c r="BQ281" s="430"/>
      <c r="BR281" s="430"/>
      <c r="BS281" s="430"/>
      <c r="BT281" s="430"/>
      <c r="BU281" s="430"/>
      <c r="BV281" s="430"/>
      <c r="BW281" s="430"/>
      <c r="BX281" s="430"/>
      <c r="BY281" s="430"/>
      <c r="BZ281" s="430"/>
      <c r="CA281" s="430"/>
      <c r="CB281" s="430"/>
      <c r="CC281" s="430"/>
      <c r="CD281" s="430"/>
      <c r="CE281" s="430"/>
      <c r="CF281" s="430"/>
      <c r="CG281" s="430"/>
      <c r="CH281" s="430"/>
      <c r="CI281" s="430"/>
      <c r="CJ281" s="430"/>
      <c r="CK281" s="430"/>
      <c r="CL281" s="430"/>
    </row>
    <row r="282" spans="63:90" ht="14.25" customHeight="1">
      <c r="BK282" s="430"/>
      <c r="BL282" s="430"/>
      <c r="BM282" s="430"/>
      <c r="BN282" s="430"/>
      <c r="BO282" s="430"/>
      <c r="BP282" s="430"/>
      <c r="BQ282" s="430"/>
      <c r="BR282" s="430"/>
      <c r="BS282" s="430"/>
      <c r="BT282" s="430"/>
      <c r="BU282" s="430"/>
      <c r="BV282" s="430"/>
      <c r="BW282" s="430"/>
      <c r="BX282" s="430"/>
      <c r="BY282" s="430"/>
      <c r="BZ282" s="430"/>
      <c r="CA282" s="430"/>
      <c r="CB282" s="430"/>
      <c r="CC282" s="430"/>
      <c r="CD282" s="430"/>
      <c r="CE282" s="430"/>
      <c r="CF282" s="430"/>
      <c r="CG282" s="430"/>
      <c r="CH282" s="430"/>
      <c r="CI282" s="430"/>
      <c r="CJ282" s="430"/>
      <c r="CK282" s="430"/>
      <c r="CL282" s="430"/>
    </row>
    <row r="283" spans="63:90" ht="14.25" customHeight="1">
      <c r="BK283" s="430"/>
      <c r="BL283" s="430"/>
      <c r="BM283" s="430"/>
      <c r="BN283" s="430"/>
      <c r="BO283" s="430"/>
      <c r="BP283" s="430"/>
      <c r="BQ283" s="430"/>
      <c r="BR283" s="430"/>
      <c r="BS283" s="430"/>
      <c r="BT283" s="430"/>
      <c r="BU283" s="430"/>
      <c r="BV283" s="430"/>
      <c r="BW283" s="430"/>
      <c r="BX283" s="430"/>
      <c r="BY283" s="430"/>
      <c r="BZ283" s="430"/>
      <c r="CA283" s="430"/>
      <c r="CB283" s="430"/>
      <c r="CC283" s="430"/>
      <c r="CD283" s="430"/>
      <c r="CE283" s="430"/>
      <c r="CF283" s="430"/>
      <c r="CG283" s="430"/>
      <c r="CH283" s="430"/>
      <c r="CI283" s="430"/>
      <c r="CJ283" s="430"/>
      <c r="CK283" s="430"/>
      <c r="CL283" s="430"/>
    </row>
    <row r="284" spans="63:90" ht="14.25" customHeight="1">
      <c r="BK284" s="430"/>
      <c r="BL284" s="430"/>
      <c r="BM284" s="430"/>
      <c r="BN284" s="430"/>
      <c r="BO284" s="430"/>
      <c r="BP284" s="430"/>
      <c r="BQ284" s="430"/>
      <c r="BR284" s="430"/>
      <c r="BS284" s="430"/>
      <c r="BT284" s="430"/>
      <c r="BU284" s="430"/>
      <c r="BV284" s="430"/>
      <c r="BW284" s="430"/>
      <c r="BX284" s="430"/>
      <c r="BY284" s="430"/>
      <c r="BZ284" s="430"/>
      <c r="CA284" s="430"/>
      <c r="CB284" s="430"/>
      <c r="CC284" s="430"/>
      <c r="CD284" s="430"/>
      <c r="CE284" s="430"/>
      <c r="CF284" s="430"/>
      <c r="CG284" s="430"/>
      <c r="CH284" s="430"/>
      <c r="CI284" s="430"/>
      <c r="CJ284" s="430"/>
      <c r="CK284" s="430"/>
      <c r="CL284" s="430"/>
    </row>
    <row r="285" spans="63:90" ht="14.25" customHeight="1">
      <c r="BK285" s="430"/>
      <c r="BL285" s="430"/>
      <c r="BM285" s="430"/>
      <c r="BN285" s="430"/>
      <c r="BO285" s="430"/>
      <c r="BP285" s="430"/>
      <c r="BQ285" s="430"/>
      <c r="BR285" s="430"/>
      <c r="BS285" s="430"/>
      <c r="BT285" s="430"/>
      <c r="BU285" s="430"/>
      <c r="BV285" s="430"/>
      <c r="BW285" s="430"/>
      <c r="BX285" s="430"/>
      <c r="BY285" s="430"/>
      <c r="BZ285" s="430"/>
      <c r="CA285" s="430"/>
      <c r="CB285" s="430"/>
      <c r="CC285" s="430"/>
      <c r="CD285" s="430"/>
      <c r="CE285" s="430"/>
      <c r="CF285" s="430"/>
      <c r="CG285" s="430"/>
      <c r="CH285" s="430"/>
      <c r="CI285" s="430"/>
      <c r="CJ285" s="430"/>
      <c r="CK285" s="430"/>
      <c r="CL285" s="430"/>
    </row>
    <row r="286" spans="63:90" ht="14.25" customHeight="1">
      <c r="BK286" s="430"/>
      <c r="BL286" s="430"/>
      <c r="BM286" s="430"/>
      <c r="BN286" s="430"/>
      <c r="BO286" s="430"/>
      <c r="BP286" s="430"/>
      <c r="BQ286" s="430"/>
      <c r="BR286" s="430"/>
      <c r="BS286" s="430"/>
      <c r="BT286" s="430"/>
      <c r="BU286" s="430"/>
      <c r="BV286" s="430"/>
      <c r="BW286" s="430"/>
      <c r="BX286" s="430"/>
      <c r="BY286" s="430"/>
      <c r="BZ286" s="430"/>
      <c r="CA286" s="430"/>
      <c r="CB286" s="430"/>
      <c r="CC286" s="430"/>
      <c r="CD286" s="430"/>
      <c r="CE286" s="430"/>
      <c r="CF286" s="430"/>
      <c r="CG286" s="430"/>
      <c r="CH286" s="430"/>
      <c r="CI286" s="430"/>
      <c r="CJ286" s="430"/>
      <c r="CK286" s="430"/>
      <c r="CL286" s="430"/>
    </row>
    <row r="287" spans="63:90" ht="14.25" customHeight="1">
      <c r="BK287" s="430"/>
      <c r="BL287" s="430"/>
      <c r="BM287" s="430"/>
      <c r="BN287" s="430"/>
      <c r="BO287" s="430"/>
      <c r="BP287" s="430"/>
      <c r="BQ287" s="430"/>
      <c r="BR287" s="430"/>
      <c r="BS287" s="430"/>
      <c r="BT287" s="430"/>
      <c r="BU287" s="430"/>
      <c r="BV287" s="430"/>
      <c r="BW287" s="430"/>
      <c r="BX287" s="430"/>
      <c r="BY287" s="430"/>
      <c r="BZ287" s="430"/>
      <c r="CA287" s="430"/>
      <c r="CB287" s="430"/>
      <c r="CC287" s="430"/>
      <c r="CD287" s="430"/>
      <c r="CE287" s="430"/>
      <c r="CF287" s="430"/>
      <c r="CG287" s="430"/>
      <c r="CH287" s="430"/>
      <c r="CI287" s="430"/>
      <c r="CJ287" s="430"/>
      <c r="CK287" s="430"/>
      <c r="CL287" s="430"/>
    </row>
    <row r="288" spans="63:90" ht="14.25" customHeight="1">
      <c r="BK288" s="430"/>
      <c r="BL288" s="430"/>
      <c r="BM288" s="430"/>
      <c r="BN288" s="430"/>
      <c r="BO288" s="430"/>
      <c r="BP288" s="430"/>
      <c r="BQ288" s="430"/>
      <c r="BR288" s="430"/>
      <c r="BS288" s="430"/>
      <c r="BT288" s="430"/>
      <c r="BU288" s="430"/>
      <c r="BV288" s="430"/>
      <c r="BW288" s="430"/>
      <c r="BX288" s="430"/>
      <c r="BY288" s="430"/>
      <c r="BZ288" s="430"/>
      <c r="CA288" s="430"/>
      <c r="CB288" s="430"/>
      <c r="CC288" s="430"/>
      <c r="CD288" s="430"/>
      <c r="CE288" s="430"/>
      <c r="CF288" s="430"/>
      <c r="CG288" s="430"/>
      <c r="CH288" s="430"/>
      <c r="CI288" s="430"/>
      <c r="CJ288" s="430"/>
      <c r="CK288" s="430"/>
      <c r="CL288" s="430"/>
    </row>
    <row r="289" spans="63:90" ht="14.25" customHeight="1">
      <c r="BK289" s="430"/>
      <c r="BL289" s="430"/>
      <c r="BM289" s="430"/>
      <c r="BN289" s="430"/>
      <c r="BO289" s="430"/>
      <c r="BP289" s="430"/>
      <c r="BQ289" s="430"/>
      <c r="BR289" s="430"/>
      <c r="BS289" s="430"/>
      <c r="BT289" s="430"/>
      <c r="BU289" s="430"/>
      <c r="BV289" s="430"/>
      <c r="BW289" s="430"/>
      <c r="BX289" s="430"/>
      <c r="BY289" s="430"/>
      <c r="BZ289" s="430"/>
      <c r="CA289" s="430"/>
      <c r="CB289" s="430"/>
      <c r="CC289" s="430"/>
      <c r="CD289" s="430"/>
      <c r="CE289" s="430"/>
      <c r="CF289" s="430"/>
      <c r="CG289" s="430"/>
      <c r="CH289" s="430"/>
      <c r="CI289" s="430"/>
      <c r="CJ289" s="430"/>
      <c r="CK289" s="430"/>
      <c r="CL289" s="430"/>
    </row>
    <row r="290" spans="63:90" ht="14.25" customHeight="1">
      <c r="BK290" s="430"/>
      <c r="BL290" s="430"/>
      <c r="BM290" s="430"/>
      <c r="BN290" s="430"/>
      <c r="BO290" s="430"/>
      <c r="BP290" s="430"/>
      <c r="BQ290" s="430"/>
      <c r="BR290" s="430"/>
      <c r="BS290" s="430"/>
      <c r="BT290" s="430"/>
      <c r="BU290" s="430"/>
      <c r="BV290" s="430"/>
      <c r="BW290" s="430"/>
      <c r="BX290" s="430"/>
      <c r="BY290" s="430"/>
      <c r="BZ290" s="430"/>
      <c r="CA290" s="430"/>
      <c r="CB290" s="430"/>
      <c r="CC290" s="430"/>
      <c r="CD290" s="430"/>
      <c r="CE290" s="430"/>
      <c r="CF290" s="430"/>
      <c r="CG290" s="430"/>
      <c r="CH290" s="430"/>
      <c r="CI290" s="430"/>
      <c r="CJ290" s="430"/>
      <c r="CK290" s="430"/>
      <c r="CL290" s="430"/>
    </row>
    <row r="291" spans="63:90" ht="14.25" customHeight="1">
      <c r="BK291" s="430"/>
      <c r="BL291" s="430"/>
      <c r="BM291" s="430"/>
      <c r="BN291" s="430"/>
      <c r="BO291" s="430"/>
      <c r="BP291" s="430"/>
      <c r="BQ291" s="430"/>
      <c r="BR291" s="430"/>
      <c r="BS291" s="430"/>
      <c r="BT291" s="430"/>
      <c r="BU291" s="430"/>
      <c r="BV291" s="430"/>
      <c r="BW291" s="430"/>
      <c r="BX291" s="430"/>
      <c r="BY291" s="430"/>
      <c r="BZ291" s="430"/>
      <c r="CA291" s="430"/>
      <c r="CB291" s="430"/>
      <c r="CC291" s="430"/>
      <c r="CD291" s="430"/>
      <c r="CE291" s="430"/>
      <c r="CF291" s="430"/>
      <c r="CG291" s="430"/>
      <c r="CH291" s="430"/>
      <c r="CI291" s="430"/>
      <c r="CJ291" s="430"/>
      <c r="CK291" s="430"/>
      <c r="CL291" s="430"/>
    </row>
    <row r="292" spans="63:90" ht="14.25" customHeight="1">
      <c r="BK292" s="430"/>
      <c r="BL292" s="430"/>
      <c r="BM292" s="430"/>
      <c r="BN292" s="430"/>
      <c r="BO292" s="430"/>
      <c r="BP292" s="430"/>
      <c r="BQ292" s="430"/>
      <c r="BR292" s="430"/>
      <c r="BS292" s="430"/>
      <c r="BT292" s="430"/>
      <c r="BU292" s="430"/>
      <c r="BV292" s="430"/>
      <c r="BW292" s="430"/>
      <c r="BX292" s="430"/>
      <c r="BY292" s="430"/>
      <c r="BZ292" s="430"/>
      <c r="CA292" s="430"/>
      <c r="CB292" s="430"/>
      <c r="CC292" s="430"/>
      <c r="CD292" s="430"/>
      <c r="CE292" s="430"/>
      <c r="CF292" s="430"/>
      <c r="CG292" s="430"/>
      <c r="CH292" s="430"/>
      <c r="CI292" s="430"/>
      <c r="CJ292" s="430"/>
      <c r="CK292" s="430"/>
      <c r="CL292" s="430"/>
    </row>
    <row r="293" spans="63:90" ht="14.25" customHeight="1">
      <c r="BK293" s="430"/>
      <c r="BL293" s="430"/>
      <c r="BM293" s="430"/>
      <c r="BN293" s="430"/>
      <c r="BO293" s="430"/>
      <c r="BP293" s="430"/>
      <c r="BQ293" s="430"/>
      <c r="BR293" s="430"/>
      <c r="BS293" s="430"/>
      <c r="BT293" s="430"/>
      <c r="BU293" s="430"/>
      <c r="BV293" s="430"/>
      <c r="BW293" s="430"/>
      <c r="BX293" s="430"/>
      <c r="BY293" s="430"/>
      <c r="BZ293" s="430"/>
      <c r="CA293" s="430"/>
      <c r="CB293" s="430"/>
      <c r="CC293" s="430"/>
      <c r="CD293" s="430"/>
      <c r="CE293" s="430"/>
      <c r="CF293" s="430"/>
      <c r="CG293" s="430"/>
      <c r="CH293" s="430"/>
      <c r="CI293" s="430"/>
      <c r="CJ293" s="430"/>
      <c r="CK293" s="430"/>
      <c r="CL293" s="430"/>
    </row>
    <row r="294" spans="63:90" ht="14.25" customHeight="1">
      <c r="BK294" s="430"/>
      <c r="BL294" s="430"/>
      <c r="BM294" s="430"/>
      <c r="BN294" s="430"/>
      <c r="BO294" s="430"/>
      <c r="BP294" s="430"/>
      <c r="BQ294" s="430"/>
      <c r="BR294" s="430"/>
      <c r="BS294" s="430"/>
      <c r="BT294" s="430"/>
      <c r="BU294" s="430"/>
      <c r="BV294" s="430"/>
      <c r="BW294" s="430"/>
      <c r="BX294" s="430"/>
      <c r="BY294" s="430"/>
      <c r="BZ294" s="430"/>
      <c r="CA294" s="430"/>
      <c r="CB294" s="430"/>
      <c r="CC294" s="430"/>
      <c r="CD294" s="430"/>
      <c r="CE294" s="430"/>
      <c r="CF294" s="430"/>
      <c r="CG294" s="430"/>
      <c r="CH294" s="430"/>
      <c r="CI294" s="430"/>
      <c r="CJ294" s="430"/>
      <c r="CK294" s="430"/>
      <c r="CL294" s="430"/>
    </row>
    <row r="295" spans="63:90" ht="14.25" customHeight="1">
      <c r="BK295" s="430"/>
      <c r="BL295" s="430"/>
      <c r="BM295" s="430"/>
      <c r="BN295" s="430"/>
      <c r="BO295" s="430"/>
      <c r="BP295" s="430"/>
      <c r="BQ295" s="430"/>
      <c r="BR295" s="430"/>
      <c r="BS295" s="430"/>
      <c r="BT295" s="430"/>
      <c r="BU295" s="430"/>
      <c r="BV295" s="430"/>
      <c r="BW295" s="430"/>
      <c r="BX295" s="430"/>
      <c r="BY295" s="430"/>
      <c r="BZ295" s="430"/>
      <c r="CA295" s="430"/>
      <c r="CB295" s="430"/>
      <c r="CC295" s="430"/>
      <c r="CD295" s="430"/>
      <c r="CE295" s="430"/>
      <c r="CF295" s="430"/>
      <c r="CG295" s="430"/>
      <c r="CH295" s="430"/>
      <c r="CI295" s="430"/>
      <c r="CJ295" s="430"/>
      <c r="CK295" s="430"/>
      <c r="CL295" s="430"/>
    </row>
    <row r="296" spans="63:90" ht="14.25" customHeight="1">
      <c r="BK296" s="430"/>
      <c r="BL296" s="430"/>
      <c r="BM296" s="430"/>
      <c r="BN296" s="430"/>
      <c r="BO296" s="430"/>
      <c r="BP296" s="430"/>
      <c r="BQ296" s="430"/>
      <c r="BR296" s="430"/>
      <c r="BS296" s="430"/>
      <c r="BT296" s="430"/>
      <c r="BU296" s="430"/>
      <c r="BV296" s="430"/>
      <c r="BW296" s="430"/>
      <c r="BX296" s="430"/>
      <c r="BY296" s="430"/>
      <c r="BZ296" s="430"/>
      <c r="CA296" s="430"/>
      <c r="CB296" s="430"/>
      <c r="CC296" s="430"/>
      <c r="CD296" s="430"/>
      <c r="CE296" s="430"/>
      <c r="CF296" s="430"/>
      <c r="CG296" s="430"/>
      <c r="CH296" s="430"/>
      <c r="CI296" s="430"/>
      <c r="CJ296" s="430"/>
      <c r="CK296" s="430"/>
      <c r="CL296" s="430"/>
    </row>
    <row r="297" spans="63:90" ht="14.25" customHeight="1">
      <c r="BK297" s="430"/>
      <c r="BL297" s="430"/>
      <c r="BM297" s="430"/>
      <c r="BN297" s="430"/>
      <c r="BO297" s="430"/>
      <c r="BP297" s="430"/>
      <c r="BQ297" s="430"/>
      <c r="BR297" s="430"/>
      <c r="BS297" s="430"/>
      <c r="BT297" s="430"/>
      <c r="BU297" s="430"/>
      <c r="BV297" s="430"/>
      <c r="BW297" s="430"/>
      <c r="BX297" s="430"/>
      <c r="BY297" s="430"/>
      <c r="BZ297" s="430"/>
      <c r="CA297" s="430"/>
      <c r="CB297" s="430"/>
      <c r="CC297" s="430"/>
      <c r="CD297" s="430"/>
      <c r="CE297" s="430"/>
      <c r="CF297" s="430"/>
      <c r="CG297" s="430"/>
      <c r="CH297" s="430"/>
      <c r="CI297" s="430"/>
      <c r="CJ297" s="430"/>
      <c r="CK297" s="430"/>
      <c r="CL297" s="430"/>
    </row>
    <row r="298" spans="63:90" ht="14.25" customHeight="1">
      <c r="BK298" s="430"/>
      <c r="BL298" s="430"/>
      <c r="BM298" s="430"/>
      <c r="BN298" s="430"/>
      <c r="BO298" s="430"/>
      <c r="BP298" s="430"/>
      <c r="BQ298" s="430"/>
      <c r="BR298" s="430"/>
      <c r="BS298" s="430"/>
      <c r="BT298" s="430"/>
      <c r="BU298" s="430"/>
      <c r="BV298" s="430"/>
      <c r="BW298" s="430"/>
      <c r="BX298" s="430"/>
      <c r="BY298" s="430"/>
      <c r="BZ298" s="430"/>
      <c r="CA298" s="430"/>
      <c r="CB298" s="430"/>
      <c r="CC298" s="430"/>
      <c r="CD298" s="430"/>
      <c r="CE298" s="430"/>
      <c r="CF298" s="430"/>
      <c r="CG298" s="430"/>
      <c r="CH298" s="430"/>
      <c r="CI298" s="430"/>
      <c r="CJ298" s="430"/>
      <c r="CK298" s="430"/>
      <c r="CL298" s="430"/>
    </row>
    <row r="299" spans="63:90" ht="14.25" customHeight="1">
      <c r="BK299" s="430"/>
      <c r="BL299" s="430"/>
      <c r="BM299" s="430"/>
      <c r="BN299" s="430"/>
      <c r="BO299" s="430"/>
      <c r="BP299" s="430"/>
      <c r="BQ299" s="430"/>
      <c r="BR299" s="430"/>
      <c r="BS299" s="430"/>
      <c r="BT299" s="430"/>
      <c r="BU299" s="430"/>
      <c r="BV299" s="430"/>
      <c r="BW299" s="430"/>
      <c r="BX299" s="430"/>
      <c r="BY299" s="430"/>
      <c r="BZ299" s="430"/>
      <c r="CA299" s="430"/>
      <c r="CB299" s="430"/>
      <c r="CC299" s="430"/>
      <c r="CD299" s="430"/>
      <c r="CE299" s="430"/>
      <c r="CF299" s="430"/>
      <c r="CG299" s="430"/>
      <c r="CH299" s="430"/>
      <c r="CI299" s="430"/>
      <c r="CJ299" s="430"/>
      <c r="CK299" s="430"/>
      <c r="CL299" s="430"/>
    </row>
    <row r="300" spans="63:90" ht="14.25" customHeight="1">
      <c r="BK300" s="430"/>
      <c r="BL300" s="430"/>
      <c r="BM300" s="430"/>
      <c r="BN300" s="430"/>
      <c r="BO300" s="430"/>
      <c r="BP300" s="430"/>
      <c r="BQ300" s="430"/>
      <c r="BR300" s="430"/>
      <c r="BS300" s="430"/>
      <c r="BT300" s="430"/>
      <c r="BU300" s="430"/>
      <c r="BV300" s="430"/>
      <c r="BW300" s="430"/>
      <c r="BX300" s="430"/>
      <c r="BY300" s="430"/>
      <c r="BZ300" s="430"/>
      <c r="CA300" s="430"/>
      <c r="CB300" s="430"/>
      <c r="CC300" s="430"/>
      <c r="CD300" s="430"/>
      <c r="CE300" s="430"/>
      <c r="CF300" s="430"/>
      <c r="CG300" s="430"/>
      <c r="CH300" s="430"/>
      <c r="CI300" s="430"/>
      <c r="CJ300" s="430"/>
      <c r="CK300" s="430"/>
      <c r="CL300" s="430"/>
    </row>
    <row r="301" spans="63:90" ht="14.25" customHeight="1">
      <c r="BK301" s="430"/>
      <c r="BL301" s="430"/>
      <c r="BM301" s="430"/>
      <c r="BN301" s="430"/>
      <c r="BO301" s="430"/>
      <c r="BP301" s="430"/>
      <c r="BQ301" s="430"/>
      <c r="BR301" s="430"/>
      <c r="BS301" s="430"/>
      <c r="BT301" s="430"/>
      <c r="BU301" s="430"/>
      <c r="BV301" s="430"/>
      <c r="BW301" s="430"/>
      <c r="BX301" s="430"/>
      <c r="BY301" s="430"/>
      <c r="BZ301" s="430"/>
      <c r="CA301" s="430"/>
      <c r="CB301" s="430"/>
      <c r="CC301" s="430"/>
      <c r="CD301" s="430"/>
      <c r="CE301" s="430"/>
      <c r="CF301" s="430"/>
      <c r="CG301" s="430"/>
      <c r="CH301" s="430"/>
      <c r="CI301" s="430"/>
      <c r="CJ301" s="430"/>
      <c r="CK301" s="430"/>
      <c r="CL301" s="430"/>
    </row>
    <row r="302" spans="63:90" ht="14.25" customHeight="1">
      <c r="BK302" s="430"/>
      <c r="BL302" s="430"/>
      <c r="BM302" s="430"/>
      <c r="BN302" s="430"/>
      <c r="BO302" s="430"/>
      <c r="BP302" s="430"/>
      <c r="BQ302" s="430"/>
      <c r="BR302" s="430"/>
      <c r="BS302" s="430"/>
      <c r="BT302" s="430"/>
      <c r="BU302" s="430"/>
      <c r="BV302" s="430"/>
      <c r="BW302" s="430"/>
      <c r="BX302" s="430"/>
      <c r="BY302" s="430"/>
      <c r="BZ302" s="430"/>
      <c r="CA302" s="430"/>
      <c r="CB302" s="430"/>
      <c r="CC302" s="430"/>
      <c r="CD302" s="430"/>
      <c r="CE302" s="430"/>
      <c r="CF302" s="430"/>
      <c r="CG302" s="430"/>
      <c r="CH302" s="430"/>
      <c r="CI302" s="430"/>
      <c r="CJ302" s="430"/>
      <c r="CK302" s="430"/>
      <c r="CL302" s="430"/>
    </row>
    <row r="303" spans="63:90" ht="14.25" customHeight="1">
      <c r="BK303" s="430"/>
      <c r="BL303" s="430"/>
      <c r="BM303" s="430"/>
      <c r="BN303" s="430"/>
      <c r="BO303" s="430"/>
      <c r="BP303" s="430"/>
      <c r="BQ303" s="430"/>
      <c r="BR303" s="430"/>
      <c r="BS303" s="430"/>
      <c r="BT303" s="430"/>
      <c r="BU303" s="430"/>
      <c r="BV303" s="430"/>
      <c r="BW303" s="430"/>
      <c r="BX303" s="430"/>
      <c r="BY303" s="430"/>
      <c r="BZ303" s="430"/>
      <c r="CA303" s="430"/>
      <c r="CB303" s="430"/>
      <c r="CC303" s="430"/>
      <c r="CD303" s="430"/>
      <c r="CE303" s="430"/>
      <c r="CF303" s="430"/>
      <c r="CG303" s="430"/>
      <c r="CH303" s="430"/>
      <c r="CI303" s="430"/>
      <c r="CJ303" s="430"/>
      <c r="CK303" s="430"/>
      <c r="CL303" s="430"/>
    </row>
    <row r="304" spans="63:90" ht="14.25" customHeight="1">
      <c r="BK304" s="430"/>
      <c r="BL304" s="430"/>
      <c r="BM304" s="430"/>
      <c r="BN304" s="430"/>
      <c r="BO304" s="430"/>
      <c r="BP304" s="430"/>
      <c r="BQ304" s="430"/>
      <c r="BR304" s="430"/>
      <c r="BS304" s="430"/>
      <c r="BT304" s="430"/>
      <c r="BU304" s="430"/>
      <c r="BV304" s="430"/>
      <c r="BW304" s="430"/>
      <c r="BX304" s="430"/>
      <c r="BY304" s="430"/>
      <c r="BZ304" s="430"/>
      <c r="CA304" s="430"/>
      <c r="CB304" s="430"/>
      <c r="CC304" s="430"/>
      <c r="CD304" s="430"/>
      <c r="CE304" s="430"/>
      <c r="CF304" s="430"/>
      <c r="CG304" s="430"/>
      <c r="CH304" s="430"/>
      <c r="CI304" s="430"/>
      <c r="CJ304" s="430"/>
      <c r="CK304" s="430"/>
      <c r="CL304" s="430"/>
    </row>
    <row r="305" spans="63:90" ht="14.25" customHeight="1">
      <c r="BK305" s="430"/>
      <c r="BL305" s="430"/>
      <c r="BM305" s="430"/>
      <c r="BN305" s="430"/>
      <c r="BO305" s="430"/>
      <c r="BP305" s="430"/>
      <c r="BQ305" s="430"/>
      <c r="BR305" s="430"/>
      <c r="BS305" s="430"/>
      <c r="BT305" s="430"/>
      <c r="BU305" s="430"/>
      <c r="BV305" s="430"/>
      <c r="BW305" s="430"/>
      <c r="BX305" s="430"/>
      <c r="BY305" s="430"/>
      <c r="BZ305" s="430"/>
      <c r="CA305" s="430"/>
      <c r="CB305" s="430"/>
      <c r="CC305" s="430"/>
      <c r="CD305" s="430"/>
      <c r="CE305" s="430"/>
      <c r="CF305" s="430"/>
      <c r="CG305" s="430"/>
      <c r="CH305" s="430"/>
      <c r="CI305" s="430"/>
      <c r="CJ305" s="430"/>
      <c r="CK305" s="430"/>
      <c r="CL305" s="430"/>
    </row>
    <row r="306" spans="63:90" ht="14.25" customHeight="1">
      <c r="BK306" s="430"/>
      <c r="BL306" s="430"/>
      <c r="BM306" s="430"/>
      <c r="BN306" s="430"/>
      <c r="BO306" s="430"/>
      <c r="BP306" s="430"/>
      <c r="BQ306" s="430"/>
      <c r="BR306" s="430"/>
      <c r="BS306" s="430"/>
      <c r="BT306" s="430"/>
      <c r="BU306" s="430"/>
      <c r="BV306" s="430"/>
      <c r="BW306" s="430"/>
      <c r="BX306" s="430"/>
      <c r="BY306" s="430"/>
      <c r="BZ306" s="430"/>
      <c r="CA306" s="430"/>
      <c r="CB306" s="430"/>
      <c r="CC306" s="430"/>
      <c r="CD306" s="430"/>
      <c r="CE306" s="430"/>
      <c r="CF306" s="430"/>
      <c r="CG306" s="430"/>
      <c r="CH306" s="430"/>
      <c r="CI306" s="430"/>
      <c r="CJ306" s="430"/>
      <c r="CK306" s="430"/>
      <c r="CL306" s="430"/>
    </row>
    <row r="307" spans="63:90" ht="14.25" customHeight="1">
      <c r="BK307" s="430"/>
      <c r="BL307" s="430"/>
      <c r="BM307" s="430"/>
      <c r="BN307" s="430"/>
      <c r="BO307" s="430"/>
      <c r="BP307" s="430"/>
      <c r="BQ307" s="430"/>
      <c r="BR307" s="430"/>
      <c r="BS307" s="430"/>
      <c r="BT307" s="430"/>
      <c r="BU307" s="430"/>
      <c r="BV307" s="430"/>
      <c r="BW307" s="430"/>
      <c r="BX307" s="430"/>
      <c r="BY307" s="430"/>
      <c r="BZ307" s="430"/>
      <c r="CA307" s="430"/>
      <c r="CB307" s="430"/>
      <c r="CC307" s="430"/>
      <c r="CD307" s="430"/>
      <c r="CE307" s="430"/>
      <c r="CF307" s="430"/>
      <c r="CG307" s="430"/>
      <c r="CH307" s="430"/>
      <c r="CI307" s="430"/>
      <c r="CJ307" s="430"/>
      <c r="CK307" s="430"/>
      <c r="CL307" s="430"/>
    </row>
    <row r="308" spans="63:90" ht="14.25" customHeight="1">
      <c r="BK308" s="430"/>
      <c r="BL308" s="430"/>
      <c r="BM308" s="430"/>
      <c r="BN308" s="430"/>
      <c r="BO308" s="430"/>
      <c r="BP308" s="430"/>
      <c r="BQ308" s="430"/>
      <c r="BR308" s="430"/>
      <c r="BS308" s="430"/>
      <c r="BT308" s="430"/>
      <c r="BU308" s="430"/>
      <c r="BV308" s="430"/>
      <c r="BW308" s="430"/>
      <c r="BX308" s="430"/>
      <c r="BY308" s="430"/>
      <c r="BZ308" s="430"/>
      <c r="CA308" s="430"/>
      <c r="CB308" s="430"/>
      <c r="CC308" s="430"/>
      <c r="CD308" s="430"/>
      <c r="CE308" s="430"/>
      <c r="CF308" s="430"/>
      <c r="CG308" s="430"/>
      <c r="CH308" s="430"/>
      <c r="CI308" s="430"/>
      <c r="CJ308" s="430"/>
      <c r="CK308" s="430"/>
      <c r="CL308" s="430"/>
    </row>
    <row r="309" spans="63:90" ht="14.25" customHeight="1">
      <c r="BK309" s="430"/>
      <c r="BL309" s="430"/>
      <c r="BM309" s="430"/>
      <c r="BN309" s="430"/>
      <c r="BO309" s="430"/>
      <c r="BP309" s="430"/>
      <c r="BQ309" s="430"/>
      <c r="BR309" s="430"/>
      <c r="BS309" s="430"/>
      <c r="BT309" s="430"/>
      <c r="BU309" s="430"/>
      <c r="BV309" s="430"/>
      <c r="BW309" s="430"/>
      <c r="BX309" s="430"/>
      <c r="BY309" s="430"/>
      <c r="BZ309" s="430"/>
      <c r="CA309" s="430"/>
      <c r="CB309" s="430"/>
      <c r="CC309" s="430"/>
      <c r="CD309" s="430"/>
      <c r="CE309" s="430"/>
      <c r="CF309" s="430"/>
      <c r="CG309" s="430"/>
      <c r="CH309" s="430"/>
      <c r="CI309" s="430"/>
      <c r="CJ309" s="430"/>
      <c r="CK309" s="430"/>
      <c r="CL309" s="430"/>
    </row>
    <row r="310" spans="63:90" ht="14.25" customHeight="1">
      <c r="BK310" s="430"/>
      <c r="BL310" s="430"/>
      <c r="BM310" s="430"/>
      <c r="BN310" s="430"/>
      <c r="BO310" s="430"/>
      <c r="BP310" s="430"/>
      <c r="BQ310" s="430"/>
      <c r="BR310" s="430"/>
      <c r="BS310" s="430"/>
      <c r="BT310" s="430"/>
      <c r="BU310" s="430"/>
      <c r="BV310" s="430"/>
      <c r="BW310" s="430"/>
      <c r="BX310" s="430"/>
      <c r="BY310" s="430"/>
      <c r="BZ310" s="430"/>
      <c r="CA310" s="430"/>
      <c r="CB310" s="430"/>
      <c r="CC310" s="430"/>
      <c r="CD310" s="430"/>
      <c r="CE310" s="430"/>
      <c r="CF310" s="430"/>
      <c r="CG310" s="430"/>
      <c r="CH310" s="430"/>
      <c r="CI310" s="430"/>
      <c r="CJ310" s="430"/>
      <c r="CK310" s="430"/>
      <c r="CL310" s="430"/>
    </row>
    <row r="311" spans="63:90" ht="14.25" customHeight="1">
      <c r="BK311" s="430"/>
      <c r="BL311" s="430"/>
      <c r="BM311" s="430"/>
      <c r="BN311" s="430"/>
      <c r="BO311" s="430"/>
      <c r="BP311" s="430"/>
      <c r="BQ311" s="430"/>
      <c r="BR311" s="430"/>
      <c r="BS311" s="430"/>
      <c r="BT311" s="430"/>
      <c r="BU311" s="430"/>
      <c r="BV311" s="430"/>
      <c r="BW311" s="430"/>
      <c r="BX311" s="430"/>
      <c r="BY311" s="430"/>
      <c r="BZ311" s="430"/>
      <c r="CA311" s="430"/>
      <c r="CB311" s="430"/>
      <c r="CC311" s="430"/>
      <c r="CD311" s="430"/>
      <c r="CE311" s="430"/>
      <c r="CF311" s="430"/>
      <c r="CG311" s="430"/>
      <c r="CH311" s="430"/>
      <c r="CI311" s="430"/>
      <c r="CJ311" s="430"/>
      <c r="CK311" s="430"/>
      <c r="CL311" s="430"/>
    </row>
    <row r="312" spans="63:90" ht="14.25" customHeight="1">
      <c r="BK312" s="430"/>
      <c r="BL312" s="430"/>
      <c r="BM312" s="430"/>
      <c r="BN312" s="430"/>
      <c r="BO312" s="430"/>
      <c r="BP312" s="430"/>
      <c r="BQ312" s="430"/>
      <c r="BR312" s="430"/>
      <c r="BS312" s="430"/>
      <c r="BT312" s="430"/>
      <c r="BU312" s="430"/>
      <c r="BV312" s="430"/>
      <c r="BW312" s="430"/>
      <c r="BX312" s="430"/>
      <c r="BY312" s="430"/>
      <c r="BZ312" s="430"/>
      <c r="CA312" s="430"/>
      <c r="CB312" s="430"/>
      <c r="CC312" s="430"/>
      <c r="CD312" s="430"/>
      <c r="CE312" s="430"/>
      <c r="CF312" s="430"/>
      <c r="CG312" s="430"/>
      <c r="CH312" s="430"/>
      <c r="CI312" s="430"/>
      <c r="CJ312" s="430"/>
      <c r="CK312" s="430"/>
      <c r="CL312" s="430"/>
    </row>
    <row r="313" spans="63:90" ht="14.25" customHeight="1">
      <c r="BK313" s="430"/>
      <c r="BL313" s="430"/>
      <c r="BM313" s="430"/>
      <c r="BN313" s="430"/>
      <c r="BO313" s="430"/>
      <c r="BP313" s="430"/>
      <c r="BQ313" s="430"/>
      <c r="BR313" s="430"/>
      <c r="BS313" s="430"/>
      <c r="BT313" s="430"/>
      <c r="BU313" s="430"/>
      <c r="BV313" s="430"/>
      <c r="BW313" s="430"/>
      <c r="BX313" s="430"/>
      <c r="BY313" s="430"/>
      <c r="BZ313" s="430"/>
      <c r="CA313" s="430"/>
      <c r="CB313" s="430"/>
      <c r="CC313" s="430"/>
      <c r="CD313" s="430"/>
      <c r="CE313" s="430"/>
      <c r="CF313" s="430"/>
      <c r="CG313" s="430"/>
      <c r="CH313" s="430"/>
      <c r="CI313" s="430"/>
      <c r="CJ313" s="430"/>
      <c r="CK313" s="430"/>
      <c r="CL313" s="430"/>
    </row>
    <row r="314" spans="63:90" ht="14.25" customHeight="1">
      <c r="BK314" s="430"/>
      <c r="BL314" s="430"/>
      <c r="BM314" s="430"/>
      <c r="BN314" s="430"/>
      <c r="BO314" s="430"/>
      <c r="BP314" s="430"/>
      <c r="BQ314" s="430"/>
      <c r="BR314" s="430"/>
      <c r="BS314" s="430"/>
      <c r="BT314" s="430"/>
      <c r="BU314" s="430"/>
      <c r="BV314" s="430"/>
      <c r="BW314" s="430"/>
      <c r="BX314" s="430"/>
      <c r="BY314" s="430"/>
      <c r="BZ314" s="430"/>
      <c r="CA314" s="430"/>
      <c r="CB314" s="430"/>
      <c r="CC314" s="430"/>
      <c r="CD314" s="430"/>
      <c r="CE314" s="430"/>
      <c r="CF314" s="430"/>
      <c r="CG314" s="430"/>
      <c r="CH314" s="430"/>
      <c r="CI314" s="430"/>
      <c r="CJ314" s="430"/>
      <c r="CK314" s="430"/>
      <c r="CL314" s="430"/>
    </row>
    <row r="315" spans="63:90" ht="14.25" customHeight="1">
      <c r="BK315" s="430"/>
      <c r="BL315" s="430"/>
      <c r="BM315" s="430"/>
      <c r="BN315" s="430"/>
      <c r="BO315" s="430"/>
      <c r="BP315" s="430"/>
      <c r="BQ315" s="430"/>
      <c r="BR315" s="430"/>
      <c r="BS315" s="430"/>
      <c r="BT315" s="430"/>
      <c r="BU315" s="430"/>
      <c r="BV315" s="430"/>
      <c r="BW315" s="430"/>
      <c r="BX315" s="430"/>
      <c r="BY315" s="430"/>
      <c r="BZ315" s="430"/>
      <c r="CA315" s="430"/>
      <c r="CB315" s="430"/>
      <c r="CC315" s="430"/>
      <c r="CD315" s="430"/>
      <c r="CE315" s="430"/>
      <c r="CF315" s="430"/>
      <c r="CG315" s="430"/>
      <c r="CH315" s="430"/>
      <c r="CI315" s="430"/>
      <c r="CJ315" s="430"/>
      <c r="CK315" s="430"/>
      <c r="CL315" s="430"/>
    </row>
    <row r="316" spans="63:90" ht="14.25" customHeight="1">
      <c r="BK316" s="430"/>
      <c r="BL316" s="430"/>
      <c r="BM316" s="430"/>
      <c r="BN316" s="430"/>
      <c r="BO316" s="430"/>
      <c r="BP316" s="430"/>
      <c r="BQ316" s="430"/>
      <c r="BR316" s="430"/>
      <c r="BS316" s="430"/>
      <c r="BT316" s="430"/>
      <c r="BU316" s="430"/>
      <c r="BV316" s="430"/>
      <c r="BW316" s="430"/>
      <c r="BX316" s="430"/>
      <c r="BY316" s="430"/>
      <c r="BZ316" s="430"/>
      <c r="CA316" s="430"/>
      <c r="CB316" s="430"/>
      <c r="CC316" s="430"/>
      <c r="CD316" s="430"/>
      <c r="CE316" s="430"/>
      <c r="CF316" s="430"/>
      <c r="CG316" s="430"/>
      <c r="CH316" s="430"/>
      <c r="CI316" s="430"/>
      <c r="CJ316" s="430"/>
      <c r="CK316" s="430"/>
      <c r="CL316" s="430"/>
    </row>
    <row r="317" spans="63:90" ht="14.25" customHeight="1">
      <c r="BK317" s="430"/>
      <c r="BL317" s="430"/>
      <c r="BM317" s="430"/>
      <c r="BN317" s="430"/>
      <c r="BO317" s="430"/>
      <c r="BP317" s="430"/>
      <c r="BQ317" s="430"/>
      <c r="BR317" s="430"/>
      <c r="BS317" s="430"/>
      <c r="BT317" s="430"/>
      <c r="BU317" s="430"/>
      <c r="BV317" s="430"/>
      <c r="BW317" s="430"/>
      <c r="BX317" s="430"/>
      <c r="BY317" s="430"/>
      <c r="BZ317" s="430"/>
      <c r="CA317" s="430"/>
      <c r="CB317" s="430"/>
      <c r="CC317" s="430"/>
      <c r="CD317" s="430"/>
      <c r="CE317" s="430"/>
      <c r="CF317" s="430"/>
      <c r="CG317" s="430"/>
      <c r="CH317" s="430"/>
      <c r="CI317" s="430"/>
      <c r="CJ317" s="430"/>
      <c r="CK317" s="430"/>
      <c r="CL317" s="430"/>
    </row>
    <row r="318" spans="63:90" ht="14.25" customHeight="1">
      <c r="BK318" s="430"/>
      <c r="BL318" s="430"/>
      <c r="BM318" s="430"/>
      <c r="BN318" s="430"/>
      <c r="BO318" s="430"/>
      <c r="BP318" s="430"/>
      <c r="BQ318" s="430"/>
      <c r="BR318" s="430"/>
      <c r="BS318" s="430"/>
      <c r="BT318" s="430"/>
      <c r="BU318" s="430"/>
      <c r="BV318" s="430"/>
      <c r="BW318" s="430"/>
      <c r="BX318" s="430"/>
      <c r="BY318" s="430"/>
      <c r="BZ318" s="430"/>
      <c r="CA318" s="430"/>
      <c r="CB318" s="430"/>
      <c r="CC318" s="430"/>
      <c r="CD318" s="430"/>
      <c r="CE318" s="430"/>
      <c r="CF318" s="430"/>
      <c r="CG318" s="430"/>
      <c r="CH318" s="430"/>
      <c r="CI318" s="430"/>
      <c r="CJ318" s="430"/>
      <c r="CK318" s="430"/>
      <c r="CL318" s="430"/>
    </row>
    <row r="319" spans="63:90" ht="14.25" customHeight="1">
      <c r="BK319" s="430"/>
      <c r="BL319" s="430"/>
      <c r="BM319" s="430"/>
      <c r="BN319" s="430"/>
      <c r="BO319" s="430"/>
      <c r="BP319" s="430"/>
      <c r="BQ319" s="430"/>
      <c r="BR319" s="430"/>
      <c r="BS319" s="430"/>
      <c r="BT319" s="430"/>
      <c r="BU319" s="430"/>
      <c r="BV319" s="430"/>
      <c r="BW319" s="430"/>
      <c r="BX319" s="430"/>
      <c r="BY319" s="430"/>
      <c r="BZ319" s="430"/>
      <c r="CA319" s="430"/>
      <c r="CB319" s="430"/>
      <c r="CC319" s="430"/>
      <c r="CD319" s="430"/>
      <c r="CE319" s="430"/>
      <c r="CF319" s="430"/>
      <c r="CG319" s="430"/>
      <c r="CH319" s="430"/>
      <c r="CI319" s="430"/>
      <c r="CJ319" s="430"/>
      <c r="CK319" s="430"/>
      <c r="CL319" s="430"/>
    </row>
    <row r="320" spans="63:90" ht="14.25" customHeight="1">
      <c r="BK320" s="430"/>
      <c r="BL320" s="430"/>
      <c r="BM320" s="430"/>
      <c r="BN320" s="430"/>
      <c r="BO320" s="430"/>
      <c r="BP320" s="430"/>
      <c r="BQ320" s="430"/>
      <c r="BR320" s="430"/>
      <c r="BS320" s="430"/>
      <c r="BT320" s="430"/>
      <c r="BU320" s="430"/>
      <c r="BV320" s="430"/>
      <c r="BW320" s="430"/>
      <c r="BX320" s="430"/>
      <c r="BY320" s="430"/>
      <c r="BZ320" s="430"/>
      <c r="CA320" s="430"/>
      <c r="CB320" s="430"/>
      <c r="CC320" s="430"/>
      <c r="CD320" s="430"/>
      <c r="CE320" s="430"/>
      <c r="CF320" s="430"/>
      <c r="CG320" s="430"/>
      <c r="CH320" s="430"/>
      <c r="CI320" s="430"/>
      <c r="CJ320" s="430"/>
      <c r="CK320" s="430"/>
      <c r="CL320" s="430"/>
    </row>
    <row r="321" spans="63:90" ht="14.25" customHeight="1">
      <c r="BK321" s="430"/>
      <c r="BL321" s="430"/>
      <c r="BM321" s="430"/>
      <c r="BN321" s="430"/>
      <c r="BO321" s="430"/>
      <c r="BP321" s="430"/>
      <c r="BQ321" s="430"/>
      <c r="BR321" s="430"/>
      <c r="BS321" s="430"/>
      <c r="BT321" s="430"/>
      <c r="BU321" s="430"/>
      <c r="BV321" s="430"/>
      <c r="BW321" s="430"/>
      <c r="BX321" s="430"/>
      <c r="BY321" s="430"/>
      <c r="BZ321" s="430"/>
      <c r="CA321" s="430"/>
      <c r="CB321" s="430"/>
      <c r="CC321" s="430"/>
      <c r="CD321" s="430"/>
      <c r="CE321" s="430"/>
      <c r="CF321" s="430"/>
      <c r="CG321" s="430"/>
      <c r="CH321" s="430"/>
      <c r="CI321" s="430"/>
      <c r="CJ321" s="430"/>
      <c r="CK321" s="430"/>
      <c r="CL321" s="430"/>
    </row>
    <row r="322" spans="63:90" ht="14.25" customHeight="1">
      <c r="BK322" s="430"/>
      <c r="BL322" s="430"/>
      <c r="BM322" s="430"/>
      <c r="BN322" s="430"/>
      <c r="BO322" s="430"/>
      <c r="BP322" s="430"/>
      <c r="BQ322" s="430"/>
      <c r="BR322" s="430"/>
      <c r="BS322" s="430"/>
      <c r="BT322" s="430"/>
      <c r="BU322" s="430"/>
      <c r="BV322" s="430"/>
      <c r="BW322" s="430"/>
      <c r="BX322" s="430"/>
      <c r="BY322" s="430"/>
      <c r="BZ322" s="430"/>
      <c r="CA322" s="430"/>
      <c r="CB322" s="430"/>
      <c r="CC322" s="430"/>
      <c r="CD322" s="430"/>
      <c r="CE322" s="430"/>
      <c r="CF322" s="430"/>
      <c r="CG322" s="430"/>
      <c r="CH322" s="430"/>
      <c r="CI322" s="430"/>
      <c r="CJ322" s="430"/>
      <c r="CK322" s="430"/>
      <c r="CL322" s="430"/>
    </row>
    <row r="323" spans="63:90" ht="14.25" customHeight="1">
      <c r="BK323" s="430"/>
      <c r="BL323" s="430"/>
      <c r="BM323" s="430"/>
      <c r="BN323" s="430"/>
      <c r="BO323" s="430"/>
      <c r="BP323" s="430"/>
      <c r="BQ323" s="430"/>
      <c r="BR323" s="430"/>
      <c r="BS323" s="430"/>
      <c r="BT323" s="430"/>
      <c r="BU323" s="430"/>
      <c r="BV323" s="430"/>
      <c r="BW323" s="430"/>
      <c r="BX323" s="430"/>
      <c r="BY323" s="430"/>
      <c r="BZ323" s="430"/>
      <c r="CA323" s="430"/>
      <c r="CB323" s="430"/>
      <c r="CC323" s="430"/>
      <c r="CD323" s="430"/>
      <c r="CE323" s="430"/>
      <c r="CF323" s="430"/>
      <c r="CG323" s="430"/>
      <c r="CH323" s="430"/>
      <c r="CI323" s="430"/>
      <c r="CJ323" s="430"/>
      <c r="CK323" s="430"/>
      <c r="CL323" s="430"/>
    </row>
    <row r="324" spans="63:90" ht="14.25" customHeight="1">
      <c r="BK324" s="430"/>
      <c r="BL324" s="430"/>
      <c r="BM324" s="430"/>
      <c r="BN324" s="430"/>
      <c r="BO324" s="430"/>
      <c r="BP324" s="430"/>
      <c r="BQ324" s="430"/>
      <c r="BR324" s="430"/>
      <c r="BS324" s="430"/>
      <c r="BT324" s="430"/>
      <c r="BU324" s="430"/>
      <c r="BV324" s="430"/>
      <c r="BW324" s="430"/>
      <c r="BX324" s="430"/>
      <c r="BY324" s="430"/>
      <c r="BZ324" s="430"/>
      <c r="CA324" s="430"/>
      <c r="CB324" s="430"/>
      <c r="CC324" s="430"/>
      <c r="CD324" s="430"/>
      <c r="CE324" s="430"/>
      <c r="CF324" s="430"/>
      <c r="CG324" s="430"/>
      <c r="CH324" s="430"/>
      <c r="CI324" s="430"/>
      <c r="CJ324" s="430"/>
      <c r="CK324" s="430"/>
      <c r="CL324" s="430"/>
    </row>
    <row r="325" spans="63:90" ht="14.25" customHeight="1">
      <c r="BK325" s="430"/>
      <c r="BL325" s="430"/>
      <c r="BM325" s="430"/>
      <c r="BN325" s="430"/>
      <c r="BO325" s="430"/>
      <c r="BP325" s="430"/>
      <c r="BQ325" s="430"/>
      <c r="BR325" s="430"/>
      <c r="BS325" s="430"/>
      <c r="BT325" s="430"/>
      <c r="BU325" s="430"/>
      <c r="BV325" s="430"/>
      <c r="BW325" s="430"/>
      <c r="BX325" s="430"/>
      <c r="BY325" s="430"/>
      <c r="BZ325" s="430"/>
      <c r="CA325" s="430"/>
      <c r="CB325" s="430"/>
      <c r="CC325" s="430"/>
      <c r="CD325" s="430"/>
      <c r="CE325" s="430"/>
      <c r="CF325" s="430"/>
      <c r="CG325" s="430"/>
      <c r="CH325" s="430"/>
      <c r="CI325" s="430"/>
      <c r="CJ325" s="430"/>
      <c r="CK325" s="430"/>
      <c r="CL325" s="430"/>
    </row>
    <row r="326" spans="63:90" ht="14.25" customHeight="1">
      <c r="BK326" s="430"/>
      <c r="BL326" s="430"/>
      <c r="BM326" s="430"/>
      <c r="BN326" s="430"/>
      <c r="BO326" s="430"/>
      <c r="BP326" s="430"/>
      <c r="BQ326" s="430"/>
      <c r="BR326" s="430"/>
      <c r="BS326" s="430"/>
      <c r="BT326" s="430"/>
      <c r="BU326" s="430"/>
      <c r="BV326" s="430"/>
      <c r="BW326" s="430"/>
      <c r="BX326" s="430"/>
      <c r="BY326" s="430"/>
      <c r="BZ326" s="430"/>
      <c r="CA326" s="430"/>
      <c r="CB326" s="430"/>
      <c r="CC326" s="430"/>
      <c r="CD326" s="430"/>
      <c r="CE326" s="430"/>
      <c r="CF326" s="430"/>
      <c r="CG326" s="430"/>
      <c r="CH326" s="430"/>
      <c r="CI326" s="430"/>
      <c r="CJ326" s="430"/>
      <c r="CK326" s="430"/>
      <c r="CL326" s="430"/>
    </row>
    <row r="327" spans="63:90" ht="14.25" customHeight="1">
      <c r="BK327" s="430"/>
      <c r="BL327" s="430"/>
      <c r="BM327" s="430"/>
      <c r="BN327" s="430"/>
      <c r="BO327" s="430"/>
      <c r="BP327" s="430"/>
      <c r="BQ327" s="430"/>
      <c r="BR327" s="430"/>
      <c r="BS327" s="430"/>
      <c r="BT327" s="430"/>
      <c r="BU327" s="430"/>
      <c r="BV327" s="430"/>
      <c r="BW327" s="430"/>
      <c r="BX327" s="430"/>
      <c r="BY327" s="430"/>
      <c r="BZ327" s="430"/>
      <c r="CA327" s="430"/>
      <c r="CB327" s="430"/>
      <c r="CC327" s="430"/>
      <c r="CD327" s="430"/>
      <c r="CE327" s="430"/>
      <c r="CF327" s="430"/>
      <c r="CG327" s="430"/>
      <c r="CH327" s="430"/>
      <c r="CI327" s="430"/>
      <c r="CJ327" s="430"/>
      <c r="CK327" s="430"/>
      <c r="CL327" s="430"/>
    </row>
    <row r="328" spans="63:90" ht="14.25" customHeight="1">
      <c r="BK328" s="430"/>
      <c r="BL328" s="430"/>
      <c r="BM328" s="430"/>
      <c r="BN328" s="430"/>
      <c r="BO328" s="430"/>
      <c r="BP328" s="430"/>
      <c r="BQ328" s="430"/>
      <c r="BR328" s="430"/>
      <c r="BS328" s="430"/>
      <c r="BT328" s="430"/>
      <c r="BU328" s="430"/>
      <c r="BV328" s="430"/>
      <c r="BW328" s="430"/>
      <c r="BX328" s="430"/>
      <c r="BY328" s="430"/>
      <c r="BZ328" s="430"/>
      <c r="CA328" s="430"/>
      <c r="CB328" s="430"/>
      <c r="CC328" s="430"/>
      <c r="CD328" s="430"/>
      <c r="CE328" s="430"/>
      <c r="CF328" s="430"/>
      <c r="CG328" s="430"/>
      <c r="CH328" s="430"/>
      <c r="CI328" s="430"/>
      <c r="CJ328" s="430"/>
      <c r="CK328" s="430"/>
      <c r="CL328" s="430"/>
    </row>
    <row r="329" spans="63:90" ht="14.25" customHeight="1">
      <c r="BK329" s="430"/>
      <c r="BL329" s="430"/>
      <c r="BM329" s="430"/>
      <c r="BN329" s="430"/>
      <c r="BO329" s="430"/>
      <c r="BP329" s="430"/>
      <c r="BQ329" s="430"/>
      <c r="BR329" s="430"/>
      <c r="BS329" s="430"/>
      <c r="BT329" s="430"/>
      <c r="BU329" s="430"/>
      <c r="BV329" s="430"/>
      <c r="BW329" s="430"/>
      <c r="BX329" s="430"/>
      <c r="BY329" s="430"/>
      <c r="BZ329" s="430"/>
      <c r="CA329" s="430"/>
      <c r="CB329" s="430"/>
      <c r="CC329" s="430"/>
      <c r="CD329" s="430"/>
      <c r="CE329" s="430"/>
      <c r="CF329" s="430"/>
      <c r="CG329" s="430"/>
      <c r="CH329" s="430"/>
      <c r="CI329" s="430"/>
      <c r="CJ329" s="430"/>
      <c r="CK329" s="430"/>
      <c r="CL329" s="430"/>
    </row>
    <row r="330" spans="63:90" ht="14.25" customHeight="1">
      <c r="BK330" s="430"/>
      <c r="BL330" s="430"/>
      <c r="BM330" s="430"/>
      <c r="BN330" s="430"/>
      <c r="BO330" s="430"/>
      <c r="BP330" s="430"/>
      <c r="BQ330" s="430"/>
      <c r="BR330" s="430"/>
      <c r="BS330" s="430"/>
      <c r="BT330" s="430"/>
      <c r="BU330" s="430"/>
      <c r="BV330" s="430"/>
      <c r="BW330" s="430"/>
      <c r="BX330" s="430"/>
      <c r="BY330" s="430"/>
      <c r="BZ330" s="430"/>
      <c r="CA330" s="430"/>
      <c r="CB330" s="430"/>
      <c r="CC330" s="430"/>
      <c r="CD330" s="430"/>
      <c r="CE330" s="430"/>
      <c r="CF330" s="430"/>
      <c r="CG330" s="430"/>
      <c r="CH330" s="430"/>
      <c r="CI330" s="430"/>
      <c r="CJ330" s="430"/>
      <c r="CK330" s="430"/>
      <c r="CL330" s="430"/>
    </row>
    <row r="331" spans="63:90" ht="14.25" customHeight="1">
      <c r="BK331" s="430"/>
      <c r="BL331" s="430"/>
      <c r="BM331" s="430"/>
      <c r="BN331" s="430"/>
      <c r="BO331" s="430"/>
      <c r="BP331" s="430"/>
      <c r="BQ331" s="430"/>
      <c r="BR331" s="430"/>
      <c r="BS331" s="430"/>
      <c r="BT331" s="430"/>
      <c r="BU331" s="430"/>
      <c r="BV331" s="430"/>
      <c r="BW331" s="430"/>
      <c r="BX331" s="430"/>
      <c r="BY331" s="430"/>
      <c r="BZ331" s="430"/>
      <c r="CA331" s="430"/>
      <c r="CB331" s="430"/>
      <c r="CC331" s="430"/>
      <c r="CD331" s="430"/>
      <c r="CE331" s="430"/>
      <c r="CF331" s="430"/>
      <c r="CG331" s="430"/>
      <c r="CH331" s="430"/>
      <c r="CI331" s="430"/>
      <c r="CJ331" s="430"/>
      <c r="CK331" s="430"/>
      <c r="CL331" s="430"/>
    </row>
    <row r="332" spans="63:90" ht="14.25" customHeight="1">
      <c r="BK332" s="430"/>
      <c r="BL332" s="430"/>
      <c r="BM332" s="430"/>
      <c r="BN332" s="430"/>
      <c r="BO332" s="430"/>
      <c r="BP332" s="430"/>
      <c r="BQ332" s="430"/>
      <c r="BR332" s="430"/>
      <c r="BS332" s="430"/>
      <c r="BT332" s="430"/>
      <c r="BU332" s="430"/>
      <c r="BV332" s="430"/>
      <c r="BW332" s="430"/>
      <c r="BX332" s="430"/>
      <c r="BY332" s="430"/>
      <c r="BZ332" s="430"/>
      <c r="CA332" s="430"/>
      <c r="CB332" s="430"/>
      <c r="CC332" s="430"/>
      <c r="CD332" s="430"/>
      <c r="CE332" s="430"/>
      <c r="CF332" s="430"/>
      <c r="CG332" s="430"/>
      <c r="CH332" s="430"/>
      <c r="CI332" s="430"/>
      <c r="CJ332" s="430"/>
      <c r="CK332" s="430"/>
      <c r="CL332" s="430"/>
    </row>
    <row r="333" spans="63:90" ht="14.25" customHeight="1">
      <c r="BK333" s="430"/>
      <c r="BL333" s="430"/>
      <c r="BM333" s="430"/>
      <c r="BN333" s="430"/>
      <c r="BO333" s="430"/>
      <c r="BP333" s="430"/>
      <c r="BQ333" s="430"/>
      <c r="BR333" s="430"/>
      <c r="BS333" s="430"/>
      <c r="BT333" s="430"/>
      <c r="BU333" s="430"/>
      <c r="BV333" s="430"/>
      <c r="BW333" s="430"/>
      <c r="BX333" s="430"/>
      <c r="BY333" s="430"/>
      <c r="BZ333" s="430"/>
      <c r="CA333" s="430"/>
      <c r="CB333" s="430"/>
      <c r="CC333" s="430"/>
      <c r="CD333" s="430"/>
      <c r="CE333" s="430"/>
      <c r="CF333" s="430"/>
      <c r="CG333" s="430"/>
      <c r="CH333" s="430"/>
      <c r="CI333" s="430"/>
      <c r="CJ333" s="430"/>
      <c r="CK333" s="430"/>
      <c r="CL333" s="430"/>
    </row>
    <row r="334" spans="63:90" ht="14.25" customHeight="1">
      <c r="BK334" s="430"/>
      <c r="BL334" s="430"/>
      <c r="BM334" s="430"/>
      <c r="BN334" s="430"/>
      <c r="BO334" s="430"/>
      <c r="BP334" s="430"/>
      <c r="BQ334" s="430"/>
      <c r="BR334" s="430"/>
      <c r="BS334" s="430"/>
      <c r="BT334" s="430"/>
      <c r="BU334" s="430"/>
      <c r="BV334" s="430"/>
      <c r="BW334" s="430"/>
      <c r="BX334" s="430"/>
      <c r="BY334" s="430"/>
      <c r="BZ334" s="430"/>
      <c r="CA334" s="430"/>
      <c r="CB334" s="430"/>
      <c r="CC334" s="430"/>
      <c r="CD334" s="430"/>
      <c r="CE334" s="430"/>
      <c r="CF334" s="430"/>
      <c r="CG334" s="430"/>
      <c r="CH334" s="430"/>
      <c r="CI334" s="430"/>
      <c r="CJ334" s="430"/>
      <c r="CK334" s="430"/>
      <c r="CL334" s="430"/>
    </row>
    <row r="335" spans="63:90" ht="14.25" customHeight="1">
      <c r="BK335" s="430"/>
      <c r="BL335" s="430"/>
      <c r="BM335" s="430"/>
      <c r="BN335" s="430"/>
      <c r="BO335" s="430"/>
      <c r="BP335" s="430"/>
      <c r="BQ335" s="430"/>
      <c r="BR335" s="430"/>
      <c r="BS335" s="430"/>
      <c r="BT335" s="430"/>
      <c r="BU335" s="430"/>
      <c r="BV335" s="430"/>
      <c r="BW335" s="430"/>
      <c r="BX335" s="430"/>
      <c r="BY335" s="430"/>
      <c r="BZ335" s="430"/>
      <c r="CA335" s="430"/>
      <c r="CB335" s="430"/>
      <c r="CC335" s="430"/>
      <c r="CD335" s="430"/>
      <c r="CE335" s="430"/>
      <c r="CF335" s="430"/>
      <c r="CG335" s="430"/>
      <c r="CH335" s="430"/>
      <c r="CI335" s="430"/>
      <c r="CJ335" s="430"/>
      <c r="CK335" s="430"/>
      <c r="CL335" s="430"/>
    </row>
    <row r="336" spans="63:90" ht="14.25" customHeight="1">
      <c r="BK336" s="430"/>
      <c r="BL336" s="430"/>
      <c r="BM336" s="430"/>
      <c r="BN336" s="430"/>
      <c r="BO336" s="430"/>
      <c r="BP336" s="430"/>
      <c r="BQ336" s="430"/>
      <c r="BR336" s="430"/>
      <c r="BS336" s="430"/>
      <c r="BT336" s="430"/>
      <c r="BU336" s="430"/>
      <c r="BV336" s="430"/>
      <c r="BW336" s="430"/>
      <c r="BX336" s="430"/>
      <c r="BY336" s="430"/>
      <c r="BZ336" s="430"/>
      <c r="CA336" s="430"/>
      <c r="CB336" s="430"/>
      <c r="CC336" s="430"/>
      <c r="CD336" s="430"/>
      <c r="CE336" s="430"/>
      <c r="CF336" s="430"/>
      <c r="CG336" s="430"/>
      <c r="CH336" s="430"/>
      <c r="CI336" s="430"/>
      <c r="CJ336" s="430"/>
      <c r="CK336" s="430"/>
      <c r="CL336" s="430"/>
    </row>
    <row r="337" spans="63:90" ht="14.25" customHeight="1">
      <c r="BK337" s="430"/>
      <c r="BL337" s="430"/>
      <c r="BM337" s="430"/>
      <c r="BN337" s="430"/>
      <c r="BO337" s="430"/>
      <c r="BP337" s="430"/>
      <c r="BQ337" s="430"/>
      <c r="BR337" s="430"/>
      <c r="BS337" s="430"/>
      <c r="BT337" s="430"/>
      <c r="BU337" s="430"/>
      <c r="BV337" s="430"/>
      <c r="BW337" s="430"/>
      <c r="BX337" s="430"/>
      <c r="BY337" s="430"/>
      <c r="BZ337" s="430"/>
      <c r="CA337" s="430"/>
      <c r="CB337" s="430"/>
      <c r="CC337" s="430"/>
      <c r="CD337" s="430"/>
      <c r="CE337" s="430"/>
      <c r="CF337" s="430"/>
      <c r="CG337" s="430"/>
      <c r="CH337" s="430"/>
      <c r="CI337" s="430"/>
      <c r="CJ337" s="430"/>
      <c r="CK337" s="430"/>
      <c r="CL337" s="430"/>
    </row>
    <row r="338" spans="63:90" ht="14.25" customHeight="1">
      <c r="BK338" s="430"/>
      <c r="BL338" s="430"/>
      <c r="BM338" s="430"/>
      <c r="BN338" s="430"/>
      <c r="BO338" s="430"/>
      <c r="BP338" s="430"/>
      <c r="BQ338" s="430"/>
      <c r="BR338" s="430"/>
      <c r="BS338" s="430"/>
      <c r="BT338" s="430"/>
      <c r="BU338" s="430"/>
      <c r="BV338" s="430"/>
      <c r="BW338" s="430"/>
      <c r="BX338" s="430"/>
      <c r="BY338" s="430"/>
      <c r="BZ338" s="430"/>
      <c r="CA338" s="430"/>
      <c r="CB338" s="430"/>
      <c r="CC338" s="430"/>
      <c r="CD338" s="430"/>
      <c r="CE338" s="430"/>
      <c r="CF338" s="430"/>
      <c r="CG338" s="430"/>
      <c r="CH338" s="430"/>
      <c r="CI338" s="430"/>
      <c r="CJ338" s="430"/>
      <c r="CK338" s="430"/>
      <c r="CL338" s="430"/>
    </row>
    <row r="339" spans="63:90" ht="14.25" customHeight="1">
      <c r="BK339" s="430"/>
      <c r="BL339" s="430"/>
      <c r="BM339" s="430"/>
      <c r="BN339" s="430"/>
      <c r="BO339" s="430"/>
      <c r="BP339" s="430"/>
      <c r="BQ339" s="430"/>
      <c r="BR339" s="430"/>
      <c r="BS339" s="430"/>
      <c r="BT339" s="430"/>
      <c r="BU339" s="430"/>
      <c r="BV339" s="430"/>
      <c r="BW339" s="430"/>
      <c r="BX339" s="430"/>
      <c r="BY339" s="430"/>
      <c r="BZ339" s="430"/>
      <c r="CA339" s="430"/>
      <c r="CB339" s="430"/>
      <c r="CC339" s="430"/>
      <c r="CD339" s="430"/>
      <c r="CE339" s="430"/>
      <c r="CF339" s="430"/>
      <c r="CG339" s="430"/>
      <c r="CH339" s="430"/>
      <c r="CI339" s="430"/>
      <c r="CJ339" s="430"/>
      <c r="CK339" s="430"/>
      <c r="CL339" s="430"/>
    </row>
    <row r="340" spans="63:90" ht="14.25" customHeight="1">
      <c r="BK340" s="430"/>
      <c r="BL340" s="430"/>
      <c r="BM340" s="430"/>
      <c r="BN340" s="430"/>
      <c r="BO340" s="430"/>
      <c r="BP340" s="430"/>
      <c r="BQ340" s="430"/>
      <c r="BR340" s="430"/>
      <c r="BS340" s="430"/>
      <c r="BT340" s="430"/>
      <c r="BU340" s="430"/>
      <c r="BV340" s="430"/>
      <c r="BW340" s="430"/>
      <c r="BX340" s="430"/>
      <c r="BY340" s="430"/>
      <c r="BZ340" s="430"/>
      <c r="CA340" s="430"/>
      <c r="CB340" s="430"/>
      <c r="CC340" s="430"/>
      <c r="CD340" s="430"/>
      <c r="CE340" s="430"/>
      <c r="CF340" s="430"/>
      <c r="CG340" s="430"/>
      <c r="CH340" s="430"/>
      <c r="CI340" s="430"/>
      <c r="CJ340" s="430"/>
      <c r="CK340" s="430"/>
      <c r="CL340" s="430"/>
    </row>
    <row r="341" spans="63:90" ht="14.25" customHeight="1">
      <c r="BK341" s="430"/>
      <c r="BL341" s="430"/>
      <c r="BM341" s="430"/>
      <c r="BN341" s="430"/>
      <c r="BO341" s="430"/>
      <c r="BP341" s="430"/>
      <c r="BQ341" s="430"/>
      <c r="BR341" s="430"/>
      <c r="BS341" s="430"/>
      <c r="BT341" s="430"/>
      <c r="BU341" s="430"/>
      <c r="BV341" s="430"/>
      <c r="BW341" s="430"/>
      <c r="BX341" s="430"/>
      <c r="BY341" s="430"/>
      <c r="BZ341" s="430"/>
      <c r="CA341" s="430"/>
      <c r="CB341" s="430"/>
      <c r="CC341" s="430"/>
      <c r="CD341" s="430"/>
      <c r="CE341" s="430"/>
      <c r="CF341" s="430"/>
      <c r="CG341" s="430"/>
      <c r="CH341" s="430"/>
      <c r="CI341" s="430"/>
      <c r="CJ341" s="430"/>
      <c r="CK341" s="430"/>
      <c r="CL341" s="430"/>
    </row>
    <row r="342" spans="63:90" ht="14.25" customHeight="1">
      <c r="BK342" s="430"/>
      <c r="BL342" s="430"/>
      <c r="BM342" s="430"/>
      <c r="BN342" s="430"/>
      <c r="BO342" s="430"/>
      <c r="BP342" s="430"/>
      <c r="BQ342" s="430"/>
      <c r="BR342" s="430"/>
      <c r="BS342" s="430"/>
      <c r="BT342" s="430"/>
      <c r="BU342" s="430"/>
      <c r="BV342" s="430"/>
      <c r="BW342" s="430"/>
      <c r="BX342" s="430"/>
      <c r="BY342" s="430"/>
      <c r="BZ342" s="430"/>
      <c r="CA342" s="430"/>
      <c r="CB342" s="430"/>
      <c r="CC342" s="430"/>
      <c r="CD342" s="430"/>
      <c r="CE342" s="430"/>
      <c r="CF342" s="430"/>
      <c r="CG342" s="430"/>
      <c r="CH342" s="430"/>
      <c r="CI342" s="430"/>
      <c r="CJ342" s="430"/>
      <c r="CK342" s="430"/>
      <c r="CL342" s="430"/>
    </row>
    <row r="343" spans="63:90" ht="14.25" customHeight="1">
      <c r="BK343" s="430"/>
      <c r="BL343" s="430"/>
      <c r="BM343" s="430"/>
      <c r="BN343" s="430"/>
      <c r="BO343" s="430"/>
      <c r="BP343" s="430"/>
      <c r="BQ343" s="430"/>
      <c r="BR343" s="430"/>
      <c r="BS343" s="430"/>
      <c r="BT343" s="430"/>
      <c r="BU343" s="430"/>
      <c r="BV343" s="430"/>
      <c r="BW343" s="430"/>
      <c r="BX343" s="430"/>
      <c r="BY343" s="430"/>
      <c r="BZ343" s="430"/>
      <c r="CA343" s="430"/>
      <c r="CB343" s="430"/>
      <c r="CC343" s="430"/>
      <c r="CD343" s="430"/>
      <c r="CE343" s="430"/>
      <c r="CF343" s="430"/>
      <c r="CG343" s="430"/>
      <c r="CH343" s="430"/>
      <c r="CI343" s="430"/>
      <c r="CJ343" s="430"/>
      <c r="CK343" s="430"/>
      <c r="CL343" s="430"/>
    </row>
    <row r="344" spans="63:90" ht="14.25" customHeight="1">
      <c r="BK344" s="430"/>
      <c r="BL344" s="430"/>
      <c r="BM344" s="430"/>
      <c r="BN344" s="430"/>
      <c r="BO344" s="430"/>
      <c r="BP344" s="430"/>
      <c r="BQ344" s="430"/>
      <c r="BR344" s="430"/>
      <c r="BS344" s="430"/>
      <c r="BT344" s="430"/>
      <c r="BU344" s="430"/>
      <c r="BV344" s="430"/>
      <c r="BW344" s="430"/>
      <c r="BX344" s="430"/>
      <c r="BY344" s="430"/>
      <c r="BZ344" s="430"/>
      <c r="CA344" s="430"/>
      <c r="CB344" s="430"/>
      <c r="CC344" s="430"/>
      <c r="CD344" s="430"/>
      <c r="CE344" s="430"/>
      <c r="CF344" s="430"/>
      <c r="CG344" s="430"/>
      <c r="CH344" s="430"/>
      <c r="CI344" s="430"/>
      <c r="CJ344" s="430"/>
      <c r="CK344" s="430"/>
      <c r="CL344" s="430"/>
    </row>
    <row r="345" spans="63:90" ht="14.25" customHeight="1">
      <c r="BK345" s="430"/>
      <c r="BL345" s="430"/>
      <c r="BM345" s="430"/>
      <c r="BN345" s="430"/>
      <c r="BO345" s="430"/>
      <c r="BP345" s="430"/>
      <c r="BQ345" s="430"/>
      <c r="BR345" s="430"/>
      <c r="BS345" s="430"/>
      <c r="BT345" s="430"/>
      <c r="BU345" s="430"/>
      <c r="BV345" s="430"/>
      <c r="BW345" s="430"/>
      <c r="BX345" s="430"/>
      <c r="BY345" s="430"/>
      <c r="BZ345" s="430"/>
      <c r="CA345" s="430"/>
      <c r="CB345" s="430"/>
      <c r="CC345" s="430"/>
      <c r="CD345" s="430"/>
      <c r="CE345" s="430"/>
      <c r="CF345" s="430"/>
      <c r="CG345" s="430"/>
      <c r="CH345" s="430"/>
      <c r="CI345" s="430"/>
      <c r="CJ345" s="430"/>
      <c r="CK345" s="430"/>
      <c r="CL345" s="430"/>
    </row>
    <row r="346" spans="63:90" ht="14.25" customHeight="1">
      <c r="BK346" s="430"/>
      <c r="BL346" s="430"/>
      <c r="BM346" s="430"/>
      <c r="BN346" s="430"/>
      <c r="BO346" s="430"/>
      <c r="BP346" s="430"/>
      <c r="BQ346" s="430"/>
      <c r="BR346" s="430"/>
      <c r="BS346" s="430"/>
      <c r="BT346" s="430"/>
      <c r="BU346" s="430"/>
      <c r="BV346" s="430"/>
      <c r="BW346" s="430"/>
      <c r="BX346" s="430"/>
      <c r="BY346" s="430"/>
      <c r="BZ346" s="430"/>
      <c r="CA346" s="430"/>
      <c r="CB346" s="430"/>
      <c r="CC346" s="430"/>
      <c r="CD346" s="430"/>
      <c r="CE346" s="430"/>
      <c r="CF346" s="430"/>
      <c r="CG346" s="430"/>
      <c r="CH346" s="430"/>
      <c r="CI346" s="430"/>
      <c r="CJ346" s="430"/>
      <c r="CK346" s="430"/>
      <c r="CL346" s="430"/>
    </row>
    <row r="347" spans="63:90" ht="14.25" customHeight="1">
      <c r="BK347" s="430"/>
      <c r="BL347" s="430"/>
      <c r="BM347" s="430"/>
      <c r="BN347" s="430"/>
      <c r="BO347" s="430"/>
      <c r="BP347" s="430"/>
      <c r="BQ347" s="430"/>
      <c r="BR347" s="430"/>
      <c r="BS347" s="430"/>
      <c r="BT347" s="430"/>
      <c r="BU347" s="430"/>
      <c r="BV347" s="430"/>
      <c r="BW347" s="430"/>
      <c r="BX347" s="430"/>
      <c r="BY347" s="430"/>
      <c r="BZ347" s="430"/>
      <c r="CA347" s="430"/>
      <c r="CB347" s="430"/>
      <c r="CC347" s="430"/>
      <c r="CD347" s="430"/>
      <c r="CE347" s="430"/>
      <c r="CF347" s="430"/>
      <c r="CG347" s="430"/>
      <c r="CH347" s="430"/>
      <c r="CI347" s="430"/>
      <c r="CJ347" s="430"/>
      <c r="CK347" s="430"/>
      <c r="CL347" s="430"/>
    </row>
    <row r="348" spans="63:90" ht="14.25" customHeight="1">
      <c r="BK348" s="430"/>
      <c r="BL348" s="430"/>
      <c r="BM348" s="430"/>
      <c r="BN348" s="430"/>
      <c r="BO348" s="430"/>
      <c r="BP348" s="430"/>
      <c r="BQ348" s="430"/>
      <c r="BR348" s="430"/>
      <c r="BS348" s="430"/>
      <c r="BT348" s="430"/>
      <c r="BU348" s="430"/>
      <c r="BV348" s="430"/>
      <c r="BW348" s="430"/>
      <c r="BX348" s="430"/>
      <c r="BY348" s="430"/>
      <c r="BZ348" s="430"/>
      <c r="CA348" s="430"/>
      <c r="CB348" s="430"/>
      <c r="CC348" s="430"/>
      <c r="CD348" s="430"/>
      <c r="CE348" s="430"/>
      <c r="CF348" s="430"/>
      <c r="CG348" s="430"/>
      <c r="CH348" s="430"/>
      <c r="CI348" s="430"/>
      <c r="CJ348" s="430"/>
      <c r="CK348" s="430"/>
      <c r="CL348" s="430"/>
    </row>
    <row r="349" spans="63:90" ht="14.25" customHeight="1">
      <c r="BK349" s="430"/>
      <c r="BL349" s="430"/>
      <c r="BM349" s="430"/>
      <c r="BN349" s="430"/>
      <c r="BO349" s="430"/>
      <c r="BP349" s="430"/>
      <c r="BQ349" s="430"/>
      <c r="BR349" s="430"/>
      <c r="BS349" s="430"/>
      <c r="BT349" s="430"/>
      <c r="BU349" s="430"/>
      <c r="BV349" s="430"/>
      <c r="BW349" s="430"/>
      <c r="BX349" s="430"/>
      <c r="BY349" s="430"/>
      <c r="BZ349" s="430"/>
      <c r="CA349" s="430"/>
      <c r="CB349" s="430"/>
      <c r="CC349" s="430"/>
      <c r="CD349" s="430"/>
      <c r="CE349" s="430"/>
      <c r="CF349" s="430"/>
      <c r="CG349" s="430"/>
      <c r="CH349" s="430"/>
      <c r="CI349" s="430"/>
      <c r="CJ349" s="430"/>
      <c r="CK349" s="430"/>
      <c r="CL349" s="430"/>
    </row>
    <row r="350" spans="63:90" ht="14.25" customHeight="1">
      <c r="BK350" s="430"/>
      <c r="BL350" s="430"/>
      <c r="BM350" s="430"/>
      <c r="BN350" s="430"/>
      <c r="BO350" s="430"/>
      <c r="BP350" s="430"/>
      <c r="BQ350" s="430"/>
      <c r="BR350" s="430"/>
      <c r="BS350" s="430"/>
      <c r="BT350" s="430"/>
      <c r="BU350" s="430"/>
      <c r="BV350" s="430"/>
      <c r="BW350" s="430"/>
      <c r="BX350" s="430"/>
      <c r="BY350" s="430"/>
      <c r="BZ350" s="430"/>
      <c r="CA350" s="430"/>
      <c r="CB350" s="430"/>
      <c r="CC350" s="430"/>
      <c r="CD350" s="430"/>
      <c r="CE350" s="430"/>
      <c r="CF350" s="430"/>
      <c r="CG350" s="430"/>
      <c r="CH350" s="430"/>
      <c r="CI350" s="430"/>
      <c r="CJ350" s="430"/>
      <c r="CK350" s="430"/>
      <c r="CL350" s="430"/>
    </row>
    <row r="351" spans="63:90" ht="14.25" customHeight="1">
      <c r="BK351" s="430"/>
      <c r="BL351" s="430"/>
      <c r="BM351" s="430"/>
      <c r="BN351" s="430"/>
      <c r="BO351" s="430"/>
      <c r="BP351" s="430"/>
      <c r="BQ351" s="430"/>
      <c r="BR351" s="430"/>
      <c r="BS351" s="430"/>
      <c r="BT351" s="430"/>
      <c r="BU351" s="430"/>
      <c r="BV351" s="430"/>
      <c r="BW351" s="430"/>
      <c r="BX351" s="430"/>
      <c r="BY351" s="430"/>
      <c r="BZ351" s="430"/>
      <c r="CA351" s="430"/>
      <c r="CB351" s="430"/>
      <c r="CC351" s="430"/>
      <c r="CD351" s="430"/>
      <c r="CE351" s="430"/>
      <c r="CF351" s="430"/>
      <c r="CG351" s="430"/>
      <c r="CH351" s="430"/>
      <c r="CI351" s="430"/>
      <c r="CJ351" s="430"/>
      <c r="CK351" s="430"/>
      <c r="CL351" s="430"/>
    </row>
    <row r="352" spans="63:90" ht="14.25" customHeight="1">
      <c r="BK352" s="430"/>
      <c r="BL352" s="430"/>
      <c r="BM352" s="430"/>
      <c r="BN352" s="430"/>
      <c r="BO352" s="430"/>
      <c r="BP352" s="430"/>
      <c r="BQ352" s="430"/>
      <c r="BR352" s="430"/>
      <c r="BS352" s="430"/>
      <c r="BT352" s="430"/>
      <c r="BU352" s="430"/>
      <c r="BV352" s="430"/>
      <c r="BW352" s="430"/>
      <c r="BX352" s="430"/>
      <c r="BY352" s="430"/>
      <c r="BZ352" s="430"/>
      <c r="CA352" s="430"/>
      <c r="CB352" s="430"/>
      <c r="CC352" s="430"/>
      <c r="CD352" s="430"/>
      <c r="CE352" s="430"/>
      <c r="CF352" s="430"/>
      <c r="CG352" s="430"/>
      <c r="CH352" s="430"/>
      <c r="CI352" s="430"/>
      <c r="CJ352" s="430"/>
      <c r="CK352" s="430"/>
      <c r="CL352" s="430"/>
    </row>
    <row r="353" spans="63:90" ht="14.25" customHeight="1">
      <c r="BK353" s="430"/>
      <c r="BL353" s="430"/>
      <c r="BM353" s="430"/>
      <c r="BN353" s="430"/>
      <c r="BO353" s="430"/>
      <c r="BP353" s="430"/>
      <c r="BQ353" s="430"/>
      <c r="BR353" s="430"/>
      <c r="BS353" s="430"/>
      <c r="BT353" s="430"/>
      <c r="BU353" s="430"/>
      <c r="BV353" s="430"/>
      <c r="BW353" s="430"/>
      <c r="BX353" s="430"/>
      <c r="BY353" s="430"/>
      <c r="BZ353" s="430"/>
      <c r="CA353" s="430"/>
      <c r="CB353" s="430"/>
      <c r="CC353" s="430"/>
      <c r="CD353" s="430"/>
      <c r="CE353" s="430"/>
      <c r="CF353" s="430"/>
      <c r="CG353" s="430"/>
      <c r="CH353" s="430"/>
      <c r="CI353" s="430"/>
      <c r="CJ353" s="430"/>
      <c r="CK353" s="430"/>
      <c r="CL353" s="430"/>
    </row>
    <row r="354" spans="63:90" ht="14.25" customHeight="1">
      <c r="BK354" s="430"/>
      <c r="BL354" s="430"/>
      <c r="BM354" s="430"/>
      <c r="BN354" s="430"/>
      <c r="BO354" s="430"/>
      <c r="BP354" s="430"/>
      <c r="BQ354" s="430"/>
      <c r="BR354" s="430"/>
      <c r="BS354" s="430"/>
      <c r="BT354" s="430"/>
      <c r="BU354" s="430"/>
      <c r="BV354" s="430"/>
      <c r="BW354" s="430"/>
      <c r="BX354" s="430"/>
      <c r="BY354" s="430"/>
      <c r="BZ354" s="430"/>
      <c r="CA354" s="430"/>
      <c r="CB354" s="430"/>
      <c r="CC354" s="430"/>
      <c r="CD354" s="430"/>
      <c r="CE354" s="430"/>
      <c r="CF354" s="430"/>
      <c r="CG354" s="430"/>
      <c r="CH354" s="430"/>
      <c r="CI354" s="430"/>
      <c r="CJ354" s="430"/>
      <c r="CK354" s="430"/>
      <c r="CL354" s="430"/>
    </row>
    <row r="355" spans="63:90" ht="14.25" customHeight="1">
      <c r="BK355" s="430"/>
      <c r="BL355" s="430"/>
      <c r="BM355" s="430"/>
      <c r="BN355" s="430"/>
      <c r="BO355" s="430"/>
      <c r="BP355" s="430"/>
      <c r="BQ355" s="430"/>
      <c r="BR355" s="430"/>
      <c r="BS355" s="430"/>
      <c r="BT355" s="430"/>
      <c r="BU355" s="430"/>
      <c r="BV355" s="430"/>
      <c r="BW355" s="430"/>
      <c r="BX355" s="430"/>
      <c r="BY355" s="430"/>
      <c r="BZ355" s="430"/>
      <c r="CA355" s="430"/>
      <c r="CB355" s="430"/>
      <c r="CC355" s="430"/>
      <c r="CD355" s="430"/>
      <c r="CE355" s="430"/>
      <c r="CF355" s="430"/>
      <c r="CG355" s="430"/>
      <c r="CH355" s="430"/>
      <c r="CI355" s="430"/>
      <c r="CJ355" s="430"/>
      <c r="CK355" s="430"/>
      <c r="CL355" s="430"/>
    </row>
    <row r="356" spans="63:90" ht="14.25" customHeight="1">
      <c r="BK356" s="430"/>
      <c r="BL356" s="430"/>
      <c r="BM356" s="430"/>
      <c r="BN356" s="430"/>
      <c r="BO356" s="430"/>
      <c r="BP356" s="430"/>
      <c r="BQ356" s="430"/>
      <c r="BR356" s="430"/>
      <c r="BS356" s="430"/>
      <c r="BT356" s="430"/>
      <c r="BU356" s="430"/>
      <c r="BV356" s="430"/>
      <c r="BW356" s="430"/>
      <c r="BX356" s="430"/>
      <c r="BY356" s="430"/>
      <c r="BZ356" s="430"/>
      <c r="CA356" s="430"/>
      <c r="CB356" s="430"/>
      <c r="CC356" s="430"/>
      <c r="CD356" s="430"/>
      <c r="CE356" s="430"/>
      <c r="CF356" s="430"/>
      <c r="CG356" s="430"/>
      <c r="CH356" s="430"/>
      <c r="CI356" s="430"/>
      <c r="CJ356" s="430"/>
      <c r="CK356" s="430"/>
      <c r="CL356" s="430"/>
    </row>
    <row r="357" spans="63:90" ht="14.25" customHeight="1">
      <c r="BK357" s="430"/>
      <c r="BL357" s="430"/>
      <c r="BM357" s="430"/>
      <c r="BN357" s="430"/>
      <c r="BO357" s="430"/>
      <c r="BP357" s="430"/>
      <c r="BQ357" s="430"/>
      <c r="BR357" s="430"/>
      <c r="BS357" s="430"/>
      <c r="BT357" s="430"/>
      <c r="BU357" s="430"/>
      <c r="BV357" s="430"/>
      <c r="BW357" s="430"/>
      <c r="BX357" s="430"/>
      <c r="BY357" s="430"/>
      <c r="BZ357" s="430"/>
      <c r="CA357" s="430"/>
      <c r="CB357" s="430"/>
      <c r="CC357" s="430"/>
      <c r="CD357" s="430"/>
      <c r="CE357" s="430"/>
      <c r="CF357" s="430"/>
      <c r="CG357" s="430"/>
      <c r="CH357" s="430"/>
      <c r="CI357" s="430"/>
      <c r="CJ357" s="430"/>
      <c r="CK357" s="430"/>
      <c r="CL357" s="430"/>
    </row>
    <row r="358" spans="63:90" ht="14.25" customHeight="1">
      <c r="BK358" s="430"/>
      <c r="BL358" s="430"/>
      <c r="BM358" s="430"/>
      <c r="BN358" s="430"/>
      <c r="BO358" s="430"/>
      <c r="BP358" s="430"/>
      <c r="BQ358" s="430"/>
      <c r="BR358" s="430"/>
      <c r="BS358" s="430"/>
      <c r="BT358" s="430"/>
      <c r="BU358" s="430"/>
      <c r="BV358" s="430"/>
      <c r="BW358" s="430"/>
      <c r="BX358" s="430"/>
      <c r="BY358" s="430"/>
      <c r="BZ358" s="430"/>
      <c r="CA358" s="430"/>
      <c r="CB358" s="430"/>
      <c r="CC358" s="430"/>
      <c r="CD358" s="430"/>
      <c r="CE358" s="430"/>
      <c r="CF358" s="430"/>
      <c r="CG358" s="430"/>
      <c r="CH358" s="430"/>
      <c r="CI358" s="430"/>
      <c r="CJ358" s="430"/>
      <c r="CK358" s="430"/>
      <c r="CL358" s="430"/>
    </row>
    <row r="359" spans="63:90" ht="14.25" customHeight="1">
      <c r="BK359" s="430"/>
      <c r="BL359" s="430"/>
      <c r="BM359" s="430"/>
      <c r="BN359" s="430"/>
      <c r="BO359" s="430"/>
      <c r="BP359" s="430"/>
      <c r="BQ359" s="430"/>
      <c r="BR359" s="430"/>
      <c r="BS359" s="430"/>
      <c r="BT359" s="430"/>
      <c r="BU359" s="430"/>
      <c r="BV359" s="430"/>
      <c r="BW359" s="430"/>
      <c r="BX359" s="430"/>
      <c r="BY359" s="430"/>
      <c r="BZ359" s="430"/>
      <c r="CA359" s="430"/>
      <c r="CB359" s="430"/>
      <c r="CC359" s="430"/>
      <c r="CD359" s="430"/>
      <c r="CE359" s="430"/>
      <c r="CF359" s="430"/>
      <c r="CG359" s="430"/>
      <c r="CH359" s="430"/>
      <c r="CI359" s="430"/>
      <c r="CJ359" s="430"/>
      <c r="CK359" s="430"/>
      <c r="CL359" s="430"/>
    </row>
    <row r="360" spans="63:90" ht="14.25" customHeight="1">
      <c r="BK360" s="430"/>
      <c r="BL360" s="430"/>
      <c r="BM360" s="430"/>
      <c r="BN360" s="430"/>
      <c r="BO360" s="430"/>
      <c r="BP360" s="430"/>
      <c r="BQ360" s="430"/>
      <c r="BR360" s="430"/>
      <c r="BS360" s="430"/>
      <c r="BT360" s="430"/>
      <c r="BU360" s="430"/>
      <c r="BV360" s="430"/>
      <c r="BW360" s="430"/>
      <c r="BX360" s="430"/>
      <c r="BY360" s="430"/>
      <c r="BZ360" s="430"/>
      <c r="CA360" s="430"/>
      <c r="CB360" s="430"/>
      <c r="CC360" s="430"/>
      <c r="CD360" s="430"/>
      <c r="CE360" s="430"/>
      <c r="CF360" s="430"/>
      <c r="CG360" s="430"/>
      <c r="CH360" s="430"/>
      <c r="CI360" s="430"/>
      <c r="CJ360" s="430"/>
      <c r="CK360" s="430"/>
      <c r="CL360" s="430"/>
    </row>
    <row r="361" spans="63:90" ht="14.25" customHeight="1">
      <c r="BK361" s="430"/>
      <c r="BL361" s="430"/>
      <c r="BM361" s="430"/>
      <c r="BN361" s="430"/>
      <c r="BO361" s="430"/>
      <c r="BP361" s="430"/>
      <c r="BQ361" s="430"/>
      <c r="BR361" s="430"/>
      <c r="BS361" s="430"/>
      <c r="BT361" s="430"/>
      <c r="BU361" s="430"/>
      <c r="BV361" s="430"/>
      <c r="BW361" s="430"/>
      <c r="BX361" s="430"/>
      <c r="BY361" s="430"/>
      <c r="BZ361" s="430"/>
      <c r="CA361" s="430"/>
      <c r="CB361" s="430"/>
      <c r="CC361" s="430"/>
      <c r="CD361" s="430"/>
      <c r="CE361" s="430"/>
      <c r="CF361" s="430"/>
      <c r="CG361" s="430"/>
      <c r="CH361" s="430"/>
      <c r="CI361" s="430"/>
      <c r="CJ361" s="430"/>
      <c r="CK361" s="430"/>
      <c r="CL361" s="430"/>
    </row>
    <row r="362" spans="63:90" ht="14.25" customHeight="1">
      <c r="BK362" s="430"/>
      <c r="BL362" s="430"/>
      <c r="BM362" s="430"/>
      <c r="BN362" s="430"/>
      <c r="BO362" s="430"/>
      <c r="BP362" s="430"/>
      <c r="BQ362" s="430"/>
      <c r="BR362" s="430"/>
      <c r="BS362" s="430"/>
      <c r="BT362" s="430"/>
      <c r="BU362" s="430"/>
      <c r="BV362" s="430"/>
      <c r="BW362" s="430"/>
      <c r="BX362" s="430"/>
      <c r="BY362" s="430"/>
      <c r="BZ362" s="430"/>
      <c r="CA362" s="430"/>
      <c r="CB362" s="430"/>
      <c r="CC362" s="430"/>
      <c r="CD362" s="430"/>
      <c r="CE362" s="430"/>
      <c r="CF362" s="430"/>
      <c r="CG362" s="430"/>
      <c r="CH362" s="430"/>
      <c r="CI362" s="430"/>
      <c r="CJ362" s="430"/>
      <c r="CK362" s="430"/>
      <c r="CL362" s="430"/>
    </row>
    <row r="363" spans="63:90" ht="14.25" customHeight="1">
      <c r="BK363" s="430"/>
      <c r="BL363" s="430"/>
      <c r="BM363" s="430"/>
      <c r="BN363" s="430"/>
      <c r="BO363" s="430"/>
      <c r="BP363" s="430"/>
      <c r="BQ363" s="430"/>
      <c r="BR363" s="430"/>
      <c r="BS363" s="430"/>
      <c r="BT363" s="430"/>
      <c r="BU363" s="430"/>
      <c r="BV363" s="430"/>
      <c r="BW363" s="430"/>
      <c r="BX363" s="430"/>
      <c r="BY363" s="430"/>
      <c r="BZ363" s="430"/>
      <c r="CA363" s="430"/>
      <c r="CB363" s="430"/>
      <c r="CC363" s="430"/>
      <c r="CD363" s="430"/>
      <c r="CE363" s="430"/>
      <c r="CF363" s="430"/>
      <c r="CG363" s="430"/>
      <c r="CH363" s="430"/>
      <c r="CI363" s="430"/>
      <c r="CJ363" s="430"/>
      <c r="CK363" s="430"/>
      <c r="CL363" s="430"/>
    </row>
    <row r="364" spans="63:90" ht="14.25" customHeight="1">
      <c r="BK364" s="430"/>
      <c r="BL364" s="430"/>
      <c r="BM364" s="430"/>
      <c r="BN364" s="430"/>
      <c r="BO364" s="430"/>
      <c r="BP364" s="430"/>
      <c r="BQ364" s="430"/>
      <c r="BR364" s="430"/>
      <c r="BS364" s="430"/>
      <c r="BT364" s="430"/>
      <c r="BU364" s="430"/>
      <c r="BV364" s="430"/>
      <c r="BW364" s="430"/>
      <c r="BX364" s="430"/>
      <c r="BY364" s="430"/>
      <c r="BZ364" s="430"/>
      <c r="CA364" s="430"/>
      <c r="CB364" s="430"/>
      <c r="CC364" s="430"/>
      <c r="CD364" s="430"/>
      <c r="CE364" s="430"/>
      <c r="CF364" s="430"/>
      <c r="CG364" s="430"/>
      <c r="CH364" s="430"/>
      <c r="CI364" s="430"/>
      <c r="CJ364" s="430"/>
      <c r="CK364" s="430"/>
      <c r="CL364" s="430"/>
    </row>
    <row r="365" spans="63:90" ht="14.25" customHeight="1">
      <c r="BK365" s="430"/>
      <c r="BL365" s="430"/>
      <c r="BM365" s="430"/>
      <c r="BN365" s="430"/>
      <c r="BO365" s="430"/>
      <c r="BP365" s="430"/>
      <c r="BQ365" s="430"/>
      <c r="BR365" s="430"/>
      <c r="BS365" s="430"/>
      <c r="BT365" s="430"/>
      <c r="BU365" s="430"/>
      <c r="BV365" s="430"/>
      <c r="BW365" s="430"/>
      <c r="BX365" s="430"/>
      <c r="BY365" s="430"/>
      <c r="BZ365" s="430"/>
      <c r="CA365" s="430"/>
      <c r="CB365" s="430"/>
      <c r="CC365" s="430"/>
      <c r="CD365" s="430"/>
      <c r="CE365" s="430"/>
      <c r="CF365" s="430"/>
      <c r="CG365" s="430"/>
      <c r="CH365" s="430"/>
      <c r="CI365" s="430"/>
      <c r="CJ365" s="430"/>
      <c r="CK365" s="430"/>
      <c r="CL365" s="430"/>
    </row>
    <row r="366" spans="63:90" ht="14.25" customHeight="1">
      <c r="BK366" s="430"/>
      <c r="BL366" s="430"/>
      <c r="BM366" s="430"/>
      <c r="BN366" s="430"/>
      <c r="BO366" s="430"/>
      <c r="BP366" s="430"/>
      <c r="BQ366" s="430"/>
      <c r="BR366" s="430"/>
      <c r="BS366" s="430"/>
      <c r="BT366" s="430"/>
      <c r="BU366" s="430"/>
      <c r="BV366" s="430"/>
      <c r="BW366" s="430"/>
      <c r="BX366" s="430"/>
      <c r="BY366" s="430"/>
      <c r="BZ366" s="430"/>
      <c r="CA366" s="430"/>
      <c r="CB366" s="430"/>
      <c r="CC366" s="430"/>
      <c r="CD366" s="430"/>
      <c r="CE366" s="430"/>
      <c r="CF366" s="430"/>
      <c r="CG366" s="430"/>
      <c r="CH366" s="430"/>
      <c r="CI366" s="430"/>
      <c r="CJ366" s="430"/>
      <c r="CK366" s="430"/>
      <c r="CL366" s="430"/>
    </row>
    <row r="367" spans="63:90" ht="14.25" customHeight="1">
      <c r="BK367" s="430"/>
      <c r="BL367" s="430"/>
      <c r="BM367" s="430"/>
      <c r="BN367" s="430"/>
      <c r="BO367" s="430"/>
      <c r="BP367" s="430"/>
      <c r="BQ367" s="430"/>
      <c r="BR367" s="430"/>
      <c r="BS367" s="430"/>
      <c r="BT367" s="430"/>
      <c r="BU367" s="430"/>
      <c r="BV367" s="430"/>
      <c r="BW367" s="430"/>
      <c r="BX367" s="430"/>
      <c r="BY367" s="430"/>
      <c r="BZ367" s="430"/>
      <c r="CA367" s="430"/>
      <c r="CB367" s="430"/>
      <c r="CC367" s="430"/>
      <c r="CD367" s="430"/>
      <c r="CE367" s="430"/>
      <c r="CF367" s="430"/>
      <c r="CG367" s="430"/>
      <c r="CH367" s="430"/>
      <c r="CI367" s="430"/>
      <c r="CJ367" s="430"/>
      <c r="CK367" s="430"/>
      <c r="CL367" s="430"/>
    </row>
    <row r="368" spans="63:90" ht="14.25" customHeight="1">
      <c r="BK368" s="430"/>
      <c r="BL368" s="430"/>
      <c r="BM368" s="430"/>
      <c r="BN368" s="430"/>
      <c r="BO368" s="430"/>
      <c r="BP368" s="430"/>
      <c r="BQ368" s="430"/>
      <c r="BR368" s="430"/>
      <c r="BS368" s="430"/>
      <c r="BT368" s="430"/>
      <c r="BU368" s="430"/>
      <c r="BV368" s="430"/>
      <c r="BW368" s="430"/>
      <c r="BX368" s="430"/>
      <c r="BY368" s="430"/>
      <c r="BZ368" s="430"/>
      <c r="CA368" s="430"/>
      <c r="CB368" s="430"/>
      <c r="CC368" s="430"/>
      <c r="CD368" s="430"/>
      <c r="CE368" s="430"/>
      <c r="CF368" s="430"/>
      <c r="CG368" s="430"/>
      <c r="CH368" s="430"/>
      <c r="CI368" s="430"/>
      <c r="CJ368" s="430"/>
      <c r="CK368" s="430"/>
      <c r="CL368" s="430"/>
    </row>
    <row r="369" spans="63:90" ht="14.25" customHeight="1">
      <c r="BK369" s="430"/>
      <c r="BL369" s="430"/>
      <c r="BM369" s="430"/>
      <c r="BN369" s="430"/>
      <c r="BO369" s="430"/>
      <c r="BP369" s="430"/>
      <c r="BQ369" s="430"/>
      <c r="BR369" s="430"/>
      <c r="BS369" s="430"/>
      <c r="BT369" s="430"/>
      <c r="BU369" s="430"/>
      <c r="BV369" s="430"/>
      <c r="BW369" s="430"/>
      <c r="BX369" s="430"/>
      <c r="BY369" s="430"/>
      <c r="BZ369" s="430"/>
      <c r="CA369" s="430"/>
      <c r="CB369" s="430"/>
      <c r="CC369" s="430"/>
      <c r="CD369" s="430"/>
      <c r="CE369" s="430"/>
      <c r="CF369" s="430"/>
      <c r="CG369" s="430"/>
      <c r="CH369" s="430"/>
      <c r="CI369" s="430"/>
      <c r="CJ369" s="430"/>
      <c r="CK369" s="430"/>
      <c r="CL369" s="430"/>
    </row>
    <row r="370" spans="63:90" ht="14.25" customHeight="1">
      <c r="BK370" s="430"/>
      <c r="BL370" s="430"/>
      <c r="BM370" s="430"/>
      <c r="BN370" s="430"/>
      <c r="BO370" s="430"/>
      <c r="BP370" s="430"/>
      <c r="BQ370" s="430"/>
      <c r="BR370" s="430"/>
      <c r="BS370" s="430"/>
      <c r="BT370" s="430"/>
      <c r="BU370" s="430"/>
      <c r="BV370" s="430"/>
      <c r="BW370" s="430"/>
      <c r="BX370" s="430"/>
      <c r="BY370" s="430"/>
      <c r="BZ370" s="430"/>
      <c r="CA370" s="430"/>
      <c r="CB370" s="430"/>
      <c r="CC370" s="430"/>
      <c r="CD370" s="430"/>
      <c r="CE370" s="430"/>
      <c r="CF370" s="430"/>
      <c r="CG370" s="430"/>
      <c r="CH370" s="430"/>
      <c r="CI370" s="430"/>
      <c r="CJ370" s="430"/>
      <c r="CK370" s="430"/>
      <c r="CL370" s="430"/>
    </row>
    <row r="371" spans="63:90" ht="14.25" customHeight="1">
      <c r="BK371" s="430"/>
      <c r="BL371" s="430"/>
      <c r="BM371" s="430"/>
      <c r="BN371" s="430"/>
      <c r="BO371" s="430"/>
      <c r="BP371" s="430"/>
      <c r="BQ371" s="430"/>
      <c r="BR371" s="430"/>
      <c r="BS371" s="430"/>
      <c r="BT371" s="430"/>
      <c r="BU371" s="430"/>
      <c r="BV371" s="430"/>
      <c r="BW371" s="430"/>
      <c r="BX371" s="430"/>
      <c r="BY371" s="430"/>
      <c r="BZ371" s="430"/>
      <c r="CA371" s="430"/>
      <c r="CB371" s="430"/>
      <c r="CC371" s="430"/>
      <c r="CD371" s="430"/>
      <c r="CE371" s="430"/>
      <c r="CF371" s="430"/>
      <c r="CG371" s="430"/>
      <c r="CH371" s="430"/>
      <c r="CI371" s="430"/>
      <c r="CJ371" s="430"/>
      <c r="CK371" s="430"/>
      <c r="CL371" s="430"/>
    </row>
    <row r="372" spans="63:90" ht="14.25" customHeight="1">
      <c r="BK372" s="430"/>
      <c r="BL372" s="430"/>
      <c r="BM372" s="430"/>
      <c r="BN372" s="430"/>
      <c r="BO372" s="430"/>
      <c r="BP372" s="430"/>
      <c r="BQ372" s="430"/>
      <c r="BR372" s="430"/>
      <c r="BS372" s="430"/>
      <c r="BT372" s="430"/>
      <c r="BU372" s="430"/>
      <c r="BV372" s="430"/>
      <c r="BW372" s="430"/>
      <c r="BX372" s="430"/>
      <c r="BY372" s="430"/>
      <c r="BZ372" s="430"/>
      <c r="CA372" s="430"/>
      <c r="CB372" s="430"/>
      <c r="CC372" s="430"/>
      <c r="CD372" s="430"/>
      <c r="CE372" s="430"/>
      <c r="CF372" s="430"/>
      <c r="CG372" s="430"/>
      <c r="CH372" s="430"/>
      <c r="CI372" s="430"/>
      <c r="CJ372" s="430"/>
      <c r="CK372" s="430"/>
      <c r="CL372" s="430"/>
    </row>
    <row r="373" spans="63:90" ht="14.25" customHeight="1">
      <c r="BK373" s="430"/>
      <c r="BL373" s="430"/>
      <c r="BM373" s="430"/>
      <c r="BN373" s="430"/>
      <c r="BO373" s="430"/>
      <c r="BP373" s="430"/>
      <c r="BQ373" s="430"/>
      <c r="BR373" s="430"/>
      <c r="BS373" s="430"/>
      <c r="BT373" s="430"/>
      <c r="BU373" s="430"/>
      <c r="BV373" s="430"/>
      <c r="BW373" s="430"/>
      <c r="BX373" s="430"/>
      <c r="BY373" s="430"/>
      <c r="BZ373" s="430"/>
      <c r="CA373" s="430"/>
      <c r="CB373" s="430"/>
      <c r="CC373" s="430"/>
      <c r="CD373" s="430"/>
      <c r="CE373" s="430"/>
      <c r="CF373" s="430"/>
      <c r="CG373" s="430"/>
      <c r="CH373" s="430"/>
      <c r="CI373" s="430"/>
      <c r="CJ373" s="430"/>
      <c r="CK373" s="430"/>
      <c r="CL373" s="430"/>
    </row>
    <row r="374" spans="63:90" ht="14.25" customHeight="1">
      <c r="BK374" s="430"/>
      <c r="BL374" s="430"/>
      <c r="BM374" s="430"/>
      <c r="BN374" s="430"/>
      <c r="BO374" s="430"/>
      <c r="BP374" s="430"/>
      <c r="BQ374" s="430"/>
      <c r="BR374" s="430"/>
      <c r="BS374" s="430"/>
      <c r="BT374" s="430"/>
      <c r="BU374" s="430"/>
      <c r="BV374" s="430"/>
      <c r="BW374" s="430"/>
      <c r="BX374" s="430"/>
      <c r="BY374" s="430"/>
      <c r="BZ374" s="430"/>
      <c r="CA374" s="430"/>
      <c r="CB374" s="430"/>
      <c r="CC374" s="430"/>
      <c r="CD374" s="430"/>
      <c r="CE374" s="430"/>
      <c r="CF374" s="430"/>
      <c r="CG374" s="430"/>
      <c r="CH374" s="430"/>
      <c r="CI374" s="430"/>
      <c r="CJ374" s="430"/>
      <c r="CK374" s="430"/>
      <c r="CL374" s="430"/>
    </row>
    <row r="375" spans="63:90" ht="14.25" customHeight="1">
      <c r="BK375" s="430"/>
      <c r="BL375" s="430"/>
      <c r="BM375" s="430"/>
      <c r="BN375" s="430"/>
      <c r="BO375" s="430"/>
      <c r="BP375" s="430"/>
      <c r="BQ375" s="430"/>
      <c r="BR375" s="430"/>
      <c r="BS375" s="430"/>
      <c r="BT375" s="430"/>
      <c r="BU375" s="430"/>
      <c r="BV375" s="430"/>
      <c r="BW375" s="430"/>
      <c r="BX375" s="430"/>
      <c r="BY375" s="430"/>
      <c r="BZ375" s="430"/>
      <c r="CA375" s="430"/>
      <c r="CB375" s="430"/>
      <c r="CC375" s="430"/>
      <c r="CD375" s="430"/>
      <c r="CE375" s="430"/>
      <c r="CF375" s="430"/>
      <c r="CG375" s="430"/>
      <c r="CH375" s="430"/>
      <c r="CI375" s="430"/>
      <c r="CJ375" s="430"/>
      <c r="CK375" s="430"/>
      <c r="CL375" s="430"/>
    </row>
    <row r="376" spans="63:90" ht="14.25" customHeight="1">
      <c r="BK376" s="430"/>
      <c r="BL376" s="430"/>
      <c r="BM376" s="430"/>
      <c r="BN376" s="430"/>
      <c r="BO376" s="430"/>
      <c r="BP376" s="430"/>
      <c r="BQ376" s="430"/>
      <c r="BR376" s="430"/>
      <c r="BS376" s="430"/>
      <c r="BT376" s="430"/>
      <c r="BU376" s="430"/>
      <c r="BV376" s="430"/>
      <c r="BW376" s="430"/>
      <c r="BX376" s="430"/>
      <c r="BY376" s="430"/>
      <c r="BZ376" s="430"/>
      <c r="CA376" s="430"/>
      <c r="CB376" s="430"/>
      <c r="CC376" s="430"/>
      <c r="CD376" s="430"/>
      <c r="CE376" s="430"/>
      <c r="CF376" s="430"/>
      <c r="CG376" s="430"/>
      <c r="CH376" s="430"/>
      <c r="CI376" s="430"/>
      <c r="CJ376" s="430"/>
      <c r="CK376" s="430"/>
      <c r="CL376" s="430"/>
    </row>
    <row r="377" spans="63:90" ht="14.25" customHeight="1">
      <c r="BK377" s="430"/>
      <c r="BL377" s="430"/>
      <c r="BM377" s="430"/>
      <c r="BN377" s="430"/>
      <c r="BO377" s="430"/>
      <c r="BP377" s="430"/>
      <c r="BQ377" s="430"/>
      <c r="BR377" s="430"/>
      <c r="BS377" s="430"/>
      <c r="BT377" s="430"/>
      <c r="BU377" s="430"/>
      <c r="BV377" s="430"/>
      <c r="BW377" s="430"/>
      <c r="BX377" s="430"/>
      <c r="BY377" s="430"/>
      <c r="BZ377" s="430"/>
      <c r="CA377" s="430"/>
      <c r="CB377" s="430"/>
      <c r="CC377" s="430"/>
      <c r="CD377" s="430"/>
      <c r="CE377" s="430"/>
      <c r="CF377" s="430"/>
      <c r="CG377" s="430"/>
      <c r="CH377" s="430"/>
      <c r="CI377" s="430"/>
      <c r="CJ377" s="430"/>
      <c r="CK377" s="430"/>
      <c r="CL377" s="430"/>
    </row>
    <row r="378" spans="63:90" ht="14.25" customHeight="1">
      <c r="BK378" s="430"/>
      <c r="BL378" s="430"/>
      <c r="BM378" s="430"/>
      <c r="BN378" s="430"/>
      <c r="BO378" s="430"/>
      <c r="BP378" s="430"/>
      <c r="BQ378" s="430"/>
      <c r="BR378" s="430"/>
      <c r="BS378" s="430"/>
      <c r="BT378" s="430"/>
      <c r="BU378" s="430"/>
      <c r="BV378" s="430"/>
      <c r="BW378" s="430"/>
      <c r="BX378" s="430"/>
      <c r="BY378" s="430"/>
      <c r="BZ378" s="430"/>
      <c r="CA378" s="430"/>
      <c r="CB378" s="430"/>
      <c r="CC378" s="430"/>
      <c r="CD378" s="430"/>
      <c r="CE378" s="430"/>
      <c r="CF378" s="430"/>
      <c r="CG378" s="430"/>
      <c r="CH378" s="430"/>
      <c r="CI378" s="430"/>
      <c r="CJ378" s="430"/>
      <c r="CK378" s="430"/>
      <c r="CL378" s="430"/>
    </row>
    <row r="379" spans="63:90" ht="14.25" customHeight="1">
      <c r="BK379" s="430"/>
      <c r="BL379" s="430"/>
      <c r="BM379" s="430"/>
      <c r="BN379" s="430"/>
      <c r="BO379" s="430"/>
      <c r="BP379" s="430"/>
      <c r="BQ379" s="430"/>
      <c r="BR379" s="430"/>
      <c r="BS379" s="430"/>
      <c r="BT379" s="430"/>
      <c r="BU379" s="430"/>
      <c r="BV379" s="430"/>
      <c r="BW379" s="430"/>
      <c r="BX379" s="430"/>
      <c r="BY379" s="430"/>
      <c r="BZ379" s="430"/>
      <c r="CA379" s="430"/>
      <c r="CB379" s="430"/>
      <c r="CC379" s="430"/>
      <c r="CD379" s="430"/>
      <c r="CE379" s="430"/>
      <c r="CF379" s="430"/>
      <c r="CG379" s="430"/>
      <c r="CH379" s="430"/>
      <c r="CI379" s="430"/>
      <c r="CJ379" s="430"/>
      <c r="CK379" s="430"/>
      <c r="CL379" s="430"/>
    </row>
    <row r="380" spans="63:90" ht="14.25" customHeight="1">
      <c r="BK380" s="430"/>
      <c r="BL380" s="430"/>
      <c r="BM380" s="430"/>
      <c r="BN380" s="430"/>
      <c r="BO380" s="430"/>
      <c r="BP380" s="430"/>
      <c r="BQ380" s="430"/>
      <c r="BR380" s="430"/>
      <c r="BS380" s="430"/>
      <c r="BT380" s="430"/>
      <c r="BU380" s="430"/>
      <c r="BV380" s="430"/>
      <c r="BW380" s="430"/>
      <c r="BX380" s="430"/>
      <c r="BY380" s="430"/>
      <c r="BZ380" s="430"/>
      <c r="CA380" s="430"/>
      <c r="CB380" s="430"/>
      <c r="CC380" s="430"/>
      <c r="CD380" s="430"/>
      <c r="CE380" s="430"/>
      <c r="CF380" s="430"/>
      <c r="CG380" s="430"/>
      <c r="CH380" s="430"/>
      <c r="CI380" s="430"/>
      <c r="CJ380" s="430"/>
      <c r="CK380" s="430"/>
      <c r="CL380" s="430"/>
    </row>
    <row r="381" spans="63:90" ht="14.25" customHeight="1">
      <c r="BK381" s="430"/>
      <c r="BL381" s="430"/>
      <c r="BM381" s="430"/>
      <c r="BN381" s="430"/>
      <c r="BO381" s="430"/>
      <c r="BP381" s="430"/>
      <c r="BQ381" s="430"/>
      <c r="BR381" s="430"/>
      <c r="BS381" s="430"/>
      <c r="BT381" s="430"/>
      <c r="BU381" s="430"/>
      <c r="BV381" s="430"/>
      <c r="BW381" s="430"/>
      <c r="BX381" s="430"/>
      <c r="BY381" s="430"/>
      <c r="BZ381" s="430"/>
      <c r="CA381" s="430"/>
      <c r="CB381" s="430"/>
      <c r="CC381" s="430"/>
      <c r="CD381" s="430"/>
      <c r="CE381" s="430"/>
      <c r="CF381" s="430"/>
      <c r="CG381" s="430"/>
      <c r="CH381" s="430"/>
      <c r="CI381" s="430"/>
      <c r="CJ381" s="430"/>
      <c r="CK381" s="430"/>
      <c r="CL381" s="430"/>
    </row>
    <row r="382" spans="63:90" ht="14.25" customHeight="1">
      <c r="BK382" s="430"/>
      <c r="BL382" s="430"/>
      <c r="BM382" s="430"/>
      <c r="BN382" s="430"/>
      <c r="BO382" s="430"/>
      <c r="BP382" s="430"/>
      <c r="BQ382" s="430"/>
      <c r="BR382" s="430"/>
      <c r="BS382" s="430"/>
      <c r="BT382" s="430"/>
      <c r="BU382" s="430"/>
      <c r="BV382" s="430"/>
      <c r="BW382" s="430"/>
      <c r="BX382" s="430"/>
      <c r="BY382" s="430"/>
      <c r="BZ382" s="430"/>
      <c r="CA382" s="430"/>
      <c r="CB382" s="430"/>
      <c r="CC382" s="430"/>
      <c r="CD382" s="430"/>
      <c r="CE382" s="430"/>
      <c r="CF382" s="430"/>
      <c r="CG382" s="430"/>
      <c r="CH382" s="430"/>
      <c r="CI382" s="430"/>
      <c r="CJ382" s="430"/>
      <c r="CK382" s="430"/>
      <c r="CL382" s="430"/>
    </row>
    <row r="383" spans="63:90" ht="14.25" customHeight="1">
      <c r="BK383" s="430"/>
      <c r="BL383" s="430"/>
      <c r="BM383" s="430"/>
      <c r="BN383" s="430"/>
      <c r="BO383" s="430"/>
      <c r="BP383" s="430"/>
      <c r="BQ383" s="430"/>
      <c r="BR383" s="430"/>
      <c r="BS383" s="430"/>
      <c r="BT383" s="430"/>
      <c r="BU383" s="430"/>
      <c r="BV383" s="430"/>
      <c r="BW383" s="430"/>
      <c r="BX383" s="430"/>
      <c r="BY383" s="430"/>
      <c r="BZ383" s="430"/>
      <c r="CA383" s="430"/>
      <c r="CB383" s="430"/>
      <c r="CC383" s="430"/>
      <c r="CD383" s="430"/>
      <c r="CE383" s="430"/>
      <c r="CF383" s="430"/>
      <c r="CG383" s="430"/>
      <c r="CH383" s="430"/>
      <c r="CI383" s="430"/>
      <c r="CJ383" s="430"/>
      <c r="CK383" s="430"/>
      <c r="CL383" s="430"/>
    </row>
    <row r="384" spans="63:90" ht="14.25" customHeight="1">
      <c r="BK384" s="430"/>
      <c r="BL384" s="430"/>
      <c r="BM384" s="430"/>
      <c r="BN384" s="430"/>
      <c r="BO384" s="430"/>
      <c r="BP384" s="430"/>
      <c r="BQ384" s="430"/>
      <c r="BR384" s="430"/>
      <c r="BS384" s="430"/>
      <c r="BT384" s="430"/>
      <c r="BU384" s="430"/>
      <c r="BV384" s="430"/>
      <c r="BW384" s="430"/>
      <c r="BX384" s="430"/>
      <c r="BY384" s="430"/>
      <c r="BZ384" s="430"/>
      <c r="CA384" s="430"/>
      <c r="CB384" s="430"/>
      <c r="CC384" s="430"/>
      <c r="CD384" s="430"/>
      <c r="CE384" s="430"/>
      <c r="CF384" s="430"/>
      <c r="CG384" s="430"/>
      <c r="CH384" s="430"/>
      <c r="CI384" s="430"/>
      <c r="CJ384" s="430"/>
      <c r="CK384" s="430"/>
      <c r="CL384" s="430"/>
    </row>
    <row r="385" spans="63:90" ht="14.25" customHeight="1">
      <c r="BK385" s="430"/>
      <c r="BL385" s="430"/>
      <c r="BM385" s="430"/>
      <c r="BN385" s="430"/>
      <c r="BO385" s="430"/>
      <c r="BP385" s="430"/>
      <c r="BQ385" s="430"/>
      <c r="BR385" s="430"/>
      <c r="BS385" s="430"/>
      <c r="BT385" s="430"/>
      <c r="BU385" s="430"/>
      <c r="BV385" s="430"/>
      <c r="BW385" s="430"/>
      <c r="BX385" s="430"/>
      <c r="BY385" s="430"/>
      <c r="BZ385" s="430"/>
      <c r="CA385" s="430"/>
      <c r="CB385" s="430"/>
      <c r="CC385" s="430"/>
      <c r="CD385" s="430"/>
      <c r="CE385" s="430"/>
      <c r="CF385" s="430"/>
      <c r="CG385" s="430"/>
      <c r="CH385" s="430"/>
      <c r="CI385" s="430"/>
      <c r="CJ385" s="430"/>
      <c r="CK385" s="430"/>
      <c r="CL385" s="430"/>
    </row>
    <row r="386" spans="63:90" ht="14.25" customHeight="1">
      <c r="BK386" s="430"/>
      <c r="BL386" s="430"/>
      <c r="BM386" s="430"/>
      <c r="BN386" s="430"/>
      <c r="BO386" s="430"/>
      <c r="BP386" s="430"/>
      <c r="BQ386" s="430"/>
      <c r="BR386" s="430"/>
      <c r="BS386" s="430"/>
      <c r="BT386" s="430"/>
      <c r="BU386" s="430"/>
      <c r="BV386" s="430"/>
      <c r="BW386" s="430"/>
      <c r="BX386" s="430"/>
      <c r="BY386" s="430"/>
      <c r="BZ386" s="430"/>
      <c r="CA386" s="430"/>
      <c r="CB386" s="430"/>
      <c r="CC386" s="430"/>
      <c r="CD386" s="430"/>
      <c r="CE386" s="430"/>
      <c r="CF386" s="430"/>
      <c r="CG386" s="430"/>
      <c r="CH386" s="430"/>
      <c r="CI386" s="430"/>
      <c r="CJ386" s="430"/>
      <c r="CK386" s="430"/>
      <c r="CL386" s="430"/>
    </row>
    <row r="387" spans="63:90" ht="14.25" customHeight="1">
      <c r="BK387" s="430"/>
      <c r="BL387" s="430"/>
      <c r="BM387" s="430"/>
      <c r="BN387" s="430"/>
      <c r="BO387" s="430"/>
      <c r="BP387" s="430"/>
      <c r="BQ387" s="430"/>
      <c r="BR387" s="430"/>
      <c r="BS387" s="430"/>
      <c r="BT387" s="430"/>
      <c r="BU387" s="430"/>
      <c r="BV387" s="430"/>
      <c r="BW387" s="430"/>
      <c r="BX387" s="430"/>
      <c r="BY387" s="430"/>
      <c r="BZ387" s="430"/>
      <c r="CA387" s="430"/>
      <c r="CB387" s="430"/>
      <c r="CC387" s="430"/>
      <c r="CD387" s="430"/>
      <c r="CE387" s="430"/>
      <c r="CF387" s="430"/>
      <c r="CG387" s="430"/>
      <c r="CH387" s="430"/>
      <c r="CI387" s="430"/>
      <c r="CJ387" s="430"/>
      <c r="CK387" s="430"/>
      <c r="CL387" s="430"/>
    </row>
    <row r="388" spans="63:90" ht="14.25" customHeight="1">
      <c r="BK388" s="430"/>
      <c r="BL388" s="430"/>
      <c r="BM388" s="430"/>
      <c r="BN388" s="430"/>
      <c r="BO388" s="430"/>
      <c r="BP388" s="430"/>
      <c r="BQ388" s="430"/>
      <c r="BR388" s="430"/>
      <c r="BS388" s="430"/>
      <c r="BT388" s="430"/>
      <c r="BU388" s="430"/>
      <c r="BV388" s="430"/>
      <c r="BW388" s="430"/>
      <c r="BX388" s="430"/>
      <c r="BY388" s="430"/>
      <c r="BZ388" s="430"/>
      <c r="CA388" s="430"/>
      <c r="CB388" s="430"/>
      <c r="CC388" s="430"/>
      <c r="CD388" s="430"/>
      <c r="CE388" s="430"/>
      <c r="CF388" s="430"/>
      <c r="CG388" s="430"/>
      <c r="CH388" s="430"/>
      <c r="CI388" s="430"/>
      <c r="CJ388" s="430"/>
      <c r="CK388" s="430"/>
      <c r="CL388" s="430"/>
    </row>
    <row r="389" spans="63:90" ht="14.25" customHeight="1">
      <c r="BK389" s="430"/>
      <c r="BL389" s="430"/>
      <c r="BM389" s="430"/>
      <c r="BN389" s="430"/>
      <c r="BO389" s="430"/>
      <c r="BP389" s="430"/>
      <c r="BQ389" s="430"/>
      <c r="BR389" s="430"/>
      <c r="BS389" s="430"/>
      <c r="BT389" s="430"/>
      <c r="BU389" s="430"/>
      <c r="BV389" s="430"/>
      <c r="BW389" s="430"/>
      <c r="BX389" s="430"/>
      <c r="BY389" s="430"/>
      <c r="BZ389" s="430"/>
      <c r="CA389" s="430"/>
      <c r="CB389" s="430"/>
      <c r="CC389" s="430"/>
      <c r="CD389" s="430"/>
      <c r="CE389" s="430"/>
      <c r="CF389" s="430"/>
      <c r="CG389" s="430"/>
      <c r="CH389" s="430"/>
      <c r="CI389" s="430"/>
      <c r="CJ389" s="430"/>
      <c r="CK389" s="430"/>
      <c r="CL389" s="430"/>
    </row>
    <row r="390" spans="63:90" ht="14.25" customHeight="1">
      <c r="BK390" s="430"/>
      <c r="BL390" s="430"/>
      <c r="BM390" s="430"/>
      <c r="BN390" s="430"/>
      <c r="BO390" s="430"/>
      <c r="BP390" s="430"/>
      <c r="BQ390" s="430"/>
      <c r="BR390" s="430"/>
      <c r="BS390" s="430"/>
      <c r="BT390" s="430"/>
      <c r="BU390" s="430"/>
      <c r="BV390" s="430"/>
      <c r="BW390" s="430"/>
      <c r="BX390" s="430"/>
      <c r="BY390" s="430"/>
      <c r="BZ390" s="430"/>
      <c r="CA390" s="430"/>
      <c r="CB390" s="430"/>
      <c r="CC390" s="430"/>
      <c r="CD390" s="430"/>
      <c r="CE390" s="430"/>
      <c r="CF390" s="430"/>
      <c r="CG390" s="430"/>
      <c r="CH390" s="430"/>
      <c r="CI390" s="430"/>
      <c r="CJ390" s="430"/>
      <c r="CK390" s="430"/>
      <c r="CL390" s="430"/>
    </row>
    <row r="391" spans="63:90" ht="14.25" customHeight="1">
      <c r="BK391" s="430"/>
      <c r="BL391" s="430"/>
      <c r="BM391" s="430"/>
      <c r="BN391" s="430"/>
      <c r="BO391" s="430"/>
      <c r="BP391" s="430"/>
      <c r="BQ391" s="430"/>
      <c r="BR391" s="430"/>
      <c r="BS391" s="430"/>
      <c r="BT391" s="430"/>
      <c r="BU391" s="430"/>
      <c r="BV391" s="430"/>
      <c r="BW391" s="430"/>
      <c r="BX391" s="430"/>
      <c r="BY391" s="430"/>
      <c r="BZ391" s="430"/>
      <c r="CA391" s="430"/>
      <c r="CB391" s="430"/>
      <c r="CC391" s="430"/>
      <c r="CD391" s="430"/>
      <c r="CE391" s="430"/>
      <c r="CF391" s="430"/>
      <c r="CG391" s="430"/>
      <c r="CH391" s="430"/>
      <c r="CI391" s="430"/>
      <c r="CJ391" s="430"/>
      <c r="CK391" s="430"/>
      <c r="CL391" s="430"/>
    </row>
    <row r="392" spans="63:90" ht="14.25" customHeight="1">
      <c r="BK392" s="430"/>
      <c r="BL392" s="430"/>
      <c r="BM392" s="430"/>
      <c r="BN392" s="430"/>
      <c r="BO392" s="430"/>
      <c r="BP392" s="430"/>
      <c r="BQ392" s="430"/>
      <c r="BR392" s="430"/>
      <c r="BS392" s="430"/>
      <c r="BT392" s="430"/>
      <c r="BU392" s="430"/>
      <c r="BV392" s="430"/>
      <c r="BW392" s="430"/>
      <c r="BX392" s="430"/>
      <c r="BY392" s="430"/>
      <c r="BZ392" s="430"/>
      <c r="CA392" s="430"/>
      <c r="CB392" s="430"/>
      <c r="CC392" s="430"/>
      <c r="CD392" s="430"/>
      <c r="CE392" s="430"/>
      <c r="CF392" s="430"/>
      <c r="CG392" s="430"/>
      <c r="CH392" s="430"/>
      <c r="CI392" s="430"/>
      <c r="CJ392" s="430"/>
      <c r="CK392" s="430"/>
      <c r="CL392" s="430"/>
    </row>
    <row r="393" spans="63:90" ht="14.25" customHeight="1">
      <c r="BK393" s="430"/>
      <c r="BL393" s="430"/>
      <c r="BM393" s="430"/>
      <c r="BN393" s="430"/>
      <c r="BO393" s="430"/>
      <c r="BP393" s="430"/>
      <c r="BQ393" s="430"/>
      <c r="BR393" s="430"/>
      <c r="BS393" s="430"/>
      <c r="BT393" s="430"/>
      <c r="BU393" s="430"/>
      <c r="BV393" s="430"/>
      <c r="BW393" s="430"/>
      <c r="BX393" s="430"/>
      <c r="BY393" s="430"/>
      <c r="BZ393" s="430"/>
      <c r="CA393" s="430"/>
      <c r="CB393" s="430"/>
      <c r="CC393" s="430"/>
      <c r="CD393" s="430"/>
      <c r="CE393" s="430"/>
      <c r="CF393" s="430"/>
      <c r="CG393" s="430"/>
      <c r="CH393" s="430"/>
      <c r="CI393" s="430"/>
      <c r="CJ393" s="430"/>
      <c r="CK393" s="430"/>
      <c r="CL393" s="430"/>
    </row>
    <row r="394" spans="63:90" ht="14.25" customHeight="1">
      <c r="BK394" s="430"/>
      <c r="BL394" s="430"/>
      <c r="BM394" s="430"/>
      <c r="BN394" s="430"/>
      <c r="BO394" s="430"/>
      <c r="BP394" s="430"/>
      <c r="BQ394" s="430"/>
      <c r="BR394" s="430"/>
      <c r="BS394" s="430"/>
      <c r="BT394" s="430"/>
      <c r="BU394" s="430"/>
      <c r="BV394" s="430"/>
      <c r="BW394" s="430"/>
      <c r="BX394" s="430"/>
      <c r="BY394" s="430"/>
      <c r="BZ394" s="430"/>
      <c r="CA394" s="430"/>
      <c r="CB394" s="430"/>
      <c r="CC394" s="430"/>
      <c r="CD394" s="430"/>
      <c r="CE394" s="430"/>
      <c r="CF394" s="430"/>
      <c r="CG394" s="430"/>
      <c r="CH394" s="430"/>
      <c r="CI394" s="430"/>
      <c r="CJ394" s="430"/>
      <c r="CK394" s="430"/>
      <c r="CL394" s="430"/>
    </row>
    <row r="395" spans="63:90" ht="14.25" customHeight="1">
      <c r="BK395" s="430"/>
      <c r="BL395" s="430"/>
      <c r="BM395" s="430"/>
      <c r="BN395" s="430"/>
      <c r="BO395" s="430"/>
      <c r="BP395" s="430"/>
      <c r="BQ395" s="430"/>
      <c r="BR395" s="430"/>
      <c r="BS395" s="430"/>
      <c r="BT395" s="430"/>
      <c r="BU395" s="430"/>
      <c r="BV395" s="430"/>
      <c r="BW395" s="430"/>
      <c r="BX395" s="430"/>
      <c r="BY395" s="430"/>
      <c r="BZ395" s="430"/>
      <c r="CA395" s="430"/>
      <c r="CB395" s="430"/>
      <c r="CC395" s="430"/>
      <c r="CD395" s="430"/>
      <c r="CE395" s="430"/>
      <c r="CF395" s="430"/>
      <c r="CG395" s="430"/>
      <c r="CH395" s="430"/>
      <c r="CI395" s="430"/>
      <c r="CJ395" s="430"/>
      <c r="CK395" s="430"/>
      <c r="CL395" s="430"/>
    </row>
    <row r="396" spans="63:90" ht="14.25" customHeight="1">
      <c r="BK396" s="430"/>
      <c r="BL396" s="430"/>
      <c r="BM396" s="430"/>
      <c r="BN396" s="430"/>
      <c r="BO396" s="430"/>
      <c r="BP396" s="430"/>
      <c r="BQ396" s="430"/>
      <c r="BR396" s="430"/>
      <c r="BS396" s="430"/>
      <c r="BT396" s="430"/>
      <c r="BU396" s="430"/>
      <c r="BV396" s="430"/>
      <c r="BW396" s="430"/>
      <c r="BX396" s="430"/>
      <c r="BY396" s="430"/>
      <c r="BZ396" s="430"/>
      <c r="CA396" s="430"/>
      <c r="CB396" s="430"/>
      <c r="CC396" s="430"/>
      <c r="CD396" s="430"/>
      <c r="CE396" s="430"/>
      <c r="CF396" s="430"/>
      <c r="CG396" s="430"/>
      <c r="CH396" s="430"/>
      <c r="CI396" s="430"/>
      <c r="CJ396" s="430"/>
      <c r="CK396" s="430"/>
      <c r="CL396" s="430"/>
    </row>
    <row r="397" spans="63:90" ht="14.25" customHeight="1">
      <c r="BK397" s="430"/>
      <c r="BL397" s="430"/>
      <c r="BM397" s="430"/>
      <c r="BN397" s="430"/>
      <c r="BO397" s="430"/>
      <c r="BP397" s="430"/>
      <c r="BQ397" s="430"/>
      <c r="BR397" s="430"/>
      <c r="BS397" s="430"/>
      <c r="BT397" s="430"/>
      <c r="BU397" s="430"/>
      <c r="BV397" s="430"/>
      <c r="BW397" s="430"/>
      <c r="BX397" s="430"/>
      <c r="BY397" s="430"/>
      <c r="BZ397" s="430"/>
      <c r="CA397" s="430"/>
      <c r="CB397" s="430"/>
      <c r="CC397" s="430"/>
      <c r="CD397" s="430"/>
      <c r="CE397" s="430"/>
      <c r="CF397" s="430"/>
      <c r="CG397" s="430"/>
      <c r="CH397" s="430"/>
      <c r="CI397" s="430"/>
      <c r="CJ397" s="430"/>
      <c r="CK397" s="430"/>
      <c r="CL397" s="430"/>
    </row>
    <row r="398" spans="63:90" ht="14.25" customHeight="1">
      <c r="BK398" s="430"/>
      <c r="BL398" s="430"/>
      <c r="BM398" s="430"/>
      <c r="BN398" s="430"/>
      <c r="BO398" s="430"/>
      <c r="BP398" s="430"/>
      <c r="BQ398" s="430"/>
      <c r="BR398" s="430"/>
      <c r="BS398" s="430"/>
      <c r="BT398" s="430"/>
      <c r="BU398" s="430"/>
      <c r="BV398" s="430"/>
      <c r="BW398" s="430"/>
      <c r="BX398" s="430"/>
      <c r="BY398" s="430"/>
      <c r="BZ398" s="430"/>
      <c r="CA398" s="430"/>
      <c r="CB398" s="430"/>
      <c r="CC398" s="430"/>
      <c r="CD398" s="430"/>
      <c r="CE398" s="430"/>
      <c r="CF398" s="430"/>
      <c r="CG398" s="430"/>
      <c r="CH398" s="430"/>
      <c r="CI398" s="430"/>
      <c r="CJ398" s="430"/>
      <c r="CK398" s="430"/>
      <c r="CL398" s="430"/>
    </row>
    <row r="399" spans="63:90" ht="14.25" customHeight="1">
      <c r="BK399" s="430"/>
      <c r="BL399" s="430"/>
      <c r="BM399" s="430"/>
      <c r="BN399" s="430"/>
      <c r="BO399" s="430"/>
      <c r="BP399" s="430"/>
      <c r="BQ399" s="430"/>
      <c r="BR399" s="430"/>
      <c r="BS399" s="430"/>
      <c r="BT399" s="430"/>
      <c r="BU399" s="430"/>
      <c r="BV399" s="430"/>
      <c r="BW399" s="430"/>
      <c r="BX399" s="430"/>
      <c r="BY399" s="430"/>
      <c r="BZ399" s="430"/>
      <c r="CA399" s="430"/>
      <c r="CB399" s="430"/>
      <c r="CC399" s="430"/>
      <c r="CD399" s="430"/>
      <c r="CE399" s="430"/>
      <c r="CF399" s="430"/>
      <c r="CG399" s="430"/>
      <c r="CH399" s="430"/>
      <c r="CI399" s="430"/>
      <c r="CJ399" s="430"/>
      <c r="CK399" s="430"/>
      <c r="CL399" s="430"/>
    </row>
    <row r="400" spans="63:90" ht="14.25" customHeight="1">
      <c r="BK400" s="430"/>
      <c r="BL400" s="430"/>
      <c r="BM400" s="430"/>
      <c r="BN400" s="430"/>
      <c r="BO400" s="430"/>
      <c r="BP400" s="430"/>
      <c r="BQ400" s="430"/>
      <c r="BR400" s="430"/>
      <c r="BS400" s="430"/>
      <c r="BT400" s="430"/>
      <c r="BU400" s="430"/>
      <c r="BV400" s="430"/>
      <c r="BW400" s="430"/>
      <c r="BX400" s="430"/>
      <c r="BY400" s="430"/>
      <c r="BZ400" s="430"/>
      <c r="CA400" s="430"/>
      <c r="CB400" s="430"/>
      <c r="CC400" s="430"/>
      <c r="CD400" s="430"/>
      <c r="CE400" s="430"/>
      <c r="CF400" s="430"/>
      <c r="CG400" s="430"/>
      <c r="CH400" s="430"/>
      <c r="CI400" s="430"/>
      <c r="CJ400" s="430"/>
      <c r="CK400" s="430"/>
      <c r="CL400" s="430"/>
    </row>
    <row r="401" spans="63:90" ht="14.25" customHeight="1">
      <c r="BK401" s="430"/>
      <c r="BL401" s="430"/>
      <c r="BM401" s="430"/>
      <c r="BN401" s="430"/>
      <c r="BO401" s="430"/>
      <c r="BP401" s="430"/>
      <c r="BQ401" s="430"/>
      <c r="BR401" s="430"/>
      <c r="BS401" s="430"/>
      <c r="BT401" s="430"/>
      <c r="BU401" s="430"/>
      <c r="BV401" s="430"/>
      <c r="BW401" s="430"/>
      <c r="BX401" s="430"/>
      <c r="BY401" s="430"/>
      <c r="BZ401" s="430"/>
      <c r="CA401" s="430"/>
      <c r="CB401" s="430"/>
      <c r="CC401" s="430"/>
      <c r="CD401" s="430"/>
      <c r="CE401" s="430"/>
      <c r="CF401" s="430"/>
      <c r="CG401" s="430"/>
      <c r="CH401" s="430"/>
      <c r="CI401" s="430"/>
      <c r="CJ401" s="430"/>
      <c r="CK401" s="430"/>
      <c r="CL401" s="430"/>
    </row>
    <row r="402" spans="63:90" ht="14.25" customHeight="1">
      <c r="BK402" s="430"/>
      <c r="BL402" s="430"/>
      <c r="BM402" s="430"/>
      <c r="BN402" s="430"/>
      <c r="BO402" s="430"/>
      <c r="BP402" s="430"/>
      <c r="BQ402" s="430"/>
      <c r="BR402" s="430"/>
      <c r="BS402" s="430"/>
      <c r="BT402" s="430"/>
      <c r="BU402" s="430"/>
      <c r="BV402" s="430"/>
      <c r="BW402" s="430"/>
      <c r="BX402" s="430"/>
      <c r="BY402" s="430"/>
      <c r="BZ402" s="430"/>
      <c r="CA402" s="430"/>
      <c r="CB402" s="430"/>
      <c r="CC402" s="430"/>
      <c r="CD402" s="430"/>
      <c r="CE402" s="430"/>
      <c r="CF402" s="430"/>
      <c r="CG402" s="430"/>
      <c r="CH402" s="430"/>
      <c r="CI402" s="430"/>
      <c r="CJ402" s="430"/>
      <c r="CK402" s="430"/>
      <c r="CL402" s="430"/>
    </row>
    <row r="403" spans="63:90" ht="14.25" customHeight="1">
      <c r="BK403" s="430"/>
      <c r="BL403" s="430"/>
      <c r="BM403" s="430"/>
      <c r="BN403" s="430"/>
      <c r="BO403" s="430"/>
      <c r="BP403" s="430"/>
      <c r="BQ403" s="430"/>
      <c r="BR403" s="430"/>
      <c r="BS403" s="430"/>
      <c r="BT403" s="430"/>
      <c r="BU403" s="430"/>
      <c r="BV403" s="430"/>
      <c r="BW403" s="430"/>
      <c r="BX403" s="430"/>
      <c r="BY403" s="430"/>
      <c r="BZ403" s="430"/>
      <c r="CA403" s="430"/>
      <c r="CB403" s="430"/>
      <c r="CC403" s="430"/>
      <c r="CD403" s="430"/>
      <c r="CE403" s="430"/>
      <c r="CF403" s="430"/>
      <c r="CG403" s="430"/>
      <c r="CH403" s="430"/>
      <c r="CI403" s="430"/>
      <c r="CJ403" s="430"/>
      <c r="CK403" s="430"/>
      <c r="CL403" s="430"/>
    </row>
    <row r="404" spans="63:90" ht="14.25" customHeight="1">
      <c r="BK404" s="430"/>
      <c r="BL404" s="430"/>
      <c r="BM404" s="430"/>
      <c r="BN404" s="430"/>
      <c r="BO404" s="430"/>
      <c r="BP404" s="430"/>
      <c r="BQ404" s="430"/>
      <c r="BR404" s="430"/>
      <c r="BS404" s="430"/>
      <c r="BT404" s="430"/>
      <c r="BU404" s="430"/>
      <c r="BV404" s="430"/>
      <c r="BW404" s="430"/>
      <c r="BX404" s="430"/>
      <c r="BY404" s="430"/>
      <c r="BZ404" s="430"/>
      <c r="CA404" s="430"/>
      <c r="CB404" s="430"/>
      <c r="CC404" s="430"/>
      <c r="CD404" s="430"/>
      <c r="CE404" s="430"/>
      <c r="CF404" s="430"/>
      <c r="CG404" s="430"/>
      <c r="CH404" s="430"/>
      <c r="CI404" s="430"/>
      <c r="CJ404" s="430"/>
      <c r="CK404" s="430"/>
      <c r="CL404" s="430"/>
    </row>
    <row r="405" spans="63:90" ht="14.25" customHeight="1">
      <c r="BK405" s="430"/>
      <c r="BL405" s="430"/>
      <c r="BM405" s="430"/>
      <c r="BN405" s="430"/>
      <c r="BO405" s="430"/>
      <c r="BP405" s="430"/>
      <c r="BQ405" s="430"/>
      <c r="BR405" s="430"/>
      <c r="BS405" s="430"/>
      <c r="BT405" s="430"/>
      <c r="BU405" s="430"/>
      <c r="BV405" s="430"/>
      <c r="BW405" s="430"/>
      <c r="BX405" s="430"/>
      <c r="BY405" s="430"/>
      <c r="BZ405" s="430"/>
      <c r="CA405" s="430"/>
      <c r="CB405" s="430"/>
      <c r="CC405" s="430"/>
      <c r="CD405" s="430"/>
      <c r="CE405" s="430"/>
      <c r="CF405" s="430"/>
      <c r="CG405" s="430"/>
      <c r="CH405" s="430"/>
      <c r="CI405" s="430"/>
      <c r="CJ405" s="430"/>
      <c r="CK405" s="430"/>
      <c r="CL405" s="430"/>
    </row>
    <row r="406" spans="63:90" ht="14.25" customHeight="1">
      <c r="BK406" s="430"/>
      <c r="BL406" s="430"/>
      <c r="BM406" s="430"/>
      <c r="BN406" s="430"/>
      <c r="BO406" s="430"/>
      <c r="BP406" s="430"/>
      <c r="BQ406" s="430"/>
      <c r="BR406" s="430"/>
      <c r="BS406" s="430"/>
      <c r="BT406" s="430"/>
      <c r="BU406" s="430"/>
      <c r="BV406" s="430"/>
      <c r="BW406" s="430"/>
      <c r="BX406" s="430"/>
      <c r="BY406" s="430"/>
      <c r="BZ406" s="430"/>
      <c r="CA406" s="430"/>
      <c r="CB406" s="430"/>
      <c r="CC406" s="430"/>
      <c r="CD406" s="430"/>
      <c r="CE406" s="430"/>
      <c r="CF406" s="430"/>
      <c r="CG406" s="430"/>
      <c r="CH406" s="430"/>
      <c r="CI406" s="430"/>
      <c r="CJ406" s="430"/>
      <c r="CK406" s="430"/>
      <c r="CL406" s="430"/>
    </row>
    <row r="407" spans="63:90" ht="14.25" customHeight="1">
      <c r="BK407" s="430"/>
      <c r="BL407" s="430"/>
      <c r="BM407" s="430"/>
      <c r="BN407" s="430"/>
      <c r="BO407" s="430"/>
      <c r="BP407" s="430"/>
      <c r="BQ407" s="430"/>
      <c r="BR407" s="430"/>
      <c r="BS407" s="430"/>
      <c r="BT407" s="430"/>
      <c r="BU407" s="430"/>
      <c r="BV407" s="430"/>
      <c r="BW407" s="430"/>
      <c r="BX407" s="430"/>
      <c r="BY407" s="430"/>
      <c r="BZ407" s="430"/>
      <c r="CA407" s="430"/>
      <c r="CB407" s="430"/>
      <c r="CC407" s="430"/>
      <c r="CD407" s="430"/>
      <c r="CE407" s="430"/>
      <c r="CF407" s="430"/>
      <c r="CG407" s="430"/>
      <c r="CH407" s="430"/>
      <c r="CI407" s="430"/>
      <c r="CJ407" s="430"/>
      <c r="CK407" s="430"/>
      <c r="CL407" s="430"/>
    </row>
    <row r="408" spans="63:90" ht="14.25" customHeight="1">
      <c r="BK408" s="430"/>
      <c r="BL408" s="430"/>
      <c r="BM408" s="430"/>
      <c r="BN408" s="430"/>
      <c r="BO408" s="430"/>
      <c r="BP408" s="430"/>
      <c r="BQ408" s="430"/>
      <c r="BR408" s="430"/>
      <c r="BS408" s="430"/>
      <c r="BT408" s="430"/>
      <c r="BU408" s="430"/>
      <c r="BV408" s="430"/>
      <c r="BW408" s="430"/>
      <c r="BX408" s="430"/>
      <c r="BY408" s="430"/>
      <c r="BZ408" s="430"/>
      <c r="CA408" s="430"/>
      <c r="CB408" s="430"/>
      <c r="CC408" s="430"/>
      <c r="CD408" s="430"/>
      <c r="CE408" s="430"/>
      <c r="CF408" s="430"/>
      <c r="CG408" s="430"/>
      <c r="CH408" s="430"/>
      <c r="CI408" s="430"/>
      <c r="CJ408" s="430"/>
      <c r="CK408" s="430"/>
      <c r="CL408" s="430"/>
    </row>
    <row r="409" spans="63:90" ht="14.25" customHeight="1">
      <c r="BK409" s="430"/>
      <c r="BL409" s="430"/>
      <c r="BM409" s="430"/>
      <c r="BN409" s="430"/>
      <c r="BO409" s="430"/>
      <c r="BP409" s="430"/>
      <c r="BQ409" s="430"/>
      <c r="BR409" s="430"/>
      <c r="BS409" s="430"/>
      <c r="BT409" s="430"/>
      <c r="BU409" s="430"/>
      <c r="BV409" s="430"/>
      <c r="BW409" s="430"/>
      <c r="BX409" s="430"/>
      <c r="BY409" s="430"/>
      <c r="BZ409" s="430"/>
      <c r="CA409" s="430"/>
      <c r="CB409" s="430"/>
      <c r="CC409" s="430"/>
      <c r="CD409" s="430"/>
      <c r="CE409" s="430"/>
      <c r="CF409" s="430"/>
      <c r="CG409" s="430"/>
      <c r="CH409" s="430"/>
      <c r="CI409" s="430"/>
      <c r="CJ409" s="430"/>
      <c r="CK409" s="430"/>
      <c r="CL409" s="430"/>
    </row>
    <row r="410" spans="63:90" ht="14.25" customHeight="1">
      <c r="BK410" s="430"/>
      <c r="BL410" s="430"/>
      <c r="BM410" s="430"/>
      <c r="BN410" s="430"/>
      <c r="BO410" s="430"/>
      <c r="BP410" s="430"/>
      <c r="BQ410" s="430"/>
      <c r="BR410" s="430"/>
      <c r="BS410" s="430"/>
      <c r="BT410" s="430"/>
      <c r="BU410" s="430"/>
      <c r="BV410" s="430"/>
      <c r="BW410" s="430"/>
      <c r="BX410" s="430"/>
      <c r="BY410" s="430"/>
      <c r="BZ410" s="430"/>
      <c r="CA410" s="430"/>
      <c r="CB410" s="430"/>
      <c r="CC410" s="430"/>
      <c r="CD410" s="430"/>
      <c r="CE410" s="430"/>
      <c r="CF410" s="430"/>
      <c r="CG410" s="430"/>
      <c r="CH410" s="430"/>
      <c r="CI410" s="430"/>
      <c r="CJ410" s="430"/>
      <c r="CK410" s="430"/>
      <c r="CL410" s="430"/>
    </row>
    <row r="411" spans="63:90" ht="14.25" customHeight="1">
      <c r="BK411" s="430"/>
      <c r="BL411" s="430"/>
      <c r="BM411" s="430"/>
      <c r="BN411" s="430"/>
      <c r="BO411" s="430"/>
      <c r="BP411" s="430"/>
      <c r="BQ411" s="430"/>
      <c r="BR411" s="430"/>
      <c r="BS411" s="430"/>
      <c r="BT411" s="430"/>
      <c r="BU411" s="430"/>
      <c r="BV411" s="430"/>
      <c r="BW411" s="430"/>
      <c r="BX411" s="430"/>
      <c r="BY411" s="430"/>
      <c r="BZ411" s="430"/>
      <c r="CA411" s="430"/>
      <c r="CB411" s="430"/>
      <c r="CC411" s="430"/>
      <c r="CD411" s="430"/>
      <c r="CE411" s="430"/>
      <c r="CF411" s="430"/>
      <c r="CG411" s="430"/>
      <c r="CH411" s="430"/>
      <c r="CI411" s="430"/>
      <c r="CJ411" s="430"/>
      <c r="CK411" s="430"/>
      <c r="CL411" s="430"/>
    </row>
    <row r="412" spans="63:90" ht="14.25" customHeight="1">
      <c r="BK412" s="430"/>
      <c r="BL412" s="430"/>
      <c r="BM412" s="430"/>
      <c r="BN412" s="430"/>
      <c r="BO412" s="430"/>
      <c r="BP412" s="430"/>
      <c r="BQ412" s="430"/>
      <c r="BR412" s="430"/>
      <c r="BS412" s="430"/>
      <c r="BT412" s="430"/>
      <c r="BU412" s="430"/>
      <c r="BV412" s="430"/>
      <c r="BW412" s="430"/>
      <c r="BX412" s="430"/>
      <c r="BY412" s="430"/>
      <c r="BZ412" s="430"/>
      <c r="CA412" s="430"/>
      <c r="CB412" s="430"/>
      <c r="CC412" s="430"/>
      <c r="CD412" s="430"/>
      <c r="CE412" s="430"/>
      <c r="CF412" s="430"/>
      <c r="CG412" s="430"/>
      <c r="CH412" s="430"/>
      <c r="CI412" s="430"/>
      <c r="CJ412" s="430"/>
      <c r="CK412" s="430"/>
      <c r="CL412" s="430"/>
    </row>
    <row r="413" spans="63:90" ht="14.25" customHeight="1">
      <c r="BK413" s="430"/>
      <c r="BL413" s="430"/>
      <c r="BM413" s="430"/>
      <c r="BN413" s="430"/>
      <c r="BO413" s="430"/>
      <c r="BP413" s="430"/>
      <c r="BQ413" s="430"/>
      <c r="BR413" s="430"/>
      <c r="BS413" s="430"/>
      <c r="BT413" s="430"/>
      <c r="BU413" s="430"/>
      <c r="BV413" s="430"/>
      <c r="BW413" s="430"/>
      <c r="BX413" s="430"/>
      <c r="BY413" s="430"/>
      <c r="BZ413" s="430"/>
      <c r="CA413" s="430"/>
      <c r="CB413" s="430"/>
      <c r="CC413" s="430"/>
      <c r="CD413" s="430"/>
      <c r="CE413" s="430"/>
      <c r="CF413" s="430"/>
      <c r="CG413" s="430"/>
      <c r="CH413" s="430"/>
      <c r="CI413" s="430"/>
      <c r="CJ413" s="430"/>
      <c r="CK413" s="430"/>
      <c r="CL413" s="430"/>
    </row>
    <row r="414" spans="63:90" ht="14.25" customHeight="1">
      <c r="BK414" s="430"/>
      <c r="BL414" s="430"/>
      <c r="BM414" s="430"/>
      <c r="BN414" s="430"/>
      <c r="BO414" s="430"/>
      <c r="BP414" s="430"/>
      <c r="BQ414" s="430"/>
      <c r="BR414" s="430"/>
      <c r="BS414" s="430"/>
      <c r="BT414" s="430"/>
      <c r="BU414" s="430"/>
      <c r="BV414" s="430"/>
      <c r="BW414" s="430"/>
      <c r="BX414" s="430"/>
      <c r="BY414" s="430"/>
      <c r="BZ414" s="430"/>
      <c r="CA414" s="430"/>
      <c r="CB414" s="430"/>
      <c r="CC414" s="430"/>
      <c r="CD414" s="430"/>
      <c r="CE414" s="430"/>
      <c r="CF414" s="430"/>
      <c r="CG414" s="430"/>
      <c r="CH414" s="430"/>
      <c r="CI414" s="430"/>
      <c r="CJ414" s="430"/>
      <c r="CK414" s="430"/>
      <c r="CL414" s="430"/>
    </row>
    <row r="415" spans="63:90" ht="14.25" customHeight="1">
      <c r="BK415" s="430"/>
      <c r="BL415" s="430"/>
      <c r="BM415" s="430"/>
      <c r="BN415" s="430"/>
      <c r="BO415" s="430"/>
      <c r="BP415" s="430"/>
      <c r="BQ415" s="430"/>
      <c r="BR415" s="430"/>
      <c r="BS415" s="430"/>
      <c r="BT415" s="430"/>
      <c r="BU415" s="430"/>
      <c r="BV415" s="430"/>
      <c r="BW415" s="430"/>
      <c r="BX415" s="430"/>
      <c r="BY415" s="430"/>
      <c r="BZ415" s="430"/>
      <c r="CA415" s="430"/>
      <c r="CB415" s="430"/>
      <c r="CC415" s="430"/>
      <c r="CD415" s="430"/>
      <c r="CE415" s="430"/>
      <c r="CF415" s="430"/>
      <c r="CG415" s="430"/>
      <c r="CH415" s="430"/>
      <c r="CI415" s="430"/>
      <c r="CJ415" s="430"/>
      <c r="CK415" s="430"/>
      <c r="CL415" s="430"/>
    </row>
    <row r="416" spans="63:90" ht="14.25" customHeight="1">
      <c r="BK416" s="430"/>
      <c r="BL416" s="430"/>
      <c r="BM416" s="430"/>
      <c r="BN416" s="430"/>
      <c r="BO416" s="430"/>
      <c r="BP416" s="430"/>
      <c r="BQ416" s="430"/>
      <c r="BR416" s="430"/>
      <c r="BS416" s="430"/>
      <c r="BT416" s="430"/>
      <c r="BU416" s="430"/>
      <c r="BV416" s="430"/>
      <c r="BW416" s="430"/>
      <c r="BX416" s="430"/>
      <c r="BY416" s="430"/>
      <c r="BZ416" s="430"/>
      <c r="CA416" s="430"/>
      <c r="CB416" s="430"/>
      <c r="CC416" s="430"/>
      <c r="CD416" s="430"/>
      <c r="CE416" s="430"/>
      <c r="CF416" s="430"/>
      <c r="CG416" s="430"/>
      <c r="CH416" s="430"/>
      <c r="CI416" s="430"/>
      <c r="CJ416" s="430"/>
      <c r="CK416" s="430"/>
      <c r="CL416" s="430"/>
    </row>
    <row r="417" spans="63:90" ht="14.25" customHeight="1">
      <c r="BK417" s="430"/>
      <c r="BL417" s="430"/>
      <c r="BM417" s="430"/>
      <c r="BN417" s="430"/>
      <c r="BO417" s="430"/>
      <c r="BP417" s="430"/>
      <c r="BQ417" s="430"/>
      <c r="BR417" s="430"/>
      <c r="BS417" s="430"/>
      <c r="BT417" s="430"/>
      <c r="BU417" s="430"/>
      <c r="BV417" s="430"/>
      <c r="BW417" s="430"/>
      <c r="BX417" s="430"/>
      <c r="BY417" s="430"/>
      <c r="BZ417" s="430"/>
      <c r="CA417" s="430"/>
      <c r="CB417" s="430"/>
      <c r="CC417" s="430"/>
      <c r="CD417" s="430"/>
      <c r="CE417" s="430"/>
      <c r="CF417" s="430"/>
      <c r="CG417" s="430"/>
      <c r="CH417" s="430"/>
      <c r="CI417" s="430"/>
      <c r="CJ417" s="430"/>
      <c r="CK417" s="430"/>
      <c r="CL417" s="430"/>
    </row>
    <row r="418" spans="63:90" ht="14.25" customHeight="1">
      <c r="BK418" s="430"/>
      <c r="BL418" s="430"/>
      <c r="BM418" s="430"/>
      <c r="BN418" s="430"/>
      <c r="BO418" s="430"/>
      <c r="BP418" s="430"/>
      <c r="BQ418" s="430"/>
      <c r="BR418" s="430"/>
      <c r="BS418" s="430"/>
      <c r="BT418" s="430"/>
      <c r="BU418" s="430"/>
      <c r="BV418" s="430"/>
      <c r="BW418" s="430"/>
      <c r="BX418" s="430"/>
      <c r="BY418" s="430"/>
      <c r="BZ418" s="430"/>
      <c r="CA418" s="430"/>
      <c r="CB418" s="430"/>
      <c r="CC418" s="430"/>
      <c r="CD418" s="430"/>
      <c r="CE418" s="430"/>
      <c r="CF418" s="430"/>
      <c r="CG418" s="430"/>
      <c r="CH418" s="430"/>
      <c r="CI418" s="430"/>
      <c r="CJ418" s="430"/>
      <c r="CK418" s="430"/>
      <c r="CL418" s="430"/>
    </row>
    <row r="419" spans="63:90" ht="14.25" customHeight="1">
      <c r="BK419" s="430"/>
      <c r="BL419" s="430"/>
      <c r="BM419" s="430"/>
      <c r="BN419" s="430"/>
      <c r="BO419" s="430"/>
      <c r="BP419" s="430"/>
      <c r="BQ419" s="430"/>
      <c r="BR419" s="430"/>
      <c r="BS419" s="430"/>
      <c r="BT419" s="430"/>
      <c r="BU419" s="430"/>
      <c r="BV419" s="430"/>
      <c r="BW419" s="430"/>
      <c r="BX419" s="430"/>
      <c r="BY419" s="430"/>
      <c r="BZ419" s="430"/>
      <c r="CA419" s="430"/>
      <c r="CB419" s="430"/>
      <c r="CC419" s="430"/>
      <c r="CD419" s="430"/>
      <c r="CE419" s="430"/>
      <c r="CF419" s="430"/>
      <c r="CG419" s="430"/>
      <c r="CH419" s="430"/>
      <c r="CI419" s="430"/>
      <c r="CJ419" s="430"/>
      <c r="CK419" s="430"/>
      <c r="CL419" s="430"/>
    </row>
    <row r="420" spans="63:90" ht="14.25" customHeight="1">
      <c r="BK420" s="430"/>
      <c r="BL420" s="430"/>
      <c r="BM420" s="430"/>
      <c r="BN420" s="430"/>
      <c r="BO420" s="430"/>
      <c r="BP420" s="430"/>
      <c r="BQ420" s="430"/>
      <c r="BR420" s="430"/>
      <c r="BS420" s="430"/>
      <c r="BT420" s="430"/>
      <c r="BU420" s="430"/>
      <c r="BV420" s="430"/>
      <c r="BW420" s="430"/>
      <c r="BX420" s="430"/>
      <c r="BY420" s="430"/>
      <c r="BZ420" s="430"/>
      <c r="CA420" s="430"/>
      <c r="CB420" s="430"/>
      <c r="CC420" s="430"/>
      <c r="CD420" s="430"/>
      <c r="CE420" s="430"/>
      <c r="CF420" s="430"/>
      <c r="CG420" s="430"/>
      <c r="CH420" s="430"/>
      <c r="CI420" s="430"/>
      <c r="CJ420" s="430"/>
      <c r="CK420" s="430"/>
      <c r="CL420" s="430"/>
    </row>
    <row r="421" spans="63:90" ht="14.25" customHeight="1">
      <c r="BK421" s="430"/>
      <c r="BL421" s="430"/>
      <c r="BM421" s="430"/>
      <c r="BN421" s="430"/>
      <c r="BO421" s="430"/>
      <c r="BP421" s="430"/>
      <c r="BQ421" s="430"/>
      <c r="BR421" s="430"/>
      <c r="BS421" s="430"/>
      <c r="BT421" s="430"/>
      <c r="BU421" s="430"/>
      <c r="BV421" s="430"/>
      <c r="BW421" s="430"/>
      <c r="BX421" s="430"/>
      <c r="BY421" s="430"/>
      <c r="BZ421" s="430"/>
      <c r="CA421" s="430"/>
      <c r="CB421" s="430"/>
      <c r="CC421" s="430"/>
      <c r="CD421" s="430"/>
      <c r="CE421" s="430"/>
      <c r="CF421" s="430"/>
      <c r="CG421" s="430"/>
      <c r="CH421" s="430"/>
      <c r="CI421" s="430"/>
      <c r="CJ421" s="430"/>
      <c r="CK421" s="430"/>
      <c r="CL421" s="430"/>
    </row>
    <row r="422" spans="63:90" ht="14.25" customHeight="1">
      <c r="BK422" s="430"/>
      <c r="BL422" s="430"/>
      <c r="BM422" s="430"/>
      <c r="BN422" s="430"/>
      <c r="BO422" s="430"/>
      <c r="BP422" s="430"/>
      <c r="BQ422" s="430"/>
      <c r="BR422" s="430"/>
      <c r="BS422" s="430"/>
      <c r="BT422" s="430"/>
      <c r="BU422" s="430"/>
      <c r="BV422" s="430"/>
      <c r="BW422" s="430"/>
      <c r="BX422" s="430"/>
      <c r="BY422" s="430"/>
      <c r="BZ422" s="430"/>
      <c r="CA422" s="430"/>
      <c r="CB422" s="430"/>
      <c r="CC422" s="430"/>
      <c r="CD422" s="430"/>
      <c r="CE422" s="430"/>
      <c r="CF422" s="430"/>
      <c r="CG422" s="430"/>
      <c r="CH422" s="430"/>
      <c r="CI422" s="430"/>
      <c r="CJ422" s="430"/>
      <c r="CK422" s="430"/>
      <c r="CL422" s="430"/>
    </row>
    <row r="423" spans="63:90" ht="14.25" customHeight="1">
      <c r="BK423" s="430"/>
      <c r="BL423" s="430"/>
      <c r="BM423" s="430"/>
      <c r="BN423" s="430"/>
      <c r="BO423" s="430"/>
      <c r="BP423" s="430"/>
      <c r="BQ423" s="430"/>
      <c r="BR423" s="430"/>
      <c r="BS423" s="430"/>
      <c r="BT423" s="430"/>
      <c r="BU423" s="430"/>
      <c r="BV423" s="430"/>
      <c r="BW423" s="430"/>
      <c r="BX423" s="430"/>
      <c r="BY423" s="430"/>
      <c r="BZ423" s="430"/>
      <c r="CA423" s="430"/>
      <c r="CB423" s="430"/>
      <c r="CC423" s="430"/>
      <c r="CD423" s="430"/>
      <c r="CE423" s="430"/>
      <c r="CF423" s="430"/>
      <c r="CG423" s="430"/>
      <c r="CH423" s="430"/>
      <c r="CI423" s="430"/>
      <c r="CJ423" s="430"/>
      <c r="CK423" s="430"/>
      <c r="CL423" s="430"/>
    </row>
    <row r="424" spans="63:90" ht="14.25" customHeight="1">
      <c r="BK424" s="430"/>
      <c r="BL424" s="430"/>
      <c r="BM424" s="430"/>
      <c r="BN424" s="430"/>
      <c r="BO424" s="430"/>
      <c r="BP424" s="430"/>
      <c r="BQ424" s="430"/>
      <c r="BR424" s="430"/>
      <c r="BS424" s="430"/>
      <c r="BT424" s="430"/>
      <c r="BU424" s="430"/>
      <c r="BV424" s="430"/>
      <c r="BW424" s="430"/>
      <c r="BX424" s="430"/>
      <c r="BY424" s="430"/>
      <c r="BZ424" s="430"/>
      <c r="CA424" s="430"/>
      <c r="CB424" s="430"/>
      <c r="CC424" s="430"/>
      <c r="CD424" s="430"/>
      <c r="CE424" s="430"/>
      <c r="CF424" s="430"/>
      <c r="CG424" s="430"/>
      <c r="CH424" s="430"/>
      <c r="CI424" s="430"/>
      <c r="CJ424" s="430"/>
      <c r="CK424" s="430"/>
      <c r="CL424" s="430"/>
    </row>
    <row r="425" spans="63:90" ht="14.25" customHeight="1">
      <c r="BK425" s="430"/>
      <c r="BL425" s="430"/>
      <c r="BM425" s="430"/>
      <c r="BN425" s="430"/>
      <c r="BO425" s="430"/>
      <c r="BP425" s="430"/>
      <c r="BQ425" s="430"/>
      <c r="BR425" s="430"/>
      <c r="BS425" s="430"/>
      <c r="BT425" s="430"/>
      <c r="BU425" s="430"/>
      <c r="BV425" s="430"/>
      <c r="BW425" s="430"/>
      <c r="BX425" s="430"/>
      <c r="BY425" s="430"/>
      <c r="BZ425" s="430"/>
      <c r="CA425" s="430"/>
      <c r="CB425" s="430"/>
      <c r="CC425" s="430"/>
      <c r="CD425" s="430"/>
      <c r="CE425" s="430"/>
      <c r="CF425" s="430"/>
      <c r="CG425" s="430"/>
      <c r="CH425" s="430"/>
      <c r="CI425" s="430"/>
      <c r="CJ425" s="430"/>
      <c r="CK425" s="430"/>
      <c r="CL425" s="430"/>
    </row>
    <row r="426" spans="63:90" ht="14.25" customHeight="1">
      <c r="BK426" s="430"/>
      <c r="BL426" s="430"/>
      <c r="BM426" s="430"/>
      <c r="BN426" s="430"/>
      <c r="BO426" s="430"/>
      <c r="BP426" s="430"/>
      <c r="BQ426" s="430"/>
      <c r="BR426" s="430"/>
      <c r="BS426" s="430"/>
      <c r="BT426" s="430"/>
      <c r="BU426" s="430"/>
      <c r="BV426" s="430"/>
      <c r="BW426" s="430"/>
      <c r="BX426" s="430"/>
      <c r="BY426" s="430"/>
      <c r="BZ426" s="430"/>
      <c r="CA426" s="430"/>
      <c r="CB426" s="430"/>
      <c r="CC426" s="430"/>
      <c r="CD426" s="430"/>
      <c r="CE426" s="430"/>
      <c r="CF426" s="430"/>
      <c r="CG426" s="430"/>
      <c r="CH426" s="430"/>
      <c r="CI426" s="430"/>
      <c r="CJ426" s="430"/>
      <c r="CK426" s="430"/>
      <c r="CL426" s="430"/>
    </row>
    <row r="427" spans="63:90" ht="14.25" customHeight="1">
      <c r="BK427" s="430"/>
      <c r="BL427" s="430"/>
      <c r="BM427" s="430"/>
      <c r="BN427" s="430"/>
      <c r="BO427" s="430"/>
      <c r="BP427" s="430"/>
      <c r="BQ427" s="430"/>
      <c r="BR427" s="430"/>
      <c r="BS427" s="430"/>
      <c r="BT427" s="430"/>
      <c r="BU427" s="430"/>
      <c r="BV427" s="430"/>
      <c r="BW427" s="430"/>
      <c r="BX427" s="430"/>
      <c r="BY427" s="430"/>
      <c r="BZ427" s="430"/>
      <c r="CA427" s="430"/>
      <c r="CB427" s="430"/>
      <c r="CC427" s="430"/>
      <c r="CD427" s="430"/>
      <c r="CE427" s="430"/>
      <c r="CF427" s="430"/>
      <c r="CG427" s="430"/>
      <c r="CH427" s="430"/>
      <c r="CI427" s="430"/>
      <c r="CJ427" s="430"/>
      <c r="CK427" s="430"/>
      <c r="CL427" s="430"/>
    </row>
    <row r="428" spans="63:90" ht="14.25" customHeight="1">
      <c r="BK428" s="430"/>
      <c r="BL428" s="430"/>
      <c r="BM428" s="430"/>
      <c r="BN428" s="430"/>
      <c r="BO428" s="430"/>
      <c r="BP428" s="430"/>
      <c r="BQ428" s="430"/>
      <c r="BR428" s="430"/>
      <c r="BS428" s="430"/>
      <c r="BT428" s="430"/>
      <c r="BU428" s="430"/>
      <c r="BV428" s="430"/>
      <c r="BW428" s="430"/>
      <c r="BX428" s="430"/>
      <c r="BY428" s="430"/>
      <c r="BZ428" s="430"/>
      <c r="CA428" s="430"/>
      <c r="CB428" s="430"/>
      <c r="CC428" s="430"/>
      <c r="CD428" s="430"/>
      <c r="CE428" s="430"/>
      <c r="CF428" s="430"/>
      <c r="CG428" s="430"/>
      <c r="CH428" s="430"/>
      <c r="CI428" s="430"/>
      <c r="CJ428" s="430"/>
      <c r="CK428" s="430"/>
      <c r="CL428" s="430"/>
    </row>
    <row r="429" spans="63:90" ht="14.25" customHeight="1">
      <c r="BK429" s="430"/>
      <c r="BL429" s="430"/>
      <c r="BM429" s="430"/>
      <c r="BN429" s="430"/>
      <c r="BO429" s="430"/>
      <c r="BP429" s="430"/>
      <c r="BQ429" s="430"/>
      <c r="BR429" s="430"/>
      <c r="BS429" s="430"/>
      <c r="BT429" s="430"/>
      <c r="BU429" s="430"/>
      <c r="BV429" s="430"/>
      <c r="BW429" s="430"/>
      <c r="BX429" s="430"/>
      <c r="BY429" s="430"/>
      <c r="BZ429" s="430"/>
      <c r="CA429" s="430"/>
      <c r="CB429" s="430"/>
      <c r="CC429" s="430"/>
      <c r="CD429" s="430"/>
      <c r="CE429" s="430"/>
      <c r="CF429" s="430"/>
      <c r="CG429" s="430"/>
      <c r="CH429" s="430"/>
      <c r="CI429" s="430"/>
      <c r="CJ429" s="430"/>
      <c r="CK429" s="430"/>
      <c r="CL429" s="430"/>
    </row>
    <row r="430" spans="63:90" ht="14.25" customHeight="1">
      <c r="BK430" s="430"/>
      <c r="BL430" s="430"/>
      <c r="BM430" s="430"/>
      <c r="BN430" s="430"/>
      <c r="BO430" s="430"/>
      <c r="BP430" s="430"/>
      <c r="BQ430" s="430"/>
      <c r="BR430" s="430"/>
      <c r="BS430" s="430"/>
      <c r="BT430" s="430"/>
      <c r="BU430" s="430"/>
      <c r="BV430" s="430"/>
      <c r="BW430" s="430"/>
      <c r="BX430" s="430"/>
      <c r="BY430" s="430"/>
      <c r="BZ430" s="430"/>
      <c r="CA430" s="430"/>
      <c r="CB430" s="430"/>
      <c r="CC430" s="430"/>
      <c r="CD430" s="430"/>
      <c r="CE430" s="430"/>
      <c r="CF430" s="430"/>
      <c r="CG430" s="430"/>
      <c r="CH430" s="430"/>
      <c r="CI430" s="430"/>
      <c r="CJ430" s="430"/>
      <c r="CK430" s="430"/>
      <c r="CL430" s="430"/>
    </row>
    <row r="431" spans="63:90" ht="14.25" customHeight="1">
      <c r="BK431" s="430"/>
      <c r="BL431" s="430"/>
      <c r="BM431" s="430"/>
      <c r="BN431" s="430"/>
      <c r="BO431" s="430"/>
      <c r="BP431" s="430"/>
      <c r="BQ431" s="430"/>
      <c r="BR431" s="430"/>
      <c r="BS431" s="430"/>
      <c r="BT431" s="430"/>
      <c r="BU431" s="430"/>
      <c r="BV431" s="430"/>
      <c r="BW431" s="430"/>
      <c r="BX431" s="430"/>
      <c r="BY431" s="430"/>
      <c r="BZ431" s="430"/>
      <c r="CA431" s="430"/>
      <c r="CB431" s="430"/>
      <c r="CC431" s="430"/>
      <c r="CD431" s="430"/>
      <c r="CE431" s="430"/>
      <c r="CF431" s="430"/>
      <c r="CG431" s="430"/>
      <c r="CH431" s="430"/>
      <c r="CI431" s="430"/>
      <c r="CJ431" s="430"/>
      <c r="CK431" s="430"/>
      <c r="CL431" s="430"/>
    </row>
    <row r="432" spans="63:90" ht="14.25" customHeight="1">
      <c r="BK432" s="430"/>
      <c r="BL432" s="430"/>
      <c r="BM432" s="430"/>
      <c r="BN432" s="430"/>
      <c r="BO432" s="430"/>
      <c r="BP432" s="430"/>
      <c r="BQ432" s="430"/>
      <c r="BR432" s="430"/>
      <c r="BS432" s="430"/>
      <c r="BT432" s="430"/>
      <c r="BU432" s="430"/>
      <c r="BV432" s="430"/>
      <c r="BW432" s="430"/>
      <c r="BX432" s="430"/>
      <c r="BY432" s="430"/>
      <c r="BZ432" s="430"/>
      <c r="CA432" s="430"/>
      <c r="CB432" s="430"/>
      <c r="CC432" s="430"/>
      <c r="CD432" s="430"/>
      <c r="CE432" s="430"/>
      <c r="CF432" s="430"/>
      <c r="CG432" s="430"/>
      <c r="CH432" s="430"/>
      <c r="CI432" s="430"/>
      <c r="CJ432" s="430"/>
      <c r="CK432" s="430"/>
      <c r="CL432" s="430"/>
    </row>
    <row r="433" spans="63:90" ht="14.25" customHeight="1">
      <c r="BK433" s="430"/>
      <c r="BL433" s="430"/>
      <c r="BM433" s="430"/>
      <c r="BN433" s="430"/>
      <c r="BO433" s="430"/>
      <c r="BP433" s="430"/>
      <c r="BQ433" s="430"/>
      <c r="BR433" s="430"/>
      <c r="BS433" s="430"/>
      <c r="BT433" s="430"/>
      <c r="BU433" s="430"/>
      <c r="BV433" s="430"/>
      <c r="BW433" s="430"/>
      <c r="BX433" s="430"/>
      <c r="BY433" s="430"/>
      <c r="BZ433" s="430"/>
      <c r="CA433" s="430"/>
      <c r="CB433" s="430"/>
      <c r="CC433" s="430"/>
      <c r="CD433" s="430"/>
      <c r="CE433" s="430"/>
      <c r="CF433" s="430"/>
      <c r="CG433" s="430"/>
      <c r="CH433" s="430"/>
      <c r="CI433" s="430"/>
      <c r="CJ433" s="430"/>
      <c r="CK433" s="430"/>
      <c r="CL433" s="430"/>
    </row>
    <row r="434" spans="63:90" ht="14.25" customHeight="1">
      <c r="BK434" s="430"/>
      <c r="BL434" s="430"/>
      <c r="BM434" s="430"/>
      <c r="BN434" s="430"/>
      <c r="BO434" s="430"/>
      <c r="BP434" s="430"/>
      <c r="BQ434" s="430"/>
      <c r="BR434" s="430"/>
      <c r="BS434" s="430"/>
      <c r="BT434" s="430"/>
      <c r="BU434" s="430"/>
      <c r="BV434" s="430"/>
      <c r="BW434" s="430"/>
      <c r="BX434" s="430"/>
      <c r="BY434" s="430"/>
      <c r="BZ434" s="430"/>
      <c r="CA434" s="430"/>
      <c r="CB434" s="430"/>
      <c r="CC434" s="430"/>
      <c r="CD434" s="430"/>
      <c r="CE434" s="430"/>
      <c r="CF434" s="430"/>
      <c r="CG434" s="430"/>
      <c r="CH434" s="430"/>
      <c r="CI434" s="430"/>
      <c r="CJ434" s="430"/>
      <c r="CK434" s="430"/>
      <c r="CL434" s="430"/>
    </row>
    <row r="435" spans="63:90" ht="14.25" customHeight="1">
      <c r="BK435" s="430"/>
      <c r="BL435" s="430"/>
      <c r="BM435" s="430"/>
      <c r="BN435" s="430"/>
      <c r="BO435" s="430"/>
      <c r="BP435" s="430"/>
      <c r="BQ435" s="430"/>
      <c r="BR435" s="430"/>
      <c r="BS435" s="430"/>
      <c r="BT435" s="430"/>
      <c r="BU435" s="430"/>
      <c r="BV435" s="430"/>
      <c r="BW435" s="430"/>
      <c r="BX435" s="430"/>
      <c r="BY435" s="430"/>
      <c r="BZ435" s="430"/>
      <c r="CA435" s="430"/>
      <c r="CB435" s="430"/>
      <c r="CC435" s="430"/>
      <c r="CD435" s="430"/>
      <c r="CE435" s="430"/>
      <c r="CF435" s="430"/>
      <c r="CG435" s="430"/>
      <c r="CH435" s="430"/>
      <c r="CI435" s="430"/>
      <c r="CJ435" s="430"/>
      <c r="CK435" s="430"/>
      <c r="CL435" s="430"/>
    </row>
    <row r="436" spans="63:90" ht="14.25" customHeight="1">
      <c r="BK436" s="430"/>
      <c r="BL436" s="430"/>
      <c r="BM436" s="430"/>
      <c r="BN436" s="430"/>
      <c r="BO436" s="430"/>
      <c r="BP436" s="430"/>
      <c r="BQ436" s="430"/>
      <c r="BR436" s="430"/>
      <c r="BS436" s="430"/>
      <c r="BT436" s="430"/>
      <c r="BU436" s="430"/>
      <c r="BV436" s="430"/>
      <c r="BW436" s="430"/>
      <c r="BX436" s="430"/>
      <c r="BY436" s="430"/>
      <c r="BZ436" s="430"/>
      <c r="CA436" s="430"/>
      <c r="CB436" s="430"/>
      <c r="CC436" s="430"/>
      <c r="CD436" s="430"/>
      <c r="CE436" s="430"/>
      <c r="CF436" s="430"/>
      <c r="CG436" s="430"/>
      <c r="CH436" s="430"/>
      <c r="CI436" s="430"/>
      <c r="CJ436" s="430"/>
      <c r="CK436" s="430"/>
      <c r="CL436" s="430"/>
    </row>
    <row r="437" spans="63:90" ht="14.25" customHeight="1">
      <c r="BK437" s="430"/>
      <c r="BL437" s="430"/>
      <c r="BM437" s="430"/>
      <c r="BN437" s="430"/>
      <c r="BO437" s="430"/>
      <c r="BP437" s="430"/>
      <c r="BQ437" s="430"/>
      <c r="BR437" s="430"/>
      <c r="BS437" s="430"/>
      <c r="BT437" s="430"/>
      <c r="BU437" s="430"/>
      <c r="BV437" s="430"/>
      <c r="BW437" s="430"/>
      <c r="BX437" s="430"/>
      <c r="BY437" s="430"/>
      <c r="BZ437" s="430"/>
      <c r="CA437" s="430"/>
      <c r="CB437" s="430"/>
      <c r="CC437" s="430"/>
      <c r="CD437" s="430"/>
      <c r="CE437" s="430"/>
      <c r="CF437" s="430"/>
      <c r="CG437" s="430"/>
      <c r="CH437" s="430"/>
      <c r="CI437" s="430"/>
      <c r="CJ437" s="430"/>
      <c r="CK437" s="430"/>
      <c r="CL437" s="430"/>
    </row>
    <row r="438" spans="63:90" ht="14.25" customHeight="1">
      <c r="BK438" s="430"/>
      <c r="BL438" s="430"/>
      <c r="BM438" s="430"/>
      <c r="BN438" s="430"/>
      <c r="BO438" s="430"/>
      <c r="BP438" s="430"/>
      <c r="BQ438" s="430"/>
      <c r="BR438" s="430"/>
      <c r="BS438" s="430"/>
      <c r="BT438" s="430"/>
      <c r="BU438" s="430"/>
      <c r="BV438" s="430"/>
      <c r="BW438" s="430"/>
      <c r="BX438" s="430"/>
      <c r="BY438" s="430"/>
      <c r="BZ438" s="430"/>
      <c r="CA438" s="430"/>
      <c r="CB438" s="430"/>
      <c r="CC438" s="430"/>
      <c r="CD438" s="430"/>
      <c r="CE438" s="430"/>
      <c r="CF438" s="430"/>
      <c r="CG438" s="430"/>
      <c r="CH438" s="430"/>
      <c r="CI438" s="430"/>
      <c r="CJ438" s="430"/>
      <c r="CK438" s="430"/>
      <c r="CL438" s="430"/>
    </row>
    <row r="439" spans="63:90" ht="14.25" customHeight="1">
      <c r="BK439" s="430"/>
      <c r="BL439" s="430"/>
      <c r="BM439" s="430"/>
      <c r="BN439" s="430"/>
      <c r="BO439" s="430"/>
      <c r="BP439" s="430"/>
      <c r="BQ439" s="430"/>
      <c r="BR439" s="430"/>
      <c r="BS439" s="430"/>
      <c r="BT439" s="430"/>
      <c r="BU439" s="430"/>
      <c r="BV439" s="430"/>
      <c r="BW439" s="430"/>
      <c r="BX439" s="430"/>
      <c r="BY439" s="430"/>
      <c r="BZ439" s="430"/>
      <c r="CA439" s="430"/>
      <c r="CB439" s="430"/>
      <c r="CC439" s="430"/>
      <c r="CD439" s="430"/>
      <c r="CE439" s="430"/>
      <c r="CF439" s="430"/>
      <c r="CG439" s="430"/>
      <c r="CH439" s="430"/>
      <c r="CI439" s="430"/>
      <c r="CJ439" s="430"/>
      <c r="CK439" s="430"/>
      <c r="CL439" s="430"/>
    </row>
    <row r="440" spans="63:90" ht="14.25" customHeight="1">
      <c r="BK440" s="430"/>
      <c r="BL440" s="430"/>
      <c r="BM440" s="430"/>
      <c r="BN440" s="430"/>
      <c r="BO440" s="430"/>
      <c r="BP440" s="430"/>
      <c r="BQ440" s="430"/>
      <c r="BR440" s="430"/>
      <c r="BS440" s="430"/>
      <c r="BT440" s="430"/>
      <c r="BU440" s="430"/>
      <c r="BV440" s="430"/>
      <c r="BW440" s="430"/>
      <c r="BX440" s="430"/>
      <c r="BY440" s="430"/>
      <c r="BZ440" s="430"/>
      <c r="CA440" s="430"/>
      <c r="CB440" s="430"/>
      <c r="CC440" s="430"/>
      <c r="CD440" s="430"/>
      <c r="CE440" s="430"/>
      <c r="CF440" s="430"/>
      <c r="CG440" s="430"/>
      <c r="CH440" s="430"/>
      <c r="CI440" s="430"/>
      <c r="CJ440" s="430"/>
      <c r="CK440" s="430"/>
      <c r="CL440" s="430"/>
    </row>
    <row r="441" spans="63:90" ht="14.25" customHeight="1">
      <c r="BK441" s="430"/>
      <c r="BL441" s="430"/>
      <c r="BM441" s="430"/>
      <c r="BN441" s="430"/>
      <c r="BO441" s="430"/>
      <c r="BP441" s="430"/>
      <c r="BQ441" s="430"/>
      <c r="BR441" s="430"/>
      <c r="BS441" s="430"/>
      <c r="BT441" s="430"/>
      <c r="BU441" s="430"/>
      <c r="BV441" s="430"/>
      <c r="BW441" s="430"/>
      <c r="BX441" s="430"/>
      <c r="BY441" s="430"/>
      <c r="BZ441" s="430"/>
      <c r="CA441" s="430"/>
      <c r="CB441" s="430"/>
      <c r="CC441" s="430"/>
      <c r="CD441" s="430"/>
      <c r="CE441" s="430"/>
      <c r="CF441" s="430"/>
      <c r="CG441" s="430"/>
      <c r="CH441" s="430"/>
      <c r="CI441" s="430"/>
      <c r="CJ441" s="430"/>
      <c r="CK441" s="430"/>
      <c r="CL441" s="430"/>
    </row>
    <row r="442" spans="63:90" ht="14.25" customHeight="1">
      <c r="BK442" s="430"/>
      <c r="BL442" s="430"/>
      <c r="BM442" s="430"/>
      <c r="BN442" s="430"/>
      <c r="BO442" s="430"/>
      <c r="BP442" s="430"/>
      <c r="BQ442" s="430"/>
      <c r="BR442" s="430"/>
      <c r="BS442" s="430"/>
      <c r="BT442" s="430"/>
      <c r="BU442" s="430"/>
      <c r="BV442" s="430"/>
      <c r="BW442" s="430"/>
      <c r="BX442" s="430"/>
      <c r="BY442" s="430"/>
      <c r="BZ442" s="430"/>
      <c r="CA442" s="430"/>
      <c r="CB442" s="430"/>
      <c r="CC442" s="430"/>
      <c r="CD442" s="430"/>
      <c r="CE442" s="430"/>
      <c r="CF442" s="430"/>
      <c r="CG442" s="430"/>
      <c r="CH442" s="430"/>
      <c r="CI442" s="430"/>
      <c r="CJ442" s="430"/>
      <c r="CK442" s="430"/>
      <c r="CL442" s="430"/>
    </row>
    <row r="443" spans="63:90" ht="14.25" customHeight="1">
      <c r="BK443" s="430"/>
      <c r="BL443" s="430"/>
      <c r="BM443" s="430"/>
      <c r="BN443" s="430"/>
      <c r="BO443" s="430"/>
      <c r="BP443" s="430"/>
      <c r="BQ443" s="430"/>
      <c r="BR443" s="430"/>
      <c r="BS443" s="430"/>
      <c r="BT443" s="430"/>
      <c r="BU443" s="430"/>
      <c r="BV443" s="430"/>
      <c r="BW443" s="430"/>
      <c r="BX443" s="430"/>
      <c r="BY443" s="430"/>
      <c r="BZ443" s="430"/>
      <c r="CA443" s="430"/>
      <c r="CB443" s="430"/>
      <c r="CC443" s="430"/>
      <c r="CD443" s="430"/>
      <c r="CE443" s="430"/>
      <c r="CF443" s="430"/>
      <c r="CG443" s="430"/>
      <c r="CH443" s="430"/>
      <c r="CI443" s="430"/>
      <c r="CJ443" s="430"/>
      <c r="CK443" s="430"/>
      <c r="CL443" s="430"/>
    </row>
    <row r="444" spans="63:90" ht="14.25" customHeight="1">
      <c r="BK444" s="430"/>
      <c r="BL444" s="430"/>
      <c r="BM444" s="430"/>
      <c r="BN444" s="430"/>
      <c r="BO444" s="430"/>
      <c r="BP444" s="430"/>
      <c r="BQ444" s="430"/>
      <c r="BR444" s="430"/>
      <c r="BS444" s="430"/>
      <c r="BT444" s="430"/>
      <c r="BU444" s="430"/>
      <c r="BV444" s="430"/>
      <c r="BW444" s="430"/>
      <c r="BX444" s="430"/>
      <c r="BY444" s="430"/>
      <c r="BZ444" s="430"/>
      <c r="CA444" s="430"/>
      <c r="CB444" s="430"/>
      <c r="CC444" s="430"/>
      <c r="CD444" s="430"/>
      <c r="CE444" s="430"/>
      <c r="CF444" s="430"/>
      <c r="CG444" s="430"/>
      <c r="CH444" s="430"/>
      <c r="CI444" s="430"/>
      <c r="CJ444" s="430"/>
      <c r="CK444" s="430"/>
      <c r="CL444" s="430"/>
    </row>
    <row r="445" spans="63:90" ht="14.25" customHeight="1">
      <c r="BK445" s="430"/>
      <c r="BL445" s="430"/>
      <c r="BM445" s="430"/>
      <c r="BN445" s="430"/>
      <c r="BO445" s="430"/>
      <c r="BP445" s="430"/>
      <c r="BQ445" s="430"/>
      <c r="BR445" s="430"/>
      <c r="BS445" s="430"/>
      <c r="BT445" s="430"/>
      <c r="BU445" s="430"/>
      <c r="BV445" s="430"/>
      <c r="BW445" s="430"/>
      <c r="BX445" s="430"/>
      <c r="BY445" s="430"/>
      <c r="BZ445" s="430"/>
      <c r="CA445" s="430"/>
      <c r="CB445" s="430"/>
      <c r="CC445" s="430"/>
      <c r="CD445" s="430"/>
      <c r="CE445" s="430"/>
      <c r="CF445" s="430"/>
      <c r="CG445" s="430"/>
      <c r="CH445" s="430"/>
      <c r="CI445" s="430"/>
      <c r="CJ445" s="430"/>
      <c r="CK445" s="430"/>
      <c r="CL445" s="430"/>
    </row>
    <row r="446" spans="63:90" ht="14.25" customHeight="1">
      <c r="BK446" s="430"/>
      <c r="BL446" s="430"/>
      <c r="BM446" s="430"/>
      <c r="BN446" s="430"/>
      <c r="BO446" s="430"/>
      <c r="BP446" s="430"/>
      <c r="BQ446" s="430"/>
      <c r="BR446" s="430"/>
      <c r="BS446" s="430"/>
      <c r="BT446" s="430"/>
      <c r="BU446" s="430"/>
      <c r="BV446" s="430"/>
      <c r="BW446" s="430"/>
      <c r="BX446" s="430"/>
      <c r="BY446" s="430"/>
      <c r="BZ446" s="430"/>
      <c r="CA446" s="430"/>
      <c r="CB446" s="430"/>
      <c r="CC446" s="430"/>
      <c r="CD446" s="430"/>
      <c r="CE446" s="430"/>
      <c r="CF446" s="430"/>
      <c r="CG446" s="430"/>
      <c r="CH446" s="430"/>
      <c r="CI446" s="430"/>
      <c r="CJ446" s="430"/>
      <c r="CK446" s="430"/>
      <c r="CL446" s="430"/>
    </row>
    <row r="447" spans="63:90" ht="14.25" customHeight="1">
      <c r="BK447" s="430"/>
      <c r="BL447" s="430"/>
      <c r="BM447" s="430"/>
      <c r="BN447" s="430"/>
      <c r="BO447" s="430"/>
      <c r="BP447" s="430"/>
      <c r="BQ447" s="430"/>
      <c r="BR447" s="430"/>
      <c r="BS447" s="430"/>
      <c r="BT447" s="430"/>
      <c r="BU447" s="430"/>
      <c r="BV447" s="430"/>
      <c r="BW447" s="430"/>
      <c r="BX447" s="430"/>
      <c r="BY447" s="430"/>
      <c r="BZ447" s="430"/>
      <c r="CA447" s="430"/>
      <c r="CB447" s="430"/>
      <c r="CC447" s="430"/>
      <c r="CD447" s="430"/>
      <c r="CE447" s="430"/>
      <c r="CF447" s="430"/>
      <c r="CG447" s="430"/>
      <c r="CH447" s="430"/>
      <c r="CI447" s="430"/>
      <c r="CJ447" s="430"/>
      <c r="CK447" s="430"/>
      <c r="CL447" s="430"/>
    </row>
    <row r="448" spans="63:90" ht="14.25" customHeight="1">
      <c r="BK448" s="430"/>
      <c r="BL448" s="430"/>
      <c r="BM448" s="430"/>
      <c r="BN448" s="430"/>
      <c r="BO448" s="430"/>
      <c r="BP448" s="430"/>
      <c r="BQ448" s="430"/>
      <c r="BR448" s="430"/>
      <c r="BS448" s="430"/>
      <c r="BT448" s="430"/>
      <c r="BU448" s="430"/>
      <c r="BV448" s="430"/>
      <c r="BW448" s="430"/>
      <c r="BX448" s="430"/>
      <c r="BY448" s="430"/>
      <c r="BZ448" s="430"/>
      <c r="CA448" s="430"/>
      <c r="CB448" s="430"/>
      <c r="CC448" s="430"/>
      <c r="CD448" s="430"/>
      <c r="CE448" s="430"/>
      <c r="CF448" s="430"/>
      <c r="CG448" s="430"/>
      <c r="CH448" s="430"/>
      <c r="CI448" s="430"/>
      <c r="CJ448" s="430"/>
      <c r="CK448" s="430"/>
      <c r="CL448" s="430"/>
    </row>
    <row r="449" spans="63:90" ht="14.25" customHeight="1">
      <c r="BK449" s="430"/>
      <c r="BL449" s="430"/>
      <c r="BM449" s="430"/>
      <c r="BN449" s="430"/>
      <c r="BO449" s="430"/>
      <c r="BP449" s="430"/>
      <c r="BQ449" s="430"/>
      <c r="BR449" s="430"/>
      <c r="BS449" s="430"/>
      <c r="BT449" s="430"/>
      <c r="BU449" s="430"/>
      <c r="BV449" s="430"/>
      <c r="BW449" s="430"/>
      <c r="BX449" s="430"/>
      <c r="BY449" s="430"/>
      <c r="BZ449" s="430"/>
      <c r="CA449" s="430"/>
      <c r="CB449" s="430"/>
      <c r="CC449" s="430"/>
      <c r="CD449" s="430"/>
      <c r="CE449" s="430"/>
      <c r="CF449" s="430"/>
      <c r="CG449" s="430"/>
      <c r="CH449" s="430"/>
      <c r="CI449" s="430"/>
      <c r="CJ449" s="430"/>
      <c r="CK449" s="430"/>
      <c r="CL449" s="430"/>
    </row>
    <row r="450" spans="63:90" ht="14.25" customHeight="1">
      <c r="BK450" s="430"/>
      <c r="BL450" s="430"/>
      <c r="BM450" s="430"/>
      <c r="BN450" s="430"/>
      <c r="BO450" s="430"/>
      <c r="BP450" s="430"/>
      <c r="BQ450" s="430"/>
      <c r="BR450" s="430"/>
      <c r="BS450" s="430"/>
      <c r="BT450" s="430"/>
      <c r="BU450" s="430"/>
      <c r="BV450" s="430"/>
      <c r="BW450" s="430"/>
      <c r="BX450" s="430"/>
      <c r="BY450" s="430"/>
      <c r="BZ450" s="430"/>
      <c r="CA450" s="430"/>
      <c r="CB450" s="430"/>
      <c r="CC450" s="430"/>
      <c r="CD450" s="430"/>
      <c r="CE450" s="430"/>
      <c r="CF450" s="430"/>
      <c r="CG450" s="430"/>
      <c r="CH450" s="430"/>
      <c r="CI450" s="430"/>
      <c r="CJ450" s="430"/>
      <c r="CK450" s="430"/>
      <c r="CL450" s="430"/>
    </row>
    <row r="451" spans="63:90" ht="14.25" customHeight="1">
      <c r="BK451" s="430"/>
      <c r="BL451" s="430"/>
      <c r="BM451" s="430"/>
      <c r="BN451" s="430"/>
      <c r="BO451" s="430"/>
      <c r="BP451" s="430"/>
      <c r="BQ451" s="430"/>
      <c r="BR451" s="430"/>
      <c r="BS451" s="430"/>
      <c r="BT451" s="430"/>
      <c r="BU451" s="430"/>
      <c r="BV451" s="430"/>
      <c r="BW451" s="430"/>
      <c r="BX451" s="430"/>
      <c r="BY451" s="430"/>
      <c r="BZ451" s="430"/>
      <c r="CA451" s="430"/>
      <c r="CB451" s="430"/>
      <c r="CC451" s="430"/>
      <c r="CD451" s="430"/>
      <c r="CE451" s="430"/>
      <c r="CF451" s="430"/>
      <c r="CG451" s="430"/>
      <c r="CH451" s="430"/>
      <c r="CI451" s="430"/>
      <c r="CJ451" s="430"/>
      <c r="CK451" s="430"/>
      <c r="CL451" s="430"/>
    </row>
    <row r="452" spans="63:90" ht="14.25" customHeight="1">
      <c r="BK452" s="430"/>
      <c r="BL452" s="430"/>
      <c r="BM452" s="430"/>
      <c r="BN452" s="430"/>
      <c r="BO452" s="430"/>
      <c r="BP452" s="430"/>
      <c r="BQ452" s="430"/>
      <c r="BR452" s="430"/>
      <c r="BS452" s="430"/>
      <c r="BT452" s="430"/>
      <c r="BU452" s="430"/>
      <c r="BV452" s="430"/>
      <c r="BW452" s="430"/>
      <c r="BX452" s="430"/>
      <c r="BY452" s="430"/>
      <c r="BZ452" s="430"/>
      <c r="CA452" s="430"/>
      <c r="CB452" s="430"/>
      <c r="CC452" s="430"/>
      <c r="CD452" s="430"/>
      <c r="CE452" s="430"/>
      <c r="CF452" s="430"/>
      <c r="CG452" s="430"/>
      <c r="CH452" s="430"/>
      <c r="CI452" s="430"/>
      <c r="CJ452" s="430"/>
      <c r="CK452" s="430"/>
      <c r="CL452" s="430"/>
    </row>
    <row r="453" spans="63:90" ht="14.25" customHeight="1">
      <c r="BK453" s="430"/>
      <c r="BL453" s="430"/>
      <c r="BM453" s="430"/>
      <c r="BN453" s="430"/>
      <c r="BO453" s="430"/>
      <c r="BP453" s="430"/>
      <c r="BQ453" s="430"/>
      <c r="BR453" s="430"/>
      <c r="BS453" s="430"/>
      <c r="BT453" s="430"/>
      <c r="BU453" s="430"/>
      <c r="BV453" s="430"/>
      <c r="BW453" s="430"/>
      <c r="BX453" s="430"/>
      <c r="BY453" s="430"/>
      <c r="BZ453" s="430"/>
      <c r="CA453" s="430"/>
      <c r="CB453" s="430"/>
      <c r="CC453" s="430"/>
      <c r="CD453" s="430"/>
      <c r="CE453" s="430"/>
      <c r="CF453" s="430"/>
      <c r="CG453" s="430"/>
      <c r="CH453" s="430"/>
      <c r="CI453" s="430"/>
      <c r="CJ453" s="430"/>
      <c r="CK453" s="430"/>
      <c r="CL453" s="430"/>
    </row>
    <row r="454" spans="63:90" ht="14.25" customHeight="1">
      <c r="BK454" s="430"/>
      <c r="BL454" s="430"/>
      <c r="BM454" s="430"/>
      <c r="BN454" s="430"/>
      <c r="BO454" s="430"/>
      <c r="BP454" s="430"/>
      <c r="BQ454" s="430"/>
      <c r="BR454" s="430"/>
      <c r="BS454" s="430"/>
      <c r="BT454" s="430"/>
      <c r="BU454" s="430"/>
      <c r="BV454" s="430"/>
      <c r="BW454" s="430"/>
      <c r="BX454" s="430"/>
      <c r="BY454" s="430"/>
      <c r="BZ454" s="430"/>
      <c r="CA454" s="430"/>
      <c r="CB454" s="430"/>
      <c r="CC454" s="430"/>
      <c r="CD454" s="430"/>
      <c r="CE454" s="430"/>
      <c r="CF454" s="430"/>
      <c r="CG454" s="430"/>
      <c r="CH454" s="430"/>
      <c r="CI454" s="430"/>
      <c r="CJ454" s="430"/>
      <c r="CK454" s="430"/>
      <c r="CL454" s="430"/>
    </row>
    <row r="455" spans="63:90" ht="14.25" customHeight="1">
      <c r="BK455" s="430"/>
      <c r="BL455" s="430"/>
      <c r="BM455" s="430"/>
      <c r="BN455" s="430"/>
      <c r="BO455" s="430"/>
      <c r="BP455" s="430"/>
      <c r="BQ455" s="430"/>
      <c r="BR455" s="430"/>
      <c r="BS455" s="430"/>
      <c r="BT455" s="430"/>
      <c r="BU455" s="430"/>
      <c r="BV455" s="430"/>
      <c r="BW455" s="430"/>
      <c r="BX455" s="430"/>
      <c r="BY455" s="430"/>
      <c r="BZ455" s="430"/>
      <c r="CA455" s="430"/>
      <c r="CB455" s="430"/>
      <c r="CC455" s="430"/>
      <c r="CD455" s="430"/>
      <c r="CE455" s="430"/>
      <c r="CF455" s="430"/>
      <c r="CG455" s="430"/>
      <c r="CH455" s="430"/>
      <c r="CI455" s="430"/>
      <c r="CJ455" s="430"/>
      <c r="CK455" s="430"/>
      <c r="CL455" s="430"/>
    </row>
    <row r="456" spans="63:90" ht="14.25" customHeight="1">
      <c r="BK456" s="430"/>
      <c r="BL456" s="430"/>
      <c r="BM456" s="430"/>
      <c r="BN456" s="430"/>
      <c r="BO456" s="430"/>
      <c r="BP456" s="430"/>
      <c r="BQ456" s="430"/>
      <c r="BR456" s="430"/>
      <c r="BS456" s="430"/>
      <c r="BT456" s="430"/>
      <c r="BU456" s="430"/>
      <c r="BV456" s="430"/>
      <c r="BW456" s="430"/>
      <c r="BX456" s="430"/>
      <c r="BY456" s="430"/>
      <c r="BZ456" s="430"/>
      <c r="CA456" s="430"/>
      <c r="CB456" s="430"/>
      <c r="CC456" s="430"/>
      <c r="CD456" s="430"/>
      <c r="CE456" s="430"/>
      <c r="CF456" s="430"/>
      <c r="CG456" s="430"/>
      <c r="CH456" s="430"/>
      <c r="CI456" s="430"/>
      <c r="CJ456" s="430"/>
      <c r="CK456" s="430"/>
      <c r="CL456" s="430"/>
    </row>
    <row r="457" spans="63:90" ht="14.25" customHeight="1">
      <c r="BK457" s="430"/>
      <c r="BL457" s="430"/>
      <c r="BM457" s="430"/>
      <c r="BN457" s="430"/>
      <c r="BO457" s="430"/>
      <c r="BP457" s="430"/>
      <c r="BQ457" s="430"/>
      <c r="BR457" s="430"/>
      <c r="BS457" s="430"/>
      <c r="BT457" s="430"/>
      <c r="BU457" s="430"/>
      <c r="BV457" s="430"/>
      <c r="BW457" s="430"/>
      <c r="BX457" s="430"/>
      <c r="BY457" s="430"/>
      <c r="BZ457" s="430"/>
      <c r="CA457" s="430"/>
      <c r="CB457" s="430"/>
      <c r="CC457" s="430"/>
      <c r="CD457" s="430"/>
      <c r="CE457" s="430"/>
      <c r="CF457" s="430"/>
      <c r="CG457" s="430"/>
      <c r="CH457" s="430"/>
      <c r="CI457" s="430"/>
      <c r="CJ457" s="430"/>
      <c r="CK457" s="430"/>
      <c r="CL457" s="430"/>
    </row>
    <row r="458" spans="63:90" ht="14.25" customHeight="1">
      <c r="BK458" s="430"/>
      <c r="BL458" s="430"/>
      <c r="BM458" s="430"/>
      <c r="BN458" s="430"/>
      <c r="BO458" s="430"/>
      <c r="BP458" s="430"/>
      <c r="BQ458" s="430"/>
      <c r="BR458" s="430"/>
      <c r="BS458" s="430"/>
      <c r="BT458" s="430"/>
      <c r="BU458" s="430"/>
      <c r="BV458" s="430"/>
      <c r="BW458" s="430"/>
      <c r="BX458" s="430"/>
      <c r="BY458" s="430"/>
      <c r="BZ458" s="430"/>
      <c r="CA458" s="430"/>
      <c r="CB458" s="430"/>
      <c r="CC458" s="430"/>
      <c r="CD458" s="430"/>
      <c r="CE458" s="430"/>
      <c r="CF458" s="430"/>
      <c r="CG458" s="430"/>
      <c r="CH458" s="430"/>
      <c r="CI458" s="430"/>
      <c r="CJ458" s="430"/>
      <c r="CK458" s="430"/>
      <c r="CL458" s="430"/>
    </row>
    <row r="459" spans="63:90" ht="14.25" customHeight="1">
      <c r="BK459" s="430"/>
      <c r="BL459" s="430"/>
      <c r="BM459" s="430"/>
      <c r="BN459" s="430"/>
      <c r="BO459" s="430"/>
      <c r="BP459" s="430"/>
      <c r="BQ459" s="430"/>
      <c r="BR459" s="430"/>
      <c r="BS459" s="430"/>
      <c r="BT459" s="430"/>
      <c r="BU459" s="430"/>
      <c r="BV459" s="430"/>
      <c r="BW459" s="430"/>
      <c r="BX459" s="430"/>
      <c r="BY459" s="430"/>
      <c r="BZ459" s="430"/>
      <c r="CA459" s="430"/>
      <c r="CB459" s="430"/>
      <c r="CC459" s="430"/>
      <c r="CD459" s="430"/>
      <c r="CE459" s="430"/>
      <c r="CF459" s="430"/>
      <c r="CG459" s="430"/>
      <c r="CH459" s="430"/>
      <c r="CI459" s="430"/>
      <c r="CJ459" s="430"/>
      <c r="CK459" s="430"/>
      <c r="CL459" s="430"/>
    </row>
    <row r="460" spans="63:90" ht="14.25" customHeight="1">
      <c r="BK460" s="430"/>
      <c r="BL460" s="430"/>
      <c r="BM460" s="430"/>
      <c r="BN460" s="430"/>
      <c r="BO460" s="430"/>
      <c r="BP460" s="430"/>
      <c r="BQ460" s="430"/>
      <c r="BR460" s="430"/>
      <c r="BS460" s="430"/>
      <c r="BT460" s="430"/>
      <c r="BU460" s="430"/>
      <c r="BV460" s="430"/>
      <c r="BW460" s="430"/>
      <c r="BX460" s="430"/>
      <c r="BY460" s="430"/>
      <c r="BZ460" s="430"/>
      <c r="CA460" s="430"/>
      <c r="CB460" s="430"/>
      <c r="CC460" s="430"/>
      <c r="CD460" s="430"/>
      <c r="CE460" s="430"/>
      <c r="CF460" s="430"/>
      <c r="CG460" s="430"/>
      <c r="CH460" s="430"/>
      <c r="CI460" s="430"/>
      <c r="CJ460" s="430"/>
      <c r="CK460" s="430"/>
      <c r="CL460" s="430"/>
    </row>
    <row r="461" spans="63:90" ht="14.25" customHeight="1">
      <c r="BK461" s="430"/>
      <c r="BL461" s="430"/>
      <c r="BM461" s="430"/>
      <c r="BN461" s="430"/>
      <c r="BO461" s="430"/>
      <c r="BP461" s="430"/>
      <c r="BQ461" s="430"/>
      <c r="BR461" s="430"/>
      <c r="BS461" s="430"/>
      <c r="BT461" s="430"/>
      <c r="BU461" s="430"/>
      <c r="BV461" s="430"/>
      <c r="BW461" s="430"/>
      <c r="BX461" s="430"/>
      <c r="BY461" s="430"/>
      <c r="BZ461" s="430"/>
      <c r="CA461" s="430"/>
      <c r="CB461" s="430"/>
      <c r="CC461" s="430"/>
      <c r="CD461" s="430"/>
      <c r="CE461" s="430"/>
      <c r="CF461" s="430"/>
      <c r="CG461" s="430"/>
      <c r="CH461" s="430"/>
      <c r="CI461" s="430"/>
      <c r="CJ461" s="430"/>
      <c r="CK461" s="430"/>
      <c r="CL461" s="430"/>
    </row>
    <row r="462" spans="63:90" ht="14.25" customHeight="1">
      <c r="BK462" s="430"/>
      <c r="BL462" s="430"/>
      <c r="BM462" s="430"/>
      <c r="BN462" s="430"/>
      <c r="BO462" s="430"/>
      <c r="BP462" s="430"/>
      <c r="BQ462" s="430"/>
      <c r="BR462" s="430"/>
      <c r="BS462" s="430"/>
      <c r="BT462" s="430"/>
      <c r="BU462" s="430"/>
      <c r="BV462" s="430"/>
      <c r="BW462" s="430"/>
      <c r="BX462" s="430"/>
      <c r="BY462" s="430"/>
      <c r="BZ462" s="430"/>
      <c r="CA462" s="430"/>
      <c r="CB462" s="430"/>
      <c r="CC462" s="430"/>
      <c r="CD462" s="430"/>
      <c r="CE462" s="430"/>
      <c r="CF462" s="430"/>
      <c r="CG462" s="430"/>
      <c r="CH462" s="430"/>
      <c r="CI462" s="430"/>
      <c r="CJ462" s="430"/>
      <c r="CK462" s="430"/>
      <c r="CL462" s="430"/>
    </row>
    <row r="463" spans="63:90" ht="14.25" customHeight="1">
      <c r="BK463" s="430"/>
      <c r="BL463" s="430"/>
      <c r="BM463" s="430"/>
      <c r="BN463" s="430"/>
      <c r="BO463" s="430"/>
      <c r="BP463" s="430"/>
      <c r="BQ463" s="430"/>
      <c r="BR463" s="430"/>
      <c r="BS463" s="430"/>
      <c r="BT463" s="430"/>
      <c r="BU463" s="430"/>
      <c r="BV463" s="430"/>
      <c r="BW463" s="430"/>
      <c r="BX463" s="430"/>
      <c r="BY463" s="430"/>
      <c r="BZ463" s="430"/>
      <c r="CA463" s="430"/>
      <c r="CB463" s="430"/>
      <c r="CC463" s="430"/>
      <c r="CD463" s="430"/>
      <c r="CE463" s="430"/>
      <c r="CF463" s="430"/>
      <c r="CG463" s="430"/>
      <c r="CH463" s="430"/>
      <c r="CI463" s="430"/>
      <c r="CJ463" s="430"/>
      <c r="CK463" s="430"/>
      <c r="CL463" s="430"/>
    </row>
    <row r="464" spans="63:90" ht="14.25" customHeight="1">
      <c r="BK464" s="430"/>
      <c r="BL464" s="430"/>
      <c r="BM464" s="430"/>
      <c r="BN464" s="430"/>
      <c r="BO464" s="430"/>
      <c r="BP464" s="430"/>
      <c r="BQ464" s="430"/>
      <c r="BR464" s="430"/>
      <c r="BS464" s="430"/>
      <c r="BT464" s="430"/>
      <c r="BU464" s="430"/>
      <c r="BV464" s="430"/>
      <c r="BW464" s="430"/>
      <c r="BX464" s="430"/>
      <c r="BY464" s="430"/>
      <c r="BZ464" s="430"/>
      <c r="CA464" s="430"/>
      <c r="CB464" s="430"/>
      <c r="CC464" s="430"/>
      <c r="CD464" s="430"/>
      <c r="CE464" s="430"/>
      <c r="CF464" s="430"/>
      <c r="CG464" s="430"/>
      <c r="CH464" s="430"/>
      <c r="CI464" s="430"/>
      <c r="CJ464" s="430"/>
      <c r="CK464" s="430"/>
      <c r="CL464" s="430"/>
    </row>
    <row r="465" spans="63:90" ht="14.25" customHeight="1">
      <c r="BK465" s="430"/>
      <c r="BL465" s="430"/>
      <c r="BM465" s="430"/>
      <c r="BN465" s="430"/>
      <c r="BO465" s="430"/>
      <c r="BP465" s="430"/>
      <c r="BQ465" s="430"/>
      <c r="BR465" s="430"/>
      <c r="BS465" s="430"/>
      <c r="BT465" s="430"/>
      <c r="BU465" s="430"/>
      <c r="BV465" s="430"/>
      <c r="BW465" s="430"/>
      <c r="BX465" s="430"/>
      <c r="BY465" s="430"/>
      <c r="BZ465" s="430"/>
      <c r="CA465" s="430"/>
      <c r="CB465" s="430"/>
      <c r="CC465" s="430"/>
      <c r="CD465" s="430"/>
      <c r="CE465" s="430"/>
      <c r="CF465" s="430"/>
      <c r="CG465" s="430"/>
      <c r="CH465" s="430"/>
      <c r="CI465" s="430"/>
      <c r="CJ465" s="430"/>
      <c r="CK465" s="430"/>
      <c r="CL465" s="430"/>
    </row>
    <row r="466" spans="63:90" ht="14.25" customHeight="1">
      <c r="BK466" s="430"/>
      <c r="BL466" s="430"/>
      <c r="BM466" s="430"/>
      <c r="BN466" s="430"/>
      <c r="BO466" s="430"/>
      <c r="BP466" s="430"/>
      <c r="BQ466" s="430"/>
      <c r="BR466" s="430"/>
      <c r="BS466" s="430"/>
      <c r="BT466" s="430"/>
      <c r="BU466" s="430"/>
      <c r="BV466" s="430"/>
      <c r="BW466" s="430"/>
      <c r="BX466" s="430"/>
      <c r="BY466" s="430"/>
      <c r="BZ466" s="430"/>
      <c r="CA466" s="430"/>
      <c r="CB466" s="430"/>
      <c r="CC466" s="430"/>
      <c r="CD466" s="430"/>
      <c r="CE466" s="430"/>
      <c r="CF466" s="430"/>
      <c r="CG466" s="430"/>
      <c r="CH466" s="430"/>
      <c r="CI466" s="430"/>
      <c r="CJ466" s="430"/>
      <c r="CK466" s="430"/>
      <c r="CL466" s="430"/>
    </row>
    <row r="467" spans="63:90" ht="14.25" customHeight="1">
      <c r="BK467" s="430"/>
      <c r="BL467" s="430"/>
      <c r="BM467" s="430"/>
      <c r="BN467" s="430"/>
      <c r="BO467" s="430"/>
      <c r="BP467" s="430"/>
      <c r="BQ467" s="430"/>
      <c r="BR467" s="430"/>
      <c r="BS467" s="430"/>
      <c r="BT467" s="430"/>
      <c r="BU467" s="430"/>
      <c r="BV467" s="430"/>
      <c r="BW467" s="430"/>
      <c r="BX467" s="430"/>
      <c r="BY467" s="430"/>
      <c r="BZ467" s="430"/>
      <c r="CA467" s="430"/>
      <c r="CB467" s="430"/>
      <c r="CC467" s="430"/>
      <c r="CD467" s="430"/>
      <c r="CE467" s="430"/>
      <c r="CF467" s="430"/>
      <c r="CG467" s="430"/>
      <c r="CH467" s="430"/>
      <c r="CI467" s="430"/>
      <c r="CJ467" s="430"/>
      <c r="CK467" s="430"/>
      <c r="CL467" s="430"/>
    </row>
    <row r="468" spans="63:90" ht="14.25" customHeight="1">
      <c r="BK468" s="430"/>
      <c r="BL468" s="430"/>
      <c r="BM468" s="430"/>
      <c r="BN468" s="430"/>
      <c r="BO468" s="430"/>
      <c r="BP468" s="430"/>
      <c r="BQ468" s="430"/>
      <c r="BR468" s="430"/>
      <c r="BS468" s="430"/>
      <c r="BT468" s="430"/>
      <c r="BU468" s="430"/>
      <c r="BV468" s="430"/>
      <c r="BW468" s="430"/>
      <c r="BX468" s="430"/>
      <c r="BY468" s="430"/>
      <c r="BZ468" s="430"/>
      <c r="CA468" s="430"/>
      <c r="CB468" s="430"/>
      <c r="CC468" s="430"/>
      <c r="CD468" s="430"/>
      <c r="CE468" s="430"/>
      <c r="CF468" s="430"/>
      <c r="CG468" s="430"/>
      <c r="CH468" s="430"/>
      <c r="CI468" s="430"/>
      <c r="CJ468" s="430"/>
      <c r="CK468" s="430"/>
      <c r="CL468" s="430"/>
    </row>
    <row r="469" spans="63:90" ht="14.25" customHeight="1">
      <c r="BK469" s="430"/>
      <c r="BL469" s="430"/>
      <c r="BM469" s="430"/>
      <c r="BN469" s="430"/>
      <c r="BO469" s="430"/>
      <c r="BP469" s="430"/>
      <c r="BQ469" s="430"/>
      <c r="BR469" s="430"/>
      <c r="BS469" s="430"/>
      <c r="BT469" s="430"/>
      <c r="BU469" s="430"/>
      <c r="BV469" s="430"/>
      <c r="BW469" s="430"/>
      <c r="BX469" s="430"/>
      <c r="BY469" s="430"/>
      <c r="BZ469" s="430"/>
      <c r="CA469" s="430"/>
      <c r="CB469" s="430"/>
      <c r="CC469" s="430"/>
      <c r="CD469" s="430"/>
      <c r="CE469" s="430"/>
      <c r="CF469" s="430"/>
      <c r="CG469" s="430"/>
      <c r="CH469" s="430"/>
      <c r="CI469" s="430"/>
      <c r="CJ469" s="430"/>
      <c r="CK469" s="430"/>
      <c r="CL469" s="430"/>
    </row>
    <row r="470" spans="63:90" ht="14.25" customHeight="1">
      <c r="BK470" s="430"/>
      <c r="BL470" s="430"/>
      <c r="BM470" s="430"/>
      <c r="BN470" s="430"/>
      <c r="BO470" s="430"/>
      <c r="BP470" s="430"/>
      <c r="BQ470" s="430"/>
      <c r="BR470" s="430"/>
      <c r="BS470" s="430"/>
      <c r="BT470" s="430"/>
      <c r="BU470" s="430"/>
      <c r="BV470" s="430"/>
      <c r="BW470" s="430"/>
      <c r="BX470" s="430"/>
      <c r="BY470" s="430"/>
      <c r="BZ470" s="430"/>
      <c r="CA470" s="430"/>
      <c r="CB470" s="430"/>
      <c r="CC470" s="430"/>
      <c r="CD470" s="430"/>
      <c r="CE470" s="430"/>
      <c r="CF470" s="430"/>
      <c r="CG470" s="430"/>
      <c r="CH470" s="430"/>
      <c r="CI470" s="430"/>
      <c r="CJ470" s="430"/>
      <c r="CK470" s="430"/>
      <c r="CL470" s="430"/>
    </row>
    <row r="471" spans="63:90" ht="14.25" customHeight="1">
      <c r="BK471" s="430"/>
      <c r="BL471" s="430"/>
      <c r="BM471" s="430"/>
      <c r="BN471" s="430"/>
      <c r="BO471" s="430"/>
      <c r="BP471" s="430"/>
      <c r="BQ471" s="430"/>
      <c r="BR471" s="430"/>
      <c r="BS471" s="430"/>
      <c r="BT471" s="430"/>
      <c r="BU471" s="430"/>
      <c r="BV471" s="430"/>
      <c r="BW471" s="430"/>
      <c r="BX471" s="430"/>
      <c r="BY471" s="430"/>
      <c r="BZ471" s="430"/>
      <c r="CA471" s="430"/>
      <c r="CB471" s="430"/>
      <c r="CC471" s="430"/>
      <c r="CD471" s="430"/>
      <c r="CE471" s="430"/>
      <c r="CF471" s="430"/>
      <c r="CG471" s="430"/>
      <c r="CH471" s="430"/>
      <c r="CI471" s="430"/>
      <c r="CJ471" s="430"/>
      <c r="CK471" s="430"/>
      <c r="CL471" s="430"/>
    </row>
    <row r="472" spans="63:90" ht="14.25" customHeight="1">
      <c r="BK472" s="430"/>
      <c r="BL472" s="430"/>
      <c r="BM472" s="430"/>
      <c r="BN472" s="430"/>
      <c r="BO472" s="430"/>
      <c r="BP472" s="430"/>
      <c r="BQ472" s="430"/>
      <c r="BR472" s="430"/>
      <c r="BS472" s="430"/>
      <c r="BT472" s="430"/>
      <c r="BU472" s="430"/>
      <c r="BV472" s="430"/>
      <c r="BW472" s="430"/>
      <c r="BX472" s="430"/>
      <c r="BY472" s="430"/>
      <c r="BZ472" s="430"/>
      <c r="CA472" s="430"/>
      <c r="CB472" s="430"/>
      <c r="CC472" s="430"/>
      <c r="CD472" s="430"/>
      <c r="CE472" s="430"/>
      <c r="CF472" s="430"/>
      <c r="CG472" s="430"/>
      <c r="CH472" s="430"/>
      <c r="CI472" s="430"/>
      <c r="CJ472" s="430"/>
      <c r="CK472" s="430"/>
      <c r="CL472" s="430"/>
    </row>
    <row r="473" spans="63:90" ht="14.25" customHeight="1">
      <c r="BK473" s="430"/>
      <c r="BL473" s="430"/>
      <c r="BM473" s="430"/>
      <c r="BN473" s="430"/>
      <c r="BO473" s="430"/>
      <c r="BP473" s="430"/>
      <c r="BQ473" s="430"/>
      <c r="BR473" s="430"/>
      <c r="BS473" s="430"/>
      <c r="BT473" s="430"/>
      <c r="BU473" s="430"/>
      <c r="BV473" s="430"/>
      <c r="BW473" s="430"/>
      <c r="BX473" s="430"/>
      <c r="BY473" s="430"/>
      <c r="BZ473" s="430"/>
      <c r="CA473" s="430"/>
      <c r="CB473" s="430"/>
      <c r="CC473" s="430"/>
      <c r="CD473" s="430"/>
      <c r="CE473" s="430"/>
      <c r="CF473" s="430"/>
      <c r="CG473" s="430"/>
      <c r="CH473" s="430"/>
      <c r="CI473" s="430"/>
      <c r="CJ473" s="430"/>
      <c r="CK473" s="430"/>
      <c r="CL473" s="430"/>
    </row>
    <row r="474" spans="63:90" ht="14.25" customHeight="1">
      <c r="BK474" s="430"/>
      <c r="BL474" s="430"/>
      <c r="BM474" s="430"/>
      <c r="BN474" s="430"/>
      <c r="BO474" s="430"/>
      <c r="BP474" s="430"/>
      <c r="BQ474" s="430"/>
      <c r="BR474" s="430"/>
      <c r="BS474" s="430"/>
      <c r="BT474" s="430"/>
      <c r="BU474" s="430"/>
      <c r="BV474" s="430"/>
      <c r="BW474" s="430"/>
      <c r="BX474" s="430"/>
      <c r="BY474" s="430"/>
      <c r="BZ474" s="430"/>
      <c r="CA474" s="430"/>
      <c r="CB474" s="430"/>
      <c r="CC474" s="430"/>
      <c r="CD474" s="430"/>
      <c r="CE474" s="430"/>
      <c r="CF474" s="430"/>
      <c r="CG474" s="430"/>
      <c r="CH474" s="430"/>
      <c r="CI474" s="430"/>
      <c r="CJ474" s="430"/>
      <c r="CK474" s="430"/>
      <c r="CL474" s="430"/>
    </row>
    <row r="475" spans="63:90" ht="14.25" customHeight="1">
      <c r="BK475" s="430"/>
      <c r="BL475" s="430"/>
      <c r="BM475" s="430"/>
      <c r="BN475" s="430"/>
      <c r="BO475" s="430"/>
      <c r="BP475" s="430"/>
      <c r="BQ475" s="430"/>
      <c r="BR475" s="430"/>
      <c r="BS475" s="430"/>
      <c r="BT475" s="430"/>
      <c r="BU475" s="430"/>
      <c r="BV475" s="430"/>
      <c r="BW475" s="430"/>
      <c r="BX475" s="430"/>
      <c r="BY475" s="430"/>
      <c r="BZ475" s="430"/>
      <c r="CA475" s="430"/>
      <c r="CB475" s="430"/>
      <c r="CC475" s="430"/>
      <c r="CD475" s="430"/>
      <c r="CE475" s="430"/>
      <c r="CF475" s="430"/>
      <c r="CG475" s="430"/>
      <c r="CH475" s="430"/>
      <c r="CI475" s="430"/>
      <c r="CJ475" s="430"/>
      <c r="CK475" s="430"/>
      <c r="CL475" s="430"/>
    </row>
    <row r="476" spans="63:90" ht="14.25" customHeight="1">
      <c r="BK476" s="430"/>
      <c r="BL476" s="430"/>
      <c r="BM476" s="430"/>
      <c r="BN476" s="430"/>
      <c r="BO476" s="430"/>
      <c r="BP476" s="430"/>
      <c r="BQ476" s="430"/>
      <c r="BR476" s="430"/>
      <c r="BS476" s="430"/>
      <c r="BT476" s="430"/>
      <c r="BU476" s="430"/>
      <c r="BV476" s="430"/>
      <c r="BW476" s="430"/>
      <c r="BX476" s="430"/>
      <c r="BY476" s="430"/>
      <c r="BZ476" s="430"/>
      <c r="CA476" s="430"/>
      <c r="CB476" s="430"/>
      <c r="CC476" s="430"/>
      <c r="CD476" s="430"/>
      <c r="CE476" s="430"/>
      <c r="CF476" s="430"/>
      <c r="CG476" s="430"/>
      <c r="CH476" s="430"/>
      <c r="CI476" s="430"/>
      <c r="CJ476" s="430"/>
      <c r="CK476" s="430"/>
      <c r="CL476" s="430"/>
    </row>
    <row r="477" spans="63:90" ht="14.25" customHeight="1">
      <c r="BK477" s="430"/>
      <c r="BL477" s="430"/>
      <c r="BM477" s="430"/>
      <c r="BN477" s="430"/>
      <c r="BO477" s="430"/>
      <c r="BP477" s="430"/>
      <c r="BQ477" s="430"/>
      <c r="BR477" s="430"/>
      <c r="BS477" s="430"/>
      <c r="BT477" s="430"/>
      <c r="BU477" s="430"/>
      <c r="BV477" s="430"/>
      <c r="BW477" s="430"/>
      <c r="BX477" s="430"/>
      <c r="BY477" s="430"/>
      <c r="BZ477" s="430"/>
      <c r="CA477" s="430"/>
      <c r="CB477" s="430"/>
      <c r="CC477" s="430"/>
      <c r="CD477" s="430"/>
      <c r="CE477" s="430"/>
      <c r="CF477" s="430"/>
      <c r="CG477" s="430"/>
      <c r="CH477" s="430"/>
      <c r="CI477" s="430"/>
      <c r="CJ477" s="430"/>
      <c r="CK477" s="430"/>
      <c r="CL477" s="430"/>
    </row>
    <row r="478" spans="63:90" ht="14.25" customHeight="1">
      <c r="BK478" s="430"/>
      <c r="BL478" s="430"/>
      <c r="BM478" s="430"/>
      <c r="BN478" s="430"/>
      <c r="BO478" s="430"/>
      <c r="BP478" s="430"/>
      <c r="BQ478" s="430"/>
      <c r="BR478" s="430"/>
      <c r="BS478" s="430"/>
      <c r="BT478" s="430"/>
      <c r="BU478" s="430"/>
      <c r="BV478" s="430"/>
      <c r="BW478" s="430"/>
      <c r="BX478" s="430"/>
      <c r="BY478" s="430"/>
      <c r="BZ478" s="430"/>
      <c r="CA478" s="430"/>
      <c r="CB478" s="430"/>
      <c r="CC478" s="430"/>
      <c r="CD478" s="430"/>
      <c r="CE478" s="430"/>
      <c r="CF478" s="430"/>
      <c r="CG478" s="430"/>
      <c r="CH478" s="430"/>
      <c r="CI478" s="430"/>
      <c r="CJ478" s="430"/>
      <c r="CK478" s="430"/>
      <c r="CL478" s="430"/>
    </row>
    <row r="479" spans="63:90" ht="14.25" customHeight="1">
      <c r="BK479" s="430"/>
      <c r="BL479" s="430"/>
      <c r="BM479" s="430"/>
      <c r="BN479" s="430"/>
      <c r="BO479" s="430"/>
      <c r="BP479" s="430"/>
      <c r="BQ479" s="430"/>
      <c r="BR479" s="430"/>
      <c r="BS479" s="430"/>
      <c r="BT479" s="430"/>
      <c r="BU479" s="430"/>
      <c r="BV479" s="430"/>
      <c r="BW479" s="430"/>
      <c r="BX479" s="430"/>
      <c r="BY479" s="430"/>
      <c r="BZ479" s="430"/>
      <c r="CA479" s="430"/>
      <c r="CB479" s="430"/>
      <c r="CC479" s="430"/>
      <c r="CD479" s="430"/>
      <c r="CE479" s="430"/>
      <c r="CF479" s="430"/>
      <c r="CG479" s="430"/>
      <c r="CH479" s="430"/>
      <c r="CI479" s="430"/>
      <c r="CJ479" s="430"/>
      <c r="CK479" s="430"/>
      <c r="CL479" s="430"/>
    </row>
    <row r="480" spans="63:90" ht="14.25" customHeight="1">
      <c r="BK480" s="430"/>
      <c r="BL480" s="430"/>
      <c r="BM480" s="430"/>
      <c r="BN480" s="430"/>
      <c r="BO480" s="430"/>
      <c r="BP480" s="430"/>
      <c r="BQ480" s="430"/>
      <c r="BR480" s="430"/>
      <c r="BS480" s="430"/>
      <c r="BT480" s="430"/>
      <c r="BU480" s="430"/>
      <c r="BV480" s="430"/>
      <c r="BW480" s="430"/>
      <c r="BX480" s="430"/>
      <c r="BY480" s="430"/>
      <c r="BZ480" s="430"/>
      <c r="CA480" s="430"/>
      <c r="CB480" s="430"/>
      <c r="CC480" s="430"/>
      <c r="CD480" s="430"/>
      <c r="CE480" s="430"/>
      <c r="CF480" s="430"/>
      <c r="CG480" s="430"/>
      <c r="CH480" s="430"/>
      <c r="CI480" s="430"/>
      <c r="CJ480" s="430"/>
      <c r="CK480" s="430"/>
      <c r="CL480" s="430"/>
    </row>
    <row r="481" spans="63:90" ht="14.25" customHeight="1">
      <c r="BK481" s="430"/>
      <c r="BL481" s="430"/>
      <c r="BM481" s="430"/>
      <c r="BN481" s="430"/>
      <c r="BO481" s="430"/>
      <c r="BP481" s="430"/>
      <c r="BQ481" s="430"/>
      <c r="BR481" s="430"/>
      <c r="BS481" s="430"/>
      <c r="BT481" s="430"/>
      <c r="BU481" s="430"/>
      <c r="BV481" s="430"/>
      <c r="BW481" s="430"/>
      <c r="BX481" s="430"/>
      <c r="BY481" s="430"/>
      <c r="BZ481" s="430"/>
      <c r="CA481" s="430"/>
      <c r="CB481" s="430"/>
      <c r="CC481" s="430"/>
      <c r="CD481" s="430"/>
      <c r="CE481" s="430"/>
      <c r="CF481" s="430"/>
      <c r="CG481" s="430"/>
      <c r="CH481" s="430"/>
      <c r="CI481" s="430"/>
      <c r="CJ481" s="430"/>
      <c r="CK481" s="430"/>
      <c r="CL481" s="430"/>
    </row>
    <row r="482" spans="63:90" ht="14.25" customHeight="1">
      <c r="BK482" s="430"/>
      <c r="BL482" s="430"/>
      <c r="BM482" s="430"/>
      <c r="BN482" s="430"/>
      <c r="BO482" s="430"/>
      <c r="BP482" s="430"/>
      <c r="BQ482" s="430"/>
      <c r="BR482" s="430"/>
      <c r="BS482" s="430"/>
      <c r="BT482" s="430"/>
      <c r="BU482" s="430"/>
      <c r="BV482" s="430"/>
      <c r="BW482" s="430"/>
      <c r="BX482" s="430"/>
      <c r="BY482" s="430"/>
      <c r="BZ482" s="430"/>
      <c r="CA482" s="430"/>
      <c r="CB482" s="430"/>
      <c r="CC482" s="430"/>
      <c r="CD482" s="430"/>
      <c r="CE482" s="430"/>
      <c r="CF482" s="430"/>
      <c r="CG482" s="430"/>
      <c r="CH482" s="430"/>
      <c r="CI482" s="430"/>
      <c r="CJ482" s="430"/>
      <c r="CK482" s="430"/>
      <c r="CL482" s="430"/>
    </row>
    <row r="483" spans="63:90" ht="14.25" customHeight="1">
      <c r="BK483" s="430"/>
      <c r="BL483" s="430"/>
      <c r="BM483" s="430"/>
      <c r="BN483" s="430"/>
      <c r="BO483" s="430"/>
      <c r="BP483" s="430"/>
      <c r="BQ483" s="430"/>
      <c r="BR483" s="430"/>
      <c r="BS483" s="430"/>
      <c r="BT483" s="430"/>
      <c r="BU483" s="430"/>
      <c r="BV483" s="430"/>
      <c r="BW483" s="430"/>
      <c r="BX483" s="430"/>
      <c r="BY483" s="430"/>
      <c r="BZ483" s="430"/>
      <c r="CA483" s="430"/>
      <c r="CB483" s="430"/>
      <c r="CC483" s="430"/>
      <c r="CD483" s="430"/>
      <c r="CE483" s="430"/>
      <c r="CF483" s="430"/>
      <c r="CG483" s="430"/>
      <c r="CH483" s="430"/>
      <c r="CI483" s="430"/>
      <c r="CJ483" s="430"/>
      <c r="CK483" s="430"/>
      <c r="CL483" s="430"/>
    </row>
    <row r="484" spans="63:90" ht="14.25" customHeight="1">
      <c r="BK484" s="430"/>
      <c r="BL484" s="430"/>
      <c r="BM484" s="430"/>
      <c r="BN484" s="430"/>
      <c r="BO484" s="430"/>
      <c r="BP484" s="430"/>
      <c r="BQ484" s="430"/>
      <c r="BR484" s="430"/>
      <c r="BS484" s="430"/>
      <c r="BT484" s="430"/>
      <c r="BU484" s="430"/>
      <c r="BV484" s="430"/>
      <c r="BW484" s="430"/>
      <c r="BX484" s="430"/>
      <c r="BY484" s="430"/>
      <c r="BZ484" s="430"/>
      <c r="CA484" s="430"/>
      <c r="CB484" s="430"/>
      <c r="CC484" s="430"/>
      <c r="CD484" s="430"/>
      <c r="CE484" s="430"/>
      <c r="CF484" s="430"/>
      <c r="CG484" s="430"/>
      <c r="CH484" s="430"/>
      <c r="CI484" s="430"/>
      <c r="CJ484" s="430"/>
      <c r="CK484" s="430"/>
      <c r="CL484" s="430"/>
    </row>
    <row r="485" spans="63:90" ht="14.25" customHeight="1">
      <c r="BK485" s="430"/>
      <c r="BL485" s="430"/>
      <c r="BM485" s="430"/>
      <c r="BN485" s="430"/>
      <c r="BO485" s="430"/>
      <c r="BP485" s="430"/>
      <c r="BQ485" s="430"/>
      <c r="BR485" s="430"/>
      <c r="BS485" s="430"/>
      <c r="BT485" s="430"/>
      <c r="BU485" s="430"/>
      <c r="BV485" s="430"/>
      <c r="BW485" s="430"/>
      <c r="BX485" s="430"/>
      <c r="BY485" s="430"/>
      <c r="BZ485" s="430"/>
      <c r="CA485" s="430"/>
      <c r="CB485" s="430"/>
      <c r="CC485" s="430"/>
      <c r="CD485" s="430"/>
      <c r="CE485" s="430"/>
      <c r="CF485" s="430"/>
      <c r="CG485" s="430"/>
      <c r="CH485" s="430"/>
      <c r="CI485" s="430"/>
      <c r="CJ485" s="430"/>
      <c r="CK485" s="430"/>
      <c r="CL485" s="430"/>
    </row>
    <row r="486" spans="63:90" ht="14.25" customHeight="1">
      <c r="BK486" s="430"/>
      <c r="BL486" s="430"/>
      <c r="BM486" s="430"/>
      <c r="BN486" s="430"/>
      <c r="BO486" s="430"/>
      <c r="BP486" s="430"/>
      <c r="BQ486" s="430"/>
      <c r="BR486" s="430"/>
      <c r="BS486" s="430"/>
      <c r="BT486" s="430"/>
      <c r="BU486" s="430"/>
      <c r="BV486" s="430"/>
      <c r="BW486" s="430"/>
      <c r="BX486" s="430"/>
      <c r="BY486" s="430"/>
      <c r="BZ486" s="430"/>
      <c r="CA486" s="430"/>
      <c r="CB486" s="430"/>
      <c r="CC486" s="430"/>
      <c r="CD486" s="430"/>
      <c r="CE486" s="430"/>
      <c r="CF486" s="430"/>
      <c r="CG486" s="430"/>
      <c r="CH486" s="430"/>
      <c r="CI486" s="430"/>
      <c r="CJ486" s="430"/>
      <c r="CK486" s="430"/>
      <c r="CL486" s="430"/>
    </row>
    <row r="487" spans="63:90" ht="14.25" customHeight="1">
      <c r="BK487" s="430"/>
      <c r="BL487" s="430"/>
      <c r="BM487" s="430"/>
      <c r="BN487" s="430"/>
      <c r="BO487" s="430"/>
      <c r="BP487" s="430"/>
      <c r="BQ487" s="430"/>
      <c r="BR487" s="430"/>
      <c r="BS487" s="430"/>
      <c r="BT487" s="430"/>
      <c r="BU487" s="430"/>
      <c r="BV487" s="430"/>
      <c r="BW487" s="430"/>
      <c r="BX487" s="430"/>
      <c r="BY487" s="430"/>
      <c r="BZ487" s="430"/>
      <c r="CA487" s="430"/>
      <c r="CB487" s="430"/>
      <c r="CC487" s="430"/>
      <c r="CD487" s="430"/>
      <c r="CE487" s="430"/>
      <c r="CF487" s="430"/>
      <c r="CG487" s="430"/>
      <c r="CH487" s="430"/>
      <c r="CI487" s="430"/>
      <c r="CJ487" s="430"/>
      <c r="CK487" s="430"/>
      <c r="CL487" s="430"/>
    </row>
    <row r="488" spans="63:90" ht="14.25" customHeight="1">
      <c r="BK488" s="430"/>
      <c r="BL488" s="430"/>
      <c r="BM488" s="430"/>
      <c r="BN488" s="430"/>
      <c r="BO488" s="430"/>
      <c r="BP488" s="430"/>
      <c r="BQ488" s="430"/>
      <c r="BR488" s="430"/>
      <c r="BS488" s="430"/>
      <c r="BT488" s="430"/>
      <c r="BU488" s="430"/>
      <c r="BV488" s="430"/>
      <c r="BW488" s="430"/>
      <c r="BX488" s="430"/>
      <c r="BY488" s="430"/>
      <c r="BZ488" s="430"/>
      <c r="CA488" s="430"/>
      <c r="CB488" s="430"/>
      <c r="CC488" s="430"/>
      <c r="CD488" s="430"/>
      <c r="CE488" s="430"/>
      <c r="CF488" s="430"/>
      <c r="CG488" s="430"/>
      <c r="CH488" s="430"/>
      <c r="CI488" s="430"/>
      <c r="CJ488" s="430"/>
      <c r="CK488" s="430"/>
      <c r="CL488" s="430"/>
    </row>
    <row r="489" spans="63:90" ht="14.25" customHeight="1">
      <c r="BK489" s="430"/>
      <c r="BL489" s="430"/>
      <c r="BM489" s="430"/>
      <c r="BN489" s="430"/>
      <c r="BO489" s="430"/>
      <c r="BP489" s="430"/>
      <c r="BQ489" s="430"/>
      <c r="BR489" s="430"/>
      <c r="BS489" s="430"/>
      <c r="BT489" s="430"/>
      <c r="BU489" s="430"/>
      <c r="BV489" s="430"/>
      <c r="BW489" s="430"/>
      <c r="BX489" s="430"/>
      <c r="BY489" s="430"/>
      <c r="BZ489" s="430"/>
      <c r="CA489" s="430"/>
      <c r="CB489" s="430"/>
      <c r="CC489" s="430"/>
      <c r="CD489" s="430"/>
      <c r="CE489" s="430"/>
      <c r="CF489" s="430"/>
      <c r="CG489" s="430"/>
      <c r="CH489" s="430"/>
      <c r="CI489" s="430"/>
      <c r="CJ489" s="430"/>
      <c r="CK489" s="430"/>
      <c r="CL489" s="430"/>
    </row>
    <row r="490" spans="63:90" ht="14.25" customHeight="1">
      <c r="BK490" s="430"/>
      <c r="BL490" s="430"/>
      <c r="BM490" s="430"/>
      <c r="BN490" s="430"/>
      <c r="BO490" s="430"/>
      <c r="BP490" s="430"/>
      <c r="BQ490" s="430"/>
      <c r="BR490" s="430"/>
      <c r="BS490" s="430"/>
      <c r="BT490" s="430"/>
      <c r="BU490" s="430"/>
      <c r="BV490" s="430"/>
      <c r="BW490" s="430"/>
      <c r="BX490" s="430"/>
      <c r="BY490" s="430"/>
      <c r="BZ490" s="430"/>
      <c r="CA490" s="430"/>
      <c r="CB490" s="430"/>
      <c r="CC490" s="430"/>
      <c r="CD490" s="430"/>
      <c r="CE490" s="430"/>
      <c r="CF490" s="430"/>
      <c r="CG490" s="430"/>
      <c r="CH490" s="430"/>
      <c r="CI490" s="430"/>
      <c r="CJ490" s="430"/>
      <c r="CK490" s="430"/>
      <c r="CL490" s="430"/>
    </row>
    <row r="491" spans="63:90" ht="14.25" customHeight="1">
      <c r="BK491" s="430"/>
      <c r="BL491" s="430"/>
      <c r="BM491" s="430"/>
      <c r="BN491" s="430"/>
      <c r="BO491" s="430"/>
      <c r="BP491" s="430"/>
      <c r="BQ491" s="430"/>
      <c r="BR491" s="430"/>
      <c r="BS491" s="430"/>
      <c r="BT491" s="430"/>
      <c r="BU491" s="430"/>
      <c r="BV491" s="430"/>
      <c r="BW491" s="430"/>
      <c r="BX491" s="430"/>
      <c r="BY491" s="430"/>
      <c r="BZ491" s="430"/>
      <c r="CA491" s="430"/>
      <c r="CB491" s="430"/>
      <c r="CC491" s="430"/>
      <c r="CD491" s="430"/>
      <c r="CE491" s="430"/>
      <c r="CF491" s="430"/>
      <c r="CG491" s="430"/>
      <c r="CH491" s="430"/>
      <c r="CI491" s="430"/>
      <c r="CJ491" s="430"/>
      <c r="CK491" s="430"/>
      <c r="CL491" s="430"/>
    </row>
    <row r="492" spans="63:90" ht="14.25" customHeight="1">
      <c r="BK492" s="430"/>
      <c r="BL492" s="430"/>
      <c r="BM492" s="430"/>
      <c r="BN492" s="430"/>
      <c r="BO492" s="430"/>
      <c r="BP492" s="430"/>
      <c r="BQ492" s="430"/>
      <c r="BR492" s="430"/>
      <c r="BS492" s="430"/>
      <c r="BT492" s="430"/>
      <c r="BU492" s="430"/>
      <c r="BV492" s="430"/>
      <c r="BW492" s="430"/>
      <c r="BX492" s="430"/>
      <c r="BY492" s="430"/>
      <c r="BZ492" s="430"/>
      <c r="CA492" s="430"/>
      <c r="CB492" s="430"/>
      <c r="CC492" s="430"/>
      <c r="CD492" s="430"/>
      <c r="CE492" s="430"/>
      <c r="CF492" s="430"/>
      <c r="CG492" s="430"/>
      <c r="CH492" s="430"/>
      <c r="CI492" s="430"/>
      <c r="CJ492" s="430"/>
      <c r="CK492" s="430"/>
      <c r="CL492" s="430"/>
    </row>
    <row r="493" spans="63:90" ht="14.25" customHeight="1">
      <c r="BK493" s="430"/>
      <c r="BL493" s="430"/>
      <c r="BM493" s="430"/>
      <c r="BN493" s="430"/>
      <c r="BO493" s="430"/>
      <c r="BP493" s="430"/>
      <c r="BQ493" s="430"/>
      <c r="BR493" s="430"/>
      <c r="BS493" s="430"/>
      <c r="BT493" s="430"/>
      <c r="BU493" s="430"/>
      <c r="BV493" s="430"/>
      <c r="BW493" s="430"/>
      <c r="BX493" s="430"/>
      <c r="BY493" s="430"/>
      <c r="BZ493" s="430"/>
      <c r="CA493" s="430"/>
      <c r="CB493" s="430"/>
      <c r="CC493" s="430"/>
      <c r="CD493" s="430"/>
      <c r="CE493" s="430"/>
      <c r="CF493" s="430"/>
      <c r="CG493" s="430"/>
      <c r="CH493" s="430"/>
      <c r="CI493" s="430"/>
      <c r="CJ493" s="430"/>
      <c r="CK493" s="430"/>
      <c r="CL493" s="430"/>
    </row>
    <row r="494" spans="63:90" ht="14.25" customHeight="1">
      <c r="BK494" s="430"/>
      <c r="BL494" s="430"/>
      <c r="BM494" s="430"/>
      <c r="BN494" s="430"/>
      <c r="BO494" s="430"/>
      <c r="BP494" s="430"/>
      <c r="BQ494" s="430"/>
      <c r="BR494" s="430"/>
      <c r="BS494" s="430"/>
      <c r="BT494" s="430"/>
      <c r="BU494" s="430"/>
      <c r="BV494" s="430"/>
      <c r="BW494" s="430"/>
      <c r="BX494" s="430"/>
      <c r="BY494" s="430"/>
      <c r="BZ494" s="430"/>
      <c r="CA494" s="430"/>
      <c r="CB494" s="430"/>
      <c r="CC494" s="430"/>
      <c r="CD494" s="430"/>
      <c r="CE494" s="430"/>
      <c r="CF494" s="430"/>
      <c r="CG494" s="430"/>
      <c r="CH494" s="430"/>
      <c r="CI494" s="430"/>
      <c r="CJ494" s="430"/>
      <c r="CK494" s="430"/>
      <c r="CL494" s="430"/>
    </row>
    <row r="495" spans="63:90" ht="14.25" customHeight="1">
      <c r="BK495" s="430"/>
      <c r="BL495" s="430"/>
      <c r="BM495" s="430"/>
      <c r="BN495" s="430"/>
      <c r="BO495" s="430"/>
      <c r="BP495" s="430"/>
      <c r="BQ495" s="430"/>
      <c r="BR495" s="430"/>
      <c r="BS495" s="430"/>
      <c r="BT495" s="430"/>
      <c r="BU495" s="430"/>
      <c r="BV495" s="430"/>
      <c r="BW495" s="430"/>
      <c r="BX495" s="430"/>
      <c r="BY495" s="430"/>
      <c r="BZ495" s="430"/>
      <c r="CA495" s="430"/>
      <c r="CB495" s="430"/>
      <c r="CC495" s="430"/>
      <c r="CD495" s="430"/>
      <c r="CE495" s="430"/>
      <c r="CF495" s="430"/>
      <c r="CG495" s="430"/>
      <c r="CH495" s="430"/>
      <c r="CI495" s="430"/>
      <c r="CJ495" s="430"/>
      <c r="CK495" s="430"/>
      <c r="CL495" s="430"/>
    </row>
    <row r="496" spans="63:90" ht="14.25" customHeight="1">
      <c r="BK496" s="430"/>
      <c r="BL496" s="430"/>
      <c r="BM496" s="430"/>
      <c r="BN496" s="430"/>
      <c r="BO496" s="430"/>
      <c r="BP496" s="430"/>
      <c r="BQ496" s="430"/>
      <c r="BR496" s="430"/>
      <c r="BS496" s="430"/>
      <c r="BT496" s="430"/>
      <c r="BU496" s="430"/>
      <c r="BV496" s="430"/>
      <c r="BW496" s="430"/>
      <c r="BX496" s="430"/>
      <c r="BY496" s="430"/>
      <c r="BZ496" s="430"/>
      <c r="CA496" s="430"/>
      <c r="CB496" s="430"/>
      <c r="CC496" s="430"/>
      <c r="CD496" s="430"/>
      <c r="CE496" s="430"/>
      <c r="CF496" s="430"/>
      <c r="CG496" s="430"/>
      <c r="CH496" s="430"/>
      <c r="CI496" s="430"/>
      <c r="CJ496" s="430"/>
      <c r="CK496" s="430"/>
      <c r="CL496" s="430"/>
    </row>
    <row r="497" spans="63:90" ht="14.25" customHeight="1">
      <c r="BK497" s="430"/>
      <c r="BL497" s="430"/>
      <c r="BM497" s="430"/>
      <c r="BN497" s="430"/>
      <c r="BO497" s="430"/>
      <c r="BP497" s="430"/>
      <c r="BQ497" s="430"/>
      <c r="BR497" s="430"/>
      <c r="BS497" s="430"/>
      <c r="BT497" s="430"/>
      <c r="BU497" s="430"/>
      <c r="BV497" s="430"/>
      <c r="BW497" s="430"/>
      <c r="BX497" s="430"/>
      <c r="BY497" s="430"/>
      <c r="BZ497" s="430"/>
      <c r="CA497" s="430"/>
      <c r="CB497" s="430"/>
      <c r="CC497" s="430"/>
      <c r="CD497" s="430"/>
      <c r="CE497" s="430"/>
      <c r="CF497" s="430"/>
      <c r="CG497" s="430"/>
      <c r="CH497" s="430"/>
      <c r="CI497" s="430"/>
      <c r="CJ497" s="430"/>
      <c r="CK497" s="430"/>
      <c r="CL497" s="430"/>
    </row>
    <row r="498" spans="63:90" ht="14.25" customHeight="1">
      <c r="BK498" s="430"/>
      <c r="BL498" s="430"/>
      <c r="BM498" s="430"/>
      <c r="BN498" s="430"/>
      <c r="BO498" s="430"/>
      <c r="BP498" s="430"/>
      <c r="BQ498" s="430"/>
      <c r="BR498" s="430"/>
      <c r="BS498" s="430"/>
      <c r="BT498" s="430"/>
      <c r="BU498" s="430"/>
      <c r="BV498" s="430"/>
      <c r="BW498" s="430"/>
      <c r="BX498" s="430"/>
      <c r="BY498" s="430"/>
      <c r="BZ498" s="430"/>
      <c r="CA498" s="430"/>
      <c r="CB498" s="430"/>
      <c r="CC498" s="430"/>
      <c r="CD498" s="430"/>
      <c r="CE498" s="430"/>
      <c r="CF498" s="430"/>
      <c r="CG498" s="430"/>
      <c r="CH498" s="430"/>
      <c r="CI498" s="430"/>
      <c r="CJ498" s="430"/>
      <c r="CK498" s="430"/>
      <c r="CL498" s="430"/>
    </row>
    <row r="499" spans="63:90" ht="14.25" customHeight="1">
      <c r="BK499" s="430"/>
      <c r="BL499" s="430"/>
      <c r="BM499" s="430"/>
      <c r="BN499" s="430"/>
      <c r="BO499" s="430"/>
      <c r="BP499" s="430"/>
      <c r="BQ499" s="430"/>
      <c r="BR499" s="430"/>
      <c r="BS499" s="430"/>
      <c r="BT499" s="430"/>
      <c r="BU499" s="430"/>
      <c r="BV499" s="430"/>
      <c r="BW499" s="430"/>
      <c r="BX499" s="430"/>
      <c r="BY499" s="430"/>
      <c r="BZ499" s="430"/>
      <c r="CA499" s="430"/>
      <c r="CB499" s="430"/>
      <c r="CC499" s="430"/>
      <c r="CD499" s="430"/>
      <c r="CE499" s="430"/>
      <c r="CF499" s="430"/>
      <c r="CG499" s="430"/>
      <c r="CH499" s="430"/>
      <c r="CI499" s="430"/>
      <c r="CJ499" s="430"/>
      <c r="CK499" s="430"/>
      <c r="CL499" s="430"/>
    </row>
    <row r="500" spans="63:90" ht="14.25" customHeight="1">
      <c r="BK500" s="430"/>
      <c r="BL500" s="430"/>
      <c r="BM500" s="430"/>
      <c r="BN500" s="430"/>
      <c r="BO500" s="430"/>
      <c r="BP500" s="430"/>
      <c r="BQ500" s="430"/>
      <c r="BR500" s="430"/>
      <c r="BS500" s="430"/>
      <c r="BT500" s="430"/>
      <c r="BU500" s="430"/>
      <c r="BV500" s="430"/>
      <c r="BW500" s="430"/>
      <c r="BX500" s="430"/>
      <c r="BY500" s="430"/>
      <c r="BZ500" s="430"/>
      <c r="CA500" s="430"/>
      <c r="CB500" s="430"/>
      <c r="CC500" s="430"/>
      <c r="CD500" s="430"/>
      <c r="CE500" s="430"/>
      <c r="CF500" s="430"/>
      <c r="CG500" s="430"/>
      <c r="CH500" s="430"/>
      <c r="CI500" s="430"/>
      <c r="CJ500" s="430"/>
      <c r="CK500" s="430"/>
      <c r="CL500" s="430"/>
    </row>
    <row r="501" spans="63:90" ht="14.25" customHeight="1">
      <c r="BK501" s="430"/>
      <c r="BL501" s="430"/>
      <c r="BM501" s="430"/>
      <c r="BN501" s="430"/>
      <c r="BO501" s="430"/>
      <c r="BP501" s="430"/>
      <c r="BQ501" s="430"/>
      <c r="BR501" s="430"/>
      <c r="BS501" s="430"/>
      <c r="BT501" s="430"/>
      <c r="BU501" s="430"/>
      <c r="BV501" s="430"/>
      <c r="BW501" s="430"/>
      <c r="BX501" s="430"/>
      <c r="BY501" s="430"/>
      <c r="BZ501" s="430"/>
      <c r="CA501" s="430"/>
      <c r="CB501" s="430"/>
      <c r="CC501" s="430"/>
      <c r="CD501" s="430"/>
      <c r="CE501" s="430"/>
      <c r="CF501" s="430"/>
      <c r="CG501" s="430"/>
      <c r="CH501" s="430"/>
      <c r="CI501" s="430"/>
      <c r="CJ501" s="430"/>
      <c r="CK501" s="430"/>
      <c r="CL501" s="430"/>
    </row>
    <row r="502" spans="63:90" ht="14.25" customHeight="1">
      <c r="BK502" s="430"/>
      <c r="BL502" s="430"/>
      <c r="BM502" s="430"/>
      <c r="BN502" s="430"/>
      <c r="BO502" s="430"/>
      <c r="BP502" s="430"/>
      <c r="BQ502" s="430"/>
      <c r="BR502" s="430"/>
      <c r="BS502" s="430"/>
      <c r="BT502" s="430"/>
      <c r="BU502" s="430"/>
      <c r="BV502" s="430"/>
      <c r="BW502" s="430"/>
      <c r="BX502" s="430"/>
      <c r="BY502" s="430"/>
      <c r="BZ502" s="430"/>
      <c r="CA502" s="430"/>
      <c r="CB502" s="430"/>
      <c r="CC502" s="430"/>
      <c r="CD502" s="430"/>
      <c r="CE502" s="430"/>
      <c r="CF502" s="430"/>
      <c r="CG502" s="430"/>
      <c r="CH502" s="430"/>
      <c r="CI502" s="430"/>
      <c r="CJ502" s="430"/>
      <c r="CK502" s="430"/>
      <c r="CL502" s="430"/>
    </row>
    <row r="503" spans="63:90" ht="14.25" customHeight="1">
      <c r="BK503" s="430"/>
      <c r="BL503" s="430"/>
      <c r="BM503" s="430"/>
      <c r="BN503" s="430"/>
      <c r="BO503" s="430"/>
      <c r="BP503" s="430"/>
      <c r="BQ503" s="430"/>
      <c r="BR503" s="430"/>
      <c r="BS503" s="430"/>
      <c r="BT503" s="430"/>
      <c r="BU503" s="430"/>
      <c r="BV503" s="430"/>
      <c r="BW503" s="430"/>
      <c r="BX503" s="430"/>
      <c r="BY503" s="430"/>
      <c r="BZ503" s="430"/>
      <c r="CA503" s="430"/>
      <c r="CB503" s="430"/>
      <c r="CC503" s="430"/>
      <c r="CD503" s="430"/>
      <c r="CE503" s="430"/>
      <c r="CF503" s="430"/>
      <c r="CG503" s="430"/>
      <c r="CH503" s="430"/>
      <c r="CI503" s="430"/>
      <c r="CJ503" s="430"/>
      <c r="CK503" s="430"/>
      <c r="CL503" s="430"/>
    </row>
    <row r="504" spans="63:90" ht="14.25" customHeight="1">
      <c r="BK504" s="430"/>
      <c r="BL504" s="430"/>
      <c r="BM504" s="430"/>
      <c r="BN504" s="430"/>
      <c r="BO504" s="430"/>
      <c r="BP504" s="430"/>
      <c r="BQ504" s="430"/>
      <c r="BR504" s="430"/>
      <c r="BS504" s="430"/>
      <c r="BT504" s="430"/>
      <c r="BU504" s="430"/>
      <c r="BV504" s="430"/>
      <c r="BW504" s="430"/>
      <c r="BX504" s="430"/>
      <c r="BY504" s="430"/>
      <c r="BZ504" s="430"/>
      <c r="CA504" s="430"/>
      <c r="CB504" s="430"/>
      <c r="CC504" s="430"/>
      <c r="CD504" s="430"/>
      <c r="CE504" s="430"/>
      <c r="CF504" s="430"/>
      <c r="CG504" s="430"/>
      <c r="CH504" s="430"/>
      <c r="CI504" s="430"/>
      <c r="CJ504" s="430"/>
      <c r="CK504" s="430"/>
      <c r="CL504" s="430"/>
    </row>
    <row r="505" spans="63:90" ht="14.25" customHeight="1">
      <c r="BK505" s="430"/>
      <c r="BL505" s="430"/>
      <c r="BM505" s="430"/>
      <c r="BN505" s="430"/>
      <c r="BO505" s="430"/>
      <c r="BP505" s="430"/>
      <c r="BQ505" s="430"/>
      <c r="BR505" s="430"/>
      <c r="BS505" s="430"/>
      <c r="BT505" s="430"/>
      <c r="BU505" s="430"/>
      <c r="BV505" s="430"/>
      <c r="BW505" s="430"/>
      <c r="BX505" s="430"/>
      <c r="BY505" s="430"/>
      <c r="BZ505" s="430"/>
      <c r="CA505" s="430"/>
      <c r="CB505" s="430"/>
      <c r="CC505" s="430"/>
      <c r="CD505" s="430"/>
      <c r="CE505" s="430"/>
      <c r="CF505" s="430"/>
      <c r="CG505" s="430"/>
      <c r="CH505" s="430"/>
      <c r="CI505" s="430"/>
      <c r="CJ505" s="430"/>
      <c r="CK505" s="430"/>
      <c r="CL505" s="430"/>
    </row>
    <row r="506" spans="63:90" ht="14.25" customHeight="1">
      <c r="BK506" s="430"/>
      <c r="BL506" s="430"/>
      <c r="BM506" s="430"/>
      <c r="BN506" s="430"/>
      <c r="BO506" s="430"/>
      <c r="BP506" s="430"/>
      <c r="BQ506" s="430"/>
      <c r="BR506" s="430"/>
      <c r="BS506" s="430"/>
      <c r="BT506" s="430"/>
      <c r="BU506" s="430"/>
      <c r="BV506" s="430"/>
      <c r="BW506" s="430"/>
      <c r="BX506" s="430"/>
      <c r="BY506" s="430"/>
      <c r="BZ506" s="430"/>
      <c r="CA506" s="430"/>
      <c r="CB506" s="430"/>
      <c r="CC506" s="430"/>
      <c r="CD506" s="430"/>
      <c r="CE506" s="430"/>
      <c r="CF506" s="430"/>
      <c r="CG506" s="430"/>
      <c r="CH506" s="430"/>
      <c r="CI506" s="430"/>
      <c r="CJ506" s="430"/>
      <c r="CK506" s="430"/>
      <c r="CL506" s="430"/>
    </row>
    <row r="507" spans="63:90" ht="14.25" customHeight="1">
      <c r="BK507" s="430"/>
      <c r="BL507" s="430"/>
      <c r="BM507" s="430"/>
      <c r="BN507" s="430"/>
      <c r="BO507" s="430"/>
      <c r="BP507" s="430"/>
      <c r="BQ507" s="430"/>
      <c r="BR507" s="430"/>
      <c r="BS507" s="430"/>
      <c r="BT507" s="430"/>
      <c r="BU507" s="430"/>
      <c r="BV507" s="430"/>
      <c r="BW507" s="430"/>
      <c r="BX507" s="430"/>
      <c r="BY507" s="430"/>
      <c r="BZ507" s="430"/>
      <c r="CA507" s="430"/>
      <c r="CB507" s="430"/>
      <c r="CC507" s="430"/>
      <c r="CD507" s="430"/>
      <c r="CE507" s="430"/>
      <c r="CF507" s="430"/>
      <c r="CG507" s="430"/>
      <c r="CH507" s="430"/>
      <c r="CI507" s="430"/>
      <c r="CJ507" s="430"/>
      <c r="CK507" s="430"/>
      <c r="CL507" s="430"/>
    </row>
    <row r="508" spans="63:90" ht="14.25" customHeight="1">
      <c r="BK508" s="430"/>
      <c r="BL508" s="430"/>
      <c r="BM508" s="430"/>
      <c r="BN508" s="430"/>
      <c r="BO508" s="430"/>
      <c r="BP508" s="430"/>
      <c r="BQ508" s="430"/>
      <c r="BR508" s="430"/>
      <c r="BS508" s="430"/>
      <c r="BT508" s="430"/>
      <c r="BU508" s="430"/>
      <c r="BV508" s="430"/>
      <c r="BW508" s="430"/>
      <c r="BX508" s="430"/>
      <c r="BY508" s="430"/>
      <c r="BZ508" s="430"/>
      <c r="CA508" s="430"/>
      <c r="CB508" s="430"/>
      <c r="CC508" s="430"/>
      <c r="CD508" s="430"/>
      <c r="CE508" s="430"/>
      <c r="CF508" s="430"/>
      <c r="CG508" s="430"/>
      <c r="CH508" s="430"/>
      <c r="CI508" s="430"/>
      <c r="CJ508" s="430"/>
      <c r="CK508" s="430"/>
      <c r="CL508" s="430"/>
    </row>
    <row r="509" spans="63:90" ht="14.25" customHeight="1">
      <c r="BK509" s="430"/>
      <c r="BL509" s="430"/>
      <c r="BM509" s="430"/>
      <c r="BN509" s="430"/>
      <c r="BO509" s="430"/>
      <c r="BP509" s="430"/>
      <c r="BQ509" s="430"/>
      <c r="BR509" s="430"/>
      <c r="BS509" s="430"/>
      <c r="BT509" s="430"/>
      <c r="BU509" s="430"/>
      <c r="BV509" s="430"/>
      <c r="BW509" s="430"/>
      <c r="BX509" s="430"/>
      <c r="BY509" s="430"/>
      <c r="BZ509" s="430"/>
      <c r="CA509" s="430"/>
      <c r="CB509" s="430"/>
      <c r="CC509" s="430"/>
      <c r="CD509" s="430"/>
      <c r="CE509" s="430"/>
      <c r="CF509" s="430"/>
      <c r="CG509" s="430"/>
      <c r="CH509" s="430"/>
      <c r="CI509" s="430"/>
      <c r="CJ509" s="430"/>
      <c r="CK509" s="430"/>
      <c r="CL509" s="430"/>
    </row>
    <row r="510" spans="63:90" ht="14.25" customHeight="1">
      <c r="BK510" s="430"/>
      <c r="BL510" s="430"/>
      <c r="BM510" s="430"/>
      <c r="BN510" s="430"/>
      <c r="BO510" s="430"/>
      <c r="BP510" s="430"/>
      <c r="BQ510" s="430"/>
      <c r="BR510" s="430"/>
      <c r="BS510" s="430"/>
      <c r="BT510" s="430"/>
      <c r="BU510" s="430"/>
      <c r="BV510" s="430"/>
      <c r="BW510" s="430"/>
      <c r="BX510" s="430"/>
      <c r="BY510" s="430"/>
      <c r="BZ510" s="430"/>
      <c r="CA510" s="430"/>
      <c r="CB510" s="430"/>
      <c r="CC510" s="430"/>
      <c r="CD510" s="430"/>
      <c r="CE510" s="430"/>
      <c r="CF510" s="430"/>
      <c r="CG510" s="430"/>
      <c r="CH510" s="430"/>
      <c r="CI510" s="430"/>
      <c r="CJ510" s="430"/>
      <c r="CK510" s="430"/>
      <c r="CL510" s="430"/>
    </row>
    <row r="511" spans="63:90" ht="14.25" customHeight="1">
      <c r="BK511" s="430"/>
      <c r="BL511" s="430"/>
      <c r="BM511" s="430"/>
      <c r="BN511" s="430"/>
      <c r="BO511" s="430"/>
      <c r="BP511" s="430"/>
      <c r="BQ511" s="430"/>
      <c r="BR511" s="430"/>
      <c r="BS511" s="430"/>
      <c r="BT511" s="430"/>
      <c r="BU511" s="430"/>
      <c r="BV511" s="430"/>
      <c r="BW511" s="430"/>
      <c r="BX511" s="430"/>
      <c r="BY511" s="430"/>
      <c r="BZ511" s="430"/>
      <c r="CA511" s="430"/>
      <c r="CB511" s="430"/>
      <c r="CC511" s="430"/>
      <c r="CD511" s="430"/>
      <c r="CE511" s="430"/>
      <c r="CF511" s="430"/>
      <c r="CG511" s="430"/>
      <c r="CH511" s="430"/>
      <c r="CI511" s="430"/>
      <c r="CJ511" s="430"/>
      <c r="CK511" s="430"/>
      <c r="CL511" s="430"/>
    </row>
    <row r="512" spans="63:90" ht="14.25" customHeight="1">
      <c r="BK512" s="430"/>
      <c r="BL512" s="430"/>
      <c r="BM512" s="430"/>
      <c r="BN512" s="430"/>
      <c r="BO512" s="430"/>
      <c r="BP512" s="430"/>
      <c r="BQ512" s="430"/>
      <c r="BR512" s="430"/>
      <c r="BS512" s="430"/>
      <c r="BT512" s="430"/>
      <c r="BU512" s="430"/>
      <c r="BV512" s="430"/>
      <c r="BW512" s="430"/>
      <c r="BX512" s="430"/>
      <c r="BY512" s="430"/>
      <c r="BZ512" s="430"/>
      <c r="CA512" s="430"/>
      <c r="CB512" s="430"/>
      <c r="CC512" s="430"/>
      <c r="CD512" s="430"/>
      <c r="CE512" s="430"/>
      <c r="CF512" s="430"/>
      <c r="CG512" s="430"/>
      <c r="CH512" s="430"/>
      <c r="CI512" s="430"/>
      <c r="CJ512" s="430"/>
      <c r="CK512" s="430"/>
      <c r="CL512" s="430"/>
    </row>
    <row r="513" spans="63:90" ht="14.25" customHeight="1">
      <c r="BK513" s="430"/>
      <c r="BL513" s="430"/>
      <c r="BM513" s="430"/>
      <c r="BN513" s="430"/>
      <c r="BO513" s="430"/>
      <c r="BP513" s="430"/>
      <c r="BQ513" s="430"/>
      <c r="BR513" s="430"/>
      <c r="BS513" s="430"/>
      <c r="BT513" s="430"/>
      <c r="BU513" s="430"/>
      <c r="BV513" s="430"/>
      <c r="BW513" s="430"/>
      <c r="BX513" s="430"/>
      <c r="BY513" s="430"/>
      <c r="BZ513" s="430"/>
      <c r="CA513" s="430"/>
      <c r="CB513" s="430"/>
      <c r="CC513" s="430"/>
      <c r="CD513" s="430"/>
      <c r="CE513" s="430"/>
      <c r="CF513" s="430"/>
      <c r="CG513" s="430"/>
      <c r="CH513" s="430"/>
      <c r="CI513" s="430"/>
      <c r="CJ513" s="430"/>
      <c r="CK513" s="430"/>
      <c r="CL513" s="430"/>
    </row>
    <row r="514" spans="63:90" ht="14.25" customHeight="1">
      <c r="BK514" s="430"/>
      <c r="BL514" s="430"/>
      <c r="BM514" s="430"/>
      <c r="BN514" s="430"/>
      <c r="BO514" s="430"/>
      <c r="BP514" s="430"/>
      <c r="BQ514" s="430"/>
      <c r="BR514" s="430"/>
      <c r="BS514" s="430"/>
      <c r="BT514" s="430"/>
      <c r="BU514" s="430"/>
      <c r="BV514" s="430"/>
      <c r="BW514" s="430"/>
      <c r="BX514" s="430"/>
      <c r="BY514" s="430"/>
      <c r="BZ514" s="430"/>
      <c r="CA514" s="430"/>
      <c r="CB514" s="430"/>
      <c r="CC514" s="430"/>
      <c r="CD514" s="430"/>
      <c r="CE514" s="430"/>
      <c r="CF514" s="430"/>
      <c r="CG514" s="430"/>
      <c r="CH514" s="430"/>
      <c r="CI514" s="430"/>
      <c r="CJ514" s="430"/>
      <c r="CK514" s="430"/>
      <c r="CL514" s="430"/>
    </row>
    <row r="515" spans="63:90" ht="14.25" customHeight="1">
      <c r="BK515" s="430"/>
      <c r="BL515" s="430"/>
      <c r="BM515" s="430"/>
      <c r="BN515" s="430"/>
      <c r="BO515" s="430"/>
      <c r="BP515" s="430"/>
      <c r="BQ515" s="430"/>
      <c r="BR515" s="430"/>
      <c r="BS515" s="430"/>
      <c r="BT515" s="430"/>
      <c r="BU515" s="430"/>
      <c r="BV515" s="430"/>
      <c r="BW515" s="430"/>
      <c r="BX515" s="430"/>
      <c r="BY515" s="430"/>
      <c r="BZ515" s="430"/>
      <c r="CA515" s="430"/>
      <c r="CB515" s="430"/>
      <c r="CC515" s="430"/>
      <c r="CD515" s="430"/>
      <c r="CE515" s="430"/>
      <c r="CF515" s="430"/>
      <c r="CG515" s="430"/>
      <c r="CH515" s="430"/>
      <c r="CI515" s="430"/>
      <c r="CJ515" s="430"/>
      <c r="CK515" s="430"/>
      <c r="CL515" s="430"/>
    </row>
    <row r="516" spans="63:90" ht="14.25" customHeight="1">
      <c r="BK516" s="430"/>
      <c r="BL516" s="430"/>
      <c r="BM516" s="430"/>
      <c r="BN516" s="430"/>
      <c r="BO516" s="430"/>
      <c r="BP516" s="430"/>
      <c r="BQ516" s="430"/>
      <c r="BR516" s="430"/>
      <c r="BS516" s="430"/>
      <c r="BT516" s="430"/>
      <c r="BU516" s="430"/>
      <c r="BV516" s="430"/>
      <c r="BW516" s="430"/>
      <c r="BX516" s="430"/>
      <c r="BY516" s="430"/>
      <c r="BZ516" s="430"/>
      <c r="CA516" s="430"/>
      <c r="CB516" s="430"/>
      <c r="CC516" s="430"/>
      <c r="CD516" s="430"/>
      <c r="CE516" s="430"/>
      <c r="CF516" s="430"/>
      <c r="CG516" s="430"/>
      <c r="CH516" s="430"/>
      <c r="CI516" s="430"/>
      <c r="CJ516" s="430"/>
      <c r="CK516" s="430"/>
      <c r="CL516" s="430"/>
    </row>
    <row r="517" spans="63:90" ht="14.25" customHeight="1">
      <c r="BK517" s="430"/>
      <c r="BL517" s="430"/>
      <c r="BM517" s="430"/>
      <c r="BN517" s="430"/>
      <c r="BO517" s="430"/>
      <c r="BP517" s="430"/>
      <c r="BQ517" s="430"/>
      <c r="BR517" s="430"/>
      <c r="BS517" s="430"/>
      <c r="BT517" s="430"/>
      <c r="BU517" s="430"/>
      <c r="BV517" s="430"/>
      <c r="BW517" s="430"/>
      <c r="BX517" s="430"/>
      <c r="BY517" s="430"/>
      <c r="BZ517" s="430"/>
      <c r="CA517" s="430"/>
      <c r="CB517" s="430"/>
      <c r="CC517" s="430"/>
      <c r="CD517" s="430"/>
      <c r="CE517" s="430"/>
      <c r="CF517" s="430"/>
      <c r="CG517" s="430"/>
      <c r="CH517" s="430"/>
      <c r="CI517" s="430"/>
      <c r="CJ517" s="430"/>
      <c r="CK517" s="430"/>
      <c r="CL517" s="430"/>
    </row>
    <row r="518" spans="63:90" ht="14.25" customHeight="1">
      <c r="BK518" s="430"/>
      <c r="BL518" s="430"/>
      <c r="BM518" s="430"/>
      <c r="BN518" s="430"/>
      <c r="BO518" s="430"/>
      <c r="BP518" s="430"/>
      <c r="BQ518" s="430"/>
      <c r="BR518" s="430"/>
      <c r="BS518" s="430"/>
      <c r="BT518" s="430"/>
      <c r="BU518" s="430"/>
      <c r="BV518" s="430"/>
      <c r="BW518" s="430"/>
      <c r="BX518" s="430"/>
      <c r="BY518" s="430"/>
      <c r="BZ518" s="430"/>
      <c r="CA518" s="430"/>
      <c r="CB518" s="430"/>
      <c r="CC518" s="430"/>
      <c r="CD518" s="430"/>
      <c r="CE518" s="430"/>
      <c r="CF518" s="430"/>
      <c r="CG518" s="430"/>
      <c r="CH518" s="430"/>
      <c r="CI518" s="430"/>
      <c r="CJ518" s="430"/>
      <c r="CK518" s="430"/>
      <c r="CL518" s="430"/>
    </row>
    <row r="519" spans="63:90" ht="14.25" customHeight="1">
      <c r="BK519" s="430"/>
      <c r="BL519" s="430"/>
      <c r="BM519" s="430"/>
      <c r="BN519" s="430"/>
      <c r="BO519" s="430"/>
      <c r="BP519" s="430"/>
      <c r="BQ519" s="430"/>
      <c r="BR519" s="430"/>
      <c r="BS519" s="430"/>
      <c r="BT519" s="430"/>
      <c r="BU519" s="430"/>
      <c r="BV519" s="430"/>
      <c r="BW519" s="430"/>
      <c r="BX519" s="430"/>
      <c r="BY519" s="430"/>
      <c r="BZ519" s="430"/>
      <c r="CA519" s="430"/>
      <c r="CB519" s="430"/>
      <c r="CC519" s="430"/>
      <c r="CD519" s="430"/>
      <c r="CE519" s="430"/>
      <c r="CF519" s="430"/>
      <c r="CG519" s="430"/>
      <c r="CH519" s="430"/>
      <c r="CI519" s="430"/>
      <c r="CJ519" s="430"/>
      <c r="CK519" s="430"/>
      <c r="CL519" s="430"/>
    </row>
    <row r="520" spans="63:90" ht="14.25" customHeight="1">
      <c r="BK520" s="430"/>
      <c r="BL520" s="430"/>
      <c r="BM520" s="430"/>
      <c r="BN520" s="430"/>
      <c r="BO520" s="430"/>
      <c r="BP520" s="430"/>
      <c r="BQ520" s="430"/>
      <c r="BR520" s="430"/>
      <c r="BS520" s="430"/>
      <c r="BT520" s="430"/>
      <c r="BU520" s="430"/>
      <c r="BV520" s="430"/>
      <c r="BW520" s="430"/>
      <c r="BX520" s="430"/>
      <c r="BY520" s="430"/>
      <c r="BZ520" s="430"/>
      <c r="CA520" s="430"/>
      <c r="CB520" s="430"/>
      <c r="CC520" s="430"/>
      <c r="CD520" s="430"/>
      <c r="CE520" s="430"/>
      <c r="CF520" s="430"/>
      <c r="CG520" s="430"/>
      <c r="CH520" s="430"/>
      <c r="CI520" s="430"/>
      <c r="CJ520" s="430"/>
      <c r="CK520" s="430"/>
      <c r="CL520" s="430"/>
    </row>
    <row r="521" spans="63:90" ht="14.25" customHeight="1">
      <c r="BK521" s="430"/>
      <c r="BL521" s="430"/>
      <c r="BM521" s="430"/>
      <c r="BN521" s="430"/>
      <c r="BO521" s="430"/>
      <c r="BP521" s="430"/>
      <c r="BQ521" s="430"/>
      <c r="BR521" s="430"/>
      <c r="BS521" s="430"/>
      <c r="BT521" s="430"/>
      <c r="BU521" s="430"/>
      <c r="BV521" s="430"/>
      <c r="BW521" s="430"/>
      <c r="BX521" s="430"/>
      <c r="BY521" s="430"/>
      <c r="BZ521" s="430"/>
      <c r="CA521" s="430"/>
      <c r="CB521" s="430"/>
      <c r="CC521" s="430"/>
      <c r="CD521" s="430"/>
      <c r="CE521" s="430"/>
      <c r="CF521" s="430"/>
      <c r="CG521" s="430"/>
      <c r="CH521" s="430"/>
      <c r="CI521" s="430"/>
      <c r="CJ521" s="430"/>
      <c r="CK521" s="430"/>
      <c r="CL521" s="430"/>
    </row>
    <row r="522" spans="63:90" ht="14.25" customHeight="1">
      <c r="BK522" s="430"/>
      <c r="BL522" s="430"/>
      <c r="BM522" s="430"/>
      <c r="BN522" s="430"/>
      <c r="BO522" s="430"/>
      <c r="BP522" s="430"/>
      <c r="BQ522" s="430"/>
      <c r="BR522" s="430"/>
      <c r="BS522" s="430"/>
      <c r="BT522" s="430"/>
      <c r="BU522" s="430"/>
      <c r="BV522" s="430"/>
      <c r="BW522" s="430"/>
      <c r="BX522" s="430"/>
      <c r="BY522" s="430"/>
      <c r="BZ522" s="430"/>
      <c r="CA522" s="430"/>
      <c r="CB522" s="430"/>
      <c r="CC522" s="430"/>
      <c r="CD522" s="430"/>
      <c r="CE522" s="430"/>
      <c r="CF522" s="430"/>
      <c r="CG522" s="430"/>
      <c r="CH522" s="430"/>
      <c r="CI522" s="430"/>
      <c r="CJ522" s="430"/>
      <c r="CK522" s="430"/>
      <c r="CL522" s="430"/>
    </row>
    <row r="523" spans="63:90" ht="14.25" customHeight="1">
      <c r="BK523" s="430"/>
      <c r="BL523" s="430"/>
      <c r="BM523" s="430"/>
      <c r="BN523" s="430"/>
      <c r="BO523" s="430"/>
      <c r="BP523" s="430"/>
      <c r="BQ523" s="430"/>
      <c r="BR523" s="430"/>
      <c r="BS523" s="430"/>
      <c r="BT523" s="430"/>
      <c r="BU523" s="430"/>
      <c r="BV523" s="430"/>
      <c r="BW523" s="430"/>
      <c r="BX523" s="430"/>
      <c r="BY523" s="430"/>
      <c r="BZ523" s="430"/>
      <c r="CA523" s="430"/>
      <c r="CB523" s="430"/>
      <c r="CC523" s="430"/>
      <c r="CD523" s="430"/>
      <c r="CE523" s="430"/>
      <c r="CF523" s="430"/>
      <c r="CG523" s="430"/>
      <c r="CH523" s="430"/>
      <c r="CI523" s="430"/>
      <c r="CJ523" s="430"/>
      <c r="CK523" s="430"/>
      <c r="CL523" s="430"/>
    </row>
    <row r="524" spans="63:90" ht="14.25" customHeight="1">
      <c r="BK524" s="430"/>
      <c r="BL524" s="430"/>
      <c r="BM524" s="430"/>
      <c r="BN524" s="430"/>
      <c r="BO524" s="430"/>
      <c r="BP524" s="430"/>
      <c r="BQ524" s="430"/>
      <c r="BR524" s="430"/>
      <c r="BS524" s="430"/>
      <c r="BT524" s="430"/>
      <c r="BU524" s="430"/>
      <c r="BV524" s="430"/>
      <c r="BW524" s="430"/>
      <c r="BX524" s="430"/>
      <c r="BY524" s="430"/>
      <c r="BZ524" s="430"/>
      <c r="CA524" s="430"/>
      <c r="CB524" s="430"/>
      <c r="CC524" s="430"/>
      <c r="CD524" s="430"/>
      <c r="CE524" s="430"/>
      <c r="CF524" s="430"/>
      <c r="CG524" s="430"/>
      <c r="CH524" s="430"/>
      <c r="CI524" s="430"/>
      <c r="CJ524" s="430"/>
      <c r="CK524" s="430"/>
      <c r="CL524" s="430"/>
    </row>
    <row r="525" spans="63:90" ht="14.25" customHeight="1">
      <c r="BK525" s="430"/>
      <c r="BL525" s="430"/>
      <c r="BM525" s="430"/>
      <c r="BN525" s="430"/>
      <c r="BO525" s="430"/>
      <c r="BP525" s="430"/>
      <c r="BQ525" s="430"/>
      <c r="BR525" s="430"/>
      <c r="BS525" s="430"/>
      <c r="BT525" s="430"/>
      <c r="BU525" s="430"/>
      <c r="BV525" s="430"/>
      <c r="BW525" s="430"/>
      <c r="BX525" s="430"/>
      <c r="BY525" s="430"/>
      <c r="BZ525" s="430"/>
      <c r="CA525" s="430"/>
      <c r="CB525" s="430"/>
      <c r="CC525" s="430"/>
      <c r="CD525" s="430"/>
      <c r="CE525" s="430"/>
      <c r="CF525" s="430"/>
      <c r="CG525" s="430"/>
      <c r="CH525" s="430"/>
      <c r="CI525" s="430"/>
      <c r="CJ525" s="430"/>
      <c r="CK525" s="430"/>
      <c r="CL525" s="430"/>
    </row>
    <row r="526" spans="63:90" ht="14.25" customHeight="1">
      <c r="BK526" s="430"/>
      <c r="BL526" s="430"/>
      <c r="BM526" s="430"/>
      <c r="BN526" s="430"/>
      <c r="BO526" s="430"/>
      <c r="BP526" s="430"/>
      <c r="BQ526" s="430"/>
      <c r="BR526" s="430"/>
      <c r="BS526" s="430"/>
      <c r="BT526" s="430"/>
      <c r="BU526" s="430"/>
      <c r="BV526" s="430"/>
      <c r="BW526" s="430"/>
      <c r="BX526" s="430"/>
      <c r="BY526" s="430"/>
      <c r="BZ526" s="430"/>
      <c r="CA526" s="430"/>
      <c r="CB526" s="430"/>
      <c r="CC526" s="430"/>
      <c r="CD526" s="430"/>
      <c r="CE526" s="430"/>
      <c r="CF526" s="430"/>
      <c r="CG526" s="430"/>
      <c r="CH526" s="430"/>
      <c r="CI526" s="430"/>
      <c r="CJ526" s="430"/>
      <c r="CK526" s="430"/>
      <c r="CL526" s="430"/>
    </row>
    <row r="527" spans="63:90" ht="14.25" customHeight="1">
      <c r="BK527" s="430"/>
      <c r="BL527" s="430"/>
      <c r="BM527" s="430"/>
      <c r="BN527" s="430"/>
      <c r="BO527" s="430"/>
      <c r="BP527" s="430"/>
      <c r="BQ527" s="430"/>
      <c r="BR527" s="430"/>
      <c r="BS527" s="430"/>
      <c r="BT527" s="430"/>
      <c r="BU527" s="430"/>
      <c r="BV527" s="430"/>
      <c r="BW527" s="430"/>
      <c r="BX527" s="430"/>
      <c r="BY527" s="430"/>
      <c r="BZ527" s="430"/>
      <c r="CA527" s="430"/>
      <c r="CB527" s="430"/>
      <c r="CC527" s="430"/>
      <c r="CD527" s="430"/>
      <c r="CE527" s="430"/>
      <c r="CF527" s="430"/>
      <c r="CG527" s="430"/>
      <c r="CH527" s="430"/>
      <c r="CI527" s="430"/>
      <c r="CJ527" s="430"/>
      <c r="CK527" s="430"/>
      <c r="CL527" s="430"/>
    </row>
    <row r="528" spans="63:90" ht="14.25" customHeight="1">
      <c r="BK528" s="430"/>
      <c r="BL528" s="430"/>
      <c r="BM528" s="430"/>
      <c r="BN528" s="430"/>
      <c r="BO528" s="430"/>
      <c r="BP528" s="430"/>
      <c r="BQ528" s="430"/>
      <c r="BR528" s="430"/>
      <c r="BS528" s="430"/>
      <c r="BT528" s="430"/>
      <c r="BU528" s="430"/>
      <c r="BV528" s="430"/>
      <c r="BW528" s="430"/>
      <c r="BX528" s="430"/>
      <c r="BY528" s="430"/>
      <c r="BZ528" s="430"/>
      <c r="CA528" s="430"/>
      <c r="CB528" s="430"/>
      <c r="CC528" s="430"/>
      <c r="CD528" s="430"/>
      <c r="CE528" s="430"/>
      <c r="CF528" s="430"/>
      <c r="CG528" s="430"/>
      <c r="CH528" s="430"/>
      <c r="CI528" s="430"/>
      <c r="CJ528" s="430"/>
      <c r="CK528" s="430"/>
      <c r="CL528" s="430"/>
    </row>
    <row r="529" spans="63:90" ht="14.25" customHeight="1">
      <c r="BK529" s="430"/>
      <c r="BL529" s="430"/>
      <c r="BM529" s="430"/>
      <c r="BN529" s="430"/>
      <c r="BO529" s="430"/>
      <c r="BP529" s="430"/>
      <c r="BQ529" s="430"/>
      <c r="BR529" s="430"/>
      <c r="BS529" s="430"/>
      <c r="BT529" s="430"/>
      <c r="BU529" s="430"/>
      <c r="BV529" s="430"/>
      <c r="BW529" s="430"/>
      <c r="BX529" s="430"/>
      <c r="BY529" s="430"/>
      <c r="BZ529" s="430"/>
      <c r="CA529" s="430"/>
      <c r="CB529" s="430"/>
      <c r="CC529" s="430"/>
      <c r="CD529" s="430"/>
      <c r="CE529" s="430"/>
      <c r="CF529" s="430"/>
      <c r="CG529" s="430"/>
      <c r="CH529" s="430"/>
      <c r="CI529" s="430"/>
      <c r="CJ529" s="430"/>
      <c r="CK529" s="430"/>
      <c r="CL529" s="430"/>
    </row>
    <row r="530" spans="63:90" ht="14.25" customHeight="1">
      <c r="BK530" s="430"/>
      <c r="BL530" s="430"/>
      <c r="BM530" s="430"/>
      <c r="BN530" s="430"/>
      <c r="BO530" s="430"/>
      <c r="BP530" s="430"/>
      <c r="BQ530" s="430"/>
      <c r="BR530" s="430"/>
      <c r="BS530" s="430"/>
      <c r="BT530" s="430"/>
      <c r="BU530" s="430"/>
      <c r="BV530" s="430"/>
      <c r="BW530" s="430"/>
      <c r="BX530" s="430"/>
      <c r="BY530" s="430"/>
      <c r="BZ530" s="430"/>
      <c r="CA530" s="430"/>
      <c r="CB530" s="430"/>
      <c r="CC530" s="430"/>
      <c r="CD530" s="430"/>
      <c r="CE530" s="430"/>
      <c r="CF530" s="430"/>
      <c r="CG530" s="430"/>
      <c r="CH530" s="430"/>
      <c r="CI530" s="430"/>
      <c r="CJ530" s="430"/>
      <c r="CK530" s="430"/>
      <c r="CL530" s="430"/>
    </row>
    <row r="531" spans="63:90" ht="14.25" customHeight="1">
      <c r="BK531" s="430"/>
      <c r="BL531" s="430"/>
      <c r="BM531" s="430"/>
      <c r="BN531" s="430"/>
      <c r="BO531" s="430"/>
      <c r="BP531" s="430"/>
      <c r="BQ531" s="430"/>
      <c r="BR531" s="430"/>
      <c r="BS531" s="430"/>
      <c r="BT531" s="430"/>
      <c r="BU531" s="430"/>
      <c r="BV531" s="430"/>
      <c r="BW531" s="430"/>
      <c r="BX531" s="430"/>
      <c r="BY531" s="430"/>
      <c r="BZ531" s="430"/>
      <c r="CA531" s="430"/>
      <c r="CB531" s="430"/>
      <c r="CC531" s="430"/>
      <c r="CD531" s="430"/>
      <c r="CE531" s="430"/>
      <c r="CF531" s="430"/>
      <c r="CG531" s="430"/>
      <c r="CH531" s="430"/>
      <c r="CI531" s="430"/>
      <c r="CJ531" s="430"/>
      <c r="CK531" s="430"/>
      <c r="CL531" s="430"/>
    </row>
    <row r="532" spans="63:90" ht="14.25" customHeight="1">
      <c r="BK532" s="430"/>
      <c r="BL532" s="430"/>
      <c r="BM532" s="430"/>
      <c r="BN532" s="430"/>
      <c r="BO532" s="430"/>
      <c r="BP532" s="430"/>
      <c r="BQ532" s="430"/>
      <c r="BR532" s="430"/>
      <c r="BS532" s="430"/>
      <c r="BT532" s="430"/>
      <c r="BU532" s="430"/>
      <c r="BV532" s="430"/>
      <c r="BW532" s="430"/>
      <c r="BX532" s="430"/>
      <c r="BY532" s="430"/>
      <c r="BZ532" s="430"/>
      <c r="CA532" s="430"/>
      <c r="CB532" s="430"/>
      <c r="CC532" s="430"/>
      <c r="CD532" s="430"/>
      <c r="CE532" s="430"/>
      <c r="CF532" s="430"/>
      <c r="CG532" s="430"/>
      <c r="CH532" s="430"/>
      <c r="CI532" s="430"/>
      <c r="CJ532" s="430"/>
      <c r="CK532" s="430"/>
      <c r="CL532" s="430"/>
    </row>
    <row r="533" spans="63:90" ht="14.25" customHeight="1">
      <c r="BK533" s="430"/>
      <c r="BL533" s="430"/>
      <c r="BM533" s="430"/>
      <c r="BN533" s="430"/>
      <c r="BO533" s="430"/>
      <c r="BP533" s="430"/>
      <c r="BQ533" s="430"/>
      <c r="BR533" s="430"/>
      <c r="BS533" s="430"/>
      <c r="BT533" s="430"/>
      <c r="BU533" s="430"/>
      <c r="BV533" s="430"/>
      <c r="BW533" s="430"/>
      <c r="BX533" s="430"/>
      <c r="BY533" s="430"/>
      <c r="BZ533" s="430"/>
      <c r="CA533" s="430"/>
      <c r="CB533" s="430"/>
      <c r="CC533" s="430"/>
      <c r="CD533" s="430"/>
      <c r="CE533" s="430"/>
      <c r="CF533" s="430"/>
      <c r="CG533" s="430"/>
      <c r="CH533" s="430"/>
      <c r="CI533" s="430"/>
      <c r="CJ533" s="430"/>
      <c r="CK533" s="430"/>
      <c r="CL533" s="430"/>
    </row>
    <row r="534" spans="63:90" ht="14.25" customHeight="1">
      <c r="BK534" s="430"/>
      <c r="BL534" s="430"/>
      <c r="BM534" s="430"/>
      <c r="BN534" s="430"/>
      <c r="BO534" s="430"/>
      <c r="BP534" s="430"/>
      <c r="BQ534" s="430"/>
      <c r="BR534" s="430"/>
      <c r="BS534" s="430"/>
      <c r="BT534" s="430"/>
      <c r="BU534" s="430"/>
      <c r="BV534" s="430"/>
      <c r="BW534" s="430"/>
      <c r="BX534" s="430"/>
      <c r="BY534" s="430"/>
      <c r="BZ534" s="430"/>
      <c r="CA534" s="430"/>
      <c r="CB534" s="430"/>
      <c r="CC534" s="430"/>
      <c r="CD534" s="430"/>
      <c r="CE534" s="430"/>
      <c r="CF534" s="430"/>
      <c r="CG534" s="430"/>
      <c r="CH534" s="430"/>
      <c r="CI534" s="430"/>
      <c r="CJ534" s="430"/>
      <c r="CK534" s="430"/>
      <c r="CL534" s="430"/>
    </row>
    <row r="535" spans="63:90" ht="14.25" customHeight="1">
      <c r="BK535" s="430"/>
      <c r="BL535" s="430"/>
      <c r="BM535" s="430"/>
      <c r="BN535" s="430"/>
      <c r="BO535" s="430"/>
      <c r="BP535" s="430"/>
      <c r="BQ535" s="430"/>
      <c r="BR535" s="430"/>
      <c r="BS535" s="430"/>
      <c r="BT535" s="430"/>
      <c r="BU535" s="430"/>
      <c r="BV535" s="430"/>
      <c r="BW535" s="430"/>
      <c r="BX535" s="430"/>
      <c r="BY535" s="430"/>
      <c r="BZ535" s="430"/>
      <c r="CA535" s="430"/>
      <c r="CB535" s="430"/>
      <c r="CC535" s="430"/>
      <c r="CD535" s="430"/>
      <c r="CE535" s="430"/>
      <c r="CF535" s="430"/>
      <c r="CG535" s="430"/>
      <c r="CH535" s="430"/>
      <c r="CI535" s="430"/>
      <c r="CJ535" s="430"/>
      <c r="CK535" s="430"/>
      <c r="CL535" s="430"/>
    </row>
    <row r="536" spans="63:90" ht="14.25" customHeight="1">
      <c r="BK536" s="430"/>
      <c r="BL536" s="430"/>
      <c r="BM536" s="430"/>
      <c r="BN536" s="430"/>
      <c r="BO536" s="430"/>
      <c r="BP536" s="430"/>
      <c r="BQ536" s="430"/>
      <c r="BR536" s="430"/>
      <c r="BS536" s="430"/>
      <c r="BT536" s="430"/>
      <c r="BU536" s="430"/>
      <c r="BV536" s="430"/>
      <c r="BW536" s="430"/>
      <c r="BX536" s="430"/>
      <c r="BY536" s="430"/>
      <c r="BZ536" s="430"/>
      <c r="CA536" s="430"/>
      <c r="CB536" s="430"/>
      <c r="CC536" s="430"/>
      <c r="CD536" s="430"/>
      <c r="CE536" s="430"/>
      <c r="CF536" s="430"/>
      <c r="CG536" s="430"/>
      <c r="CH536" s="430"/>
      <c r="CI536" s="430"/>
      <c r="CJ536" s="430"/>
      <c r="CK536" s="430"/>
      <c r="CL536" s="430"/>
    </row>
    <row r="537" spans="63:90" ht="14.25" customHeight="1">
      <c r="BK537" s="430"/>
      <c r="BL537" s="430"/>
      <c r="BM537" s="430"/>
      <c r="BN537" s="430"/>
      <c r="BO537" s="430"/>
      <c r="BP537" s="430"/>
      <c r="BQ537" s="430"/>
      <c r="BR537" s="430"/>
      <c r="BS537" s="430"/>
      <c r="BT537" s="430"/>
      <c r="BU537" s="430"/>
      <c r="BV537" s="430"/>
      <c r="BW537" s="430"/>
      <c r="BX537" s="430"/>
      <c r="BY537" s="430"/>
      <c r="BZ537" s="430"/>
      <c r="CA537" s="430"/>
      <c r="CB537" s="430"/>
      <c r="CC537" s="430"/>
      <c r="CD537" s="430"/>
      <c r="CE537" s="430"/>
      <c r="CF537" s="430"/>
      <c r="CG537" s="430"/>
      <c r="CH537" s="430"/>
      <c r="CI537" s="430"/>
      <c r="CJ537" s="430"/>
      <c r="CK537" s="430"/>
      <c r="CL537" s="430"/>
    </row>
    <row r="538" spans="63:90" ht="14.25" customHeight="1">
      <c r="BK538" s="430"/>
      <c r="BL538" s="430"/>
      <c r="BM538" s="430"/>
      <c r="BN538" s="430"/>
      <c r="BO538" s="430"/>
      <c r="BP538" s="430"/>
      <c r="BQ538" s="430"/>
      <c r="BR538" s="430"/>
      <c r="BS538" s="430"/>
      <c r="BT538" s="430"/>
      <c r="BU538" s="430"/>
      <c r="BV538" s="430"/>
      <c r="BW538" s="430"/>
      <c r="BX538" s="430"/>
      <c r="BY538" s="430"/>
      <c r="BZ538" s="430"/>
      <c r="CA538" s="430"/>
      <c r="CB538" s="430"/>
      <c r="CC538" s="430"/>
      <c r="CD538" s="430"/>
      <c r="CE538" s="430"/>
      <c r="CF538" s="430"/>
      <c r="CG538" s="430"/>
      <c r="CH538" s="430"/>
      <c r="CI538" s="430"/>
      <c r="CJ538" s="430"/>
      <c r="CK538" s="430"/>
      <c r="CL538" s="430"/>
    </row>
    <row r="539" spans="63:90" ht="14.25" customHeight="1">
      <c r="BK539" s="430"/>
      <c r="BL539" s="430"/>
      <c r="BM539" s="430"/>
      <c r="BN539" s="430"/>
      <c r="BO539" s="430"/>
      <c r="BP539" s="430"/>
      <c r="BQ539" s="430"/>
      <c r="BR539" s="430"/>
      <c r="BS539" s="430"/>
      <c r="BT539" s="430"/>
      <c r="BU539" s="430"/>
      <c r="BV539" s="430"/>
      <c r="BW539" s="430"/>
      <c r="BX539" s="430"/>
      <c r="BY539" s="430"/>
      <c r="BZ539" s="430"/>
      <c r="CA539" s="430"/>
      <c r="CB539" s="430"/>
      <c r="CC539" s="430"/>
      <c r="CD539" s="430"/>
      <c r="CE539" s="430"/>
      <c r="CF539" s="430"/>
      <c r="CG539" s="430"/>
      <c r="CH539" s="430"/>
      <c r="CI539" s="430"/>
      <c r="CJ539" s="430"/>
      <c r="CK539" s="430"/>
      <c r="CL539" s="430"/>
    </row>
    <row r="540" spans="63:90" ht="14.25" customHeight="1">
      <c r="BK540" s="430"/>
      <c r="BL540" s="430"/>
      <c r="BM540" s="430"/>
      <c r="BN540" s="430"/>
      <c r="BO540" s="430"/>
      <c r="BP540" s="430"/>
      <c r="BQ540" s="430"/>
      <c r="BR540" s="430"/>
      <c r="BS540" s="430"/>
      <c r="BT540" s="430"/>
      <c r="BU540" s="430"/>
      <c r="BV540" s="430"/>
      <c r="BW540" s="430"/>
      <c r="BX540" s="430"/>
      <c r="BY540" s="430"/>
      <c r="BZ540" s="430"/>
      <c r="CA540" s="430"/>
      <c r="CB540" s="430"/>
      <c r="CC540" s="430"/>
      <c r="CD540" s="430"/>
      <c r="CE540" s="430"/>
      <c r="CF540" s="430"/>
      <c r="CG540" s="430"/>
      <c r="CH540" s="430"/>
      <c r="CI540" s="430"/>
      <c r="CJ540" s="430"/>
      <c r="CK540" s="430"/>
      <c r="CL540" s="430"/>
    </row>
    <row r="541" spans="63:90" ht="14.25" customHeight="1">
      <c r="BK541" s="430"/>
      <c r="BL541" s="430"/>
      <c r="BM541" s="430"/>
      <c r="BN541" s="430"/>
      <c r="BO541" s="430"/>
      <c r="BP541" s="430"/>
      <c r="BQ541" s="430"/>
      <c r="BR541" s="430"/>
      <c r="BS541" s="430"/>
      <c r="BT541" s="430"/>
      <c r="BU541" s="430"/>
      <c r="BV541" s="430"/>
      <c r="BW541" s="430"/>
      <c r="BX541" s="430"/>
      <c r="BY541" s="430"/>
      <c r="BZ541" s="430"/>
      <c r="CA541" s="430"/>
      <c r="CB541" s="430"/>
      <c r="CC541" s="430"/>
      <c r="CD541" s="430"/>
      <c r="CE541" s="430"/>
      <c r="CF541" s="430"/>
      <c r="CG541" s="430"/>
      <c r="CH541" s="430"/>
      <c r="CI541" s="430"/>
      <c r="CJ541" s="430"/>
      <c r="CK541" s="430"/>
      <c r="CL541" s="430"/>
    </row>
    <row r="542" spans="63:90" ht="14.25" customHeight="1">
      <c r="BK542" s="430"/>
      <c r="BL542" s="430"/>
      <c r="BM542" s="430"/>
      <c r="BN542" s="430"/>
      <c r="BO542" s="430"/>
      <c r="BP542" s="430"/>
      <c r="BQ542" s="430"/>
      <c r="BR542" s="430"/>
      <c r="BS542" s="430"/>
      <c r="BT542" s="430"/>
      <c r="BU542" s="430"/>
      <c r="BV542" s="430"/>
      <c r="BW542" s="430"/>
      <c r="BX542" s="430"/>
      <c r="BY542" s="430"/>
      <c r="BZ542" s="430"/>
      <c r="CA542" s="430"/>
      <c r="CB542" s="430"/>
      <c r="CC542" s="430"/>
      <c r="CD542" s="430"/>
      <c r="CE542" s="430"/>
      <c r="CF542" s="430"/>
      <c r="CG542" s="430"/>
      <c r="CH542" s="430"/>
      <c r="CI542" s="430"/>
      <c r="CJ542" s="430"/>
      <c r="CK542" s="430"/>
      <c r="CL542" s="430"/>
    </row>
    <row r="543" spans="63:90" ht="14.25" customHeight="1">
      <c r="BK543" s="430"/>
      <c r="BL543" s="430"/>
      <c r="BM543" s="430"/>
      <c r="BN543" s="430"/>
      <c r="BO543" s="430"/>
      <c r="BP543" s="430"/>
      <c r="BQ543" s="430"/>
      <c r="BR543" s="430"/>
      <c r="BS543" s="430"/>
      <c r="BT543" s="430"/>
      <c r="BU543" s="430"/>
      <c r="BV543" s="430"/>
      <c r="BW543" s="430"/>
      <c r="BX543" s="430"/>
      <c r="BY543" s="430"/>
      <c r="BZ543" s="430"/>
      <c r="CA543" s="430"/>
      <c r="CB543" s="430"/>
      <c r="CC543" s="430"/>
      <c r="CD543" s="430"/>
      <c r="CE543" s="430"/>
      <c r="CF543" s="430"/>
      <c r="CG543" s="430"/>
      <c r="CH543" s="430"/>
      <c r="CI543" s="430"/>
      <c r="CJ543" s="430"/>
      <c r="CK543" s="430"/>
      <c r="CL543" s="430"/>
    </row>
    <row r="544" spans="63:90" ht="14.25" customHeight="1">
      <c r="BK544" s="430"/>
      <c r="BL544" s="430"/>
      <c r="BM544" s="430"/>
      <c r="BN544" s="430"/>
      <c r="BO544" s="430"/>
      <c r="BP544" s="430"/>
      <c r="BQ544" s="430"/>
      <c r="BR544" s="430"/>
      <c r="BS544" s="430"/>
      <c r="BT544" s="430"/>
      <c r="BU544" s="430"/>
      <c r="BV544" s="430"/>
      <c r="BW544" s="430"/>
      <c r="BX544" s="430"/>
      <c r="BY544" s="430"/>
      <c r="BZ544" s="430"/>
      <c r="CA544" s="430"/>
      <c r="CB544" s="430"/>
      <c r="CC544" s="430"/>
      <c r="CD544" s="430"/>
      <c r="CE544" s="430"/>
      <c r="CF544" s="430"/>
      <c r="CG544" s="430"/>
      <c r="CH544" s="430"/>
      <c r="CI544" s="430"/>
      <c r="CJ544" s="430"/>
      <c r="CK544" s="430"/>
      <c r="CL544" s="430"/>
    </row>
    <row r="545" spans="63:90" ht="14.25" customHeight="1">
      <c r="BK545" s="430"/>
      <c r="BL545" s="430"/>
      <c r="BM545" s="430"/>
      <c r="BN545" s="430"/>
      <c r="BO545" s="430"/>
      <c r="BP545" s="430"/>
      <c r="BQ545" s="430"/>
      <c r="BR545" s="430"/>
      <c r="BS545" s="430"/>
      <c r="BT545" s="430"/>
      <c r="BU545" s="430"/>
      <c r="BV545" s="430"/>
      <c r="BW545" s="430"/>
      <c r="BX545" s="430"/>
      <c r="BY545" s="430"/>
      <c r="BZ545" s="430"/>
      <c r="CA545" s="430"/>
      <c r="CB545" s="430"/>
      <c r="CC545" s="430"/>
      <c r="CD545" s="430"/>
      <c r="CE545" s="430"/>
      <c r="CF545" s="430"/>
      <c r="CG545" s="430"/>
      <c r="CH545" s="430"/>
      <c r="CI545" s="430"/>
      <c r="CJ545" s="430"/>
      <c r="CK545" s="430"/>
      <c r="CL545" s="430"/>
    </row>
    <row r="546" spans="63:90" ht="14.25" customHeight="1">
      <c r="BK546" s="430"/>
      <c r="BL546" s="430"/>
      <c r="BM546" s="430"/>
      <c r="BN546" s="430"/>
      <c r="BO546" s="430"/>
      <c r="BP546" s="430"/>
      <c r="BQ546" s="430"/>
      <c r="BR546" s="430"/>
      <c r="BS546" s="430"/>
      <c r="BT546" s="430"/>
      <c r="BU546" s="430"/>
      <c r="BV546" s="430"/>
      <c r="BW546" s="430"/>
      <c r="BX546" s="430"/>
      <c r="BY546" s="430"/>
      <c r="BZ546" s="430"/>
      <c r="CA546" s="430"/>
      <c r="CB546" s="430"/>
      <c r="CC546" s="430"/>
      <c r="CD546" s="430"/>
      <c r="CE546" s="430"/>
      <c r="CF546" s="430"/>
      <c r="CG546" s="430"/>
      <c r="CH546" s="430"/>
      <c r="CI546" s="430"/>
      <c r="CJ546" s="430"/>
      <c r="CK546" s="430"/>
      <c r="CL546" s="430"/>
    </row>
    <row r="547" spans="63:90" ht="14.25" customHeight="1">
      <c r="BK547" s="430"/>
      <c r="BL547" s="430"/>
      <c r="BM547" s="430"/>
      <c r="BN547" s="430"/>
      <c r="BO547" s="430"/>
      <c r="BP547" s="430"/>
      <c r="BQ547" s="430"/>
      <c r="BR547" s="430"/>
      <c r="BS547" s="430"/>
      <c r="BT547" s="430"/>
      <c r="BU547" s="430"/>
      <c r="BV547" s="430"/>
      <c r="BW547" s="430"/>
      <c r="BX547" s="430"/>
      <c r="BY547" s="430"/>
      <c r="BZ547" s="430"/>
      <c r="CA547" s="430"/>
      <c r="CB547" s="430"/>
      <c r="CC547" s="430"/>
      <c r="CD547" s="430"/>
      <c r="CE547" s="430"/>
      <c r="CF547" s="430"/>
      <c r="CG547" s="430"/>
      <c r="CH547" s="430"/>
      <c r="CI547" s="430"/>
      <c r="CJ547" s="430"/>
      <c r="CK547" s="430"/>
      <c r="CL547" s="430"/>
    </row>
    <row r="548" spans="63:90" ht="14.25" customHeight="1">
      <c r="BK548" s="430"/>
      <c r="BL548" s="430"/>
      <c r="BM548" s="430"/>
      <c r="BN548" s="430"/>
      <c r="BO548" s="430"/>
      <c r="BP548" s="430"/>
      <c r="BQ548" s="430"/>
      <c r="BR548" s="430"/>
      <c r="BS548" s="430"/>
      <c r="BT548" s="430"/>
      <c r="BU548" s="430"/>
      <c r="BV548" s="430"/>
      <c r="BW548" s="430"/>
      <c r="BX548" s="430"/>
      <c r="BY548" s="430"/>
      <c r="BZ548" s="430"/>
      <c r="CA548" s="430"/>
      <c r="CB548" s="430"/>
      <c r="CC548" s="430"/>
      <c r="CD548" s="430"/>
      <c r="CE548" s="430"/>
      <c r="CF548" s="430"/>
      <c r="CG548" s="430"/>
      <c r="CH548" s="430"/>
      <c r="CI548" s="430"/>
      <c r="CJ548" s="430"/>
      <c r="CK548" s="430"/>
      <c r="CL548" s="430"/>
    </row>
    <row r="549" spans="63:90" ht="14.25" customHeight="1">
      <c r="BK549" s="430"/>
      <c r="BL549" s="430"/>
      <c r="BM549" s="430"/>
      <c r="BN549" s="430"/>
      <c r="BO549" s="430"/>
      <c r="BP549" s="430"/>
      <c r="BQ549" s="430"/>
      <c r="BR549" s="430"/>
      <c r="BS549" s="430"/>
      <c r="BT549" s="430"/>
      <c r="BU549" s="430"/>
      <c r="BV549" s="430"/>
      <c r="BW549" s="430"/>
      <c r="BX549" s="430"/>
      <c r="BY549" s="430"/>
      <c r="BZ549" s="430"/>
      <c r="CA549" s="430"/>
      <c r="CB549" s="430"/>
      <c r="CC549" s="430"/>
      <c r="CD549" s="430"/>
      <c r="CE549" s="430"/>
      <c r="CF549" s="430"/>
      <c r="CG549" s="430"/>
      <c r="CH549" s="430"/>
      <c r="CI549" s="430"/>
      <c r="CJ549" s="430"/>
      <c r="CK549" s="430"/>
      <c r="CL549" s="430"/>
    </row>
    <row r="550" spans="63:90" ht="14.25" customHeight="1">
      <c r="BK550" s="430"/>
      <c r="BL550" s="430"/>
      <c r="BM550" s="430"/>
      <c r="BN550" s="430"/>
      <c r="BO550" s="430"/>
      <c r="BP550" s="430"/>
      <c r="BQ550" s="430"/>
      <c r="BR550" s="430"/>
      <c r="BS550" s="430"/>
      <c r="BT550" s="430"/>
      <c r="BU550" s="430"/>
      <c r="BV550" s="430"/>
      <c r="BW550" s="430"/>
      <c r="BX550" s="430"/>
      <c r="BY550" s="430"/>
      <c r="BZ550" s="430"/>
      <c r="CA550" s="430"/>
      <c r="CB550" s="430"/>
      <c r="CC550" s="430"/>
      <c r="CD550" s="430"/>
      <c r="CE550" s="430"/>
      <c r="CF550" s="430"/>
      <c r="CG550" s="430"/>
      <c r="CH550" s="430"/>
      <c r="CI550" s="430"/>
      <c r="CJ550" s="430"/>
      <c r="CK550" s="430"/>
      <c r="CL550" s="430"/>
    </row>
    <row r="551" spans="63:90" ht="14.25" customHeight="1">
      <c r="BK551" s="430"/>
      <c r="BL551" s="430"/>
      <c r="BM551" s="430"/>
      <c r="BN551" s="430"/>
      <c r="BO551" s="430"/>
      <c r="BP551" s="430"/>
      <c r="BQ551" s="430"/>
      <c r="BR551" s="430"/>
      <c r="BS551" s="430"/>
      <c r="BT551" s="430"/>
      <c r="BU551" s="430"/>
      <c r="BV551" s="430"/>
      <c r="BW551" s="430"/>
      <c r="BX551" s="430"/>
      <c r="BY551" s="430"/>
      <c r="BZ551" s="430"/>
      <c r="CA551" s="430"/>
      <c r="CB551" s="430"/>
      <c r="CC551" s="430"/>
      <c r="CD551" s="430"/>
      <c r="CE551" s="430"/>
      <c r="CF551" s="430"/>
      <c r="CG551" s="430"/>
      <c r="CH551" s="430"/>
      <c r="CI551" s="430"/>
      <c r="CJ551" s="430"/>
      <c r="CK551" s="430"/>
      <c r="CL551" s="430"/>
    </row>
    <row r="552" spans="63:90" ht="14.25" customHeight="1">
      <c r="BK552" s="430"/>
      <c r="BL552" s="430"/>
      <c r="BM552" s="430"/>
      <c r="BN552" s="430"/>
      <c r="BO552" s="430"/>
      <c r="BP552" s="430"/>
      <c r="BQ552" s="430"/>
      <c r="BR552" s="430"/>
      <c r="BS552" s="430"/>
      <c r="BT552" s="430"/>
      <c r="BU552" s="430"/>
      <c r="BV552" s="430"/>
      <c r="BW552" s="430"/>
      <c r="BX552" s="430"/>
      <c r="BY552" s="430"/>
      <c r="BZ552" s="430"/>
      <c r="CA552" s="430"/>
      <c r="CB552" s="430"/>
      <c r="CC552" s="430"/>
      <c r="CD552" s="430"/>
      <c r="CE552" s="430"/>
      <c r="CF552" s="430"/>
      <c r="CG552" s="430"/>
      <c r="CH552" s="430"/>
      <c r="CI552" s="430"/>
      <c r="CJ552" s="430"/>
      <c r="CK552" s="430"/>
      <c r="CL552" s="430"/>
    </row>
    <row r="553" spans="63:90" ht="14.25" customHeight="1">
      <c r="BK553" s="430"/>
      <c r="BL553" s="430"/>
      <c r="BM553" s="430"/>
      <c r="BN553" s="430"/>
      <c r="BO553" s="430"/>
      <c r="BP553" s="430"/>
      <c r="BQ553" s="430"/>
      <c r="BR553" s="430"/>
      <c r="BS553" s="430"/>
      <c r="BT553" s="430"/>
      <c r="BU553" s="430"/>
      <c r="BV553" s="430"/>
      <c r="BW553" s="430"/>
      <c r="BX553" s="430"/>
      <c r="BY553" s="430"/>
      <c r="BZ553" s="430"/>
      <c r="CA553" s="430"/>
      <c r="CB553" s="430"/>
      <c r="CC553" s="430"/>
      <c r="CD553" s="430"/>
      <c r="CE553" s="430"/>
      <c r="CF553" s="430"/>
      <c r="CG553" s="430"/>
      <c r="CH553" s="430"/>
      <c r="CI553" s="430"/>
      <c r="CJ553" s="430"/>
      <c r="CK553" s="430"/>
      <c r="CL553" s="430"/>
    </row>
    <row r="554" spans="63:90" ht="14.25" customHeight="1">
      <c r="BK554" s="430"/>
      <c r="BL554" s="430"/>
      <c r="BM554" s="430"/>
      <c r="BN554" s="430"/>
      <c r="BO554" s="430"/>
      <c r="BP554" s="430"/>
      <c r="BQ554" s="430"/>
      <c r="BR554" s="430"/>
      <c r="BS554" s="430"/>
      <c r="BT554" s="430"/>
      <c r="BU554" s="430"/>
      <c r="BV554" s="430"/>
      <c r="BW554" s="430"/>
      <c r="BX554" s="430"/>
      <c r="BY554" s="430"/>
      <c r="BZ554" s="430"/>
      <c r="CA554" s="430"/>
      <c r="CB554" s="430"/>
      <c r="CC554" s="430"/>
      <c r="CD554" s="430"/>
      <c r="CE554" s="430"/>
      <c r="CF554" s="430"/>
      <c r="CG554" s="430"/>
      <c r="CH554" s="430"/>
      <c r="CI554" s="430"/>
      <c r="CJ554" s="430"/>
      <c r="CK554" s="430"/>
      <c r="CL554" s="430"/>
    </row>
    <row r="555" spans="63:90" ht="14.25" customHeight="1">
      <c r="BK555" s="430"/>
      <c r="BL555" s="430"/>
      <c r="BM555" s="430"/>
      <c r="BN555" s="430"/>
      <c r="BO555" s="430"/>
      <c r="BP555" s="430"/>
      <c r="BQ555" s="430"/>
      <c r="BR555" s="430"/>
      <c r="BS555" s="430"/>
      <c r="BT555" s="430"/>
      <c r="BU555" s="430"/>
      <c r="BV555" s="430"/>
      <c r="BW555" s="430"/>
      <c r="BX555" s="430"/>
      <c r="BY555" s="430"/>
      <c r="BZ555" s="430"/>
      <c r="CA555" s="430"/>
      <c r="CB555" s="430"/>
      <c r="CC555" s="430"/>
      <c r="CD555" s="430"/>
      <c r="CE555" s="430"/>
      <c r="CF555" s="430"/>
      <c r="CG555" s="430"/>
      <c r="CH555" s="430"/>
      <c r="CI555" s="430"/>
      <c r="CJ555" s="430"/>
      <c r="CK555" s="430"/>
      <c r="CL555" s="430"/>
    </row>
    <row r="556" spans="63:90" ht="14.25" customHeight="1">
      <c r="BK556" s="430"/>
      <c r="BL556" s="430"/>
      <c r="BM556" s="430"/>
      <c r="BN556" s="430"/>
      <c r="BO556" s="430"/>
      <c r="BP556" s="430"/>
      <c r="BQ556" s="430"/>
      <c r="BR556" s="430"/>
      <c r="BS556" s="430"/>
      <c r="BT556" s="430"/>
      <c r="BU556" s="430"/>
      <c r="BV556" s="430"/>
      <c r="BW556" s="430"/>
      <c r="BX556" s="430"/>
      <c r="BY556" s="430"/>
      <c r="BZ556" s="430"/>
      <c r="CA556" s="430"/>
      <c r="CB556" s="430"/>
      <c r="CC556" s="430"/>
      <c r="CD556" s="430"/>
      <c r="CE556" s="430"/>
      <c r="CF556" s="430"/>
      <c r="CG556" s="430"/>
      <c r="CH556" s="430"/>
      <c r="CI556" s="430"/>
      <c r="CJ556" s="430"/>
      <c r="CK556" s="430"/>
      <c r="CL556" s="430"/>
    </row>
    <row r="557" spans="63:90" ht="14.25" customHeight="1">
      <c r="BK557" s="430"/>
      <c r="BL557" s="430"/>
      <c r="BM557" s="430"/>
      <c r="BN557" s="430"/>
      <c r="BO557" s="430"/>
      <c r="BP557" s="430"/>
      <c r="BQ557" s="430"/>
      <c r="BR557" s="430"/>
      <c r="BS557" s="430"/>
      <c r="BT557" s="430"/>
      <c r="BU557" s="430"/>
      <c r="BV557" s="430"/>
      <c r="BW557" s="430"/>
      <c r="BX557" s="430"/>
      <c r="BY557" s="430"/>
      <c r="BZ557" s="430"/>
      <c r="CA557" s="430"/>
      <c r="CB557" s="430"/>
      <c r="CC557" s="430"/>
      <c r="CD557" s="430"/>
      <c r="CE557" s="430"/>
      <c r="CF557" s="430"/>
      <c r="CG557" s="430"/>
      <c r="CH557" s="430"/>
      <c r="CI557" s="430"/>
      <c r="CJ557" s="430"/>
      <c r="CK557" s="430"/>
      <c r="CL557" s="430"/>
    </row>
    <row r="558" spans="63:90" ht="14.25" customHeight="1">
      <c r="BK558" s="430"/>
      <c r="BL558" s="430"/>
      <c r="BM558" s="430"/>
      <c r="BN558" s="430"/>
      <c r="BO558" s="430"/>
      <c r="BP558" s="430"/>
      <c r="BQ558" s="430"/>
      <c r="BR558" s="430"/>
      <c r="BS558" s="430"/>
      <c r="BT558" s="430"/>
      <c r="BU558" s="430"/>
      <c r="BV558" s="430"/>
      <c r="BW558" s="430"/>
      <c r="BX558" s="430"/>
      <c r="BY558" s="430"/>
      <c r="BZ558" s="430"/>
      <c r="CA558" s="430"/>
      <c r="CB558" s="430"/>
      <c r="CC558" s="430"/>
      <c r="CD558" s="430"/>
      <c r="CE558" s="430"/>
      <c r="CF558" s="430"/>
      <c r="CG558" s="430"/>
      <c r="CH558" s="430"/>
      <c r="CI558" s="430"/>
      <c r="CJ558" s="430"/>
      <c r="CK558" s="430"/>
      <c r="CL558" s="430"/>
    </row>
    <row r="559" spans="63:90" ht="14.25" customHeight="1">
      <c r="BK559" s="430"/>
      <c r="BL559" s="430"/>
      <c r="BM559" s="430"/>
      <c r="BN559" s="430"/>
      <c r="BO559" s="430"/>
      <c r="BP559" s="430"/>
      <c r="BQ559" s="430"/>
      <c r="BR559" s="430"/>
      <c r="BS559" s="430"/>
      <c r="BT559" s="430"/>
      <c r="BU559" s="430"/>
      <c r="BV559" s="430"/>
      <c r="BW559" s="430"/>
      <c r="BX559" s="430"/>
      <c r="BY559" s="430"/>
      <c r="BZ559" s="430"/>
      <c r="CA559" s="430"/>
      <c r="CB559" s="430"/>
      <c r="CC559" s="430"/>
      <c r="CD559" s="430"/>
      <c r="CE559" s="430"/>
      <c r="CF559" s="430"/>
      <c r="CG559" s="430"/>
      <c r="CH559" s="430"/>
      <c r="CI559" s="430"/>
      <c r="CJ559" s="430"/>
      <c r="CK559" s="430"/>
      <c r="CL559" s="430"/>
    </row>
    <row r="560" spans="63:90" ht="14.25" customHeight="1">
      <c r="BK560" s="430"/>
      <c r="BL560" s="430"/>
      <c r="BM560" s="430"/>
      <c r="BN560" s="430"/>
      <c r="BO560" s="430"/>
      <c r="BP560" s="430"/>
      <c r="BQ560" s="430"/>
      <c r="BR560" s="430"/>
      <c r="BS560" s="430"/>
      <c r="BT560" s="430"/>
      <c r="BU560" s="430"/>
      <c r="BV560" s="430"/>
      <c r="BW560" s="430"/>
      <c r="BX560" s="430"/>
      <c r="BY560" s="430"/>
      <c r="BZ560" s="430"/>
      <c r="CA560" s="430"/>
      <c r="CB560" s="430"/>
      <c r="CC560" s="430"/>
      <c r="CD560" s="430"/>
      <c r="CE560" s="430"/>
      <c r="CF560" s="430"/>
      <c r="CG560" s="430"/>
      <c r="CH560" s="430"/>
      <c r="CI560" s="430"/>
      <c r="CJ560" s="430"/>
      <c r="CK560" s="430"/>
      <c r="CL560" s="430"/>
    </row>
    <row r="561" spans="63:90" ht="14.25" customHeight="1">
      <c r="BK561" s="430"/>
      <c r="BL561" s="430"/>
      <c r="BM561" s="430"/>
      <c r="BN561" s="430"/>
      <c r="BO561" s="430"/>
      <c r="BP561" s="430"/>
      <c r="BQ561" s="430"/>
      <c r="BR561" s="430"/>
      <c r="BS561" s="430"/>
      <c r="BT561" s="430"/>
      <c r="BU561" s="430"/>
      <c r="BV561" s="430"/>
      <c r="BW561" s="430"/>
      <c r="BX561" s="430"/>
      <c r="BY561" s="430"/>
      <c r="BZ561" s="430"/>
      <c r="CA561" s="430"/>
      <c r="CB561" s="430"/>
      <c r="CC561" s="430"/>
      <c r="CD561" s="430"/>
      <c r="CE561" s="430"/>
      <c r="CF561" s="430"/>
      <c r="CG561" s="430"/>
      <c r="CH561" s="430"/>
      <c r="CI561" s="430"/>
      <c r="CJ561" s="430"/>
      <c r="CK561" s="430"/>
      <c r="CL561" s="430"/>
    </row>
    <row r="562" spans="63:90" ht="14.25" customHeight="1">
      <c r="BK562" s="430"/>
      <c r="BL562" s="430"/>
      <c r="BM562" s="430"/>
      <c r="BN562" s="430"/>
      <c r="BO562" s="430"/>
      <c r="BP562" s="430"/>
      <c r="BQ562" s="430"/>
      <c r="BR562" s="430"/>
      <c r="BS562" s="430"/>
      <c r="BT562" s="430"/>
      <c r="BU562" s="430"/>
      <c r="BV562" s="430"/>
      <c r="BW562" s="430"/>
      <c r="BX562" s="430"/>
      <c r="BY562" s="430"/>
      <c r="BZ562" s="430"/>
      <c r="CA562" s="430"/>
      <c r="CB562" s="430"/>
      <c r="CC562" s="430"/>
      <c r="CD562" s="430"/>
      <c r="CE562" s="430"/>
      <c r="CF562" s="430"/>
      <c r="CG562" s="430"/>
      <c r="CH562" s="430"/>
      <c r="CI562" s="430"/>
      <c r="CJ562" s="430"/>
      <c r="CK562" s="430"/>
      <c r="CL562" s="430"/>
    </row>
    <row r="563" spans="63:90" ht="14.25" customHeight="1">
      <c r="BK563" s="430"/>
      <c r="BL563" s="430"/>
      <c r="BM563" s="430"/>
      <c r="BN563" s="430"/>
      <c r="BO563" s="430"/>
      <c r="BP563" s="430"/>
      <c r="BQ563" s="430"/>
      <c r="BR563" s="430"/>
      <c r="BS563" s="430"/>
      <c r="BT563" s="430"/>
      <c r="BU563" s="430"/>
      <c r="BV563" s="430"/>
      <c r="BW563" s="430"/>
      <c r="BX563" s="430"/>
      <c r="BY563" s="430"/>
      <c r="BZ563" s="430"/>
      <c r="CA563" s="430"/>
      <c r="CB563" s="430"/>
      <c r="CC563" s="430"/>
      <c r="CD563" s="430"/>
      <c r="CE563" s="430"/>
      <c r="CF563" s="430"/>
      <c r="CG563" s="430"/>
      <c r="CH563" s="430"/>
      <c r="CI563" s="430"/>
      <c r="CJ563" s="430"/>
      <c r="CK563" s="430"/>
      <c r="CL563" s="430"/>
    </row>
    <row r="564" spans="63:90" ht="14.25" customHeight="1">
      <c r="BK564" s="430"/>
      <c r="BL564" s="430"/>
      <c r="BM564" s="430"/>
      <c r="BN564" s="430"/>
      <c r="BO564" s="430"/>
      <c r="BP564" s="430"/>
      <c r="BQ564" s="430"/>
      <c r="BR564" s="430"/>
      <c r="BS564" s="430"/>
      <c r="BT564" s="430"/>
      <c r="BU564" s="430"/>
      <c r="BV564" s="430"/>
      <c r="BW564" s="430"/>
      <c r="BX564" s="430"/>
      <c r="BY564" s="430"/>
      <c r="BZ564" s="430"/>
      <c r="CA564" s="430"/>
      <c r="CB564" s="430"/>
      <c r="CC564" s="430"/>
      <c r="CD564" s="430"/>
      <c r="CE564" s="430"/>
      <c r="CF564" s="430"/>
      <c r="CG564" s="430"/>
      <c r="CH564" s="430"/>
      <c r="CI564" s="430"/>
      <c r="CJ564" s="430"/>
      <c r="CK564" s="430"/>
      <c r="CL564" s="430"/>
    </row>
    <row r="565" spans="63:90" ht="14.25" customHeight="1">
      <c r="BK565" s="430"/>
      <c r="BL565" s="430"/>
      <c r="BM565" s="430"/>
      <c r="BN565" s="430"/>
      <c r="BO565" s="430"/>
      <c r="BP565" s="430"/>
      <c r="BQ565" s="430"/>
      <c r="BR565" s="430"/>
      <c r="BS565" s="430"/>
      <c r="BT565" s="430"/>
      <c r="BU565" s="430"/>
      <c r="BV565" s="430"/>
      <c r="BW565" s="430"/>
      <c r="BX565" s="430"/>
      <c r="BY565" s="430"/>
      <c r="BZ565" s="430"/>
      <c r="CA565" s="430"/>
      <c r="CB565" s="430"/>
      <c r="CC565" s="430"/>
      <c r="CD565" s="430"/>
      <c r="CE565" s="430"/>
      <c r="CF565" s="430"/>
      <c r="CG565" s="430"/>
      <c r="CH565" s="430"/>
      <c r="CI565" s="430"/>
      <c r="CJ565" s="430"/>
      <c r="CK565" s="430"/>
      <c r="CL565" s="430"/>
    </row>
    <row r="566" spans="63:90" ht="14.25" customHeight="1">
      <c r="BK566" s="430"/>
      <c r="BL566" s="430"/>
      <c r="BM566" s="430"/>
      <c r="BN566" s="430"/>
      <c r="BO566" s="430"/>
      <c r="BP566" s="430"/>
      <c r="BQ566" s="430"/>
      <c r="BR566" s="430"/>
      <c r="BS566" s="430"/>
      <c r="BT566" s="430"/>
      <c r="BU566" s="430"/>
      <c r="BV566" s="430"/>
      <c r="BW566" s="430"/>
      <c r="BX566" s="430"/>
      <c r="BY566" s="430"/>
      <c r="BZ566" s="430"/>
      <c r="CA566" s="430"/>
      <c r="CB566" s="430"/>
      <c r="CC566" s="430"/>
      <c r="CD566" s="430"/>
      <c r="CE566" s="430"/>
      <c r="CF566" s="430"/>
      <c r="CG566" s="430"/>
      <c r="CH566" s="430"/>
      <c r="CI566" s="430"/>
      <c r="CJ566" s="430"/>
      <c r="CK566" s="430"/>
      <c r="CL566" s="430"/>
    </row>
    <row r="567" spans="63:90" ht="14.25" customHeight="1">
      <c r="BK567" s="430"/>
      <c r="BL567" s="430"/>
      <c r="BM567" s="430"/>
      <c r="BN567" s="430"/>
      <c r="BO567" s="430"/>
      <c r="BP567" s="430"/>
      <c r="BQ567" s="430"/>
      <c r="BR567" s="430"/>
      <c r="BS567" s="430"/>
      <c r="BT567" s="430"/>
      <c r="BU567" s="430"/>
      <c r="BV567" s="430"/>
      <c r="BW567" s="430"/>
      <c r="BX567" s="430"/>
      <c r="BY567" s="430"/>
      <c r="BZ567" s="430"/>
      <c r="CA567" s="430"/>
      <c r="CB567" s="430"/>
      <c r="CC567" s="430"/>
      <c r="CD567" s="430"/>
      <c r="CE567" s="430"/>
      <c r="CF567" s="430"/>
      <c r="CG567" s="430"/>
      <c r="CH567" s="430"/>
      <c r="CI567" s="430"/>
      <c r="CJ567" s="430"/>
      <c r="CK567" s="430"/>
      <c r="CL567" s="430"/>
    </row>
    <row r="568" spans="63:90" ht="14.25" customHeight="1">
      <c r="BK568" s="430"/>
      <c r="BL568" s="430"/>
      <c r="BM568" s="430"/>
      <c r="BN568" s="430"/>
      <c r="BO568" s="430"/>
      <c r="BP568" s="430"/>
      <c r="BQ568" s="430"/>
      <c r="BR568" s="430"/>
      <c r="BS568" s="430"/>
      <c r="BT568" s="430"/>
      <c r="BU568" s="430"/>
      <c r="BV568" s="430"/>
      <c r="BW568" s="430"/>
      <c r="BX568" s="430"/>
      <c r="BY568" s="430"/>
      <c r="BZ568" s="430"/>
      <c r="CA568" s="430"/>
      <c r="CB568" s="430"/>
      <c r="CC568" s="430"/>
      <c r="CD568" s="430"/>
      <c r="CE568" s="430"/>
      <c r="CF568" s="430"/>
      <c r="CG568" s="430"/>
      <c r="CH568" s="430"/>
      <c r="CI568" s="430"/>
      <c r="CJ568" s="430"/>
      <c r="CK568" s="430"/>
      <c r="CL568" s="430"/>
    </row>
    <row r="569" spans="63:90" ht="14.25" customHeight="1">
      <c r="BK569" s="430"/>
      <c r="BL569" s="430"/>
      <c r="BM569" s="430"/>
      <c r="BN569" s="430"/>
      <c r="BO569" s="430"/>
      <c r="BP569" s="430"/>
      <c r="BQ569" s="430"/>
      <c r="BR569" s="430"/>
      <c r="BS569" s="430"/>
      <c r="BT569" s="430"/>
      <c r="BU569" s="430"/>
      <c r="BV569" s="430"/>
      <c r="BW569" s="430"/>
      <c r="BX569" s="430"/>
      <c r="BY569" s="430"/>
      <c r="BZ569" s="430"/>
      <c r="CA569" s="430"/>
      <c r="CB569" s="430"/>
      <c r="CC569" s="430"/>
      <c r="CD569" s="430"/>
      <c r="CE569" s="430"/>
      <c r="CF569" s="430"/>
      <c r="CG569" s="430"/>
      <c r="CH569" s="430"/>
      <c r="CI569" s="430"/>
      <c r="CJ569" s="430"/>
      <c r="CK569" s="430"/>
      <c r="CL569" s="430"/>
    </row>
    <row r="570" spans="63:90" ht="14.25" customHeight="1">
      <c r="BK570" s="430"/>
      <c r="BL570" s="430"/>
      <c r="BM570" s="430"/>
      <c r="BN570" s="430"/>
      <c r="BO570" s="430"/>
      <c r="BP570" s="430"/>
      <c r="BQ570" s="430"/>
      <c r="BR570" s="430"/>
      <c r="BS570" s="430"/>
      <c r="BT570" s="430"/>
      <c r="BU570" s="430"/>
      <c r="BV570" s="430"/>
      <c r="BW570" s="430"/>
      <c r="BX570" s="430"/>
      <c r="BY570" s="430"/>
      <c r="BZ570" s="430"/>
      <c r="CA570" s="430"/>
      <c r="CB570" s="430"/>
      <c r="CC570" s="430"/>
      <c r="CD570" s="430"/>
      <c r="CE570" s="430"/>
      <c r="CF570" s="430"/>
      <c r="CG570" s="430"/>
      <c r="CH570" s="430"/>
      <c r="CI570" s="430"/>
      <c r="CJ570" s="430"/>
      <c r="CK570" s="430"/>
      <c r="CL570" s="430"/>
    </row>
    <row r="571" spans="63:90" ht="14.25" customHeight="1">
      <c r="BK571" s="430"/>
      <c r="BL571" s="430"/>
      <c r="BM571" s="430"/>
      <c r="BN571" s="430"/>
      <c r="BO571" s="430"/>
      <c r="BP571" s="430"/>
      <c r="BQ571" s="430"/>
      <c r="BR571" s="430"/>
      <c r="BS571" s="430"/>
      <c r="BT571" s="430"/>
      <c r="BU571" s="430"/>
      <c r="BV571" s="430"/>
      <c r="BW571" s="430"/>
      <c r="BX571" s="430"/>
      <c r="BY571" s="430"/>
      <c r="BZ571" s="430"/>
      <c r="CA571" s="430"/>
      <c r="CB571" s="430"/>
      <c r="CC571" s="430"/>
      <c r="CD571" s="430"/>
      <c r="CE571" s="430"/>
      <c r="CF571" s="430"/>
      <c r="CG571" s="430"/>
      <c r="CH571" s="430"/>
      <c r="CI571" s="430"/>
      <c r="CJ571" s="430"/>
      <c r="CK571" s="430"/>
      <c r="CL571" s="430"/>
    </row>
    <row r="572" spans="63:90" ht="14.25" customHeight="1">
      <c r="BK572" s="430"/>
      <c r="BL572" s="430"/>
      <c r="BM572" s="430"/>
      <c r="BN572" s="430"/>
      <c r="BO572" s="430"/>
      <c r="BP572" s="430"/>
      <c r="BQ572" s="430"/>
      <c r="BR572" s="430"/>
      <c r="BS572" s="430"/>
      <c r="BT572" s="430"/>
      <c r="BU572" s="430"/>
      <c r="BV572" s="430"/>
      <c r="BW572" s="430"/>
      <c r="BX572" s="430"/>
      <c r="BY572" s="430"/>
      <c r="BZ572" s="430"/>
      <c r="CA572" s="430"/>
      <c r="CB572" s="430"/>
      <c r="CC572" s="430"/>
      <c r="CD572" s="430"/>
      <c r="CE572" s="430"/>
      <c r="CF572" s="430"/>
      <c r="CG572" s="430"/>
      <c r="CH572" s="430"/>
      <c r="CI572" s="430"/>
      <c r="CJ572" s="430"/>
      <c r="CK572" s="430"/>
      <c r="CL572" s="430"/>
    </row>
    <row r="573" spans="63:90" ht="14.25" customHeight="1">
      <c r="BK573" s="430"/>
      <c r="BL573" s="430"/>
      <c r="BM573" s="430"/>
      <c r="BN573" s="430"/>
      <c r="BO573" s="430"/>
      <c r="BP573" s="430"/>
      <c r="BQ573" s="430"/>
      <c r="BR573" s="430"/>
      <c r="BS573" s="430"/>
      <c r="BT573" s="430"/>
      <c r="BU573" s="430"/>
      <c r="BV573" s="430"/>
      <c r="BW573" s="430"/>
      <c r="BX573" s="430"/>
      <c r="BY573" s="430"/>
      <c r="BZ573" s="430"/>
      <c r="CA573" s="430"/>
      <c r="CB573" s="430"/>
      <c r="CC573" s="430"/>
      <c r="CD573" s="430"/>
      <c r="CE573" s="430"/>
      <c r="CF573" s="430"/>
      <c r="CG573" s="430"/>
      <c r="CH573" s="430"/>
      <c r="CI573" s="430"/>
      <c r="CJ573" s="430"/>
      <c r="CK573" s="430"/>
      <c r="CL573" s="430"/>
    </row>
    <row r="574" spans="63:90" ht="14.25" customHeight="1">
      <c r="BK574" s="430"/>
      <c r="BL574" s="430"/>
      <c r="BM574" s="430"/>
      <c r="BN574" s="430"/>
      <c r="BO574" s="430"/>
      <c r="BP574" s="430"/>
      <c r="BQ574" s="430"/>
      <c r="BR574" s="430"/>
      <c r="BS574" s="430"/>
      <c r="BT574" s="430"/>
      <c r="BU574" s="430"/>
      <c r="BV574" s="430"/>
      <c r="BW574" s="430"/>
      <c r="BX574" s="430"/>
      <c r="BY574" s="430"/>
      <c r="BZ574" s="430"/>
      <c r="CA574" s="430"/>
      <c r="CB574" s="430"/>
      <c r="CC574" s="430"/>
      <c r="CD574" s="430"/>
      <c r="CE574" s="430"/>
      <c r="CF574" s="430"/>
      <c r="CG574" s="430"/>
      <c r="CH574" s="430"/>
      <c r="CI574" s="430"/>
      <c r="CJ574" s="430"/>
      <c r="CK574" s="430"/>
      <c r="CL574" s="430"/>
    </row>
    <row r="575" spans="63:90" ht="14.25" customHeight="1">
      <c r="BK575" s="430"/>
      <c r="BL575" s="430"/>
      <c r="BM575" s="430"/>
      <c r="BN575" s="430"/>
      <c r="BO575" s="430"/>
      <c r="BP575" s="430"/>
      <c r="BQ575" s="430"/>
      <c r="BR575" s="430"/>
      <c r="BS575" s="430"/>
      <c r="BT575" s="430"/>
      <c r="BU575" s="430"/>
      <c r="BV575" s="430"/>
      <c r="BW575" s="430"/>
      <c r="BX575" s="430"/>
      <c r="BY575" s="430"/>
      <c r="BZ575" s="430"/>
      <c r="CA575" s="430"/>
      <c r="CB575" s="430"/>
      <c r="CC575" s="430"/>
      <c r="CD575" s="430"/>
      <c r="CE575" s="430"/>
      <c r="CF575" s="430"/>
      <c r="CG575" s="430"/>
      <c r="CH575" s="430"/>
      <c r="CI575" s="430"/>
      <c r="CJ575" s="430"/>
      <c r="CK575" s="430"/>
      <c r="CL575" s="430"/>
    </row>
    <row r="576" spans="63:90" ht="14.25" customHeight="1">
      <c r="BK576" s="430"/>
      <c r="BL576" s="430"/>
      <c r="BM576" s="430"/>
      <c r="BN576" s="430"/>
      <c r="BO576" s="430"/>
      <c r="BP576" s="430"/>
      <c r="BQ576" s="430"/>
      <c r="BR576" s="430"/>
      <c r="BS576" s="430"/>
      <c r="BT576" s="430"/>
      <c r="BU576" s="430"/>
      <c r="BV576" s="430"/>
      <c r="BW576" s="430"/>
      <c r="BX576" s="430"/>
      <c r="BY576" s="430"/>
      <c r="BZ576" s="430"/>
      <c r="CA576" s="430"/>
      <c r="CB576" s="430"/>
      <c r="CC576" s="430"/>
      <c r="CD576" s="430"/>
      <c r="CE576" s="430"/>
      <c r="CF576" s="430"/>
      <c r="CG576" s="430"/>
      <c r="CH576" s="430"/>
      <c r="CI576" s="430"/>
      <c r="CJ576" s="430"/>
      <c r="CK576" s="430"/>
      <c r="CL576" s="430"/>
    </row>
    <row r="577" spans="63:90" ht="14.25" customHeight="1">
      <c r="BK577" s="430"/>
      <c r="BL577" s="430"/>
      <c r="BM577" s="430"/>
      <c r="BN577" s="430"/>
      <c r="BO577" s="430"/>
      <c r="BP577" s="430"/>
      <c r="BQ577" s="430"/>
      <c r="BR577" s="430"/>
      <c r="BS577" s="430"/>
      <c r="BT577" s="430"/>
      <c r="BU577" s="430"/>
      <c r="BV577" s="430"/>
      <c r="BW577" s="430"/>
      <c r="BX577" s="430"/>
      <c r="BY577" s="430"/>
      <c r="BZ577" s="430"/>
      <c r="CA577" s="430"/>
      <c r="CB577" s="430"/>
      <c r="CC577" s="430"/>
      <c r="CD577" s="430"/>
      <c r="CE577" s="430"/>
      <c r="CF577" s="430"/>
      <c r="CG577" s="430"/>
      <c r="CH577" s="430"/>
      <c r="CI577" s="430"/>
      <c r="CJ577" s="430"/>
      <c r="CK577" s="430"/>
      <c r="CL577" s="430"/>
    </row>
    <row r="578" spans="63:90" ht="14.25" customHeight="1">
      <c r="BK578" s="430"/>
      <c r="BL578" s="430"/>
      <c r="BM578" s="430"/>
      <c r="BN578" s="430"/>
      <c r="BO578" s="430"/>
      <c r="BP578" s="430"/>
      <c r="BQ578" s="430"/>
      <c r="BR578" s="430"/>
      <c r="BS578" s="430"/>
      <c r="BT578" s="430"/>
      <c r="BU578" s="430"/>
      <c r="BV578" s="430"/>
      <c r="BW578" s="430"/>
      <c r="BX578" s="430"/>
      <c r="BY578" s="430"/>
      <c r="BZ578" s="430"/>
      <c r="CA578" s="430"/>
      <c r="CB578" s="430"/>
      <c r="CC578" s="430"/>
      <c r="CD578" s="430"/>
      <c r="CE578" s="430"/>
      <c r="CF578" s="430"/>
      <c r="CG578" s="430"/>
      <c r="CH578" s="430"/>
      <c r="CI578" s="430"/>
      <c r="CJ578" s="430"/>
      <c r="CK578" s="430"/>
      <c r="CL578" s="430"/>
    </row>
    <row r="579" spans="63:90" ht="14.25" customHeight="1">
      <c r="BK579" s="430"/>
      <c r="BL579" s="430"/>
      <c r="BM579" s="430"/>
      <c r="BN579" s="430"/>
      <c r="BO579" s="430"/>
      <c r="BP579" s="430"/>
      <c r="BQ579" s="430"/>
      <c r="BR579" s="430"/>
      <c r="BS579" s="430"/>
      <c r="BT579" s="430"/>
      <c r="BU579" s="430"/>
      <c r="BV579" s="430"/>
      <c r="BW579" s="430"/>
      <c r="BX579" s="430"/>
      <c r="BY579" s="430"/>
      <c r="BZ579" s="430"/>
      <c r="CA579" s="430"/>
      <c r="CB579" s="430"/>
      <c r="CC579" s="430"/>
      <c r="CD579" s="430"/>
      <c r="CE579" s="430"/>
      <c r="CF579" s="430"/>
      <c r="CG579" s="430"/>
      <c r="CH579" s="430"/>
      <c r="CI579" s="430"/>
      <c r="CJ579" s="430"/>
      <c r="CK579" s="430"/>
      <c r="CL579" s="430"/>
    </row>
    <row r="580" spans="63:90" ht="14.25" customHeight="1">
      <c r="BK580" s="430"/>
      <c r="BL580" s="430"/>
      <c r="BM580" s="430"/>
      <c r="BN580" s="430"/>
      <c r="BO580" s="430"/>
      <c r="BP580" s="430"/>
      <c r="BQ580" s="430"/>
      <c r="BR580" s="430"/>
      <c r="BS580" s="430"/>
      <c r="BT580" s="430"/>
      <c r="BU580" s="430"/>
      <c r="BV580" s="430"/>
      <c r="BW580" s="430"/>
      <c r="BX580" s="430"/>
      <c r="BY580" s="430"/>
      <c r="BZ580" s="430"/>
      <c r="CA580" s="430"/>
      <c r="CB580" s="430"/>
      <c r="CC580" s="430"/>
      <c r="CD580" s="430"/>
      <c r="CE580" s="430"/>
      <c r="CF580" s="430"/>
      <c r="CG580" s="430"/>
      <c r="CH580" s="430"/>
      <c r="CI580" s="430"/>
      <c r="CJ580" s="430"/>
      <c r="CK580" s="430"/>
      <c r="CL580" s="430"/>
    </row>
    <row r="581" spans="63:90" ht="14.25" customHeight="1">
      <c r="BK581" s="430"/>
      <c r="BL581" s="430"/>
      <c r="BM581" s="430"/>
      <c r="BN581" s="430"/>
      <c r="BO581" s="430"/>
      <c r="BP581" s="430"/>
      <c r="BQ581" s="430"/>
      <c r="BR581" s="430"/>
      <c r="BS581" s="430"/>
      <c r="BT581" s="430"/>
      <c r="BU581" s="430"/>
      <c r="BV581" s="430"/>
      <c r="BW581" s="430"/>
      <c r="BX581" s="430"/>
      <c r="BY581" s="430"/>
      <c r="BZ581" s="430"/>
      <c r="CA581" s="430"/>
      <c r="CB581" s="430"/>
      <c r="CC581" s="430"/>
      <c r="CD581" s="430"/>
      <c r="CE581" s="430"/>
      <c r="CF581" s="430"/>
      <c r="CG581" s="430"/>
      <c r="CH581" s="430"/>
      <c r="CI581" s="430"/>
      <c r="CJ581" s="430"/>
      <c r="CK581" s="430"/>
      <c r="CL581" s="430"/>
    </row>
    <row r="582" spans="63:90" ht="14.25" customHeight="1">
      <c r="BK582" s="430"/>
      <c r="BL582" s="430"/>
      <c r="BM582" s="430"/>
      <c r="BN582" s="430"/>
      <c r="BO582" s="430"/>
      <c r="BP582" s="430"/>
      <c r="BQ582" s="430"/>
      <c r="BR582" s="430"/>
      <c r="BS582" s="430"/>
      <c r="BT582" s="430"/>
      <c r="BU582" s="430"/>
      <c r="BV582" s="430"/>
      <c r="BW582" s="430"/>
      <c r="BX582" s="430"/>
      <c r="BY582" s="430"/>
      <c r="BZ582" s="430"/>
      <c r="CA582" s="430"/>
      <c r="CB582" s="430"/>
      <c r="CC582" s="430"/>
      <c r="CD582" s="430"/>
      <c r="CE582" s="430"/>
      <c r="CF582" s="430"/>
      <c r="CG582" s="430"/>
      <c r="CH582" s="430"/>
      <c r="CI582" s="430"/>
      <c r="CJ582" s="430"/>
      <c r="CK582" s="430"/>
      <c r="CL582" s="430"/>
    </row>
    <row r="583" spans="63:90" ht="14.25" customHeight="1">
      <c r="BK583" s="430"/>
      <c r="BL583" s="430"/>
      <c r="BM583" s="430"/>
      <c r="BN583" s="430"/>
      <c r="BO583" s="430"/>
      <c r="BP583" s="430"/>
      <c r="BQ583" s="430"/>
      <c r="BR583" s="430"/>
      <c r="BS583" s="430"/>
      <c r="BT583" s="430"/>
      <c r="BU583" s="430"/>
      <c r="BV583" s="430"/>
      <c r="BW583" s="430"/>
      <c r="BX583" s="430"/>
      <c r="BY583" s="430"/>
      <c r="BZ583" s="430"/>
      <c r="CA583" s="430"/>
      <c r="CB583" s="430"/>
      <c r="CC583" s="430"/>
      <c r="CD583" s="430"/>
      <c r="CE583" s="430"/>
      <c r="CF583" s="430"/>
      <c r="CG583" s="430"/>
      <c r="CH583" s="430"/>
      <c r="CI583" s="430"/>
      <c r="CJ583" s="430"/>
      <c r="CK583" s="430"/>
      <c r="CL583" s="430"/>
    </row>
    <row r="584" spans="63:90" ht="14.25" customHeight="1">
      <c r="BK584" s="430"/>
      <c r="BL584" s="430"/>
      <c r="BM584" s="430"/>
      <c r="BN584" s="430"/>
      <c r="BO584" s="430"/>
      <c r="BP584" s="430"/>
      <c r="BQ584" s="430"/>
      <c r="BR584" s="430"/>
      <c r="BS584" s="430"/>
      <c r="BT584" s="430"/>
      <c r="BU584" s="430"/>
      <c r="BV584" s="430"/>
      <c r="BW584" s="430"/>
      <c r="BX584" s="430"/>
      <c r="BY584" s="430"/>
      <c r="BZ584" s="430"/>
      <c r="CA584" s="430"/>
      <c r="CB584" s="430"/>
      <c r="CC584" s="430"/>
      <c r="CD584" s="430"/>
      <c r="CE584" s="430"/>
      <c r="CF584" s="430"/>
      <c r="CG584" s="430"/>
      <c r="CH584" s="430"/>
      <c r="CI584" s="430"/>
      <c r="CJ584" s="430"/>
      <c r="CK584" s="430"/>
      <c r="CL584" s="430"/>
    </row>
    <row r="585" spans="63:90" ht="14.25" customHeight="1">
      <c r="BK585" s="430"/>
      <c r="BL585" s="430"/>
      <c r="BM585" s="430"/>
      <c r="BN585" s="430"/>
      <c r="BO585" s="430"/>
      <c r="BP585" s="430"/>
      <c r="BQ585" s="430"/>
      <c r="BR585" s="430"/>
      <c r="BS585" s="430"/>
      <c r="BT585" s="430"/>
      <c r="BU585" s="430"/>
      <c r="BV585" s="430"/>
      <c r="BW585" s="430"/>
      <c r="BX585" s="430"/>
      <c r="BY585" s="430"/>
      <c r="BZ585" s="430"/>
      <c r="CA585" s="430"/>
      <c r="CB585" s="430"/>
      <c r="CC585" s="430"/>
      <c r="CD585" s="430"/>
      <c r="CE585" s="430"/>
      <c r="CF585" s="430"/>
      <c r="CG585" s="430"/>
      <c r="CH585" s="430"/>
      <c r="CI585" s="430"/>
      <c r="CJ585" s="430"/>
      <c r="CK585" s="430"/>
      <c r="CL585" s="430"/>
    </row>
    <row r="586" spans="63:90" ht="14.25" customHeight="1">
      <c r="BK586" s="430"/>
      <c r="BL586" s="430"/>
      <c r="BM586" s="430"/>
      <c r="BN586" s="430"/>
      <c r="BO586" s="430"/>
      <c r="BP586" s="430"/>
      <c r="BQ586" s="430"/>
      <c r="BR586" s="430"/>
      <c r="BS586" s="430"/>
      <c r="BT586" s="430"/>
      <c r="BU586" s="430"/>
      <c r="BV586" s="430"/>
      <c r="BW586" s="430"/>
      <c r="BX586" s="430"/>
      <c r="BY586" s="430"/>
      <c r="BZ586" s="430"/>
      <c r="CA586" s="430"/>
      <c r="CB586" s="430"/>
      <c r="CC586" s="430"/>
      <c r="CD586" s="430"/>
      <c r="CE586" s="430"/>
      <c r="CF586" s="430"/>
      <c r="CG586" s="430"/>
      <c r="CH586" s="430"/>
      <c r="CI586" s="430"/>
      <c r="CJ586" s="430"/>
      <c r="CK586" s="430"/>
      <c r="CL586" s="430"/>
    </row>
    <row r="587" spans="63:90" ht="14.25" customHeight="1">
      <c r="BK587" s="430"/>
      <c r="BL587" s="430"/>
      <c r="BM587" s="430"/>
      <c r="BN587" s="430"/>
      <c r="BO587" s="430"/>
      <c r="BP587" s="430"/>
      <c r="BQ587" s="430"/>
      <c r="BR587" s="430"/>
      <c r="BS587" s="430"/>
      <c r="BT587" s="430"/>
      <c r="BU587" s="430"/>
      <c r="BV587" s="430"/>
      <c r="BW587" s="430"/>
      <c r="BX587" s="430"/>
      <c r="BY587" s="430"/>
      <c r="BZ587" s="430"/>
      <c r="CA587" s="430"/>
      <c r="CB587" s="430"/>
      <c r="CC587" s="430"/>
      <c r="CD587" s="430"/>
      <c r="CE587" s="430"/>
      <c r="CF587" s="430"/>
      <c r="CG587" s="430"/>
      <c r="CH587" s="430"/>
      <c r="CI587" s="430"/>
      <c r="CJ587" s="430"/>
      <c r="CK587" s="430"/>
      <c r="CL587" s="430"/>
    </row>
    <row r="588" spans="63:90" ht="14.25" customHeight="1">
      <c r="BK588" s="430"/>
      <c r="BL588" s="430"/>
      <c r="BM588" s="430"/>
      <c r="BN588" s="430"/>
      <c r="BO588" s="430"/>
      <c r="BP588" s="430"/>
      <c r="BQ588" s="430"/>
      <c r="BR588" s="430"/>
      <c r="BS588" s="430"/>
      <c r="BT588" s="430"/>
      <c r="BU588" s="430"/>
      <c r="BV588" s="430"/>
      <c r="BW588" s="430"/>
      <c r="BX588" s="430"/>
      <c r="BY588" s="430"/>
      <c r="BZ588" s="430"/>
      <c r="CA588" s="430"/>
      <c r="CB588" s="430"/>
      <c r="CC588" s="430"/>
      <c r="CD588" s="430"/>
      <c r="CE588" s="430"/>
      <c r="CF588" s="430"/>
      <c r="CG588" s="430"/>
      <c r="CH588" s="430"/>
      <c r="CI588" s="430"/>
      <c r="CJ588" s="430"/>
      <c r="CK588" s="430"/>
      <c r="CL588" s="430"/>
    </row>
    <row r="589" spans="63:90" ht="14.25" customHeight="1">
      <c r="BK589" s="430"/>
      <c r="BL589" s="430"/>
      <c r="BM589" s="430"/>
      <c r="BN589" s="430"/>
      <c r="BO589" s="430"/>
      <c r="BP589" s="430"/>
      <c r="BQ589" s="430"/>
      <c r="BR589" s="430"/>
      <c r="BS589" s="430"/>
      <c r="BT589" s="430"/>
      <c r="BU589" s="430"/>
      <c r="BV589" s="430"/>
      <c r="BW589" s="430"/>
      <c r="BX589" s="430"/>
      <c r="BY589" s="430"/>
      <c r="BZ589" s="430"/>
      <c r="CA589" s="430"/>
      <c r="CB589" s="430"/>
      <c r="CC589" s="430"/>
      <c r="CD589" s="430"/>
      <c r="CE589" s="430"/>
      <c r="CF589" s="430"/>
      <c r="CG589" s="430"/>
      <c r="CH589" s="430"/>
      <c r="CI589" s="430"/>
      <c r="CJ589" s="430"/>
      <c r="CK589" s="430"/>
      <c r="CL589" s="430"/>
    </row>
    <row r="590" spans="63:90" ht="14.25" customHeight="1">
      <c r="BK590" s="430"/>
      <c r="BL590" s="430"/>
      <c r="BM590" s="430"/>
      <c r="BN590" s="430"/>
      <c r="BO590" s="430"/>
      <c r="BP590" s="430"/>
      <c r="BQ590" s="430"/>
      <c r="BR590" s="430"/>
      <c r="BS590" s="430"/>
      <c r="BT590" s="430"/>
      <c r="BU590" s="430"/>
      <c r="BV590" s="430"/>
      <c r="BW590" s="430"/>
      <c r="BX590" s="430"/>
      <c r="BY590" s="430"/>
      <c r="BZ590" s="430"/>
      <c r="CA590" s="430"/>
      <c r="CB590" s="430"/>
      <c r="CC590" s="430"/>
      <c r="CD590" s="430"/>
      <c r="CE590" s="430"/>
      <c r="CF590" s="430"/>
      <c r="CG590" s="430"/>
      <c r="CH590" s="430"/>
      <c r="CI590" s="430"/>
      <c r="CJ590" s="430"/>
      <c r="CK590" s="430"/>
      <c r="CL590" s="430"/>
    </row>
    <row r="591" spans="63:90" ht="14.25" customHeight="1">
      <c r="BK591" s="430"/>
      <c r="BL591" s="430"/>
      <c r="BM591" s="430"/>
      <c r="BN591" s="430"/>
      <c r="BO591" s="430"/>
      <c r="BP591" s="430"/>
      <c r="BQ591" s="430"/>
      <c r="BR591" s="430"/>
      <c r="BS591" s="430"/>
      <c r="BT591" s="430"/>
      <c r="BU591" s="430"/>
      <c r="BV591" s="430"/>
      <c r="BW591" s="430"/>
      <c r="BX591" s="430"/>
      <c r="BY591" s="430"/>
      <c r="BZ591" s="430"/>
      <c r="CA591" s="430"/>
      <c r="CB591" s="430"/>
      <c r="CC591" s="430"/>
      <c r="CD591" s="430"/>
      <c r="CE591" s="430"/>
      <c r="CF591" s="430"/>
      <c r="CG591" s="430"/>
      <c r="CH591" s="430"/>
      <c r="CI591" s="430"/>
      <c r="CJ591" s="430"/>
      <c r="CK591" s="430"/>
      <c r="CL591" s="430"/>
    </row>
    <row r="592" spans="63:90" ht="14.25" customHeight="1">
      <c r="BK592" s="430"/>
      <c r="BL592" s="430"/>
      <c r="BM592" s="430"/>
      <c r="BN592" s="430"/>
      <c r="BO592" s="430"/>
      <c r="BP592" s="430"/>
      <c r="BQ592" s="430"/>
      <c r="BR592" s="430"/>
      <c r="BS592" s="430"/>
      <c r="BT592" s="430"/>
      <c r="BU592" s="430"/>
      <c r="BV592" s="430"/>
      <c r="BW592" s="430"/>
      <c r="BX592" s="430"/>
      <c r="BY592" s="430"/>
      <c r="BZ592" s="430"/>
      <c r="CA592" s="430"/>
      <c r="CB592" s="430"/>
      <c r="CC592" s="430"/>
      <c r="CD592" s="430"/>
      <c r="CE592" s="430"/>
      <c r="CF592" s="430"/>
      <c r="CG592" s="430"/>
      <c r="CH592" s="430"/>
      <c r="CI592" s="430"/>
      <c r="CJ592" s="430"/>
      <c r="CK592" s="430"/>
      <c r="CL592" s="430"/>
    </row>
    <row r="593" spans="63:90" ht="14.25" customHeight="1">
      <c r="BK593" s="430"/>
      <c r="BL593" s="430"/>
      <c r="BM593" s="430"/>
      <c r="BN593" s="430"/>
      <c r="BO593" s="430"/>
      <c r="BP593" s="430"/>
      <c r="BQ593" s="430"/>
      <c r="BR593" s="430"/>
      <c r="BS593" s="430"/>
      <c r="BT593" s="430"/>
      <c r="BU593" s="430"/>
      <c r="BV593" s="430"/>
      <c r="BW593" s="430"/>
      <c r="BX593" s="430"/>
      <c r="BY593" s="430"/>
      <c r="BZ593" s="430"/>
      <c r="CA593" s="430"/>
      <c r="CB593" s="430"/>
      <c r="CC593" s="430"/>
      <c r="CD593" s="430"/>
      <c r="CE593" s="430"/>
      <c r="CF593" s="430"/>
      <c r="CG593" s="430"/>
      <c r="CH593" s="430"/>
      <c r="CI593" s="430"/>
      <c r="CJ593" s="430"/>
      <c r="CK593" s="430"/>
      <c r="CL593" s="430"/>
    </row>
    <row r="594" spans="63:90" ht="14.25" customHeight="1">
      <c r="BK594" s="430"/>
      <c r="BL594" s="430"/>
      <c r="BM594" s="430"/>
      <c r="BN594" s="430"/>
      <c r="BO594" s="430"/>
      <c r="BP594" s="430"/>
      <c r="BQ594" s="430"/>
      <c r="BR594" s="430"/>
      <c r="BS594" s="430"/>
      <c r="BT594" s="430"/>
      <c r="BU594" s="430"/>
      <c r="BV594" s="430"/>
      <c r="BW594" s="430"/>
      <c r="BX594" s="430"/>
      <c r="BY594" s="430"/>
      <c r="BZ594" s="430"/>
      <c r="CA594" s="430"/>
      <c r="CB594" s="430"/>
      <c r="CC594" s="430"/>
      <c r="CD594" s="430"/>
      <c r="CE594" s="430"/>
      <c r="CF594" s="430"/>
      <c r="CG594" s="430"/>
      <c r="CH594" s="430"/>
      <c r="CI594" s="430"/>
      <c r="CJ594" s="430"/>
      <c r="CK594" s="430"/>
      <c r="CL594" s="430"/>
    </row>
    <row r="595" spans="63:90" ht="14.25" customHeight="1">
      <c r="BK595" s="430"/>
      <c r="BL595" s="430"/>
      <c r="BM595" s="430"/>
      <c r="BN595" s="430"/>
      <c r="BO595" s="430"/>
      <c r="BP595" s="430"/>
      <c r="BQ595" s="430"/>
      <c r="BR595" s="430"/>
      <c r="BS595" s="430"/>
      <c r="BT595" s="430"/>
      <c r="BU595" s="430"/>
      <c r="BV595" s="430"/>
      <c r="BW595" s="430"/>
      <c r="BX595" s="430"/>
      <c r="BY595" s="430"/>
      <c r="BZ595" s="430"/>
      <c r="CA595" s="430"/>
      <c r="CB595" s="430"/>
      <c r="CC595" s="430"/>
      <c r="CD595" s="430"/>
      <c r="CE595" s="430"/>
      <c r="CF595" s="430"/>
      <c r="CG595" s="430"/>
      <c r="CH595" s="430"/>
      <c r="CI595" s="430"/>
      <c r="CJ595" s="430"/>
      <c r="CK595" s="430"/>
      <c r="CL595" s="430"/>
    </row>
    <row r="596" spans="63:90" ht="14.25" customHeight="1">
      <c r="BK596" s="430"/>
      <c r="BL596" s="430"/>
      <c r="BM596" s="430"/>
      <c r="BN596" s="430"/>
      <c r="BO596" s="430"/>
      <c r="BP596" s="430"/>
      <c r="BQ596" s="430"/>
      <c r="BR596" s="430"/>
      <c r="BS596" s="430"/>
      <c r="BT596" s="430"/>
      <c r="BU596" s="430"/>
      <c r="BV596" s="430"/>
      <c r="BW596" s="430"/>
      <c r="BX596" s="430"/>
      <c r="BY596" s="430"/>
      <c r="BZ596" s="430"/>
      <c r="CA596" s="430"/>
      <c r="CB596" s="430"/>
      <c r="CC596" s="430"/>
      <c r="CD596" s="430"/>
      <c r="CE596" s="430"/>
      <c r="CF596" s="430"/>
      <c r="CG596" s="430"/>
      <c r="CH596" s="430"/>
      <c r="CI596" s="430"/>
      <c r="CJ596" s="430"/>
      <c r="CK596" s="430"/>
      <c r="CL596" s="430"/>
    </row>
    <row r="597" spans="63:90" ht="14.25" customHeight="1">
      <c r="BK597" s="430"/>
      <c r="BL597" s="430"/>
      <c r="BM597" s="430"/>
      <c r="BN597" s="430"/>
      <c r="BO597" s="430"/>
      <c r="BP597" s="430"/>
      <c r="BQ597" s="430"/>
      <c r="BR597" s="430"/>
      <c r="BS597" s="430"/>
      <c r="BT597" s="430"/>
      <c r="BU597" s="430"/>
      <c r="BV597" s="430"/>
      <c r="BW597" s="430"/>
      <c r="BX597" s="430"/>
      <c r="BY597" s="430"/>
      <c r="BZ597" s="430"/>
      <c r="CA597" s="430"/>
      <c r="CB597" s="430"/>
      <c r="CC597" s="430"/>
      <c r="CD597" s="430"/>
      <c r="CE597" s="430"/>
      <c r="CF597" s="430"/>
      <c r="CG597" s="430"/>
      <c r="CH597" s="430"/>
      <c r="CI597" s="430"/>
      <c r="CJ597" s="430"/>
      <c r="CK597" s="430"/>
      <c r="CL597" s="430"/>
    </row>
    <row r="598" spans="63:90" ht="14.25" customHeight="1">
      <c r="BK598" s="430"/>
      <c r="BL598" s="430"/>
      <c r="BM598" s="430"/>
      <c r="BN598" s="430"/>
      <c r="BO598" s="430"/>
      <c r="BP598" s="430"/>
      <c r="BQ598" s="430"/>
      <c r="BR598" s="430"/>
      <c r="BS598" s="430"/>
      <c r="BT598" s="430"/>
      <c r="BU598" s="430"/>
      <c r="BV598" s="430"/>
      <c r="BW598" s="430"/>
      <c r="BX598" s="430"/>
      <c r="BY598" s="430"/>
      <c r="BZ598" s="430"/>
      <c r="CA598" s="430"/>
      <c r="CB598" s="430"/>
      <c r="CC598" s="430"/>
      <c r="CD598" s="430"/>
      <c r="CE598" s="430"/>
      <c r="CF598" s="430"/>
      <c r="CG598" s="430"/>
      <c r="CH598" s="430"/>
      <c r="CI598" s="430"/>
      <c r="CJ598" s="430"/>
      <c r="CK598" s="430"/>
      <c r="CL598" s="430"/>
    </row>
    <row r="599" spans="63:90" ht="14.25" customHeight="1">
      <c r="BK599" s="430"/>
      <c r="BL599" s="430"/>
      <c r="BM599" s="430"/>
      <c r="BN599" s="430"/>
      <c r="BO599" s="430"/>
      <c r="BP599" s="430"/>
      <c r="BQ599" s="430"/>
      <c r="BR599" s="430"/>
      <c r="BS599" s="430"/>
      <c r="BT599" s="430"/>
      <c r="BU599" s="430"/>
      <c r="BV599" s="430"/>
      <c r="BW599" s="430"/>
      <c r="BX599" s="430"/>
      <c r="BY599" s="430"/>
      <c r="BZ599" s="430"/>
      <c r="CA599" s="430"/>
      <c r="CB599" s="430"/>
      <c r="CC599" s="430"/>
      <c r="CD599" s="430"/>
      <c r="CE599" s="430"/>
      <c r="CF599" s="430"/>
      <c r="CG599" s="430"/>
      <c r="CH599" s="430"/>
      <c r="CI599" s="430"/>
      <c r="CJ599" s="430"/>
      <c r="CK599" s="430"/>
      <c r="CL599" s="430"/>
    </row>
    <row r="600" spans="63:90" ht="14.25" customHeight="1">
      <c r="BK600" s="430"/>
      <c r="BL600" s="430"/>
      <c r="BM600" s="430"/>
      <c r="BN600" s="430"/>
      <c r="BO600" s="430"/>
      <c r="BP600" s="430"/>
      <c r="BQ600" s="430"/>
      <c r="BR600" s="430"/>
      <c r="BS600" s="430"/>
      <c r="BT600" s="430"/>
      <c r="BU600" s="430"/>
      <c r="BV600" s="430"/>
      <c r="BW600" s="430"/>
      <c r="BX600" s="430"/>
      <c r="BY600" s="430"/>
      <c r="BZ600" s="430"/>
      <c r="CA600" s="430"/>
      <c r="CB600" s="430"/>
      <c r="CC600" s="430"/>
      <c r="CD600" s="430"/>
      <c r="CE600" s="430"/>
      <c r="CF600" s="430"/>
      <c r="CG600" s="430"/>
      <c r="CH600" s="430"/>
      <c r="CI600" s="430"/>
      <c r="CJ600" s="430"/>
      <c r="CK600" s="430"/>
      <c r="CL600" s="430"/>
    </row>
    <row r="601" spans="63:90" ht="14.25" customHeight="1">
      <c r="BK601" s="430"/>
      <c r="BL601" s="430"/>
      <c r="BM601" s="430"/>
      <c r="BN601" s="430"/>
      <c r="BO601" s="430"/>
      <c r="BP601" s="430"/>
      <c r="BQ601" s="430"/>
      <c r="BR601" s="430"/>
      <c r="BS601" s="430"/>
      <c r="BT601" s="430"/>
      <c r="BU601" s="430"/>
      <c r="BV601" s="430"/>
      <c r="BW601" s="430"/>
      <c r="BX601" s="430"/>
      <c r="BY601" s="430"/>
      <c r="BZ601" s="430"/>
      <c r="CA601" s="430"/>
      <c r="CB601" s="430"/>
      <c r="CC601" s="430"/>
      <c r="CD601" s="430"/>
      <c r="CE601" s="430"/>
      <c r="CF601" s="430"/>
      <c r="CG601" s="430"/>
      <c r="CH601" s="430"/>
      <c r="CI601" s="430"/>
      <c r="CJ601" s="430"/>
      <c r="CK601" s="430"/>
      <c r="CL601" s="430"/>
    </row>
    <row r="602" spans="63:90" ht="14.25" customHeight="1">
      <c r="BK602" s="430"/>
      <c r="BL602" s="430"/>
      <c r="BM602" s="430"/>
      <c r="BN602" s="430"/>
      <c r="BO602" s="430"/>
      <c r="BP602" s="430"/>
      <c r="BQ602" s="430"/>
      <c r="BR602" s="430"/>
      <c r="BS602" s="430"/>
      <c r="BT602" s="430"/>
      <c r="BU602" s="430"/>
      <c r="BV602" s="430"/>
      <c r="BW602" s="430"/>
      <c r="BX602" s="430"/>
      <c r="BY602" s="430"/>
      <c r="BZ602" s="430"/>
      <c r="CA602" s="430"/>
      <c r="CB602" s="430"/>
      <c r="CC602" s="430"/>
      <c r="CD602" s="430"/>
      <c r="CE602" s="430"/>
      <c r="CF602" s="430"/>
      <c r="CG602" s="430"/>
      <c r="CH602" s="430"/>
      <c r="CI602" s="430"/>
      <c r="CJ602" s="430"/>
      <c r="CK602" s="430"/>
      <c r="CL602" s="430"/>
    </row>
    <row r="603" spans="63:90" ht="14.25" customHeight="1">
      <c r="BK603" s="430"/>
      <c r="BL603" s="430"/>
      <c r="BM603" s="430"/>
      <c r="BN603" s="430"/>
      <c r="BO603" s="430"/>
      <c r="BP603" s="430"/>
      <c r="BQ603" s="430"/>
      <c r="BR603" s="430"/>
      <c r="BS603" s="430"/>
      <c r="BT603" s="430"/>
      <c r="BU603" s="430"/>
      <c r="BV603" s="430"/>
      <c r="BW603" s="430"/>
      <c r="BX603" s="430"/>
      <c r="BY603" s="430"/>
      <c r="BZ603" s="430"/>
      <c r="CA603" s="430"/>
      <c r="CB603" s="430"/>
      <c r="CC603" s="430"/>
      <c r="CD603" s="430"/>
      <c r="CE603" s="430"/>
      <c r="CF603" s="430"/>
      <c r="CG603" s="430"/>
      <c r="CH603" s="430"/>
      <c r="CI603" s="430"/>
      <c r="CJ603" s="430"/>
      <c r="CK603" s="430"/>
      <c r="CL603" s="430"/>
    </row>
    <row r="604" spans="63:90" ht="14.25" customHeight="1">
      <c r="BK604" s="430"/>
      <c r="BL604" s="430"/>
      <c r="BM604" s="430"/>
      <c r="BN604" s="430"/>
      <c r="BO604" s="430"/>
      <c r="BP604" s="430"/>
      <c r="BQ604" s="430"/>
      <c r="BR604" s="430"/>
      <c r="BS604" s="430"/>
      <c r="BT604" s="430"/>
      <c r="BU604" s="430"/>
      <c r="BV604" s="430"/>
      <c r="BW604" s="430"/>
      <c r="BX604" s="430"/>
      <c r="BY604" s="430"/>
      <c r="BZ604" s="430"/>
      <c r="CA604" s="430"/>
      <c r="CB604" s="430"/>
      <c r="CC604" s="430"/>
      <c r="CD604" s="430"/>
      <c r="CE604" s="430"/>
      <c r="CF604" s="430"/>
      <c r="CG604" s="430"/>
      <c r="CH604" s="430"/>
      <c r="CI604" s="430"/>
      <c r="CJ604" s="430"/>
      <c r="CK604" s="430"/>
      <c r="CL604" s="430"/>
    </row>
    <row r="605" spans="63:90" ht="14.25" customHeight="1">
      <c r="BK605" s="430"/>
      <c r="BL605" s="430"/>
      <c r="BM605" s="430"/>
      <c r="BN605" s="430"/>
      <c r="BO605" s="430"/>
      <c r="BP605" s="430"/>
      <c r="BQ605" s="430"/>
      <c r="BR605" s="430"/>
      <c r="BS605" s="430"/>
      <c r="BT605" s="430"/>
      <c r="BU605" s="430"/>
      <c r="BV605" s="430"/>
      <c r="BW605" s="430"/>
      <c r="BX605" s="430"/>
      <c r="BY605" s="430"/>
      <c r="BZ605" s="430"/>
      <c r="CA605" s="430"/>
      <c r="CB605" s="430"/>
      <c r="CC605" s="430"/>
      <c r="CD605" s="430"/>
      <c r="CE605" s="430"/>
      <c r="CF605" s="430"/>
      <c r="CG605" s="430"/>
      <c r="CH605" s="430"/>
      <c r="CI605" s="430"/>
      <c r="CJ605" s="430"/>
      <c r="CK605" s="430"/>
      <c r="CL605" s="430"/>
    </row>
    <row r="606" spans="63:90" ht="14.25" customHeight="1">
      <c r="BK606" s="430"/>
      <c r="BL606" s="430"/>
      <c r="BM606" s="430"/>
      <c r="BN606" s="430"/>
      <c r="BO606" s="430"/>
      <c r="BP606" s="430"/>
      <c r="BQ606" s="430"/>
      <c r="BR606" s="430"/>
      <c r="BS606" s="430"/>
      <c r="BT606" s="430"/>
      <c r="BU606" s="430"/>
      <c r="BV606" s="430"/>
      <c r="BW606" s="430"/>
      <c r="BX606" s="430"/>
      <c r="BY606" s="430"/>
      <c r="BZ606" s="430"/>
      <c r="CA606" s="430"/>
      <c r="CB606" s="430"/>
      <c r="CC606" s="430"/>
      <c r="CD606" s="430"/>
      <c r="CE606" s="430"/>
      <c r="CF606" s="430"/>
      <c r="CG606" s="430"/>
      <c r="CH606" s="430"/>
      <c r="CI606" s="430"/>
      <c r="CJ606" s="430"/>
      <c r="CK606" s="430"/>
      <c r="CL606" s="430"/>
    </row>
    <row r="607" spans="63:90" ht="14.25" customHeight="1">
      <c r="BK607" s="430"/>
      <c r="BL607" s="430"/>
      <c r="BM607" s="430"/>
      <c r="BN607" s="430"/>
      <c r="BO607" s="430"/>
      <c r="BP607" s="430"/>
      <c r="BQ607" s="430"/>
      <c r="BR607" s="430"/>
      <c r="BS607" s="430"/>
      <c r="BT607" s="430"/>
      <c r="BU607" s="430"/>
      <c r="BV607" s="430"/>
      <c r="BW607" s="430"/>
      <c r="BX607" s="430"/>
      <c r="BY607" s="430"/>
      <c r="BZ607" s="430"/>
      <c r="CA607" s="430"/>
      <c r="CB607" s="430"/>
      <c r="CC607" s="430"/>
      <c r="CD607" s="430"/>
      <c r="CE607" s="430"/>
      <c r="CF607" s="430"/>
      <c r="CG607" s="430"/>
      <c r="CH607" s="430"/>
      <c r="CI607" s="430"/>
      <c r="CJ607" s="430"/>
      <c r="CK607" s="430"/>
      <c r="CL607" s="430"/>
    </row>
    <row r="608" spans="63:90" ht="14.25" customHeight="1">
      <c r="BK608" s="430"/>
      <c r="BL608" s="430"/>
      <c r="BM608" s="430"/>
      <c r="BN608" s="430"/>
      <c r="BO608" s="430"/>
      <c r="BP608" s="430"/>
      <c r="BQ608" s="430"/>
      <c r="BR608" s="430"/>
      <c r="BS608" s="430"/>
      <c r="BT608" s="430"/>
      <c r="BU608" s="430"/>
      <c r="BV608" s="430"/>
      <c r="BW608" s="430"/>
      <c r="BX608" s="430"/>
      <c r="BY608" s="430"/>
      <c r="BZ608" s="430"/>
      <c r="CA608" s="430"/>
      <c r="CB608" s="430"/>
      <c r="CC608" s="430"/>
      <c r="CD608" s="430"/>
      <c r="CE608" s="430"/>
      <c r="CF608" s="430"/>
      <c r="CG608" s="430"/>
      <c r="CH608" s="430"/>
      <c r="CI608" s="430"/>
      <c r="CJ608" s="430"/>
      <c r="CK608" s="430"/>
      <c r="CL608" s="430"/>
    </row>
    <row r="609" spans="63:90" ht="14.25" customHeight="1">
      <c r="BK609" s="430"/>
      <c r="BL609" s="430"/>
      <c r="BM609" s="430"/>
      <c r="BN609" s="430"/>
      <c r="BO609" s="430"/>
      <c r="BP609" s="430"/>
      <c r="BQ609" s="430"/>
      <c r="BR609" s="430"/>
      <c r="BS609" s="430"/>
      <c r="BT609" s="430"/>
      <c r="BU609" s="430"/>
      <c r="BV609" s="430"/>
      <c r="BW609" s="430"/>
      <c r="BX609" s="430"/>
      <c r="BY609" s="430"/>
      <c r="BZ609" s="430"/>
      <c r="CA609" s="430"/>
      <c r="CB609" s="430"/>
      <c r="CC609" s="430"/>
      <c r="CD609" s="430"/>
      <c r="CE609" s="430"/>
      <c r="CF609" s="430"/>
      <c r="CG609" s="430"/>
      <c r="CH609" s="430"/>
      <c r="CI609" s="430"/>
      <c r="CJ609" s="430"/>
      <c r="CK609" s="430"/>
      <c r="CL609" s="430"/>
    </row>
    <row r="610" spans="63:90" ht="14.25" customHeight="1">
      <c r="BK610" s="430"/>
      <c r="BL610" s="430"/>
      <c r="BM610" s="430"/>
      <c r="BN610" s="430"/>
      <c r="BO610" s="430"/>
      <c r="BP610" s="430"/>
      <c r="BQ610" s="430"/>
      <c r="BR610" s="430"/>
      <c r="BS610" s="430"/>
      <c r="BT610" s="430"/>
      <c r="BU610" s="430"/>
      <c r="BV610" s="430"/>
      <c r="BW610" s="430"/>
      <c r="BX610" s="430"/>
      <c r="BY610" s="430"/>
      <c r="BZ610" s="430"/>
      <c r="CA610" s="430"/>
      <c r="CB610" s="430"/>
      <c r="CC610" s="430"/>
      <c r="CD610" s="430"/>
      <c r="CE610" s="430"/>
      <c r="CF610" s="430"/>
      <c r="CG610" s="430"/>
      <c r="CH610" s="430"/>
      <c r="CI610" s="430"/>
      <c r="CJ610" s="430"/>
      <c r="CK610" s="430"/>
      <c r="CL610" s="430"/>
    </row>
    <row r="611" spans="63:90" ht="14.25" customHeight="1">
      <c r="BK611" s="430"/>
      <c r="BL611" s="430"/>
      <c r="BM611" s="430"/>
      <c r="BN611" s="430"/>
      <c r="BO611" s="430"/>
      <c r="BP611" s="430"/>
      <c r="BQ611" s="430"/>
      <c r="BR611" s="430"/>
      <c r="BS611" s="430"/>
      <c r="BT611" s="430"/>
      <c r="BU611" s="430"/>
      <c r="BV611" s="430"/>
      <c r="BW611" s="430"/>
      <c r="BX611" s="430"/>
      <c r="BY611" s="430"/>
      <c r="BZ611" s="430"/>
      <c r="CA611" s="430"/>
      <c r="CB611" s="430"/>
      <c r="CC611" s="430"/>
      <c r="CD611" s="430"/>
      <c r="CE611" s="430"/>
      <c r="CF611" s="430"/>
      <c r="CG611" s="430"/>
      <c r="CH611" s="430"/>
      <c r="CI611" s="430"/>
      <c r="CJ611" s="430"/>
      <c r="CK611" s="430"/>
      <c r="CL611" s="430"/>
    </row>
    <row r="612" spans="63:90" ht="14.25" customHeight="1">
      <c r="BK612" s="430"/>
      <c r="BL612" s="430"/>
      <c r="BM612" s="430"/>
      <c r="BN612" s="430"/>
      <c r="BO612" s="430"/>
      <c r="BP612" s="430"/>
      <c r="BQ612" s="430"/>
      <c r="BR612" s="430"/>
      <c r="BS612" s="430"/>
      <c r="BT612" s="430"/>
      <c r="BU612" s="430"/>
      <c r="BV612" s="430"/>
      <c r="BW612" s="430"/>
      <c r="BX612" s="430"/>
      <c r="BY612" s="430"/>
      <c r="BZ612" s="430"/>
      <c r="CA612" s="430"/>
      <c r="CB612" s="430"/>
      <c r="CC612" s="430"/>
      <c r="CD612" s="430"/>
      <c r="CE612" s="430"/>
      <c r="CF612" s="430"/>
      <c r="CG612" s="430"/>
      <c r="CH612" s="430"/>
      <c r="CI612" s="430"/>
      <c r="CJ612" s="430"/>
      <c r="CK612" s="430"/>
      <c r="CL612" s="430"/>
    </row>
    <row r="613" spans="63:90" ht="14.25" customHeight="1">
      <c r="BK613" s="430"/>
      <c r="BL613" s="430"/>
      <c r="BM613" s="430"/>
      <c r="BN613" s="430"/>
      <c r="BO613" s="430"/>
      <c r="BP613" s="430"/>
      <c r="BQ613" s="430"/>
      <c r="BR613" s="430"/>
      <c r="BS613" s="430"/>
      <c r="BT613" s="430"/>
      <c r="BU613" s="430"/>
      <c r="BV613" s="430"/>
      <c r="BW613" s="430"/>
      <c r="BX613" s="430"/>
      <c r="BY613" s="430"/>
      <c r="BZ613" s="430"/>
      <c r="CA613" s="430"/>
      <c r="CB613" s="430"/>
      <c r="CC613" s="430"/>
      <c r="CD613" s="430"/>
      <c r="CE613" s="430"/>
      <c r="CF613" s="430"/>
      <c r="CG613" s="430"/>
      <c r="CH613" s="430"/>
      <c r="CI613" s="430"/>
      <c r="CJ613" s="430"/>
      <c r="CK613" s="430"/>
      <c r="CL613" s="430"/>
    </row>
    <row r="614" spans="63:90" ht="14.25" customHeight="1">
      <c r="BK614" s="430"/>
      <c r="BL614" s="430"/>
      <c r="BM614" s="430"/>
      <c r="BN614" s="430"/>
      <c r="BO614" s="430"/>
      <c r="BP614" s="430"/>
      <c r="BQ614" s="430"/>
      <c r="BR614" s="430"/>
      <c r="BS614" s="430"/>
      <c r="BT614" s="430"/>
      <c r="BU614" s="430"/>
      <c r="BV614" s="430"/>
      <c r="BW614" s="430"/>
      <c r="BX614" s="430"/>
      <c r="BY614" s="430"/>
      <c r="BZ614" s="430"/>
      <c r="CA614" s="430"/>
      <c r="CB614" s="430"/>
      <c r="CC614" s="430"/>
      <c r="CD614" s="430"/>
      <c r="CE614" s="430"/>
      <c r="CF614" s="430"/>
      <c r="CG614" s="430"/>
      <c r="CH614" s="430"/>
      <c r="CI614" s="430"/>
      <c r="CJ614" s="430"/>
      <c r="CK614" s="430"/>
      <c r="CL614" s="430"/>
    </row>
    <row r="615" spans="63:90" ht="14.25" customHeight="1">
      <c r="BK615" s="430"/>
      <c r="BL615" s="430"/>
      <c r="BM615" s="430"/>
      <c r="BN615" s="430"/>
      <c r="BO615" s="430"/>
      <c r="BP615" s="430"/>
      <c r="BQ615" s="430"/>
      <c r="BR615" s="430"/>
      <c r="BS615" s="430"/>
      <c r="BT615" s="430"/>
      <c r="BU615" s="430"/>
      <c r="BV615" s="430"/>
      <c r="BW615" s="430"/>
      <c r="BX615" s="430"/>
      <c r="BY615" s="430"/>
      <c r="BZ615" s="430"/>
      <c r="CA615" s="430"/>
      <c r="CB615" s="430"/>
      <c r="CC615" s="430"/>
      <c r="CD615" s="430"/>
      <c r="CE615" s="430"/>
      <c r="CF615" s="430"/>
      <c r="CG615" s="430"/>
      <c r="CH615" s="430"/>
      <c r="CI615" s="430"/>
      <c r="CJ615" s="430"/>
      <c r="CK615" s="430"/>
      <c r="CL615" s="430"/>
    </row>
    <row r="616" spans="63:90" ht="14.25" customHeight="1">
      <c r="BK616" s="430"/>
      <c r="BL616" s="430"/>
      <c r="BM616" s="430"/>
      <c r="BN616" s="430"/>
      <c r="BO616" s="430"/>
      <c r="BP616" s="430"/>
      <c r="BQ616" s="430"/>
      <c r="BR616" s="430"/>
      <c r="BS616" s="430"/>
      <c r="BT616" s="430"/>
      <c r="BU616" s="430"/>
      <c r="BV616" s="430"/>
      <c r="BW616" s="430"/>
      <c r="BX616" s="430"/>
      <c r="BY616" s="430"/>
      <c r="BZ616" s="430"/>
      <c r="CA616" s="430"/>
      <c r="CB616" s="430"/>
      <c r="CC616" s="430"/>
      <c r="CD616" s="430"/>
      <c r="CE616" s="430"/>
      <c r="CF616" s="430"/>
      <c r="CG616" s="430"/>
      <c r="CH616" s="430"/>
      <c r="CI616" s="430"/>
      <c r="CJ616" s="430"/>
      <c r="CK616" s="430"/>
      <c r="CL616" s="430"/>
    </row>
    <row r="617" spans="63:90" ht="14.25" customHeight="1">
      <c r="BK617" s="430"/>
      <c r="BL617" s="430"/>
      <c r="BM617" s="430"/>
      <c r="BN617" s="430"/>
      <c r="BO617" s="430"/>
      <c r="BP617" s="430"/>
      <c r="BQ617" s="430"/>
      <c r="BR617" s="430"/>
      <c r="BS617" s="430"/>
      <c r="BT617" s="430"/>
      <c r="BU617" s="430"/>
      <c r="BV617" s="430"/>
      <c r="BW617" s="430"/>
      <c r="BX617" s="430"/>
      <c r="BY617" s="430"/>
      <c r="BZ617" s="430"/>
      <c r="CA617" s="430"/>
      <c r="CB617" s="430"/>
      <c r="CC617" s="430"/>
      <c r="CD617" s="430"/>
      <c r="CE617" s="430"/>
      <c r="CF617" s="430"/>
      <c r="CG617" s="430"/>
      <c r="CH617" s="430"/>
      <c r="CI617" s="430"/>
      <c r="CJ617" s="430"/>
      <c r="CK617" s="430"/>
      <c r="CL617" s="430"/>
    </row>
    <row r="618" spans="63:90" ht="14.25" customHeight="1">
      <c r="BK618" s="430"/>
      <c r="BL618" s="430"/>
      <c r="BM618" s="430"/>
      <c r="BN618" s="430"/>
      <c r="BO618" s="430"/>
      <c r="BP618" s="430"/>
      <c r="BQ618" s="430"/>
      <c r="BR618" s="430"/>
      <c r="BS618" s="430"/>
      <c r="BT618" s="430"/>
      <c r="BU618" s="430"/>
      <c r="BV618" s="430"/>
      <c r="BW618" s="430"/>
      <c r="BX618" s="430"/>
      <c r="BY618" s="430"/>
      <c r="BZ618" s="430"/>
      <c r="CA618" s="430"/>
      <c r="CB618" s="430"/>
      <c r="CC618" s="430"/>
      <c r="CD618" s="430"/>
      <c r="CE618" s="430"/>
      <c r="CF618" s="430"/>
      <c r="CG618" s="430"/>
      <c r="CH618" s="430"/>
      <c r="CI618" s="430"/>
      <c r="CJ618" s="430"/>
      <c r="CK618" s="430"/>
      <c r="CL618" s="430"/>
    </row>
    <row r="619" spans="63:90" ht="14.25" customHeight="1">
      <c r="BK619" s="430"/>
      <c r="BL619" s="430"/>
      <c r="BM619" s="430"/>
      <c r="BN619" s="430"/>
      <c r="BO619" s="430"/>
      <c r="BP619" s="430"/>
      <c r="BQ619" s="430"/>
      <c r="BR619" s="430"/>
      <c r="BS619" s="430"/>
      <c r="BT619" s="430"/>
      <c r="BU619" s="430"/>
      <c r="BV619" s="430"/>
      <c r="BW619" s="430"/>
      <c r="BX619" s="430"/>
      <c r="BY619" s="430"/>
      <c r="BZ619" s="430"/>
      <c r="CA619" s="430"/>
      <c r="CB619" s="430"/>
      <c r="CC619" s="430"/>
      <c r="CD619" s="430"/>
      <c r="CE619" s="430"/>
      <c r="CF619" s="430"/>
      <c r="CG619" s="430"/>
      <c r="CH619" s="430"/>
      <c r="CI619" s="430"/>
      <c r="CJ619" s="430"/>
      <c r="CK619" s="430"/>
      <c r="CL619" s="430"/>
    </row>
    <row r="620" spans="63:90" ht="14.25" customHeight="1">
      <c r="BK620" s="430"/>
      <c r="BL620" s="430"/>
      <c r="BM620" s="430"/>
      <c r="BN620" s="430"/>
      <c r="BO620" s="430"/>
      <c r="BP620" s="430"/>
      <c r="BQ620" s="430"/>
      <c r="BR620" s="430"/>
      <c r="BS620" s="430"/>
      <c r="BT620" s="430"/>
      <c r="BU620" s="430"/>
      <c r="BV620" s="430"/>
      <c r="BW620" s="430"/>
      <c r="BX620" s="430"/>
      <c r="BY620" s="430"/>
      <c r="BZ620" s="430"/>
      <c r="CA620" s="430"/>
      <c r="CB620" s="430"/>
      <c r="CC620" s="430"/>
      <c r="CD620" s="430"/>
      <c r="CE620" s="430"/>
      <c r="CF620" s="430"/>
      <c r="CG620" s="430"/>
      <c r="CH620" s="430"/>
      <c r="CI620" s="430"/>
      <c r="CJ620" s="430"/>
      <c r="CK620" s="430"/>
      <c r="CL620" s="430"/>
    </row>
    <row r="621" spans="63:90" ht="14.25" customHeight="1">
      <c r="BK621" s="430"/>
      <c r="BL621" s="430"/>
      <c r="BM621" s="430"/>
      <c r="BN621" s="430"/>
      <c r="BO621" s="430"/>
      <c r="BP621" s="430"/>
      <c r="BQ621" s="430"/>
      <c r="BR621" s="430"/>
      <c r="BS621" s="430"/>
      <c r="BT621" s="430"/>
      <c r="BU621" s="430"/>
      <c r="BV621" s="430"/>
      <c r="BW621" s="430"/>
      <c r="BX621" s="430"/>
      <c r="BY621" s="430"/>
      <c r="BZ621" s="430"/>
      <c r="CA621" s="430"/>
      <c r="CB621" s="430"/>
      <c r="CC621" s="430"/>
      <c r="CD621" s="430"/>
      <c r="CE621" s="430"/>
      <c r="CF621" s="430"/>
      <c r="CG621" s="430"/>
      <c r="CH621" s="430"/>
      <c r="CI621" s="430"/>
      <c r="CJ621" s="430"/>
      <c r="CK621" s="430"/>
      <c r="CL621" s="430"/>
    </row>
    <row r="622" spans="63:90" ht="14.25" customHeight="1">
      <c r="BK622" s="430"/>
      <c r="BL622" s="430"/>
      <c r="BM622" s="430"/>
      <c r="BN622" s="430"/>
      <c r="BO622" s="430"/>
      <c r="BP622" s="430"/>
      <c r="BQ622" s="430"/>
      <c r="BR622" s="430"/>
      <c r="BS622" s="430"/>
      <c r="BT622" s="430"/>
      <c r="BU622" s="430"/>
      <c r="BV622" s="430"/>
      <c r="BW622" s="430"/>
      <c r="BX622" s="430"/>
      <c r="BY622" s="430"/>
      <c r="BZ622" s="430"/>
      <c r="CA622" s="430"/>
      <c r="CB622" s="430"/>
      <c r="CC622" s="430"/>
      <c r="CD622" s="430"/>
      <c r="CE622" s="430"/>
      <c r="CF622" s="430"/>
      <c r="CG622" s="430"/>
      <c r="CH622" s="430"/>
      <c r="CI622" s="430"/>
      <c r="CJ622" s="430"/>
      <c r="CK622" s="430"/>
      <c r="CL622" s="430"/>
    </row>
    <row r="623" spans="63:90" ht="14.25" customHeight="1">
      <c r="BK623" s="430"/>
      <c r="BL623" s="430"/>
      <c r="BM623" s="430"/>
      <c r="BN623" s="430"/>
      <c r="BO623" s="430"/>
      <c r="BP623" s="430"/>
      <c r="BQ623" s="430"/>
      <c r="BR623" s="430"/>
      <c r="BS623" s="430"/>
      <c r="BT623" s="430"/>
      <c r="BU623" s="430"/>
      <c r="BV623" s="430"/>
      <c r="BW623" s="430"/>
      <c r="BX623" s="430"/>
      <c r="BY623" s="430"/>
      <c r="BZ623" s="430"/>
      <c r="CA623" s="430"/>
      <c r="CB623" s="430"/>
      <c r="CC623" s="430"/>
      <c r="CD623" s="430"/>
      <c r="CE623" s="430"/>
      <c r="CF623" s="430"/>
      <c r="CG623" s="430"/>
      <c r="CH623" s="430"/>
      <c r="CI623" s="430"/>
      <c r="CJ623" s="430"/>
      <c r="CK623" s="430"/>
      <c r="CL623" s="430"/>
    </row>
    <row r="624" spans="63:90" ht="14.25" customHeight="1">
      <c r="BK624" s="430"/>
      <c r="BL624" s="430"/>
      <c r="BM624" s="430"/>
      <c r="BN624" s="430"/>
      <c r="BO624" s="430"/>
      <c r="BP624" s="430"/>
      <c r="BQ624" s="430"/>
      <c r="BR624" s="430"/>
      <c r="BS624" s="430"/>
      <c r="BT624" s="430"/>
      <c r="BU624" s="430"/>
      <c r="BV624" s="430"/>
      <c r="BW624" s="430"/>
      <c r="BX624" s="430"/>
      <c r="BY624" s="430"/>
      <c r="BZ624" s="430"/>
      <c r="CA624" s="430"/>
      <c r="CB624" s="430"/>
      <c r="CC624" s="430"/>
      <c r="CD624" s="430"/>
      <c r="CE624" s="430"/>
      <c r="CF624" s="430"/>
      <c r="CG624" s="430"/>
      <c r="CH624" s="430"/>
      <c r="CI624" s="430"/>
      <c r="CJ624" s="430"/>
      <c r="CK624" s="430"/>
      <c r="CL624" s="430"/>
    </row>
    <row r="625" spans="63:90" ht="14.25" customHeight="1">
      <c r="BK625" s="430"/>
      <c r="BL625" s="430"/>
      <c r="BM625" s="430"/>
      <c r="BN625" s="430"/>
      <c r="BO625" s="430"/>
      <c r="BP625" s="430"/>
      <c r="BQ625" s="430"/>
      <c r="BR625" s="430"/>
      <c r="BS625" s="430"/>
      <c r="BT625" s="430"/>
      <c r="BU625" s="430"/>
      <c r="BV625" s="430"/>
      <c r="BW625" s="430"/>
      <c r="BX625" s="430"/>
      <c r="BY625" s="430"/>
      <c r="BZ625" s="430"/>
      <c r="CA625" s="430"/>
      <c r="CB625" s="430"/>
      <c r="CC625" s="430"/>
      <c r="CD625" s="430"/>
      <c r="CE625" s="430"/>
      <c r="CF625" s="430"/>
      <c r="CG625" s="430"/>
      <c r="CH625" s="430"/>
      <c r="CI625" s="430"/>
      <c r="CJ625" s="430"/>
      <c r="CK625" s="430"/>
      <c r="CL625" s="430"/>
    </row>
    <row r="626" spans="63:90" ht="14.25" customHeight="1">
      <c r="BK626" s="430"/>
      <c r="BL626" s="430"/>
      <c r="BM626" s="430"/>
      <c r="BN626" s="430"/>
      <c r="BO626" s="430"/>
      <c r="BP626" s="430"/>
      <c r="BQ626" s="430"/>
      <c r="BR626" s="430"/>
      <c r="BS626" s="430"/>
      <c r="BT626" s="430"/>
      <c r="BU626" s="430"/>
      <c r="BV626" s="430"/>
      <c r="BW626" s="430"/>
      <c r="BX626" s="430"/>
      <c r="BY626" s="430"/>
      <c r="BZ626" s="430"/>
      <c r="CA626" s="430"/>
      <c r="CB626" s="430"/>
      <c r="CC626" s="430"/>
      <c r="CD626" s="430"/>
      <c r="CE626" s="430"/>
      <c r="CF626" s="430"/>
      <c r="CG626" s="430"/>
      <c r="CH626" s="430"/>
      <c r="CI626" s="430"/>
      <c r="CJ626" s="430"/>
      <c r="CK626" s="430"/>
      <c r="CL626" s="430"/>
    </row>
    <row r="627" spans="63:90" ht="14.25" customHeight="1">
      <c r="BK627" s="430"/>
      <c r="BL627" s="430"/>
      <c r="BM627" s="430"/>
      <c r="BN627" s="430"/>
      <c r="BO627" s="430"/>
      <c r="BP627" s="430"/>
      <c r="BQ627" s="430"/>
      <c r="BR627" s="430"/>
      <c r="BS627" s="430"/>
      <c r="BT627" s="430"/>
      <c r="BU627" s="430"/>
      <c r="BV627" s="430"/>
      <c r="BW627" s="430"/>
      <c r="BX627" s="430"/>
      <c r="BY627" s="430"/>
      <c r="BZ627" s="430"/>
      <c r="CA627" s="430"/>
      <c r="CB627" s="430"/>
      <c r="CC627" s="430"/>
      <c r="CD627" s="430"/>
      <c r="CE627" s="430"/>
      <c r="CF627" s="430"/>
      <c r="CG627" s="430"/>
      <c r="CH627" s="430"/>
      <c r="CI627" s="430"/>
      <c r="CJ627" s="430"/>
      <c r="CK627" s="430"/>
      <c r="CL627" s="430"/>
    </row>
    <row r="628" spans="63:90" ht="14.25" customHeight="1">
      <c r="BK628" s="430"/>
      <c r="BL628" s="430"/>
      <c r="BM628" s="430"/>
      <c r="BN628" s="430"/>
      <c r="BO628" s="430"/>
      <c r="BP628" s="430"/>
      <c r="BQ628" s="430"/>
      <c r="BR628" s="430"/>
      <c r="BS628" s="430"/>
      <c r="BT628" s="430"/>
      <c r="BU628" s="430"/>
      <c r="BV628" s="430"/>
      <c r="BW628" s="430"/>
      <c r="BX628" s="430"/>
      <c r="BY628" s="430"/>
      <c r="BZ628" s="430"/>
      <c r="CA628" s="430"/>
      <c r="CB628" s="430"/>
      <c r="CC628" s="430"/>
      <c r="CD628" s="430"/>
      <c r="CE628" s="430"/>
      <c r="CF628" s="430"/>
      <c r="CG628" s="430"/>
      <c r="CH628" s="430"/>
      <c r="CI628" s="430"/>
      <c r="CJ628" s="430"/>
      <c r="CK628" s="430"/>
      <c r="CL628" s="430"/>
    </row>
    <row r="629" spans="63:90" ht="14.25" customHeight="1">
      <c r="BK629" s="430"/>
      <c r="BL629" s="430"/>
      <c r="BM629" s="430"/>
      <c r="BN629" s="430"/>
      <c r="BO629" s="430"/>
      <c r="BP629" s="430"/>
      <c r="BQ629" s="430"/>
      <c r="BR629" s="430"/>
      <c r="BS629" s="430"/>
      <c r="BT629" s="430"/>
      <c r="BU629" s="430"/>
      <c r="BV629" s="430"/>
      <c r="BW629" s="430"/>
      <c r="BX629" s="430"/>
      <c r="BY629" s="430"/>
      <c r="BZ629" s="430"/>
      <c r="CA629" s="430"/>
      <c r="CB629" s="430"/>
      <c r="CC629" s="430"/>
      <c r="CD629" s="430"/>
      <c r="CE629" s="430"/>
      <c r="CF629" s="430"/>
      <c r="CG629" s="430"/>
      <c r="CH629" s="430"/>
      <c r="CI629" s="430"/>
      <c r="CJ629" s="430"/>
      <c r="CK629" s="430"/>
      <c r="CL629" s="430"/>
    </row>
    <row r="630" spans="63:90" ht="14.25" customHeight="1">
      <c r="BK630" s="430"/>
      <c r="BL630" s="430"/>
      <c r="BM630" s="430"/>
      <c r="BN630" s="430"/>
      <c r="BO630" s="430"/>
      <c r="BP630" s="430"/>
      <c r="BQ630" s="430"/>
      <c r="BR630" s="430"/>
      <c r="BS630" s="430"/>
      <c r="BT630" s="430"/>
      <c r="BU630" s="430"/>
      <c r="BV630" s="430"/>
      <c r="BW630" s="430"/>
      <c r="BX630" s="430"/>
      <c r="BY630" s="430"/>
      <c r="BZ630" s="430"/>
      <c r="CA630" s="430"/>
      <c r="CB630" s="430"/>
      <c r="CC630" s="430"/>
      <c r="CD630" s="430"/>
      <c r="CE630" s="430"/>
      <c r="CF630" s="430"/>
      <c r="CG630" s="430"/>
      <c r="CH630" s="430"/>
      <c r="CI630" s="430"/>
      <c r="CJ630" s="430"/>
      <c r="CK630" s="430"/>
      <c r="CL630" s="430"/>
    </row>
    <row r="631" spans="63:90" ht="14.25" customHeight="1">
      <c r="BK631" s="430"/>
      <c r="BL631" s="430"/>
      <c r="BM631" s="430"/>
      <c r="BN631" s="430"/>
      <c r="BO631" s="430"/>
      <c r="BP631" s="430"/>
      <c r="BQ631" s="430"/>
      <c r="BR631" s="430"/>
      <c r="BS631" s="430"/>
      <c r="BT631" s="430"/>
      <c r="BU631" s="430"/>
      <c r="BV631" s="430"/>
      <c r="BW631" s="430"/>
      <c r="BX631" s="430"/>
      <c r="BY631" s="430"/>
      <c r="BZ631" s="430"/>
      <c r="CA631" s="430"/>
      <c r="CB631" s="430"/>
      <c r="CC631" s="430"/>
      <c r="CD631" s="430"/>
      <c r="CE631" s="430"/>
      <c r="CF631" s="430"/>
      <c r="CG631" s="430"/>
      <c r="CH631" s="430"/>
      <c r="CI631" s="430"/>
      <c r="CJ631" s="430"/>
      <c r="CK631" s="430"/>
      <c r="CL631" s="430"/>
    </row>
    <row r="632" spans="63:90" ht="14.25" customHeight="1">
      <c r="BK632" s="430"/>
      <c r="BL632" s="430"/>
      <c r="BM632" s="430"/>
      <c r="BN632" s="430"/>
      <c r="BO632" s="430"/>
      <c r="BP632" s="430"/>
      <c r="BQ632" s="430"/>
      <c r="BR632" s="430"/>
      <c r="BS632" s="430"/>
      <c r="BT632" s="430"/>
      <c r="BU632" s="430"/>
      <c r="BV632" s="430"/>
      <c r="BW632" s="430"/>
      <c r="BX632" s="430"/>
      <c r="BY632" s="430"/>
      <c r="BZ632" s="430"/>
      <c r="CA632" s="430"/>
      <c r="CB632" s="430"/>
      <c r="CC632" s="430"/>
      <c r="CD632" s="430"/>
      <c r="CE632" s="430"/>
      <c r="CF632" s="430"/>
      <c r="CG632" s="430"/>
      <c r="CH632" s="430"/>
      <c r="CI632" s="430"/>
      <c r="CJ632" s="430"/>
      <c r="CK632" s="430"/>
      <c r="CL632" s="430"/>
    </row>
    <row r="633" spans="63:90" ht="14.25" customHeight="1">
      <c r="BK633" s="430"/>
      <c r="BL633" s="430"/>
      <c r="BM633" s="430"/>
      <c r="BN633" s="430"/>
      <c r="BO633" s="430"/>
      <c r="BP633" s="430"/>
      <c r="BQ633" s="430"/>
      <c r="BR633" s="430"/>
      <c r="BS633" s="430"/>
      <c r="BT633" s="430"/>
      <c r="BU633" s="430"/>
      <c r="BV633" s="430"/>
      <c r="BW633" s="430"/>
      <c r="BX633" s="430"/>
      <c r="BY633" s="430"/>
      <c r="BZ633" s="430"/>
      <c r="CA633" s="430"/>
      <c r="CB633" s="430"/>
      <c r="CC633" s="430"/>
      <c r="CD633" s="430"/>
      <c r="CE633" s="430"/>
      <c r="CF633" s="430"/>
      <c r="CG633" s="430"/>
      <c r="CH633" s="430"/>
      <c r="CI633" s="430"/>
      <c r="CJ633" s="430"/>
      <c r="CK633" s="430"/>
      <c r="CL633" s="430"/>
    </row>
    <row r="634" spans="63:90" ht="14.25" customHeight="1">
      <c r="BK634" s="430"/>
      <c r="BL634" s="430"/>
      <c r="BM634" s="430"/>
      <c r="BN634" s="430"/>
      <c r="BO634" s="430"/>
      <c r="BP634" s="430"/>
      <c r="BQ634" s="430"/>
      <c r="BR634" s="430"/>
      <c r="BS634" s="430"/>
      <c r="BT634" s="430"/>
      <c r="BU634" s="430"/>
      <c r="BV634" s="430"/>
      <c r="BW634" s="430"/>
      <c r="BX634" s="430"/>
      <c r="BY634" s="430"/>
      <c r="BZ634" s="430"/>
      <c r="CA634" s="430"/>
      <c r="CB634" s="430"/>
      <c r="CC634" s="430"/>
      <c r="CD634" s="430"/>
      <c r="CE634" s="430"/>
      <c r="CF634" s="430"/>
      <c r="CG634" s="430"/>
      <c r="CH634" s="430"/>
      <c r="CI634" s="430"/>
      <c r="CJ634" s="430"/>
      <c r="CK634" s="430"/>
      <c r="CL634" s="430"/>
    </row>
    <row r="635" spans="63:90" ht="14.25" customHeight="1">
      <c r="BK635" s="430"/>
      <c r="BL635" s="430"/>
      <c r="BM635" s="430"/>
      <c r="BN635" s="430"/>
      <c r="BO635" s="430"/>
      <c r="BP635" s="430"/>
      <c r="BQ635" s="430"/>
      <c r="BR635" s="430"/>
      <c r="BS635" s="430"/>
      <c r="BT635" s="430"/>
      <c r="BU635" s="430"/>
      <c r="BV635" s="430"/>
      <c r="BW635" s="430"/>
      <c r="BX635" s="430"/>
      <c r="BY635" s="430"/>
      <c r="BZ635" s="430"/>
      <c r="CA635" s="430"/>
      <c r="CB635" s="430"/>
      <c r="CC635" s="430"/>
      <c r="CD635" s="430"/>
      <c r="CE635" s="430"/>
      <c r="CF635" s="430"/>
      <c r="CG635" s="430"/>
      <c r="CH635" s="430"/>
      <c r="CI635" s="430"/>
      <c r="CJ635" s="430"/>
      <c r="CK635" s="430"/>
      <c r="CL635" s="430"/>
    </row>
    <row r="636" spans="63:90" ht="14.25" customHeight="1">
      <c r="BK636" s="430"/>
      <c r="BL636" s="430"/>
      <c r="BM636" s="430"/>
      <c r="BN636" s="430"/>
      <c r="BO636" s="430"/>
      <c r="BP636" s="430"/>
      <c r="BQ636" s="430"/>
      <c r="BR636" s="430"/>
      <c r="BS636" s="430"/>
      <c r="BT636" s="430"/>
      <c r="BU636" s="430"/>
      <c r="BV636" s="430"/>
      <c r="BW636" s="430"/>
      <c r="BX636" s="430"/>
      <c r="BY636" s="430"/>
      <c r="BZ636" s="430"/>
      <c r="CA636" s="430"/>
      <c r="CB636" s="430"/>
      <c r="CC636" s="430"/>
      <c r="CD636" s="430"/>
      <c r="CE636" s="430"/>
      <c r="CF636" s="430"/>
      <c r="CG636" s="430"/>
      <c r="CH636" s="430"/>
      <c r="CI636" s="430"/>
      <c r="CJ636" s="430"/>
      <c r="CK636" s="430"/>
      <c r="CL636" s="430"/>
    </row>
    <row r="637" spans="63:90" ht="14.25" customHeight="1">
      <c r="BK637" s="430"/>
      <c r="BL637" s="430"/>
      <c r="BM637" s="430"/>
      <c r="BN637" s="430"/>
      <c r="BO637" s="430"/>
      <c r="BP637" s="430"/>
      <c r="BQ637" s="430"/>
      <c r="BR637" s="430"/>
      <c r="BS637" s="430"/>
      <c r="BT637" s="430"/>
      <c r="BU637" s="430"/>
      <c r="BV637" s="430"/>
      <c r="BW637" s="430"/>
      <c r="BX637" s="430"/>
      <c r="BY637" s="430"/>
      <c r="BZ637" s="430"/>
      <c r="CA637" s="430"/>
      <c r="CB637" s="430"/>
      <c r="CC637" s="430"/>
      <c r="CD637" s="430"/>
      <c r="CE637" s="430"/>
      <c r="CF637" s="430"/>
      <c r="CG637" s="430"/>
      <c r="CH637" s="430"/>
      <c r="CI637" s="430"/>
      <c r="CJ637" s="430"/>
      <c r="CK637" s="430"/>
      <c r="CL637" s="430"/>
    </row>
    <row r="638" spans="63:90" ht="14.25" customHeight="1">
      <c r="BK638" s="430"/>
      <c r="BL638" s="430"/>
      <c r="BM638" s="430"/>
      <c r="BN638" s="430"/>
      <c r="BO638" s="430"/>
      <c r="BP638" s="430"/>
      <c r="BQ638" s="430"/>
      <c r="BR638" s="430"/>
      <c r="BS638" s="430"/>
      <c r="BT638" s="430"/>
      <c r="BU638" s="430"/>
      <c r="BV638" s="430"/>
      <c r="BW638" s="430"/>
      <c r="BX638" s="430"/>
      <c r="BY638" s="430"/>
      <c r="BZ638" s="430"/>
      <c r="CA638" s="430"/>
      <c r="CB638" s="430"/>
      <c r="CC638" s="430"/>
      <c r="CD638" s="430"/>
      <c r="CE638" s="430"/>
      <c r="CF638" s="430"/>
      <c r="CG638" s="430"/>
      <c r="CH638" s="430"/>
      <c r="CI638" s="430"/>
      <c r="CJ638" s="430"/>
      <c r="CK638" s="430"/>
      <c r="CL638" s="430"/>
    </row>
    <row r="639" spans="63:90" ht="14.25" customHeight="1">
      <c r="BK639" s="430"/>
      <c r="BL639" s="430"/>
      <c r="BM639" s="430"/>
      <c r="BN639" s="430"/>
      <c r="BO639" s="430"/>
      <c r="BP639" s="430"/>
      <c r="BQ639" s="430"/>
      <c r="BR639" s="430"/>
      <c r="BS639" s="430"/>
      <c r="BT639" s="430"/>
      <c r="BU639" s="430"/>
      <c r="BV639" s="430"/>
      <c r="BW639" s="430"/>
      <c r="BX639" s="430"/>
      <c r="BY639" s="430"/>
      <c r="BZ639" s="430"/>
      <c r="CA639" s="430"/>
      <c r="CB639" s="430"/>
      <c r="CC639" s="430"/>
      <c r="CD639" s="430"/>
      <c r="CE639" s="430"/>
      <c r="CF639" s="430"/>
      <c r="CG639" s="430"/>
      <c r="CH639" s="430"/>
      <c r="CI639" s="430"/>
      <c r="CJ639" s="430"/>
      <c r="CK639" s="430"/>
      <c r="CL639" s="430"/>
    </row>
    <row r="640" spans="63:90" ht="14.25" customHeight="1">
      <c r="BK640" s="430"/>
      <c r="BL640" s="430"/>
      <c r="BM640" s="430"/>
      <c r="BN640" s="430"/>
      <c r="BO640" s="430"/>
      <c r="BP640" s="430"/>
      <c r="BQ640" s="430"/>
      <c r="BR640" s="430"/>
      <c r="BS640" s="430"/>
      <c r="BT640" s="430"/>
      <c r="BU640" s="430"/>
      <c r="BV640" s="430"/>
      <c r="BW640" s="430"/>
      <c r="BX640" s="430"/>
      <c r="BY640" s="430"/>
      <c r="BZ640" s="430"/>
      <c r="CA640" s="430"/>
      <c r="CB640" s="430"/>
      <c r="CC640" s="430"/>
      <c r="CD640" s="430"/>
      <c r="CE640" s="430"/>
      <c r="CF640" s="430"/>
      <c r="CG640" s="430"/>
      <c r="CH640" s="430"/>
      <c r="CI640" s="430"/>
      <c r="CJ640" s="430"/>
      <c r="CK640" s="430"/>
      <c r="CL640" s="430"/>
    </row>
    <row r="641" spans="63:90" ht="14.25" customHeight="1">
      <c r="BK641" s="430"/>
      <c r="BL641" s="430"/>
      <c r="BM641" s="430"/>
      <c r="BN641" s="430"/>
      <c r="BO641" s="430"/>
      <c r="BP641" s="430"/>
      <c r="BQ641" s="430"/>
      <c r="BR641" s="430"/>
      <c r="BS641" s="430"/>
      <c r="BT641" s="430"/>
      <c r="BU641" s="430"/>
      <c r="BV641" s="430"/>
      <c r="BW641" s="430"/>
      <c r="BX641" s="430"/>
      <c r="BY641" s="430"/>
      <c r="BZ641" s="430"/>
      <c r="CA641" s="430"/>
      <c r="CB641" s="430"/>
      <c r="CC641" s="430"/>
      <c r="CD641" s="430"/>
      <c r="CE641" s="430"/>
      <c r="CF641" s="430"/>
      <c r="CG641" s="430"/>
      <c r="CH641" s="430"/>
      <c r="CI641" s="430"/>
      <c r="CJ641" s="430"/>
      <c r="CK641" s="430"/>
      <c r="CL641" s="430"/>
    </row>
    <row r="642" spans="63:90" ht="14.25" customHeight="1">
      <c r="BK642" s="430"/>
      <c r="BL642" s="430"/>
      <c r="BM642" s="430"/>
      <c r="BN642" s="430"/>
      <c r="BO642" s="430"/>
      <c r="BP642" s="430"/>
      <c r="BQ642" s="430"/>
      <c r="BR642" s="430"/>
      <c r="BS642" s="430"/>
      <c r="BT642" s="430"/>
      <c r="BU642" s="430"/>
      <c r="BV642" s="430"/>
      <c r="BW642" s="430"/>
      <c r="BX642" s="430"/>
      <c r="BY642" s="430"/>
      <c r="BZ642" s="430"/>
      <c r="CA642" s="430"/>
      <c r="CB642" s="430"/>
      <c r="CC642" s="430"/>
      <c r="CD642" s="430"/>
      <c r="CE642" s="430"/>
      <c r="CF642" s="430"/>
      <c r="CG642" s="430"/>
      <c r="CH642" s="430"/>
      <c r="CI642" s="430"/>
      <c r="CJ642" s="430"/>
      <c r="CK642" s="430"/>
      <c r="CL642" s="430"/>
    </row>
    <row r="643" spans="63:90" ht="14.25" customHeight="1">
      <c r="BK643" s="430"/>
      <c r="BL643" s="430"/>
      <c r="BM643" s="430"/>
      <c r="BN643" s="430"/>
      <c r="BO643" s="430"/>
      <c r="BP643" s="430"/>
      <c r="BQ643" s="430"/>
      <c r="BR643" s="430"/>
      <c r="BS643" s="430"/>
      <c r="BT643" s="430"/>
      <c r="BU643" s="430"/>
      <c r="BV643" s="430"/>
      <c r="BW643" s="430"/>
      <c r="BX643" s="430"/>
      <c r="BY643" s="430"/>
      <c r="BZ643" s="430"/>
      <c r="CA643" s="430"/>
      <c r="CB643" s="430"/>
      <c r="CC643" s="430"/>
      <c r="CD643" s="430"/>
      <c r="CE643" s="430"/>
      <c r="CF643" s="430"/>
      <c r="CG643" s="430"/>
      <c r="CH643" s="430"/>
      <c r="CI643" s="430"/>
      <c r="CJ643" s="430"/>
      <c r="CK643" s="430"/>
      <c r="CL643" s="430"/>
    </row>
    <row r="644" spans="63:90" ht="14.25" customHeight="1">
      <c r="BK644" s="430"/>
      <c r="BL644" s="430"/>
      <c r="BM644" s="430"/>
      <c r="BN644" s="430"/>
      <c r="BO644" s="430"/>
      <c r="BP644" s="430"/>
      <c r="BQ644" s="430"/>
      <c r="BR644" s="430"/>
      <c r="BS644" s="430"/>
      <c r="BT644" s="430"/>
      <c r="BU644" s="430"/>
      <c r="BV644" s="430"/>
      <c r="BW644" s="430"/>
      <c r="BX644" s="430"/>
      <c r="BY644" s="430"/>
      <c r="BZ644" s="430"/>
      <c r="CA644" s="430"/>
      <c r="CB644" s="430"/>
      <c r="CC644" s="430"/>
      <c r="CD644" s="430"/>
      <c r="CE644" s="430"/>
      <c r="CF644" s="430"/>
      <c r="CG644" s="430"/>
      <c r="CH644" s="430"/>
      <c r="CI644" s="430"/>
      <c r="CJ644" s="430"/>
      <c r="CK644" s="430"/>
      <c r="CL644" s="430"/>
    </row>
    <row r="645" spans="63:90" ht="14.25" customHeight="1">
      <c r="BK645" s="430"/>
      <c r="BL645" s="430"/>
      <c r="BM645" s="430"/>
      <c r="BN645" s="430"/>
      <c r="BO645" s="430"/>
      <c r="BP645" s="430"/>
      <c r="BQ645" s="430"/>
      <c r="BR645" s="430"/>
      <c r="BS645" s="430"/>
      <c r="BT645" s="430"/>
      <c r="BU645" s="430"/>
      <c r="BV645" s="430"/>
      <c r="BW645" s="430"/>
      <c r="BX645" s="430"/>
      <c r="BY645" s="430"/>
      <c r="BZ645" s="430"/>
      <c r="CA645" s="430"/>
      <c r="CB645" s="430"/>
      <c r="CC645" s="430"/>
      <c r="CD645" s="430"/>
      <c r="CE645" s="430"/>
      <c r="CF645" s="430"/>
      <c r="CG645" s="430"/>
      <c r="CH645" s="430"/>
      <c r="CI645" s="430"/>
      <c r="CJ645" s="430"/>
      <c r="CK645" s="430"/>
      <c r="CL645" s="430"/>
    </row>
    <row r="646" spans="63:90" ht="14.25" customHeight="1">
      <c r="BK646" s="430"/>
      <c r="BL646" s="430"/>
      <c r="BM646" s="430"/>
      <c r="BN646" s="430"/>
      <c r="BO646" s="430"/>
      <c r="BP646" s="430"/>
      <c r="BQ646" s="430"/>
      <c r="BR646" s="430"/>
      <c r="BS646" s="430"/>
      <c r="BT646" s="430"/>
      <c r="BU646" s="430"/>
      <c r="BV646" s="430"/>
      <c r="BW646" s="430"/>
      <c r="BX646" s="430"/>
      <c r="BY646" s="430"/>
      <c r="BZ646" s="430"/>
      <c r="CA646" s="430"/>
      <c r="CB646" s="430"/>
      <c r="CC646" s="430"/>
      <c r="CD646" s="430"/>
      <c r="CE646" s="430"/>
      <c r="CF646" s="430"/>
      <c r="CG646" s="430"/>
      <c r="CH646" s="430"/>
      <c r="CI646" s="430"/>
      <c r="CJ646" s="430"/>
      <c r="CK646" s="430"/>
      <c r="CL646" s="430"/>
    </row>
    <row r="647" spans="63:90" ht="14.25" customHeight="1">
      <c r="BK647" s="430"/>
      <c r="BL647" s="430"/>
      <c r="BM647" s="430"/>
      <c r="BN647" s="430"/>
      <c r="BO647" s="430"/>
      <c r="BP647" s="430"/>
      <c r="BQ647" s="430"/>
      <c r="BR647" s="430"/>
      <c r="BS647" s="430"/>
      <c r="BT647" s="430"/>
      <c r="BU647" s="430"/>
      <c r="BV647" s="430"/>
      <c r="BW647" s="430"/>
      <c r="BX647" s="430"/>
      <c r="BY647" s="430"/>
      <c r="BZ647" s="430"/>
      <c r="CA647" s="430"/>
      <c r="CB647" s="430"/>
      <c r="CC647" s="430"/>
      <c r="CD647" s="430"/>
      <c r="CE647" s="430"/>
      <c r="CF647" s="430"/>
      <c r="CG647" s="430"/>
      <c r="CH647" s="430"/>
      <c r="CI647" s="430"/>
      <c r="CJ647" s="430"/>
      <c r="CK647" s="430"/>
      <c r="CL647" s="430"/>
    </row>
    <row r="648" spans="63:90" ht="14.25" customHeight="1">
      <c r="BK648" s="430"/>
      <c r="BL648" s="430"/>
      <c r="BM648" s="430"/>
      <c r="BN648" s="430"/>
      <c r="BO648" s="430"/>
      <c r="BP648" s="430"/>
      <c r="BQ648" s="430"/>
      <c r="BR648" s="430"/>
      <c r="BS648" s="430"/>
      <c r="BT648" s="430"/>
      <c r="BU648" s="430"/>
      <c r="BV648" s="430"/>
      <c r="BW648" s="430"/>
      <c r="BX648" s="430"/>
      <c r="BY648" s="430"/>
      <c r="BZ648" s="430"/>
      <c r="CA648" s="430"/>
      <c r="CB648" s="430"/>
      <c r="CC648" s="430"/>
      <c r="CD648" s="430"/>
      <c r="CE648" s="430"/>
      <c r="CF648" s="430"/>
      <c r="CG648" s="430"/>
      <c r="CH648" s="430"/>
      <c r="CI648" s="430"/>
      <c r="CJ648" s="430"/>
      <c r="CK648" s="430"/>
      <c r="CL648" s="430"/>
    </row>
    <row r="649" spans="63:90" ht="14.25" customHeight="1">
      <c r="BK649" s="430"/>
      <c r="BL649" s="430"/>
      <c r="BM649" s="430"/>
      <c r="BN649" s="430"/>
      <c r="BO649" s="430"/>
      <c r="BP649" s="430"/>
      <c r="BQ649" s="430"/>
      <c r="BR649" s="430"/>
      <c r="BS649" s="430"/>
      <c r="BT649" s="430"/>
      <c r="BU649" s="430"/>
      <c r="BV649" s="430"/>
      <c r="BW649" s="430"/>
      <c r="BX649" s="430"/>
      <c r="BY649" s="430"/>
      <c r="BZ649" s="430"/>
      <c r="CA649" s="430"/>
      <c r="CB649" s="430"/>
      <c r="CC649" s="430"/>
      <c r="CD649" s="430"/>
      <c r="CE649" s="430"/>
      <c r="CF649" s="430"/>
      <c r="CG649" s="430"/>
      <c r="CH649" s="430"/>
      <c r="CI649" s="430"/>
      <c r="CJ649" s="430"/>
      <c r="CK649" s="430"/>
      <c r="CL649" s="430"/>
    </row>
    <row r="650" spans="63:90" ht="14.25" customHeight="1">
      <c r="BK650" s="430"/>
      <c r="BL650" s="430"/>
      <c r="BM650" s="430"/>
      <c r="BN650" s="430"/>
      <c r="BO650" s="430"/>
      <c r="BP650" s="430"/>
      <c r="BQ650" s="430"/>
      <c r="BR650" s="430"/>
      <c r="BS650" s="430"/>
      <c r="BT650" s="430"/>
      <c r="BU650" s="430"/>
      <c r="BV650" s="430"/>
      <c r="BW650" s="430"/>
      <c r="BX650" s="430"/>
      <c r="BY650" s="430"/>
      <c r="BZ650" s="430"/>
      <c r="CA650" s="430"/>
      <c r="CB650" s="430"/>
      <c r="CC650" s="430"/>
      <c r="CD650" s="430"/>
      <c r="CE650" s="430"/>
      <c r="CF650" s="430"/>
      <c r="CG650" s="430"/>
      <c r="CH650" s="430"/>
      <c r="CI650" s="430"/>
      <c r="CJ650" s="430"/>
      <c r="CK650" s="430"/>
      <c r="CL650" s="430"/>
    </row>
    <row r="651" spans="63:90" ht="14.25" customHeight="1">
      <c r="BK651" s="430"/>
      <c r="BL651" s="430"/>
      <c r="BM651" s="430"/>
      <c r="BN651" s="430"/>
      <c r="BO651" s="430"/>
      <c r="BP651" s="430"/>
      <c r="BQ651" s="430"/>
      <c r="BR651" s="430"/>
      <c r="BS651" s="430"/>
      <c r="BT651" s="430"/>
      <c r="BU651" s="430"/>
      <c r="BV651" s="430"/>
      <c r="BW651" s="430"/>
      <c r="BX651" s="430"/>
      <c r="BY651" s="430"/>
      <c r="BZ651" s="430"/>
      <c r="CA651" s="430"/>
      <c r="CB651" s="430"/>
      <c r="CC651" s="430"/>
      <c r="CD651" s="430"/>
      <c r="CE651" s="430"/>
      <c r="CF651" s="430"/>
      <c r="CG651" s="430"/>
      <c r="CH651" s="430"/>
      <c r="CI651" s="430"/>
      <c r="CJ651" s="430"/>
      <c r="CK651" s="430"/>
      <c r="CL651" s="430"/>
    </row>
    <row r="652" spans="63:90" ht="14.25" customHeight="1">
      <c r="BK652" s="430"/>
      <c r="BL652" s="430"/>
      <c r="BM652" s="430"/>
      <c r="BN652" s="430"/>
      <c r="BO652" s="430"/>
      <c r="BP652" s="430"/>
      <c r="BQ652" s="430"/>
      <c r="BR652" s="430"/>
      <c r="BS652" s="430"/>
      <c r="BT652" s="430"/>
      <c r="BU652" s="430"/>
      <c r="BV652" s="430"/>
      <c r="BW652" s="430"/>
      <c r="BX652" s="430"/>
      <c r="BY652" s="430"/>
      <c r="BZ652" s="430"/>
      <c r="CA652" s="430"/>
      <c r="CB652" s="430"/>
      <c r="CC652" s="430"/>
      <c r="CD652" s="430"/>
      <c r="CE652" s="430"/>
      <c r="CF652" s="430"/>
      <c r="CG652" s="430"/>
      <c r="CH652" s="430"/>
      <c r="CI652" s="430"/>
      <c r="CJ652" s="430"/>
      <c r="CK652" s="430"/>
      <c r="CL652" s="430"/>
    </row>
    <row r="653" spans="63:90" ht="14.25" customHeight="1">
      <c r="BK653" s="430"/>
      <c r="BL653" s="430"/>
      <c r="BM653" s="430"/>
      <c r="BN653" s="430"/>
      <c r="BO653" s="430"/>
      <c r="BP653" s="430"/>
      <c r="BQ653" s="430"/>
      <c r="BR653" s="430"/>
      <c r="BS653" s="430"/>
      <c r="BT653" s="430"/>
      <c r="BU653" s="430"/>
      <c r="BV653" s="430"/>
      <c r="BW653" s="430"/>
      <c r="BX653" s="430"/>
      <c r="BY653" s="430"/>
      <c r="BZ653" s="430"/>
      <c r="CA653" s="430"/>
      <c r="CB653" s="430"/>
      <c r="CC653" s="430"/>
      <c r="CD653" s="430"/>
      <c r="CE653" s="430"/>
      <c r="CF653" s="430"/>
      <c r="CG653" s="430"/>
      <c r="CH653" s="430"/>
      <c r="CI653" s="430"/>
      <c r="CJ653" s="430"/>
      <c r="CK653" s="430"/>
      <c r="CL653" s="430"/>
    </row>
    <row r="654" spans="63:90" ht="14.25" customHeight="1">
      <c r="BK654" s="430"/>
      <c r="BL654" s="430"/>
      <c r="BM654" s="430"/>
      <c r="BN654" s="430"/>
      <c r="BO654" s="430"/>
      <c r="BP654" s="430"/>
      <c r="BQ654" s="430"/>
      <c r="BR654" s="430"/>
      <c r="BS654" s="430"/>
      <c r="BT654" s="430"/>
      <c r="BU654" s="430"/>
      <c r="BV654" s="430"/>
      <c r="BW654" s="430"/>
      <c r="BX654" s="430"/>
      <c r="BY654" s="430"/>
      <c r="BZ654" s="430"/>
      <c r="CA654" s="430"/>
      <c r="CB654" s="430"/>
      <c r="CC654" s="430"/>
      <c r="CD654" s="430"/>
      <c r="CE654" s="430"/>
      <c r="CF654" s="430"/>
      <c r="CG654" s="430"/>
      <c r="CH654" s="430"/>
      <c r="CI654" s="430"/>
      <c r="CJ654" s="430"/>
      <c r="CK654" s="430"/>
      <c r="CL654" s="430"/>
    </row>
    <row r="655" spans="63:90" ht="14.25" customHeight="1">
      <c r="BK655" s="430"/>
      <c r="BL655" s="430"/>
      <c r="BM655" s="430"/>
      <c r="BN655" s="430"/>
      <c r="BO655" s="430"/>
      <c r="BP655" s="430"/>
      <c r="BQ655" s="430"/>
      <c r="BR655" s="430"/>
      <c r="BS655" s="430"/>
      <c r="BT655" s="430"/>
      <c r="BU655" s="430"/>
      <c r="BV655" s="430"/>
      <c r="BW655" s="430"/>
      <c r="BX655" s="430"/>
      <c r="BY655" s="430"/>
      <c r="BZ655" s="430"/>
      <c r="CA655" s="430"/>
      <c r="CB655" s="430"/>
      <c r="CC655" s="430"/>
      <c r="CD655" s="430"/>
      <c r="CE655" s="430"/>
      <c r="CF655" s="430"/>
      <c r="CG655" s="430"/>
      <c r="CH655" s="430"/>
      <c r="CI655" s="430"/>
      <c r="CJ655" s="430"/>
      <c r="CK655" s="430"/>
      <c r="CL655" s="430"/>
    </row>
    <row r="656" spans="63:90" ht="14.25" customHeight="1">
      <c r="BK656" s="430"/>
      <c r="BL656" s="430"/>
      <c r="BM656" s="430"/>
      <c r="BN656" s="430"/>
      <c r="BO656" s="430"/>
      <c r="BP656" s="430"/>
      <c r="BQ656" s="430"/>
      <c r="BR656" s="430"/>
      <c r="BS656" s="430"/>
      <c r="BT656" s="430"/>
      <c r="BU656" s="430"/>
      <c r="BV656" s="430"/>
      <c r="BW656" s="430"/>
      <c r="BX656" s="430"/>
      <c r="BY656" s="430"/>
      <c r="BZ656" s="430"/>
      <c r="CA656" s="430"/>
      <c r="CB656" s="430"/>
      <c r="CC656" s="430"/>
      <c r="CD656" s="430"/>
      <c r="CE656" s="430"/>
      <c r="CF656" s="430"/>
      <c r="CG656" s="430"/>
      <c r="CH656" s="430"/>
      <c r="CI656" s="430"/>
      <c r="CJ656" s="430"/>
      <c r="CK656" s="430"/>
      <c r="CL656" s="430"/>
    </row>
    <row r="657" spans="63:90" ht="14.25" customHeight="1">
      <c r="BK657" s="430"/>
      <c r="BL657" s="430"/>
      <c r="BM657" s="430"/>
      <c r="BN657" s="430"/>
      <c r="BO657" s="430"/>
      <c r="BP657" s="430"/>
      <c r="BQ657" s="430"/>
      <c r="BR657" s="430"/>
      <c r="BS657" s="430"/>
      <c r="BT657" s="430"/>
      <c r="BU657" s="430"/>
      <c r="BV657" s="430"/>
      <c r="BW657" s="430"/>
      <c r="BX657" s="430"/>
      <c r="BY657" s="430"/>
      <c r="BZ657" s="430"/>
      <c r="CA657" s="430"/>
      <c r="CB657" s="430"/>
      <c r="CC657" s="430"/>
      <c r="CD657" s="430"/>
      <c r="CE657" s="430"/>
      <c r="CF657" s="430"/>
      <c r="CG657" s="430"/>
      <c r="CH657" s="430"/>
      <c r="CI657" s="430"/>
      <c r="CJ657" s="430"/>
      <c r="CK657" s="430"/>
      <c r="CL657" s="430"/>
    </row>
    <row r="658" spans="63:90" ht="14.25" customHeight="1">
      <c r="BK658" s="430"/>
      <c r="BL658" s="430"/>
      <c r="BM658" s="430"/>
      <c r="BN658" s="430"/>
      <c r="BO658" s="430"/>
      <c r="BP658" s="430"/>
      <c r="BQ658" s="430"/>
      <c r="BR658" s="430"/>
      <c r="BS658" s="430"/>
      <c r="BT658" s="430"/>
      <c r="BU658" s="430"/>
      <c r="BV658" s="430"/>
      <c r="BW658" s="430"/>
      <c r="BX658" s="430"/>
      <c r="BY658" s="430"/>
      <c r="BZ658" s="430"/>
      <c r="CA658" s="430"/>
      <c r="CB658" s="430"/>
      <c r="CC658" s="430"/>
      <c r="CD658" s="430"/>
      <c r="CE658" s="430"/>
      <c r="CF658" s="430"/>
      <c r="CG658" s="430"/>
      <c r="CH658" s="430"/>
      <c r="CI658" s="430"/>
      <c r="CJ658" s="430"/>
      <c r="CK658" s="430"/>
      <c r="CL658" s="430"/>
    </row>
    <row r="659" spans="63:90" ht="14.25" customHeight="1">
      <c r="BK659" s="430"/>
      <c r="BL659" s="430"/>
      <c r="BM659" s="430"/>
      <c r="BN659" s="430"/>
      <c r="BO659" s="430"/>
      <c r="BP659" s="430"/>
      <c r="BQ659" s="430"/>
      <c r="BR659" s="430"/>
      <c r="BS659" s="430"/>
      <c r="BT659" s="430"/>
      <c r="BU659" s="430"/>
      <c r="BV659" s="430"/>
      <c r="BW659" s="430"/>
      <c r="BX659" s="430"/>
      <c r="BY659" s="430"/>
      <c r="BZ659" s="430"/>
      <c r="CA659" s="430"/>
      <c r="CB659" s="430"/>
      <c r="CC659" s="430"/>
      <c r="CD659" s="430"/>
      <c r="CE659" s="430"/>
      <c r="CF659" s="430"/>
      <c r="CG659" s="430"/>
      <c r="CH659" s="430"/>
      <c r="CI659" s="430"/>
      <c r="CJ659" s="430"/>
      <c r="CK659" s="430"/>
      <c r="CL659" s="430"/>
    </row>
    <row r="660" spans="63:90" ht="14.25" customHeight="1">
      <c r="BK660" s="430"/>
      <c r="BL660" s="430"/>
      <c r="BM660" s="430"/>
      <c r="BN660" s="430"/>
      <c r="BO660" s="430"/>
      <c r="BP660" s="430"/>
      <c r="BQ660" s="430"/>
      <c r="BR660" s="430"/>
      <c r="BS660" s="430"/>
      <c r="BT660" s="430"/>
      <c r="BU660" s="430"/>
      <c r="BV660" s="430"/>
      <c r="BW660" s="430"/>
      <c r="BX660" s="430"/>
      <c r="BY660" s="430"/>
      <c r="BZ660" s="430"/>
      <c r="CA660" s="430"/>
      <c r="CB660" s="430"/>
      <c r="CC660" s="430"/>
      <c r="CD660" s="430"/>
      <c r="CE660" s="430"/>
      <c r="CF660" s="430"/>
      <c r="CG660" s="430"/>
      <c r="CH660" s="430"/>
      <c r="CI660" s="430"/>
      <c r="CJ660" s="430"/>
      <c r="CK660" s="430"/>
      <c r="CL660" s="430"/>
    </row>
    <row r="661" spans="63:90" ht="14.25" customHeight="1">
      <c r="BK661" s="430"/>
      <c r="BL661" s="430"/>
      <c r="BM661" s="430"/>
      <c r="BN661" s="430"/>
      <c r="BO661" s="430"/>
      <c r="BP661" s="430"/>
      <c r="BQ661" s="430"/>
      <c r="BR661" s="430"/>
      <c r="BS661" s="430"/>
      <c r="BT661" s="430"/>
      <c r="BU661" s="430"/>
      <c r="BV661" s="430"/>
      <c r="BW661" s="430"/>
      <c r="BX661" s="430"/>
      <c r="BY661" s="430"/>
      <c r="BZ661" s="430"/>
      <c r="CA661" s="430"/>
      <c r="CB661" s="430"/>
      <c r="CC661" s="430"/>
      <c r="CD661" s="430"/>
      <c r="CE661" s="430"/>
      <c r="CF661" s="430"/>
      <c r="CG661" s="430"/>
      <c r="CH661" s="430"/>
      <c r="CI661" s="430"/>
      <c r="CJ661" s="430"/>
      <c r="CK661" s="430"/>
      <c r="CL661" s="430"/>
    </row>
    <row r="662" spans="63:90" ht="14.25" customHeight="1">
      <c r="BK662" s="430"/>
      <c r="BL662" s="430"/>
      <c r="BM662" s="430"/>
      <c r="BN662" s="430"/>
      <c r="BO662" s="430"/>
      <c r="BP662" s="430"/>
      <c r="BQ662" s="430"/>
      <c r="BR662" s="430"/>
      <c r="BS662" s="430"/>
      <c r="BT662" s="430"/>
      <c r="BU662" s="430"/>
      <c r="BV662" s="430"/>
      <c r="BW662" s="430"/>
      <c r="BX662" s="430"/>
      <c r="BY662" s="430"/>
      <c r="BZ662" s="430"/>
      <c r="CA662" s="430"/>
      <c r="CB662" s="430"/>
      <c r="CC662" s="430"/>
      <c r="CD662" s="430"/>
      <c r="CE662" s="430"/>
      <c r="CF662" s="430"/>
      <c r="CG662" s="430"/>
      <c r="CH662" s="430"/>
      <c r="CI662" s="430"/>
      <c r="CJ662" s="430"/>
      <c r="CK662" s="430"/>
      <c r="CL662" s="430"/>
    </row>
    <row r="663" spans="63:90" ht="14.25" customHeight="1">
      <c r="BK663" s="430"/>
      <c r="BL663" s="430"/>
      <c r="BM663" s="430"/>
      <c r="BN663" s="430"/>
      <c r="BO663" s="430"/>
      <c r="BP663" s="430"/>
      <c r="BQ663" s="430"/>
      <c r="BR663" s="430"/>
      <c r="BS663" s="430"/>
      <c r="BT663" s="430"/>
      <c r="BU663" s="430"/>
      <c r="BV663" s="430"/>
      <c r="BW663" s="430"/>
      <c r="BX663" s="430"/>
      <c r="BY663" s="430"/>
      <c r="BZ663" s="430"/>
      <c r="CA663" s="430"/>
      <c r="CB663" s="430"/>
      <c r="CC663" s="430"/>
      <c r="CD663" s="430"/>
      <c r="CE663" s="430"/>
      <c r="CF663" s="430"/>
      <c r="CG663" s="430"/>
      <c r="CH663" s="430"/>
      <c r="CI663" s="430"/>
      <c r="CJ663" s="430"/>
      <c r="CK663" s="430"/>
      <c r="CL663" s="430"/>
    </row>
    <row r="664" spans="63:90" ht="14.25" customHeight="1">
      <c r="BK664" s="430"/>
      <c r="BL664" s="430"/>
      <c r="BM664" s="430"/>
      <c r="BN664" s="430"/>
      <c r="BO664" s="430"/>
      <c r="BP664" s="430"/>
      <c r="BQ664" s="430"/>
      <c r="BR664" s="430"/>
      <c r="BS664" s="430"/>
      <c r="BT664" s="430"/>
      <c r="BU664" s="430"/>
      <c r="BV664" s="430"/>
      <c r="BW664" s="430"/>
      <c r="BX664" s="430"/>
      <c r="BY664" s="430"/>
      <c r="BZ664" s="430"/>
      <c r="CA664" s="430"/>
      <c r="CB664" s="430"/>
      <c r="CC664" s="430"/>
      <c r="CD664" s="430"/>
      <c r="CE664" s="430"/>
      <c r="CF664" s="430"/>
      <c r="CG664" s="430"/>
      <c r="CH664" s="430"/>
      <c r="CI664" s="430"/>
      <c r="CJ664" s="430"/>
      <c r="CK664" s="430"/>
      <c r="CL664" s="430"/>
    </row>
    <row r="665" spans="63:90" ht="14.25" customHeight="1">
      <c r="BK665" s="430"/>
      <c r="BL665" s="430"/>
      <c r="BM665" s="430"/>
      <c r="BN665" s="430"/>
      <c r="BO665" s="430"/>
      <c r="BP665" s="430"/>
      <c r="BQ665" s="430"/>
      <c r="BR665" s="430"/>
      <c r="BS665" s="430"/>
      <c r="BT665" s="430"/>
      <c r="BU665" s="430"/>
      <c r="BV665" s="430"/>
      <c r="BW665" s="430"/>
      <c r="BX665" s="430"/>
      <c r="BY665" s="430"/>
      <c r="BZ665" s="430"/>
      <c r="CA665" s="430"/>
      <c r="CB665" s="430"/>
      <c r="CC665" s="430"/>
      <c r="CD665" s="430"/>
      <c r="CE665" s="430"/>
      <c r="CF665" s="430"/>
      <c r="CG665" s="430"/>
      <c r="CH665" s="430"/>
      <c r="CI665" s="430"/>
      <c r="CJ665" s="430"/>
      <c r="CK665" s="430"/>
      <c r="CL665" s="430"/>
    </row>
    <row r="666" spans="63:90" ht="14.25" customHeight="1">
      <c r="BK666" s="430"/>
      <c r="BL666" s="430"/>
      <c r="BM666" s="430"/>
      <c r="BN666" s="430"/>
      <c r="BO666" s="430"/>
      <c r="BP666" s="430"/>
      <c r="BQ666" s="430"/>
      <c r="BR666" s="430"/>
      <c r="BS666" s="430"/>
      <c r="BT666" s="430"/>
      <c r="BU666" s="430"/>
      <c r="BV666" s="430"/>
      <c r="BW666" s="430"/>
      <c r="BX666" s="430"/>
      <c r="BY666" s="430"/>
      <c r="BZ666" s="430"/>
      <c r="CA666" s="430"/>
      <c r="CB666" s="430"/>
      <c r="CC666" s="430"/>
      <c r="CD666" s="430"/>
      <c r="CE666" s="430"/>
      <c r="CF666" s="430"/>
      <c r="CG666" s="430"/>
      <c r="CH666" s="430"/>
      <c r="CI666" s="430"/>
      <c r="CJ666" s="430"/>
      <c r="CK666" s="430"/>
      <c r="CL666" s="430"/>
    </row>
    <row r="667" spans="63:90" ht="14.25" customHeight="1">
      <c r="BK667" s="430"/>
      <c r="BL667" s="430"/>
      <c r="BM667" s="430"/>
      <c r="BN667" s="430"/>
      <c r="BO667" s="430"/>
      <c r="BP667" s="430"/>
      <c r="BQ667" s="430"/>
      <c r="BR667" s="430"/>
      <c r="BS667" s="430"/>
      <c r="BT667" s="430"/>
      <c r="BU667" s="430"/>
      <c r="BV667" s="430"/>
      <c r="BW667" s="430"/>
      <c r="BX667" s="430"/>
      <c r="BY667" s="430"/>
      <c r="BZ667" s="430"/>
      <c r="CA667" s="430"/>
      <c r="CB667" s="430"/>
      <c r="CC667" s="430"/>
      <c r="CD667" s="430"/>
      <c r="CE667" s="430"/>
      <c r="CF667" s="430"/>
      <c r="CG667" s="430"/>
      <c r="CH667" s="430"/>
      <c r="CI667" s="430"/>
      <c r="CJ667" s="430"/>
      <c r="CK667" s="430"/>
      <c r="CL667" s="430"/>
    </row>
    <row r="668" spans="63:90" ht="14.25" customHeight="1">
      <c r="BK668" s="430"/>
      <c r="BL668" s="430"/>
      <c r="BM668" s="430"/>
      <c r="BN668" s="430"/>
      <c r="BO668" s="430"/>
      <c r="BP668" s="430"/>
      <c r="BQ668" s="430"/>
      <c r="BR668" s="430"/>
      <c r="BS668" s="430"/>
      <c r="BT668" s="430"/>
      <c r="BU668" s="430"/>
      <c r="BV668" s="430"/>
      <c r="BW668" s="430"/>
      <c r="BX668" s="430"/>
      <c r="BY668" s="430"/>
      <c r="BZ668" s="430"/>
      <c r="CA668" s="430"/>
      <c r="CB668" s="430"/>
      <c r="CC668" s="430"/>
      <c r="CD668" s="430"/>
      <c r="CE668" s="430"/>
      <c r="CF668" s="430"/>
      <c r="CG668" s="430"/>
      <c r="CH668" s="430"/>
      <c r="CI668" s="430"/>
      <c r="CJ668" s="430"/>
      <c r="CK668" s="430"/>
      <c r="CL668" s="430"/>
    </row>
    <row r="669" spans="63:90" ht="14.25" customHeight="1">
      <c r="BK669" s="430"/>
      <c r="BL669" s="430"/>
      <c r="BM669" s="430"/>
      <c r="BN669" s="430"/>
      <c r="BO669" s="430"/>
      <c r="BP669" s="430"/>
      <c r="BQ669" s="430"/>
      <c r="BR669" s="430"/>
      <c r="BS669" s="430"/>
      <c r="BT669" s="430"/>
      <c r="BU669" s="430"/>
      <c r="BV669" s="430"/>
      <c r="BW669" s="430"/>
      <c r="BX669" s="430"/>
      <c r="BY669" s="430"/>
      <c r="BZ669" s="430"/>
      <c r="CA669" s="430"/>
      <c r="CB669" s="430"/>
      <c r="CC669" s="430"/>
      <c r="CD669" s="430"/>
      <c r="CE669" s="430"/>
      <c r="CF669" s="430"/>
      <c r="CG669" s="430"/>
      <c r="CH669" s="430"/>
      <c r="CI669" s="430"/>
      <c r="CJ669" s="430"/>
      <c r="CK669" s="430"/>
      <c r="CL669" s="430"/>
    </row>
    <row r="670" spans="63:90" ht="14.25" customHeight="1">
      <c r="BK670" s="430"/>
      <c r="BL670" s="430"/>
      <c r="BM670" s="430"/>
      <c r="BN670" s="430"/>
      <c r="BO670" s="430"/>
      <c r="BP670" s="430"/>
      <c r="BQ670" s="430"/>
      <c r="BR670" s="430"/>
      <c r="BS670" s="430"/>
      <c r="BT670" s="430"/>
      <c r="BU670" s="430"/>
      <c r="BV670" s="430"/>
      <c r="BW670" s="430"/>
      <c r="BX670" s="430"/>
      <c r="BY670" s="430"/>
      <c r="BZ670" s="430"/>
      <c r="CA670" s="430"/>
      <c r="CB670" s="430"/>
      <c r="CC670" s="430"/>
      <c r="CD670" s="430"/>
      <c r="CE670" s="430"/>
      <c r="CF670" s="430"/>
      <c r="CG670" s="430"/>
      <c r="CH670" s="430"/>
      <c r="CI670" s="430"/>
      <c r="CJ670" s="430"/>
      <c r="CK670" s="430"/>
      <c r="CL670" s="430"/>
    </row>
    <row r="671" spans="63:90" ht="14.25" customHeight="1">
      <c r="BK671" s="430"/>
      <c r="BL671" s="430"/>
      <c r="BM671" s="430"/>
      <c r="BN671" s="430"/>
      <c r="BO671" s="430"/>
      <c r="BP671" s="430"/>
      <c r="BQ671" s="430"/>
      <c r="BR671" s="430"/>
      <c r="BS671" s="430"/>
      <c r="BT671" s="430"/>
      <c r="BU671" s="430"/>
      <c r="BV671" s="430"/>
      <c r="BW671" s="430"/>
      <c r="BX671" s="430"/>
      <c r="BY671" s="430"/>
      <c r="BZ671" s="430"/>
      <c r="CA671" s="430"/>
      <c r="CB671" s="430"/>
      <c r="CC671" s="430"/>
      <c r="CD671" s="430"/>
      <c r="CE671" s="430"/>
      <c r="CF671" s="430"/>
      <c r="CG671" s="430"/>
      <c r="CH671" s="430"/>
      <c r="CI671" s="430"/>
      <c r="CJ671" s="430"/>
      <c r="CK671" s="430"/>
      <c r="CL671" s="430"/>
    </row>
    <row r="672" spans="63:90" ht="14.25" customHeight="1">
      <c r="BK672" s="430"/>
      <c r="BL672" s="430"/>
      <c r="BM672" s="430"/>
      <c r="BN672" s="430"/>
      <c r="BO672" s="430"/>
      <c r="BP672" s="430"/>
      <c r="BQ672" s="430"/>
      <c r="BR672" s="430"/>
      <c r="BS672" s="430"/>
      <c r="BT672" s="430"/>
      <c r="BU672" s="430"/>
      <c r="BV672" s="430"/>
      <c r="BW672" s="430"/>
      <c r="BX672" s="430"/>
      <c r="BY672" s="430"/>
      <c r="BZ672" s="430"/>
      <c r="CA672" s="430"/>
      <c r="CB672" s="430"/>
      <c r="CC672" s="430"/>
      <c r="CD672" s="430"/>
      <c r="CE672" s="430"/>
      <c r="CF672" s="430"/>
      <c r="CG672" s="430"/>
      <c r="CH672" s="430"/>
      <c r="CI672" s="430"/>
      <c r="CJ672" s="430"/>
      <c r="CK672" s="430"/>
      <c r="CL672" s="430"/>
    </row>
    <row r="673" spans="63:90" ht="14.25" customHeight="1">
      <c r="BK673" s="430"/>
      <c r="BL673" s="430"/>
      <c r="BM673" s="430"/>
      <c r="BN673" s="430"/>
      <c r="BO673" s="430"/>
      <c r="BP673" s="430"/>
      <c r="BQ673" s="430"/>
      <c r="BR673" s="430"/>
      <c r="BS673" s="430"/>
      <c r="BT673" s="430"/>
      <c r="BU673" s="430"/>
      <c r="BV673" s="430"/>
      <c r="BW673" s="430"/>
      <c r="BX673" s="430"/>
      <c r="BY673" s="430"/>
      <c r="BZ673" s="430"/>
      <c r="CA673" s="430"/>
      <c r="CB673" s="430"/>
      <c r="CC673" s="430"/>
      <c r="CD673" s="430"/>
      <c r="CE673" s="430"/>
      <c r="CF673" s="430"/>
      <c r="CG673" s="430"/>
      <c r="CH673" s="430"/>
      <c r="CI673" s="430"/>
      <c r="CJ673" s="430"/>
      <c r="CK673" s="430"/>
      <c r="CL673" s="430"/>
    </row>
    <row r="674" spans="63:90" ht="14.25" customHeight="1">
      <c r="BK674" s="430"/>
      <c r="BL674" s="430"/>
      <c r="BM674" s="430"/>
      <c r="BN674" s="430"/>
      <c r="BO674" s="430"/>
      <c r="BP674" s="430"/>
      <c r="BQ674" s="430"/>
      <c r="BR674" s="430"/>
      <c r="BS674" s="430"/>
      <c r="BT674" s="430"/>
      <c r="BU674" s="430"/>
      <c r="BV674" s="430"/>
      <c r="BW674" s="430"/>
      <c r="BX674" s="430"/>
      <c r="BY674" s="430"/>
      <c r="BZ674" s="430"/>
      <c r="CA674" s="430"/>
      <c r="CB674" s="430"/>
      <c r="CC674" s="430"/>
      <c r="CD674" s="430"/>
      <c r="CE674" s="430"/>
      <c r="CF674" s="430"/>
      <c r="CG674" s="430"/>
      <c r="CH674" s="430"/>
      <c r="CI674" s="430"/>
      <c r="CJ674" s="430"/>
      <c r="CK674" s="430"/>
      <c r="CL674" s="430"/>
    </row>
    <row r="675" spans="63:90" ht="14.25" customHeight="1">
      <c r="BK675" s="430"/>
      <c r="BL675" s="430"/>
      <c r="BM675" s="430"/>
      <c r="BN675" s="430"/>
      <c r="BO675" s="430"/>
      <c r="BP675" s="430"/>
      <c r="BQ675" s="430"/>
      <c r="BR675" s="430"/>
      <c r="BS675" s="430"/>
      <c r="BT675" s="430"/>
      <c r="BU675" s="430"/>
      <c r="BV675" s="430"/>
      <c r="BW675" s="430"/>
      <c r="BX675" s="430"/>
      <c r="BY675" s="430"/>
      <c r="BZ675" s="430"/>
      <c r="CA675" s="430"/>
      <c r="CB675" s="430"/>
      <c r="CC675" s="430"/>
      <c r="CD675" s="430"/>
      <c r="CE675" s="430"/>
      <c r="CF675" s="430"/>
      <c r="CG675" s="430"/>
      <c r="CH675" s="430"/>
      <c r="CI675" s="430"/>
      <c r="CJ675" s="430"/>
      <c r="CK675" s="430"/>
      <c r="CL675" s="430"/>
    </row>
    <row r="676" spans="63:90" ht="14.25" customHeight="1">
      <c r="BK676" s="430"/>
      <c r="BL676" s="430"/>
      <c r="BM676" s="430"/>
      <c r="BN676" s="430"/>
      <c r="BO676" s="430"/>
      <c r="BP676" s="430"/>
      <c r="BQ676" s="430"/>
      <c r="BR676" s="430"/>
      <c r="BS676" s="430"/>
      <c r="BT676" s="430"/>
      <c r="BU676" s="430"/>
      <c r="BV676" s="430"/>
      <c r="BW676" s="430"/>
      <c r="BX676" s="430"/>
      <c r="BY676" s="430"/>
      <c r="BZ676" s="430"/>
      <c r="CA676" s="430"/>
      <c r="CB676" s="430"/>
      <c r="CC676" s="430"/>
      <c r="CD676" s="430"/>
      <c r="CE676" s="430"/>
      <c r="CF676" s="430"/>
      <c r="CG676" s="430"/>
      <c r="CH676" s="430"/>
      <c r="CI676" s="430"/>
      <c r="CJ676" s="430"/>
      <c r="CK676" s="430"/>
      <c r="CL676" s="430"/>
    </row>
    <row r="677" spans="63:90" ht="14.25" customHeight="1">
      <c r="BK677" s="430"/>
      <c r="BL677" s="430"/>
      <c r="BM677" s="430"/>
      <c r="BN677" s="430"/>
      <c r="BO677" s="430"/>
      <c r="BP677" s="430"/>
      <c r="BQ677" s="430"/>
      <c r="BR677" s="430"/>
      <c r="BS677" s="430"/>
      <c r="BT677" s="430"/>
      <c r="BU677" s="430"/>
      <c r="BV677" s="430"/>
      <c r="BW677" s="430"/>
      <c r="BX677" s="430"/>
      <c r="BY677" s="430"/>
      <c r="BZ677" s="430"/>
      <c r="CA677" s="430"/>
      <c r="CB677" s="430"/>
      <c r="CC677" s="430"/>
      <c r="CD677" s="430"/>
      <c r="CE677" s="430"/>
      <c r="CF677" s="430"/>
      <c r="CG677" s="430"/>
      <c r="CH677" s="430"/>
      <c r="CI677" s="430"/>
      <c r="CJ677" s="430"/>
      <c r="CK677" s="430"/>
      <c r="CL677" s="430"/>
    </row>
    <row r="678" spans="63:90" ht="14.25" customHeight="1">
      <c r="BK678" s="430"/>
      <c r="BL678" s="430"/>
      <c r="BM678" s="430"/>
      <c r="BN678" s="430"/>
      <c r="BO678" s="430"/>
      <c r="BP678" s="430"/>
      <c r="BQ678" s="430"/>
      <c r="BR678" s="430"/>
      <c r="BS678" s="430"/>
      <c r="BT678" s="430"/>
      <c r="BU678" s="430"/>
      <c r="BV678" s="430"/>
      <c r="BW678" s="430"/>
      <c r="BX678" s="430"/>
      <c r="BY678" s="430"/>
      <c r="BZ678" s="430"/>
      <c r="CA678" s="430"/>
      <c r="CB678" s="430"/>
      <c r="CC678" s="430"/>
      <c r="CD678" s="430"/>
      <c r="CE678" s="430"/>
      <c r="CF678" s="430"/>
      <c r="CG678" s="430"/>
      <c r="CH678" s="430"/>
      <c r="CI678" s="430"/>
      <c r="CJ678" s="430"/>
      <c r="CK678" s="430"/>
      <c r="CL678" s="430"/>
    </row>
    <row r="679" spans="63:90" ht="14.25" customHeight="1">
      <c r="BK679" s="430"/>
      <c r="BL679" s="430"/>
      <c r="BM679" s="430"/>
      <c r="BN679" s="430"/>
      <c r="BO679" s="430"/>
      <c r="BP679" s="430"/>
      <c r="BQ679" s="430"/>
      <c r="BR679" s="430"/>
      <c r="BS679" s="430"/>
      <c r="BT679" s="430"/>
      <c r="BU679" s="430"/>
      <c r="BV679" s="430"/>
      <c r="BW679" s="430"/>
      <c r="BX679" s="430"/>
      <c r="BY679" s="430"/>
      <c r="BZ679" s="430"/>
      <c r="CA679" s="430"/>
      <c r="CB679" s="430"/>
      <c r="CC679" s="430"/>
      <c r="CD679" s="430"/>
      <c r="CE679" s="430"/>
      <c r="CF679" s="430"/>
      <c r="CG679" s="430"/>
      <c r="CH679" s="430"/>
      <c r="CI679" s="430"/>
      <c r="CJ679" s="430"/>
      <c r="CK679" s="430"/>
      <c r="CL679" s="430"/>
    </row>
    <row r="680" spans="63:90" ht="14.25" customHeight="1">
      <c r="BK680" s="430"/>
      <c r="BL680" s="430"/>
      <c r="BM680" s="430"/>
      <c r="BN680" s="430"/>
      <c r="BO680" s="430"/>
      <c r="BP680" s="430"/>
      <c r="BQ680" s="430"/>
      <c r="BR680" s="430"/>
      <c r="BS680" s="430"/>
      <c r="BT680" s="430"/>
      <c r="BU680" s="430"/>
      <c r="BV680" s="430"/>
      <c r="BW680" s="430"/>
      <c r="BX680" s="430"/>
      <c r="BY680" s="430"/>
      <c r="BZ680" s="430"/>
      <c r="CA680" s="430"/>
      <c r="CB680" s="430"/>
      <c r="CC680" s="430"/>
      <c r="CD680" s="430"/>
      <c r="CE680" s="430"/>
      <c r="CF680" s="430"/>
      <c r="CG680" s="430"/>
      <c r="CH680" s="430"/>
      <c r="CI680" s="430"/>
      <c r="CJ680" s="430"/>
      <c r="CK680" s="430"/>
      <c r="CL680" s="430"/>
    </row>
    <row r="681" spans="63:90" ht="14.25" customHeight="1">
      <c r="BK681" s="430"/>
      <c r="BL681" s="430"/>
      <c r="BM681" s="430"/>
      <c r="BN681" s="430"/>
      <c r="BO681" s="430"/>
      <c r="BP681" s="430"/>
      <c r="BQ681" s="430"/>
      <c r="BR681" s="430"/>
      <c r="BS681" s="430"/>
      <c r="BT681" s="430"/>
      <c r="BU681" s="430"/>
      <c r="BV681" s="430"/>
      <c r="BW681" s="430"/>
      <c r="BX681" s="430"/>
      <c r="BY681" s="430"/>
      <c r="BZ681" s="430"/>
      <c r="CA681" s="430"/>
      <c r="CB681" s="430"/>
      <c r="CC681" s="430"/>
      <c r="CD681" s="430"/>
      <c r="CE681" s="430"/>
      <c r="CF681" s="430"/>
      <c r="CG681" s="430"/>
      <c r="CH681" s="430"/>
      <c r="CI681" s="430"/>
      <c r="CJ681" s="430"/>
      <c r="CK681" s="430"/>
      <c r="CL681" s="430"/>
    </row>
    <row r="682" spans="63:90" ht="14.25" customHeight="1">
      <c r="BK682" s="430"/>
      <c r="BL682" s="430"/>
      <c r="BM682" s="430"/>
      <c r="BN682" s="430"/>
      <c r="BO682" s="430"/>
      <c r="BP682" s="430"/>
      <c r="BQ682" s="430"/>
      <c r="BR682" s="430"/>
      <c r="BS682" s="430"/>
      <c r="BT682" s="430"/>
      <c r="BU682" s="430"/>
      <c r="BV682" s="430"/>
      <c r="BW682" s="430"/>
      <c r="BX682" s="430"/>
      <c r="BY682" s="430"/>
      <c r="BZ682" s="430"/>
      <c r="CA682" s="430"/>
      <c r="CB682" s="430"/>
      <c r="CC682" s="430"/>
      <c r="CD682" s="430"/>
      <c r="CE682" s="430"/>
      <c r="CF682" s="430"/>
      <c r="CG682" s="430"/>
      <c r="CH682" s="430"/>
      <c r="CI682" s="430"/>
      <c r="CJ682" s="430"/>
      <c r="CK682" s="430"/>
      <c r="CL682" s="430"/>
    </row>
    <row r="683" spans="63:90" ht="14.25" customHeight="1">
      <c r="BK683" s="430"/>
      <c r="BL683" s="430"/>
      <c r="BM683" s="430"/>
      <c r="BN683" s="430"/>
      <c r="BO683" s="430"/>
      <c r="BP683" s="430"/>
      <c r="BQ683" s="430"/>
      <c r="BR683" s="430"/>
      <c r="BS683" s="430"/>
      <c r="BT683" s="430"/>
      <c r="BU683" s="430"/>
      <c r="BV683" s="430"/>
      <c r="BW683" s="430"/>
      <c r="BX683" s="430"/>
      <c r="BY683" s="430"/>
      <c r="BZ683" s="430"/>
      <c r="CA683" s="430"/>
      <c r="CB683" s="430"/>
      <c r="CC683" s="430"/>
      <c r="CD683" s="430"/>
      <c r="CE683" s="430"/>
      <c r="CF683" s="430"/>
      <c r="CG683" s="430"/>
      <c r="CH683" s="430"/>
      <c r="CI683" s="430"/>
      <c r="CJ683" s="430"/>
      <c r="CK683" s="430"/>
      <c r="CL683" s="430"/>
    </row>
    <row r="684" spans="63:90" ht="14.25" customHeight="1">
      <c r="BK684" s="430"/>
      <c r="BL684" s="430"/>
      <c r="BM684" s="430"/>
      <c r="BN684" s="430"/>
      <c r="BO684" s="430"/>
      <c r="BP684" s="430"/>
      <c r="BQ684" s="430"/>
      <c r="BR684" s="430"/>
      <c r="BS684" s="430"/>
      <c r="BT684" s="430"/>
      <c r="BU684" s="430"/>
      <c r="BV684" s="430"/>
      <c r="BW684" s="430"/>
      <c r="BX684" s="430"/>
      <c r="BY684" s="430"/>
      <c r="BZ684" s="430"/>
      <c r="CA684" s="430"/>
      <c r="CB684" s="430"/>
      <c r="CC684" s="430"/>
      <c r="CD684" s="430"/>
      <c r="CE684" s="430"/>
      <c r="CF684" s="430"/>
      <c r="CG684" s="430"/>
      <c r="CH684" s="430"/>
      <c r="CI684" s="430"/>
      <c r="CJ684" s="430"/>
      <c r="CK684" s="430"/>
      <c r="CL684" s="430"/>
    </row>
    <row r="685" spans="63:90" ht="14.25" customHeight="1">
      <c r="BK685" s="430"/>
      <c r="BL685" s="430"/>
      <c r="BM685" s="430"/>
      <c r="BN685" s="430"/>
      <c r="BO685" s="430"/>
      <c r="BP685" s="430"/>
      <c r="BQ685" s="430"/>
      <c r="BR685" s="430"/>
      <c r="BS685" s="430"/>
      <c r="BT685" s="430"/>
      <c r="BU685" s="430"/>
      <c r="BV685" s="430"/>
      <c r="BW685" s="430"/>
      <c r="BX685" s="430"/>
      <c r="BY685" s="430"/>
      <c r="BZ685" s="430"/>
      <c r="CA685" s="430"/>
      <c r="CB685" s="430"/>
      <c r="CC685" s="430"/>
      <c r="CD685" s="430"/>
      <c r="CE685" s="430"/>
      <c r="CF685" s="430"/>
      <c r="CG685" s="430"/>
      <c r="CH685" s="430"/>
      <c r="CI685" s="430"/>
      <c r="CJ685" s="430"/>
      <c r="CK685" s="430"/>
      <c r="CL685" s="430"/>
    </row>
    <row r="686" spans="63:90" ht="14.25" customHeight="1">
      <c r="BK686" s="430"/>
      <c r="BL686" s="430"/>
      <c r="BM686" s="430"/>
      <c r="BN686" s="430"/>
      <c r="BO686" s="430"/>
      <c r="BP686" s="430"/>
      <c r="BQ686" s="430"/>
      <c r="BR686" s="430"/>
      <c r="BS686" s="430"/>
      <c r="BT686" s="430"/>
      <c r="BU686" s="430"/>
      <c r="BV686" s="430"/>
      <c r="BW686" s="430"/>
      <c r="BX686" s="430"/>
      <c r="BY686" s="430"/>
      <c r="BZ686" s="430"/>
      <c r="CA686" s="430"/>
      <c r="CB686" s="430"/>
      <c r="CC686" s="430"/>
      <c r="CD686" s="430"/>
      <c r="CE686" s="430"/>
      <c r="CF686" s="430"/>
      <c r="CG686" s="430"/>
      <c r="CH686" s="430"/>
      <c r="CI686" s="430"/>
      <c r="CJ686" s="430"/>
      <c r="CK686" s="430"/>
      <c r="CL686" s="430"/>
    </row>
    <row r="687" spans="63:90" ht="14.25" customHeight="1">
      <c r="BK687" s="430"/>
      <c r="BL687" s="430"/>
      <c r="BM687" s="430"/>
      <c r="BN687" s="430"/>
      <c r="BO687" s="430"/>
      <c r="BP687" s="430"/>
      <c r="BQ687" s="430"/>
      <c r="BR687" s="430"/>
      <c r="BS687" s="430"/>
      <c r="BT687" s="430"/>
      <c r="BU687" s="430"/>
      <c r="BV687" s="430"/>
      <c r="BW687" s="430"/>
      <c r="BX687" s="430"/>
      <c r="BY687" s="430"/>
      <c r="BZ687" s="430"/>
      <c r="CA687" s="430"/>
      <c r="CB687" s="430"/>
      <c r="CC687" s="430"/>
      <c r="CD687" s="430"/>
      <c r="CE687" s="430"/>
      <c r="CF687" s="430"/>
      <c r="CG687" s="430"/>
      <c r="CH687" s="430"/>
      <c r="CI687" s="430"/>
      <c r="CJ687" s="430"/>
      <c r="CK687" s="430"/>
      <c r="CL687" s="430"/>
    </row>
    <row r="688" spans="63:90" ht="14.25" customHeight="1">
      <c r="BK688" s="430"/>
      <c r="BL688" s="430"/>
      <c r="BM688" s="430"/>
      <c r="BN688" s="430"/>
      <c r="BO688" s="430"/>
      <c r="BP688" s="430"/>
      <c r="BQ688" s="430"/>
      <c r="BR688" s="430"/>
      <c r="BS688" s="430"/>
      <c r="BT688" s="430"/>
      <c r="BU688" s="430"/>
      <c r="BV688" s="430"/>
      <c r="BW688" s="430"/>
      <c r="BX688" s="430"/>
      <c r="BY688" s="430"/>
      <c r="BZ688" s="430"/>
      <c r="CA688" s="430"/>
      <c r="CB688" s="430"/>
      <c r="CC688" s="430"/>
      <c r="CD688" s="430"/>
      <c r="CE688" s="430"/>
      <c r="CF688" s="430"/>
      <c r="CG688" s="430"/>
      <c r="CH688" s="430"/>
      <c r="CI688" s="430"/>
      <c r="CJ688" s="430"/>
      <c r="CK688" s="430"/>
      <c r="CL688" s="430"/>
    </row>
    <row r="689" spans="63:90" ht="14.25" customHeight="1">
      <c r="BK689" s="430"/>
      <c r="BL689" s="430"/>
      <c r="BM689" s="430"/>
      <c r="BN689" s="430"/>
      <c r="BO689" s="430"/>
      <c r="BP689" s="430"/>
      <c r="BQ689" s="430"/>
      <c r="BR689" s="430"/>
      <c r="BS689" s="430"/>
      <c r="BT689" s="430"/>
      <c r="BU689" s="430"/>
      <c r="BV689" s="430"/>
      <c r="BW689" s="430"/>
      <c r="BX689" s="430"/>
      <c r="BY689" s="430"/>
      <c r="BZ689" s="430"/>
      <c r="CA689" s="430"/>
      <c r="CB689" s="430"/>
      <c r="CC689" s="430"/>
      <c r="CD689" s="430"/>
      <c r="CE689" s="430"/>
      <c r="CF689" s="430"/>
      <c r="CG689" s="430"/>
      <c r="CH689" s="430"/>
      <c r="CI689" s="430"/>
      <c r="CJ689" s="430"/>
      <c r="CK689" s="430"/>
      <c r="CL689" s="430"/>
    </row>
    <row r="690" spans="63:90" ht="14.25" customHeight="1">
      <c r="BK690" s="430"/>
      <c r="BL690" s="430"/>
      <c r="BM690" s="430"/>
      <c r="BN690" s="430"/>
      <c r="BO690" s="430"/>
      <c r="BP690" s="430"/>
      <c r="BQ690" s="430"/>
      <c r="BR690" s="430"/>
      <c r="BS690" s="430"/>
      <c r="BT690" s="430"/>
      <c r="BU690" s="430"/>
      <c r="BV690" s="430"/>
      <c r="BW690" s="430"/>
      <c r="BX690" s="430"/>
      <c r="BY690" s="430"/>
      <c r="BZ690" s="430"/>
      <c r="CA690" s="430"/>
      <c r="CB690" s="430"/>
      <c r="CC690" s="430"/>
      <c r="CD690" s="430"/>
      <c r="CE690" s="430"/>
      <c r="CF690" s="430"/>
      <c r="CG690" s="430"/>
      <c r="CH690" s="430"/>
      <c r="CI690" s="430"/>
      <c r="CJ690" s="430"/>
      <c r="CK690" s="430"/>
      <c r="CL690" s="430"/>
    </row>
    <row r="691" spans="63:90" ht="14.25" customHeight="1">
      <c r="BK691" s="430"/>
      <c r="BL691" s="430"/>
      <c r="BM691" s="430"/>
      <c r="BN691" s="430"/>
      <c r="BO691" s="430"/>
      <c r="BP691" s="430"/>
      <c r="BQ691" s="430"/>
      <c r="BR691" s="430"/>
      <c r="BS691" s="430"/>
      <c r="BT691" s="430"/>
      <c r="BU691" s="430"/>
      <c r="BV691" s="430"/>
      <c r="BW691" s="430"/>
      <c r="BX691" s="430"/>
      <c r="BY691" s="430"/>
      <c r="BZ691" s="430"/>
      <c r="CA691" s="430"/>
      <c r="CB691" s="430"/>
      <c r="CC691" s="430"/>
      <c r="CD691" s="430"/>
      <c r="CE691" s="430"/>
      <c r="CF691" s="430"/>
      <c r="CG691" s="430"/>
      <c r="CH691" s="430"/>
      <c r="CI691" s="430"/>
      <c r="CJ691" s="430"/>
      <c r="CK691" s="430"/>
      <c r="CL691" s="430"/>
    </row>
    <row r="692" spans="63:90" ht="14.25" customHeight="1">
      <c r="BK692" s="430"/>
      <c r="BL692" s="430"/>
      <c r="BM692" s="430"/>
      <c r="BN692" s="430"/>
      <c r="BO692" s="430"/>
      <c r="BP692" s="430"/>
      <c r="BQ692" s="430"/>
      <c r="BR692" s="430"/>
      <c r="BS692" s="430"/>
      <c r="BT692" s="430"/>
      <c r="BU692" s="430"/>
      <c r="BV692" s="430"/>
      <c r="BW692" s="430"/>
      <c r="BX692" s="430"/>
      <c r="BY692" s="430"/>
      <c r="BZ692" s="430"/>
      <c r="CA692" s="430"/>
      <c r="CB692" s="430"/>
      <c r="CC692" s="430"/>
      <c r="CD692" s="430"/>
      <c r="CE692" s="430"/>
      <c r="CF692" s="430"/>
      <c r="CG692" s="430"/>
      <c r="CH692" s="430"/>
      <c r="CI692" s="430"/>
      <c r="CJ692" s="430"/>
      <c r="CK692" s="430"/>
      <c r="CL692" s="430"/>
    </row>
    <row r="693" spans="63:90" ht="14.25" customHeight="1">
      <c r="BK693" s="430"/>
      <c r="BL693" s="430"/>
      <c r="BM693" s="430"/>
      <c r="BN693" s="430"/>
      <c r="BO693" s="430"/>
      <c r="BP693" s="430"/>
      <c r="BQ693" s="430"/>
      <c r="BR693" s="430"/>
      <c r="BS693" s="430"/>
      <c r="BT693" s="430"/>
      <c r="BU693" s="430"/>
      <c r="BV693" s="430"/>
      <c r="BW693" s="430"/>
      <c r="BX693" s="430"/>
      <c r="BY693" s="430"/>
      <c r="BZ693" s="430"/>
      <c r="CA693" s="430"/>
      <c r="CB693" s="430"/>
      <c r="CC693" s="430"/>
      <c r="CD693" s="430"/>
      <c r="CE693" s="430"/>
      <c r="CF693" s="430"/>
      <c r="CG693" s="430"/>
      <c r="CH693" s="430"/>
      <c r="CI693" s="430"/>
      <c r="CJ693" s="430"/>
      <c r="CK693" s="430"/>
      <c r="CL693" s="430"/>
    </row>
    <row r="694" spans="63:90" ht="14.25" customHeight="1">
      <c r="BK694" s="430"/>
      <c r="BL694" s="430"/>
      <c r="BM694" s="430"/>
      <c r="BN694" s="430"/>
      <c r="BO694" s="430"/>
      <c r="BP694" s="430"/>
      <c r="BQ694" s="430"/>
      <c r="BR694" s="430"/>
      <c r="BS694" s="430"/>
      <c r="BT694" s="430"/>
      <c r="BU694" s="430"/>
      <c r="BV694" s="430"/>
      <c r="BW694" s="430"/>
      <c r="BX694" s="430"/>
      <c r="BY694" s="430"/>
      <c r="BZ694" s="430"/>
      <c r="CA694" s="430"/>
      <c r="CB694" s="430"/>
      <c r="CC694" s="430"/>
      <c r="CD694" s="430"/>
      <c r="CE694" s="430"/>
      <c r="CF694" s="430"/>
      <c r="CG694" s="430"/>
      <c r="CH694" s="430"/>
      <c r="CI694" s="430"/>
      <c r="CJ694" s="430"/>
      <c r="CK694" s="430"/>
      <c r="CL694" s="430"/>
    </row>
    <row r="695" spans="63:90" ht="14.25" customHeight="1">
      <c r="BK695" s="430"/>
      <c r="BL695" s="430"/>
      <c r="BM695" s="430"/>
      <c r="BN695" s="430"/>
      <c r="BO695" s="430"/>
      <c r="BP695" s="430"/>
      <c r="BQ695" s="430"/>
      <c r="BR695" s="430"/>
      <c r="BS695" s="430"/>
      <c r="BT695" s="430"/>
      <c r="BU695" s="430"/>
      <c r="BV695" s="430"/>
      <c r="BW695" s="430"/>
      <c r="BX695" s="430"/>
      <c r="BY695" s="430"/>
      <c r="BZ695" s="430"/>
      <c r="CA695" s="430"/>
      <c r="CB695" s="430"/>
      <c r="CC695" s="430"/>
      <c r="CD695" s="430"/>
      <c r="CE695" s="430"/>
      <c r="CF695" s="430"/>
      <c r="CG695" s="430"/>
      <c r="CH695" s="430"/>
      <c r="CI695" s="430"/>
      <c r="CJ695" s="430"/>
      <c r="CK695" s="430"/>
      <c r="CL695" s="430"/>
    </row>
    <row r="696" spans="63:90" ht="14.25" customHeight="1">
      <c r="BK696" s="430"/>
      <c r="BL696" s="430"/>
      <c r="BM696" s="430"/>
      <c r="BN696" s="430"/>
      <c r="BO696" s="430"/>
      <c r="BP696" s="430"/>
      <c r="BQ696" s="430"/>
      <c r="BR696" s="430"/>
      <c r="BS696" s="430"/>
      <c r="BT696" s="430"/>
      <c r="BU696" s="430"/>
      <c r="BV696" s="430"/>
      <c r="BW696" s="430"/>
      <c r="BX696" s="430"/>
      <c r="BY696" s="430"/>
      <c r="BZ696" s="430"/>
      <c r="CA696" s="430"/>
      <c r="CB696" s="430"/>
      <c r="CC696" s="430"/>
      <c r="CD696" s="430"/>
      <c r="CE696" s="430"/>
      <c r="CF696" s="430"/>
      <c r="CG696" s="430"/>
      <c r="CH696" s="430"/>
      <c r="CI696" s="430"/>
      <c r="CJ696" s="430"/>
      <c r="CK696" s="430"/>
      <c r="CL696" s="430"/>
    </row>
    <row r="697" spans="63:90" ht="14.25" customHeight="1">
      <c r="BK697" s="430"/>
      <c r="BL697" s="430"/>
      <c r="BM697" s="430"/>
      <c r="BN697" s="430"/>
      <c r="BO697" s="430"/>
      <c r="BP697" s="430"/>
      <c r="BQ697" s="430"/>
      <c r="BR697" s="430"/>
      <c r="BS697" s="430"/>
      <c r="BT697" s="430"/>
      <c r="BU697" s="430"/>
      <c r="BV697" s="430"/>
      <c r="BW697" s="430"/>
      <c r="BX697" s="430"/>
      <c r="BY697" s="430"/>
      <c r="BZ697" s="430"/>
      <c r="CA697" s="430"/>
      <c r="CB697" s="430"/>
      <c r="CC697" s="430"/>
      <c r="CD697" s="430"/>
      <c r="CE697" s="430"/>
      <c r="CF697" s="430"/>
      <c r="CG697" s="430"/>
      <c r="CH697" s="430"/>
      <c r="CI697" s="430"/>
      <c r="CJ697" s="430"/>
      <c r="CK697" s="430"/>
      <c r="CL697" s="430"/>
    </row>
    <row r="698" spans="63:90" ht="14.25" customHeight="1">
      <c r="BK698" s="430"/>
      <c r="BL698" s="430"/>
      <c r="BM698" s="430"/>
      <c r="BN698" s="430"/>
      <c r="BO698" s="430"/>
      <c r="BP698" s="430"/>
      <c r="BQ698" s="430"/>
      <c r="BR698" s="430"/>
      <c r="BS698" s="430"/>
      <c r="BT698" s="430"/>
      <c r="BU698" s="430"/>
      <c r="BV698" s="430"/>
      <c r="BW698" s="430"/>
      <c r="BX698" s="430"/>
      <c r="BY698" s="430"/>
      <c r="BZ698" s="430"/>
      <c r="CA698" s="430"/>
      <c r="CB698" s="430"/>
      <c r="CC698" s="430"/>
      <c r="CD698" s="430"/>
      <c r="CE698" s="430"/>
      <c r="CF698" s="430"/>
      <c r="CG698" s="430"/>
      <c r="CH698" s="430"/>
      <c r="CI698" s="430"/>
      <c r="CJ698" s="430"/>
      <c r="CK698" s="430"/>
      <c r="CL698" s="430"/>
    </row>
    <row r="699" spans="63:90" ht="14.25" customHeight="1">
      <c r="BK699" s="430"/>
      <c r="BL699" s="430"/>
      <c r="BM699" s="430"/>
      <c r="BN699" s="430"/>
      <c r="BO699" s="430"/>
      <c r="BP699" s="430"/>
      <c r="BQ699" s="430"/>
      <c r="BR699" s="430"/>
      <c r="BS699" s="430"/>
      <c r="BT699" s="430"/>
      <c r="BU699" s="430"/>
      <c r="BV699" s="430"/>
      <c r="BW699" s="430"/>
      <c r="BX699" s="430"/>
      <c r="BY699" s="430"/>
      <c r="BZ699" s="430"/>
      <c r="CA699" s="430"/>
      <c r="CB699" s="430"/>
      <c r="CC699" s="430"/>
      <c r="CD699" s="430"/>
      <c r="CE699" s="430"/>
      <c r="CF699" s="430"/>
      <c r="CG699" s="430"/>
      <c r="CH699" s="430"/>
      <c r="CI699" s="430"/>
      <c r="CJ699" s="430"/>
      <c r="CK699" s="430"/>
      <c r="CL699" s="430"/>
    </row>
    <row r="700" spans="63:90" ht="14.25" customHeight="1">
      <c r="BK700" s="430"/>
      <c r="BL700" s="430"/>
      <c r="BM700" s="430"/>
      <c r="BN700" s="430"/>
      <c r="BO700" s="430"/>
      <c r="BP700" s="430"/>
      <c r="BQ700" s="430"/>
      <c r="BR700" s="430"/>
      <c r="BS700" s="430"/>
      <c r="BT700" s="430"/>
      <c r="BU700" s="430"/>
      <c r="BV700" s="430"/>
      <c r="BW700" s="430"/>
      <c r="BX700" s="430"/>
      <c r="BY700" s="430"/>
      <c r="BZ700" s="430"/>
      <c r="CA700" s="430"/>
      <c r="CB700" s="430"/>
      <c r="CC700" s="430"/>
      <c r="CD700" s="430"/>
      <c r="CE700" s="430"/>
      <c r="CF700" s="430"/>
      <c r="CG700" s="430"/>
      <c r="CH700" s="430"/>
      <c r="CI700" s="430"/>
      <c r="CJ700" s="430"/>
      <c r="CK700" s="430"/>
      <c r="CL700" s="430"/>
    </row>
    <row r="701" spans="63:90" ht="14.25" customHeight="1">
      <c r="BK701" s="430"/>
      <c r="BL701" s="430"/>
      <c r="BM701" s="430"/>
      <c r="BN701" s="430"/>
      <c r="BO701" s="430"/>
      <c r="BP701" s="430"/>
      <c r="BQ701" s="430"/>
      <c r="BR701" s="430"/>
      <c r="BS701" s="430"/>
      <c r="BT701" s="430"/>
      <c r="BU701" s="430"/>
      <c r="BV701" s="430"/>
      <c r="BW701" s="430"/>
      <c r="BX701" s="430"/>
      <c r="BY701" s="430"/>
      <c r="BZ701" s="430"/>
      <c r="CA701" s="430"/>
      <c r="CB701" s="430"/>
      <c r="CC701" s="430"/>
      <c r="CD701" s="430"/>
      <c r="CE701" s="430"/>
      <c r="CF701" s="430"/>
      <c r="CG701" s="430"/>
      <c r="CH701" s="430"/>
      <c r="CI701" s="430"/>
      <c r="CJ701" s="430"/>
      <c r="CK701" s="430"/>
      <c r="CL701" s="430"/>
    </row>
    <row r="702" spans="63:90" ht="14.25" customHeight="1">
      <c r="BK702" s="430"/>
      <c r="BL702" s="430"/>
      <c r="BM702" s="430"/>
      <c r="BN702" s="430"/>
      <c r="BO702" s="430"/>
      <c r="BP702" s="430"/>
      <c r="BQ702" s="430"/>
      <c r="BR702" s="430"/>
      <c r="BS702" s="430"/>
      <c r="BT702" s="430"/>
      <c r="BU702" s="430"/>
      <c r="BV702" s="430"/>
      <c r="BW702" s="430"/>
      <c r="BX702" s="430"/>
      <c r="BY702" s="430"/>
      <c r="BZ702" s="430"/>
      <c r="CA702" s="430"/>
      <c r="CB702" s="430"/>
      <c r="CC702" s="430"/>
      <c r="CD702" s="430"/>
      <c r="CE702" s="430"/>
      <c r="CF702" s="430"/>
      <c r="CG702" s="430"/>
      <c r="CH702" s="430"/>
      <c r="CI702" s="430"/>
      <c r="CJ702" s="430"/>
      <c r="CK702" s="430"/>
      <c r="CL702" s="430"/>
    </row>
    <row r="703" spans="63:90" ht="14.25" customHeight="1">
      <c r="BK703" s="430"/>
      <c r="BL703" s="430"/>
      <c r="BM703" s="430"/>
      <c r="BN703" s="430"/>
      <c r="BO703" s="430"/>
      <c r="BP703" s="430"/>
      <c r="BQ703" s="430"/>
      <c r="BR703" s="430"/>
      <c r="BS703" s="430"/>
      <c r="BT703" s="430"/>
      <c r="BU703" s="430"/>
      <c r="BV703" s="430"/>
      <c r="BW703" s="430"/>
      <c r="BX703" s="430"/>
      <c r="BY703" s="430"/>
      <c r="BZ703" s="430"/>
      <c r="CA703" s="430"/>
      <c r="CB703" s="430"/>
      <c r="CC703" s="430"/>
      <c r="CD703" s="430"/>
      <c r="CE703" s="430"/>
      <c r="CF703" s="430"/>
      <c r="CG703" s="430"/>
      <c r="CH703" s="430"/>
      <c r="CI703" s="430"/>
      <c r="CJ703" s="430"/>
      <c r="CK703" s="430"/>
      <c r="CL703" s="430"/>
    </row>
    <row r="704" spans="63:90" ht="14.25" customHeight="1">
      <c r="BK704" s="430"/>
      <c r="BL704" s="430"/>
      <c r="BM704" s="430"/>
      <c r="BN704" s="430"/>
      <c r="BO704" s="430"/>
      <c r="BP704" s="430"/>
      <c r="BQ704" s="430"/>
      <c r="BR704" s="430"/>
      <c r="BS704" s="430"/>
      <c r="BT704" s="430"/>
      <c r="BU704" s="430"/>
      <c r="BV704" s="430"/>
      <c r="BW704" s="430"/>
      <c r="BX704" s="430"/>
      <c r="BY704" s="430"/>
      <c r="BZ704" s="430"/>
      <c r="CA704" s="430"/>
      <c r="CB704" s="430"/>
      <c r="CC704" s="430"/>
      <c r="CD704" s="430"/>
      <c r="CE704" s="430"/>
      <c r="CF704" s="430"/>
      <c r="CG704" s="430"/>
      <c r="CH704" s="430"/>
      <c r="CI704" s="430"/>
      <c r="CJ704" s="430"/>
      <c r="CK704" s="430"/>
      <c r="CL704" s="430"/>
    </row>
    <row r="705" spans="63:90" ht="14.25" customHeight="1">
      <c r="BK705" s="430"/>
      <c r="BL705" s="430"/>
      <c r="BM705" s="430"/>
      <c r="BN705" s="430"/>
      <c r="BO705" s="430"/>
      <c r="BP705" s="430"/>
      <c r="BQ705" s="430"/>
      <c r="BR705" s="430"/>
      <c r="BS705" s="430"/>
      <c r="BT705" s="430"/>
      <c r="BU705" s="430"/>
      <c r="BV705" s="430"/>
      <c r="BW705" s="430"/>
      <c r="BX705" s="430"/>
      <c r="BY705" s="430"/>
      <c r="BZ705" s="430"/>
      <c r="CA705" s="430"/>
      <c r="CB705" s="430"/>
      <c r="CC705" s="430"/>
      <c r="CD705" s="430"/>
      <c r="CE705" s="430"/>
      <c r="CF705" s="430"/>
      <c r="CG705" s="430"/>
      <c r="CH705" s="430"/>
      <c r="CI705" s="430"/>
      <c r="CJ705" s="430"/>
      <c r="CK705" s="430"/>
      <c r="CL705" s="430"/>
    </row>
    <row r="706" spans="63:90" ht="14.25" customHeight="1">
      <c r="BK706" s="430"/>
      <c r="BL706" s="430"/>
      <c r="BM706" s="430"/>
      <c r="BN706" s="430"/>
      <c r="BO706" s="430"/>
      <c r="BP706" s="430"/>
      <c r="BQ706" s="430"/>
      <c r="BR706" s="430"/>
      <c r="BS706" s="430"/>
      <c r="BT706" s="430"/>
      <c r="BU706" s="430"/>
      <c r="BV706" s="430"/>
      <c r="BW706" s="430"/>
      <c r="BX706" s="430"/>
      <c r="BY706" s="430"/>
      <c r="BZ706" s="430"/>
      <c r="CA706" s="430"/>
      <c r="CB706" s="430"/>
      <c r="CC706" s="430"/>
      <c r="CD706" s="430"/>
      <c r="CE706" s="430"/>
      <c r="CF706" s="430"/>
      <c r="CG706" s="430"/>
      <c r="CH706" s="430"/>
      <c r="CI706" s="430"/>
      <c r="CJ706" s="430"/>
      <c r="CK706" s="430"/>
      <c r="CL706" s="430"/>
    </row>
    <row r="707" spans="63:90" ht="14.25" customHeight="1">
      <c r="BK707" s="430"/>
      <c r="BL707" s="430"/>
      <c r="BM707" s="430"/>
      <c r="BN707" s="430"/>
      <c r="BO707" s="430"/>
      <c r="BP707" s="430"/>
      <c r="BQ707" s="430"/>
      <c r="BR707" s="430"/>
      <c r="BS707" s="430"/>
      <c r="BT707" s="430"/>
      <c r="BU707" s="430"/>
      <c r="BV707" s="430"/>
      <c r="BW707" s="430"/>
      <c r="BX707" s="430"/>
      <c r="BY707" s="430"/>
      <c r="BZ707" s="430"/>
      <c r="CA707" s="430"/>
      <c r="CB707" s="430"/>
      <c r="CC707" s="430"/>
      <c r="CD707" s="430"/>
      <c r="CE707" s="430"/>
      <c r="CF707" s="430"/>
      <c r="CG707" s="430"/>
      <c r="CH707" s="430"/>
      <c r="CI707" s="430"/>
      <c r="CJ707" s="430"/>
      <c r="CK707" s="430"/>
      <c r="CL707" s="430"/>
    </row>
    <row r="708" spans="63:90" ht="14.25" customHeight="1">
      <c r="BK708" s="430"/>
      <c r="BL708" s="430"/>
      <c r="BM708" s="430"/>
      <c r="BN708" s="430"/>
      <c r="BO708" s="430"/>
      <c r="BP708" s="430"/>
      <c r="BQ708" s="430"/>
      <c r="BR708" s="430"/>
      <c r="BS708" s="430"/>
      <c r="BT708" s="430"/>
      <c r="BU708" s="430"/>
      <c r="BV708" s="430"/>
      <c r="BW708" s="430"/>
      <c r="BX708" s="430"/>
      <c r="BY708" s="430"/>
      <c r="BZ708" s="430"/>
      <c r="CA708" s="430"/>
      <c r="CB708" s="430"/>
      <c r="CC708" s="430"/>
      <c r="CD708" s="430"/>
      <c r="CE708" s="430"/>
      <c r="CF708" s="430"/>
      <c r="CG708" s="430"/>
      <c r="CH708" s="430"/>
      <c r="CI708" s="430"/>
      <c r="CJ708" s="430"/>
      <c r="CK708" s="430"/>
      <c r="CL708" s="430"/>
    </row>
    <row r="709" spans="63:90" ht="14.25" customHeight="1">
      <c r="BK709" s="430"/>
      <c r="BL709" s="430"/>
      <c r="BM709" s="430"/>
      <c r="BN709" s="430"/>
      <c r="BO709" s="430"/>
      <c r="BP709" s="430"/>
      <c r="BQ709" s="430"/>
      <c r="BR709" s="430"/>
      <c r="BS709" s="430"/>
      <c r="BT709" s="430"/>
      <c r="BU709" s="430"/>
      <c r="BV709" s="430"/>
      <c r="BW709" s="430"/>
      <c r="BX709" s="430"/>
      <c r="BY709" s="430"/>
      <c r="BZ709" s="430"/>
      <c r="CA709" s="430"/>
      <c r="CB709" s="430"/>
      <c r="CC709" s="430"/>
      <c r="CD709" s="430"/>
      <c r="CE709" s="430"/>
      <c r="CF709" s="430"/>
      <c r="CG709" s="430"/>
      <c r="CH709" s="430"/>
      <c r="CI709" s="430"/>
      <c r="CJ709" s="430"/>
      <c r="CK709" s="430"/>
      <c r="CL709" s="430"/>
    </row>
    <row r="710" spans="63:90" ht="14.25" customHeight="1">
      <c r="BK710" s="430"/>
      <c r="BL710" s="430"/>
      <c r="BM710" s="430"/>
      <c r="BN710" s="430"/>
      <c r="BO710" s="430"/>
      <c r="BP710" s="430"/>
      <c r="BQ710" s="430"/>
      <c r="BR710" s="430"/>
      <c r="BS710" s="430"/>
      <c r="BT710" s="430"/>
      <c r="BU710" s="430"/>
      <c r="BV710" s="430"/>
      <c r="BW710" s="430"/>
      <c r="BX710" s="430"/>
      <c r="BY710" s="430"/>
      <c r="BZ710" s="430"/>
      <c r="CA710" s="430"/>
      <c r="CB710" s="430"/>
      <c r="CC710" s="430"/>
      <c r="CD710" s="430"/>
      <c r="CE710" s="430"/>
      <c r="CF710" s="430"/>
      <c r="CG710" s="430"/>
      <c r="CH710" s="430"/>
      <c r="CI710" s="430"/>
      <c r="CJ710" s="430"/>
      <c r="CK710" s="430"/>
      <c r="CL710" s="430"/>
    </row>
    <row r="711" spans="63:90" ht="14.25" customHeight="1">
      <c r="BK711" s="430"/>
      <c r="BL711" s="430"/>
      <c r="BM711" s="430"/>
      <c r="BN711" s="430"/>
      <c r="BO711" s="430"/>
      <c r="BP711" s="430"/>
      <c r="BQ711" s="430"/>
      <c r="BR711" s="430"/>
      <c r="BS711" s="430"/>
      <c r="BT711" s="430"/>
      <c r="BU711" s="430"/>
      <c r="BV711" s="430"/>
      <c r="BW711" s="430"/>
      <c r="BX711" s="430"/>
      <c r="BY711" s="430"/>
      <c r="BZ711" s="430"/>
      <c r="CA711" s="430"/>
      <c r="CB711" s="430"/>
      <c r="CC711" s="430"/>
      <c r="CD711" s="430"/>
      <c r="CE711" s="430"/>
      <c r="CF711" s="430"/>
      <c r="CG711" s="430"/>
      <c r="CH711" s="430"/>
      <c r="CI711" s="430"/>
      <c r="CJ711" s="430"/>
      <c r="CK711" s="430"/>
      <c r="CL711" s="430"/>
    </row>
    <row r="712" spans="63:90" ht="14.25" customHeight="1">
      <c r="BK712" s="430"/>
      <c r="BL712" s="430"/>
      <c r="BM712" s="430"/>
      <c r="BN712" s="430"/>
      <c r="BO712" s="430"/>
      <c r="BP712" s="430"/>
      <c r="BQ712" s="430"/>
      <c r="BR712" s="430"/>
      <c r="BS712" s="430"/>
      <c r="BT712" s="430"/>
      <c r="BU712" s="430"/>
      <c r="BV712" s="430"/>
      <c r="BW712" s="430"/>
      <c r="BX712" s="430"/>
      <c r="BY712" s="430"/>
      <c r="BZ712" s="430"/>
      <c r="CA712" s="430"/>
      <c r="CB712" s="430"/>
      <c r="CC712" s="430"/>
      <c r="CD712" s="430"/>
      <c r="CE712" s="430"/>
      <c r="CF712" s="430"/>
      <c r="CG712" s="430"/>
      <c r="CH712" s="430"/>
      <c r="CI712" s="430"/>
      <c r="CJ712" s="430"/>
      <c r="CK712" s="430"/>
      <c r="CL712" s="430"/>
    </row>
    <row r="713" spans="63:90" ht="14.25" customHeight="1">
      <c r="BK713" s="430"/>
      <c r="BL713" s="430"/>
      <c r="BM713" s="430"/>
      <c r="BN713" s="430"/>
      <c r="BO713" s="430"/>
      <c r="BP713" s="430"/>
      <c r="BQ713" s="430"/>
      <c r="BR713" s="430"/>
      <c r="BS713" s="430"/>
      <c r="BT713" s="430"/>
      <c r="BU713" s="430"/>
      <c r="BV713" s="430"/>
      <c r="BW713" s="430"/>
      <c r="BX713" s="430"/>
      <c r="BY713" s="430"/>
      <c r="BZ713" s="430"/>
      <c r="CA713" s="430"/>
      <c r="CB713" s="430"/>
      <c r="CC713" s="430"/>
      <c r="CD713" s="430"/>
      <c r="CE713" s="430"/>
      <c r="CF713" s="430"/>
      <c r="CG713" s="430"/>
      <c r="CH713" s="430"/>
      <c r="CI713" s="430"/>
      <c r="CJ713" s="430"/>
      <c r="CK713" s="430"/>
      <c r="CL713" s="430"/>
    </row>
    <row r="714" spans="63:90" ht="14.25" customHeight="1">
      <c r="BK714" s="430"/>
      <c r="BL714" s="430"/>
      <c r="BM714" s="430"/>
      <c r="BN714" s="430"/>
      <c r="BO714" s="430"/>
      <c r="BP714" s="430"/>
      <c r="BQ714" s="430"/>
      <c r="BR714" s="430"/>
      <c r="BS714" s="430"/>
      <c r="BT714" s="430"/>
      <c r="BU714" s="430"/>
      <c r="BV714" s="430"/>
      <c r="BW714" s="430"/>
      <c r="BX714" s="430"/>
      <c r="BY714" s="430"/>
      <c r="BZ714" s="430"/>
      <c r="CA714" s="430"/>
      <c r="CB714" s="430"/>
      <c r="CC714" s="430"/>
      <c r="CD714" s="430"/>
      <c r="CE714" s="430"/>
      <c r="CF714" s="430"/>
      <c r="CG714" s="430"/>
      <c r="CH714" s="430"/>
      <c r="CI714" s="430"/>
      <c r="CJ714" s="430"/>
      <c r="CK714" s="430"/>
      <c r="CL714" s="430"/>
    </row>
    <row r="715" spans="63:90" ht="14.25" customHeight="1">
      <c r="BK715" s="430"/>
      <c r="BL715" s="430"/>
      <c r="BM715" s="430"/>
      <c r="BN715" s="430"/>
      <c r="BO715" s="430"/>
      <c r="BP715" s="430"/>
      <c r="BQ715" s="430"/>
      <c r="BR715" s="430"/>
      <c r="BS715" s="430"/>
      <c r="BT715" s="430"/>
      <c r="BU715" s="430"/>
      <c r="BV715" s="430"/>
      <c r="BW715" s="430"/>
      <c r="BX715" s="430"/>
      <c r="BY715" s="430"/>
      <c r="BZ715" s="430"/>
      <c r="CA715" s="430"/>
      <c r="CB715" s="430"/>
      <c r="CC715" s="430"/>
      <c r="CD715" s="430"/>
      <c r="CE715" s="430"/>
      <c r="CF715" s="430"/>
      <c r="CG715" s="430"/>
      <c r="CH715" s="430"/>
      <c r="CI715" s="430"/>
      <c r="CJ715" s="430"/>
      <c r="CK715" s="430"/>
      <c r="CL715" s="430"/>
    </row>
    <row r="716" spans="63:90" ht="14.25" customHeight="1">
      <c r="BK716" s="430"/>
      <c r="BL716" s="430"/>
      <c r="BM716" s="430"/>
      <c r="BN716" s="430"/>
      <c r="BO716" s="430"/>
      <c r="BP716" s="430"/>
      <c r="BQ716" s="430"/>
      <c r="BR716" s="430"/>
      <c r="BS716" s="430"/>
      <c r="BT716" s="430"/>
      <c r="BU716" s="430"/>
      <c r="BV716" s="430"/>
      <c r="BW716" s="430"/>
      <c r="BX716" s="430"/>
      <c r="BY716" s="430"/>
      <c r="BZ716" s="430"/>
      <c r="CA716" s="430"/>
      <c r="CB716" s="430"/>
      <c r="CC716" s="430"/>
      <c r="CD716" s="430"/>
      <c r="CE716" s="430"/>
      <c r="CF716" s="430"/>
      <c r="CG716" s="430"/>
      <c r="CH716" s="430"/>
      <c r="CI716" s="430"/>
      <c r="CJ716" s="430"/>
      <c r="CK716" s="430"/>
      <c r="CL716" s="430"/>
    </row>
    <row r="717" spans="63:90" ht="14.25" customHeight="1">
      <c r="BK717" s="430"/>
      <c r="BL717" s="430"/>
      <c r="BM717" s="430"/>
      <c r="BN717" s="430"/>
      <c r="BO717" s="430"/>
      <c r="BP717" s="430"/>
      <c r="BQ717" s="430"/>
      <c r="BR717" s="430"/>
      <c r="BS717" s="430"/>
      <c r="BT717" s="430"/>
      <c r="BU717" s="430"/>
      <c r="BV717" s="430"/>
      <c r="BW717" s="430"/>
      <c r="BX717" s="430"/>
      <c r="BY717" s="430"/>
      <c r="BZ717" s="430"/>
      <c r="CA717" s="430"/>
      <c r="CB717" s="430"/>
      <c r="CC717" s="430"/>
      <c r="CD717" s="430"/>
      <c r="CE717" s="430"/>
      <c r="CF717" s="430"/>
      <c r="CG717" s="430"/>
      <c r="CH717" s="430"/>
      <c r="CI717" s="430"/>
      <c r="CJ717" s="430"/>
      <c r="CK717" s="430"/>
      <c r="CL717" s="430"/>
    </row>
    <row r="718" spans="63:90" ht="14.25" customHeight="1">
      <c r="BK718" s="430"/>
      <c r="BL718" s="430"/>
      <c r="BM718" s="430"/>
      <c r="BN718" s="430"/>
      <c r="BO718" s="430"/>
      <c r="BP718" s="430"/>
      <c r="BQ718" s="430"/>
      <c r="BR718" s="430"/>
      <c r="BS718" s="430"/>
      <c r="BT718" s="430"/>
      <c r="BU718" s="430"/>
      <c r="BV718" s="430"/>
      <c r="BW718" s="430"/>
      <c r="BX718" s="430"/>
      <c r="BY718" s="430"/>
      <c r="BZ718" s="430"/>
      <c r="CA718" s="430"/>
      <c r="CB718" s="430"/>
      <c r="CC718" s="430"/>
      <c r="CD718" s="430"/>
      <c r="CE718" s="430"/>
      <c r="CF718" s="430"/>
      <c r="CG718" s="430"/>
      <c r="CH718" s="430"/>
      <c r="CI718" s="430"/>
      <c r="CJ718" s="430"/>
      <c r="CK718" s="430"/>
      <c r="CL718" s="430"/>
    </row>
    <row r="719" spans="63:90" ht="14.25" customHeight="1">
      <c r="BK719" s="430"/>
      <c r="BL719" s="430"/>
      <c r="BM719" s="430"/>
      <c r="BN719" s="430"/>
      <c r="BO719" s="430"/>
      <c r="BP719" s="430"/>
      <c r="BQ719" s="430"/>
      <c r="BR719" s="430"/>
      <c r="BS719" s="430"/>
      <c r="BT719" s="430"/>
      <c r="BU719" s="430"/>
      <c r="BV719" s="430"/>
      <c r="BW719" s="430"/>
      <c r="BX719" s="430"/>
      <c r="BY719" s="430"/>
      <c r="BZ719" s="430"/>
      <c r="CA719" s="430"/>
      <c r="CB719" s="430"/>
      <c r="CC719" s="430"/>
      <c r="CD719" s="430"/>
      <c r="CE719" s="430"/>
      <c r="CF719" s="430"/>
      <c r="CG719" s="430"/>
      <c r="CH719" s="430"/>
      <c r="CI719" s="430"/>
      <c r="CJ719" s="430"/>
      <c r="CK719" s="430"/>
      <c r="CL719" s="430"/>
    </row>
    <row r="720" spans="63:90" ht="14.25" customHeight="1">
      <c r="BK720" s="430"/>
      <c r="BL720" s="430"/>
      <c r="BM720" s="430"/>
      <c r="BN720" s="430"/>
      <c r="BO720" s="430"/>
      <c r="BP720" s="430"/>
      <c r="BQ720" s="430"/>
      <c r="BR720" s="430"/>
      <c r="BS720" s="430"/>
      <c r="BT720" s="430"/>
      <c r="BU720" s="430"/>
      <c r="BV720" s="430"/>
      <c r="BW720" s="430"/>
      <c r="BX720" s="430"/>
      <c r="BY720" s="430"/>
      <c r="BZ720" s="430"/>
      <c r="CA720" s="430"/>
      <c r="CB720" s="430"/>
      <c r="CC720" s="430"/>
      <c r="CD720" s="430"/>
      <c r="CE720" s="430"/>
      <c r="CF720" s="430"/>
      <c r="CG720" s="430"/>
      <c r="CH720" s="430"/>
      <c r="CI720" s="430"/>
      <c r="CJ720" s="430"/>
      <c r="CK720" s="430"/>
      <c r="CL720" s="430"/>
    </row>
    <row r="721" spans="63:90" ht="14.25" customHeight="1">
      <c r="BK721" s="430"/>
      <c r="BL721" s="430"/>
      <c r="BM721" s="430"/>
      <c r="BN721" s="430"/>
      <c r="BO721" s="430"/>
      <c r="BP721" s="430"/>
      <c r="BQ721" s="430"/>
      <c r="BR721" s="430"/>
      <c r="BS721" s="430"/>
      <c r="BT721" s="430"/>
      <c r="BU721" s="430"/>
      <c r="BV721" s="430"/>
      <c r="BW721" s="430"/>
      <c r="BX721" s="430"/>
      <c r="BY721" s="430"/>
      <c r="BZ721" s="430"/>
      <c r="CA721" s="430"/>
      <c r="CB721" s="430"/>
      <c r="CC721" s="430"/>
      <c r="CD721" s="430"/>
      <c r="CE721" s="430"/>
      <c r="CF721" s="430"/>
      <c r="CG721" s="430"/>
      <c r="CH721" s="430"/>
      <c r="CI721" s="430"/>
      <c r="CJ721" s="430"/>
      <c r="CK721" s="430"/>
      <c r="CL721" s="430"/>
    </row>
    <row r="722" spans="63:90" ht="14.25" customHeight="1">
      <c r="BK722" s="430"/>
      <c r="BL722" s="430"/>
      <c r="BM722" s="430"/>
      <c r="BN722" s="430"/>
      <c r="BO722" s="430"/>
      <c r="BP722" s="430"/>
      <c r="BQ722" s="430"/>
      <c r="BR722" s="430"/>
      <c r="BS722" s="430"/>
      <c r="BT722" s="430"/>
      <c r="BU722" s="430"/>
      <c r="BV722" s="430"/>
      <c r="BW722" s="430"/>
      <c r="BX722" s="430"/>
      <c r="BY722" s="430"/>
      <c r="BZ722" s="430"/>
      <c r="CA722" s="430"/>
      <c r="CB722" s="430"/>
      <c r="CC722" s="430"/>
      <c r="CD722" s="430"/>
      <c r="CE722" s="430"/>
      <c r="CF722" s="430"/>
      <c r="CG722" s="430"/>
      <c r="CH722" s="430"/>
      <c r="CI722" s="430"/>
      <c r="CJ722" s="430"/>
      <c r="CK722" s="430"/>
      <c r="CL722" s="430"/>
    </row>
    <row r="723" spans="63:90" ht="14.25" customHeight="1">
      <c r="BK723" s="430"/>
      <c r="BL723" s="430"/>
      <c r="BM723" s="430"/>
      <c r="BN723" s="430"/>
      <c r="BO723" s="430"/>
      <c r="BP723" s="430"/>
      <c r="BQ723" s="430"/>
      <c r="BR723" s="430"/>
      <c r="BS723" s="430"/>
      <c r="BT723" s="430"/>
      <c r="BU723" s="430"/>
      <c r="BV723" s="430"/>
      <c r="BW723" s="430"/>
      <c r="BX723" s="430"/>
      <c r="BY723" s="430"/>
      <c r="BZ723" s="430"/>
      <c r="CA723" s="430"/>
      <c r="CB723" s="430"/>
      <c r="CC723" s="430"/>
      <c r="CD723" s="430"/>
      <c r="CE723" s="430"/>
      <c r="CF723" s="430"/>
      <c r="CG723" s="430"/>
      <c r="CH723" s="430"/>
      <c r="CI723" s="430"/>
      <c r="CJ723" s="430"/>
      <c r="CK723" s="430"/>
      <c r="CL723" s="430"/>
    </row>
    <row r="724" spans="63:90" ht="14.25" customHeight="1">
      <c r="BK724" s="430"/>
      <c r="BL724" s="430"/>
      <c r="BM724" s="430"/>
      <c r="BN724" s="430"/>
      <c r="BO724" s="430"/>
      <c r="BP724" s="430"/>
      <c r="BQ724" s="430"/>
      <c r="BR724" s="430"/>
      <c r="BS724" s="430"/>
      <c r="BT724" s="430"/>
      <c r="BU724" s="430"/>
      <c r="BV724" s="430"/>
      <c r="BW724" s="430"/>
      <c r="BX724" s="430"/>
      <c r="BY724" s="430"/>
      <c r="BZ724" s="430"/>
      <c r="CA724" s="430"/>
      <c r="CB724" s="430"/>
      <c r="CC724" s="430"/>
      <c r="CD724" s="430"/>
      <c r="CE724" s="430"/>
      <c r="CF724" s="430"/>
      <c r="CG724" s="430"/>
      <c r="CH724" s="430"/>
      <c r="CI724" s="430"/>
      <c r="CJ724" s="430"/>
      <c r="CK724" s="430"/>
      <c r="CL724" s="430"/>
    </row>
    <row r="725" spans="63:90" ht="14.25" customHeight="1">
      <c r="BK725" s="430"/>
      <c r="BL725" s="430"/>
      <c r="BM725" s="430"/>
      <c r="BN725" s="430"/>
      <c r="BO725" s="430"/>
      <c r="BP725" s="430"/>
      <c r="BQ725" s="430"/>
      <c r="BR725" s="430"/>
      <c r="BS725" s="430"/>
      <c r="BT725" s="430"/>
      <c r="BU725" s="430"/>
      <c r="BV725" s="430"/>
      <c r="BW725" s="430"/>
      <c r="BX725" s="430"/>
      <c r="BY725" s="430"/>
      <c r="BZ725" s="430"/>
      <c r="CA725" s="430"/>
      <c r="CB725" s="430"/>
      <c r="CC725" s="430"/>
      <c r="CD725" s="430"/>
      <c r="CE725" s="430"/>
      <c r="CF725" s="430"/>
      <c r="CG725" s="430"/>
      <c r="CH725" s="430"/>
      <c r="CI725" s="430"/>
      <c r="CJ725" s="430"/>
      <c r="CK725" s="430"/>
      <c r="CL725" s="430"/>
    </row>
    <row r="726" spans="63:90" ht="14.25" customHeight="1">
      <c r="BK726" s="430"/>
      <c r="BL726" s="430"/>
      <c r="BM726" s="430"/>
      <c r="BN726" s="430"/>
      <c r="BO726" s="430"/>
      <c r="BP726" s="430"/>
      <c r="BQ726" s="430"/>
      <c r="BR726" s="430"/>
      <c r="BS726" s="430"/>
      <c r="BT726" s="430"/>
      <c r="BU726" s="430"/>
      <c r="BV726" s="430"/>
      <c r="BW726" s="430"/>
      <c r="BX726" s="430"/>
      <c r="BY726" s="430"/>
      <c r="BZ726" s="430"/>
      <c r="CA726" s="430"/>
      <c r="CB726" s="430"/>
      <c r="CC726" s="430"/>
      <c r="CD726" s="430"/>
      <c r="CE726" s="430"/>
      <c r="CF726" s="430"/>
      <c r="CG726" s="430"/>
      <c r="CH726" s="430"/>
      <c r="CI726" s="430"/>
      <c r="CJ726" s="430"/>
      <c r="CK726" s="430"/>
      <c r="CL726" s="430"/>
    </row>
    <row r="727" spans="63:90" ht="14.25" customHeight="1">
      <c r="BK727" s="430"/>
      <c r="BL727" s="430"/>
      <c r="BM727" s="430"/>
      <c r="BN727" s="430"/>
      <c r="BO727" s="430"/>
      <c r="BP727" s="430"/>
      <c r="BQ727" s="430"/>
      <c r="BR727" s="430"/>
      <c r="BS727" s="430"/>
      <c r="BT727" s="430"/>
      <c r="BU727" s="430"/>
      <c r="BV727" s="430"/>
      <c r="BW727" s="430"/>
      <c r="BX727" s="430"/>
      <c r="BY727" s="430"/>
      <c r="BZ727" s="430"/>
      <c r="CA727" s="430"/>
      <c r="CB727" s="430"/>
      <c r="CC727" s="430"/>
      <c r="CD727" s="430"/>
      <c r="CE727" s="430"/>
      <c r="CF727" s="430"/>
      <c r="CG727" s="430"/>
      <c r="CH727" s="430"/>
      <c r="CI727" s="430"/>
      <c r="CJ727" s="430"/>
      <c r="CK727" s="430"/>
      <c r="CL727" s="430"/>
    </row>
    <row r="728" spans="63:90" ht="14.25" customHeight="1">
      <c r="BK728" s="430"/>
      <c r="BL728" s="430"/>
      <c r="BM728" s="430"/>
      <c r="BN728" s="430"/>
      <c r="BO728" s="430"/>
      <c r="BP728" s="430"/>
      <c r="BQ728" s="430"/>
      <c r="BR728" s="430"/>
      <c r="BS728" s="430"/>
      <c r="BT728" s="430"/>
      <c r="BU728" s="430"/>
      <c r="BV728" s="430"/>
      <c r="BW728" s="430"/>
      <c r="BX728" s="430"/>
      <c r="BY728" s="430"/>
      <c r="BZ728" s="430"/>
      <c r="CA728" s="430"/>
      <c r="CB728" s="430"/>
      <c r="CC728" s="430"/>
      <c r="CD728" s="430"/>
      <c r="CE728" s="430"/>
      <c r="CF728" s="430"/>
      <c r="CG728" s="430"/>
      <c r="CH728" s="430"/>
      <c r="CI728" s="430"/>
      <c r="CJ728" s="430"/>
      <c r="CK728" s="430"/>
      <c r="CL728" s="430"/>
    </row>
    <row r="729" spans="63:90" ht="14.25" customHeight="1">
      <c r="BK729" s="430"/>
      <c r="BL729" s="430"/>
      <c r="BM729" s="430"/>
      <c r="BN729" s="430"/>
      <c r="BO729" s="430"/>
      <c r="BP729" s="430"/>
      <c r="BQ729" s="430"/>
      <c r="BR729" s="430"/>
      <c r="BS729" s="430"/>
      <c r="BT729" s="430"/>
      <c r="BU729" s="430"/>
      <c r="BV729" s="430"/>
      <c r="BW729" s="430"/>
      <c r="BX729" s="430"/>
      <c r="BY729" s="430"/>
      <c r="BZ729" s="430"/>
      <c r="CA729" s="430"/>
      <c r="CB729" s="430"/>
      <c r="CC729" s="430"/>
      <c r="CD729" s="430"/>
      <c r="CE729" s="430"/>
      <c r="CF729" s="430"/>
      <c r="CG729" s="430"/>
      <c r="CH729" s="430"/>
      <c r="CI729" s="430"/>
      <c r="CJ729" s="430"/>
      <c r="CK729" s="430"/>
      <c r="CL729" s="430"/>
    </row>
    <row r="730" spans="63:90" ht="14.25" customHeight="1">
      <c r="BK730" s="430"/>
      <c r="BL730" s="430"/>
      <c r="BM730" s="430"/>
      <c r="BN730" s="430"/>
      <c r="BO730" s="430"/>
      <c r="BP730" s="430"/>
      <c r="BQ730" s="430"/>
      <c r="BR730" s="430"/>
      <c r="BS730" s="430"/>
      <c r="BT730" s="430"/>
      <c r="BU730" s="430"/>
      <c r="BV730" s="430"/>
      <c r="BW730" s="430"/>
      <c r="BX730" s="430"/>
      <c r="BY730" s="430"/>
      <c r="BZ730" s="430"/>
      <c r="CA730" s="430"/>
      <c r="CB730" s="430"/>
      <c r="CC730" s="430"/>
      <c r="CD730" s="430"/>
      <c r="CE730" s="430"/>
      <c r="CF730" s="430"/>
      <c r="CG730" s="430"/>
      <c r="CH730" s="430"/>
      <c r="CI730" s="430"/>
      <c r="CJ730" s="430"/>
      <c r="CK730" s="430"/>
      <c r="CL730" s="430"/>
    </row>
    <row r="731" spans="63:90" ht="14.25" customHeight="1">
      <c r="BK731" s="430"/>
      <c r="BL731" s="430"/>
      <c r="BM731" s="430"/>
      <c r="BN731" s="430"/>
      <c r="BO731" s="430"/>
      <c r="BP731" s="430"/>
      <c r="BQ731" s="430"/>
      <c r="BR731" s="430"/>
      <c r="BS731" s="430"/>
      <c r="BT731" s="430"/>
      <c r="BU731" s="430"/>
      <c r="BV731" s="430"/>
      <c r="BW731" s="430"/>
      <c r="BX731" s="430"/>
      <c r="BY731" s="430"/>
      <c r="BZ731" s="430"/>
      <c r="CA731" s="430"/>
      <c r="CB731" s="430"/>
      <c r="CC731" s="430"/>
      <c r="CD731" s="430"/>
      <c r="CE731" s="430"/>
      <c r="CF731" s="430"/>
      <c r="CG731" s="430"/>
      <c r="CH731" s="430"/>
      <c r="CI731" s="430"/>
      <c r="CJ731" s="430"/>
      <c r="CK731" s="430"/>
      <c r="CL731" s="430"/>
    </row>
    <row r="732" spans="63:90" ht="14.25" customHeight="1">
      <c r="BK732" s="430"/>
      <c r="BL732" s="430"/>
      <c r="BM732" s="430"/>
      <c r="BN732" s="430"/>
      <c r="BO732" s="430"/>
      <c r="BP732" s="430"/>
      <c r="BQ732" s="430"/>
      <c r="BR732" s="430"/>
      <c r="BS732" s="430"/>
      <c r="BT732" s="430"/>
      <c r="BU732" s="430"/>
      <c r="BV732" s="430"/>
      <c r="BW732" s="430"/>
      <c r="BX732" s="430"/>
      <c r="BY732" s="430"/>
      <c r="BZ732" s="430"/>
      <c r="CA732" s="430"/>
      <c r="CB732" s="430"/>
      <c r="CC732" s="430"/>
      <c r="CD732" s="430"/>
      <c r="CE732" s="430"/>
      <c r="CF732" s="430"/>
      <c r="CG732" s="430"/>
      <c r="CH732" s="430"/>
      <c r="CI732" s="430"/>
      <c r="CJ732" s="430"/>
      <c r="CK732" s="430"/>
      <c r="CL732" s="430"/>
    </row>
    <row r="733" spans="63:90" ht="14.25" customHeight="1">
      <c r="BK733" s="430"/>
      <c r="BL733" s="430"/>
      <c r="BM733" s="430"/>
      <c r="BN733" s="430"/>
      <c r="BO733" s="430"/>
      <c r="BP733" s="430"/>
      <c r="BQ733" s="430"/>
      <c r="BR733" s="430"/>
      <c r="BS733" s="430"/>
      <c r="BT733" s="430"/>
      <c r="BU733" s="430"/>
      <c r="BV733" s="430"/>
      <c r="BW733" s="430"/>
      <c r="BX733" s="430"/>
      <c r="BY733" s="430"/>
      <c r="BZ733" s="430"/>
      <c r="CA733" s="430"/>
      <c r="CB733" s="430"/>
      <c r="CC733" s="430"/>
      <c r="CD733" s="430"/>
      <c r="CE733" s="430"/>
      <c r="CF733" s="430"/>
      <c r="CG733" s="430"/>
      <c r="CH733" s="430"/>
      <c r="CI733" s="430"/>
      <c r="CJ733" s="430"/>
      <c r="CK733" s="430"/>
      <c r="CL733" s="430"/>
    </row>
    <row r="734" spans="63:90" ht="14.25" customHeight="1">
      <c r="BK734" s="430"/>
      <c r="BL734" s="430"/>
      <c r="BM734" s="430"/>
      <c r="BN734" s="430"/>
      <c r="BO734" s="430"/>
      <c r="BP734" s="430"/>
      <c r="BQ734" s="430"/>
      <c r="BR734" s="430"/>
      <c r="BS734" s="430"/>
      <c r="BT734" s="430"/>
      <c r="BU734" s="430"/>
      <c r="BV734" s="430"/>
      <c r="BW734" s="430"/>
      <c r="BX734" s="430"/>
      <c r="BY734" s="430"/>
      <c r="BZ734" s="430"/>
      <c r="CA734" s="430"/>
      <c r="CB734" s="430"/>
      <c r="CC734" s="430"/>
      <c r="CD734" s="430"/>
      <c r="CE734" s="430"/>
      <c r="CF734" s="430"/>
      <c r="CG734" s="430"/>
      <c r="CH734" s="430"/>
      <c r="CI734" s="430"/>
      <c r="CJ734" s="430"/>
      <c r="CK734" s="430"/>
      <c r="CL734" s="430"/>
    </row>
    <row r="735" spans="63:90" ht="14.25" customHeight="1">
      <c r="BK735" s="430"/>
      <c r="BL735" s="430"/>
      <c r="BM735" s="430"/>
      <c r="BN735" s="430"/>
      <c r="BO735" s="430"/>
      <c r="BP735" s="430"/>
      <c r="BQ735" s="430"/>
      <c r="BR735" s="430"/>
      <c r="BS735" s="430"/>
      <c r="BT735" s="430"/>
      <c r="BU735" s="430"/>
      <c r="BV735" s="430"/>
      <c r="BW735" s="430"/>
      <c r="BX735" s="430"/>
      <c r="BY735" s="430"/>
      <c r="BZ735" s="430"/>
      <c r="CA735" s="430"/>
      <c r="CB735" s="430"/>
      <c r="CC735" s="430"/>
      <c r="CD735" s="430"/>
      <c r="CE735" s="430"/>
      <c r="CF735" s="430"/>
      <c r="CG735" s="430"/>
      <c r="CH735" s="430"/>
      <c r="CI735" s="430"/>
      <c r="CJ735" s="430"/>
      <c r="CK735" s="430"/>
      <c r="CL735" s="430"/>
    </row>
    <row r="736" spans="63:90" ht="14.25" customHeight="1">
      <c r="BK736" s="430"/>
      <c r="BL736" s="430"/>
      <c r="BM736" s="430"/>
      <c r="BN736" s="430"/>
      <c r="BO736" s="430"/>
      <c r="BP736" s="430"/>
      <c r="BQ736" s="430"/>
      <c r="BR736" s="430"/>
      <c r="BS736" s="430"/>
      <c r="BT736" s="430"/>
      <c r="BU736" s="430"/>
      <c r="BV736" s="430"/>
      <c r="BW736" s="430"/>
      <c r="BX736" s="430"/>
      <c r="BY736" s="430"/>
      <c r="BZ736" s="430"/>
      <c r="CA736" s="430"/>
      <c r="CB736" s="430"/>
      <c r="CC736" s="430"/>
      <c r="CD736" s="430"/>
      <c r="CE736" s="430"/>
      <c r="CF736" s="430"/>
      <c r="CG736" s="430"/>
      <c r="CH736" s="430"/>
      <c r="CI736" s="430"/>
      <c r="CJ736" s="430"/>
      <c r="CK736" s="430"/>
      <c r="CL736" s="430"/>
    </row>
    <row r="737" spans="63:90" ht="14.25" customHeight="1">
      <c r="BK737" s="430"/>
      <c r="BL737" s="430"/>
      <c r="BM737" s="430"/>
      <c r="BN737" s="430"/>
      <c r="BO737" s="430"/>
      <c r="BP737" s="430"/>
      <c r="BQ737" s="430"/>
      <c r="BR737" s="430"/>
      <c r="BS737" s="430"/>
      <c r="BT737" s="430"/>
      <c r="BU737" s="430"/>
      <c r="BV737" s="430"/>
      <c r="BW737" s="430"/>
      <c r="BX737" s="430"/>
      <c r="BY737" s="430"/>
      <c r="BZ737" s="430"/>
      <c r="CA737" s="430"/>
      <c r="CB737" s="430"/>
      <c r="CC737" s="430"/>
      <c r="CD737" s="430"/>
      <c r="CE737" s="430"/>
      <c r="CF737" s="430"/>
      <c r="CG737" s="430"/>
      <c r="CH737" s="430"/>
      <c r="CI737" s="430"/>
      <c r="CJ737" s="430"/>
      <c r="CK737" s="430"/>
      <c r="CL737" s="430"/>
    </row>
    <row r="738" spans="63:90" ht="14.25" customHeight="1">
      <c r="BK738" s="430"/>
      <c r="BL738" s="430"/>
      <c r="BM738" s="430"/>
      <c r="BN738" s="430"/>
      <c r="BO738" s="430"/>
      <c r="BP738" s="430"/>
      <c r="BQ738" s="430"/>
      <c r="BR738" s="430"/>
      <c r="BS738" s="430"/>
      <c r="BT738" s="430"/>
      <c r="BU738" s="430"/>
      <c r="BV738" s="430"/>
      <c r="BW738" s="430"/>
      <c r="BX738" s="430"/>
      <c r="BY738" s="430"/>
      <c r="BZ738" s="430"/>
      <c r="CA738" s="430"/>
      <c r="CB738" s="430"/>
      <c r="CC738" s="430"/>
      <c r="CD738" s="430"/>
      <c r="CE738" s="430"/>
      <c r="CF738" s="430"/>
      <c r="CG738" s="430"/>
      <c r="CH738" s="430"/>
      <c r="CI738" s="430"/>
      <c r="CJ738" s="430"/>
      <c r="CK738" s="430"/>
      <c r="CL738" s="430"/>
    </row>
    <row r="739" spans="63:90" ht="14.25" customHeight="1">
      <c r="BK739" s="430"/>
      <c r="BL739" s="430"/>
      <c r="BM739" s="430"/>
      <c r="BN739" s="430"/>
      <c r="BO739" s="430"/>
      <c r="BP739" s="430"/>
      <c r="BQ739" s="430"/>
      <c r="BR739" s="430"/>
      <c r="BS739" s="430"/>
      <c r="BT739" s="430"/>
      <c r="BU739" s="430"/>
      <c r="BV739" s="430"/>
      <c r="BW739" s="430"/>
      <c r="BX739" s="430"/>
      <c r="BY739" s="430"/>
      <c r="BZ739" s="430"/>
      <c r="CA739" s="430"/>
      <c r="CB739" s="430"/>
      <c r="CC739" s="430"/>
      <c r="CD739" s="430"/>
      <c r="CE739" s="430"/>
      <c r="CF739" s="430"/>
      <c r="CG739" s="430"/>
      <c r="CH739" s="430"/>
      <c r="CI739" s="430"/>
      <c r="CJ739" s="430"/>
      <c r="CK739" s="430"/>
      <c r="CL739" s="430"/>
    </row>
    <row r="740" spans="63:90" ht="14.25" customHeight="1">
      <c r="BK740" s="430"/>
      <c r="BL740" s="430"/>
      <c r="BM740" s="430"/>
      <c r="BN740" s="430"/>
      <c r="BO740" s="430"/>
      <c r="BP740" s="430"/>
      <c r="BQ740" s="430"/>
      <c r="BR740" s="430"/>
      <c r="BS740" s="430"/>
      <c r="BT740" s="430"/>
      <c r="BU740" s="430"/>
      <c r="BV740" s="430"/>
      <c r="BW740" s="430"/>
      <c r="BX740" s="430"/>
      <c r="BY740" s="430"/>
      <c r="BZ740" s="430"/>
      <c r="CA740" s="430"/>
      <c r="CB740" s="430"/>
      <c r="CC740" s="430"/>
      <c r="CD740" s="430"/>
      <c r="CE740" s="430"/>
      <c r="CF740" s="430"/>
      <c r="CG740" s="430"/>
      <c r="CH740" s="430"/>
      <c r="CI740" s="430"/>
      <c r="CJ740" s="430"/>
      <c r="CK740" s="430"/>
      <c r="CL740" s="430"/>
    </row>
    <row r="741" spans="63:90" ht="14.25" customHeight="1">
      <c r="BK741" s="430"/>
      <c r="BL741" s="430"/>
      <c r="BM741" s="430"/>
      <c r="BN741" s="430"/>
      <c r="BO741" s="430"/>
      <c r="BP741" s="430"/>
      <c r="BQ741" s="430"/>
      <c r="BR741" s="430"/>
      <c r="BS741" s="430"/>
      <c r="BT741" s="430"/>
      <c r="BU741" s="430"/>
      <c r="BV741" s="430"/>
      <c r="BW741" s="430"/>
      <c r="BX741" s="430"/>
      <c r="BY741" s="430"/>
      <c r="BZ741" s="430"/>
      <c r="CA741" s="430"/>
      <c r="CB741" s="430"/>
      <c r="CC741" s="430"/>
      <c r="CD741" s="430"/>
      <c r="CE741" s="430"/>
      <c r="CF741" s="430"/>
      <c r="CG741" s="430"/>
      <c r="CH741" s="430"/>
      <c r="CI741" s="430"/>
      <c r="CJ741" s="430"/>
      <c r="CK741" s="430"/>
      <c r="CL741" s="430"/>
    </row>
    <row r="742" spans="63:90" ht="14.25" customHeight="1">
      <c r="BK742" s="430"/>
      <c r="BL742" s="430"/>
      <c r="BM742" s="430"/>
      <c r="BN742" s="430"/>
      <c r="BO742" s="430"/>
      <c r="BP742" s="430"/>
      <c r="BQ742" s="430"/>
      <c r="BR742" s="430"/>
      <c r="BS742" s="430"/>
      <c r="BT742" s="430"/>
      <c r="BU742" s="430"/>
      <c r="BV742" s="430"/>
      <c r="BW742" s="430"/>
      <c r="BX742" s="430"/>
      <c r="BY742" s="430"/>
      <c r="BZ742" s="430"/>
      <c r="CA742" s="430"/>
      <c r="CB742" s="430"/>
      <c r="CC742" s="430"/>
      <c r="CD742" s="430"/>
      <c r="CE742" s="430"/>
      <c r="CF742" s="430"/>
      <c r="CG742" s="430"/>
      <c r="CH742" s="430"/>
      <c r="CI742" s="430"/>
      <c r="CJ742" s="430"/>
      <c r="CK742" s="430"/>
      <c r="CL742" s="430"/>
    </row>
    <row r="743" spans="63:90" ht="14.25" customHeight="1">
      <c r="BK743" s="430"/>
      <c r="BL743" s="430"/>
      <c r="BM743" s="430"/>
      <c r="BN743" s="430"/>
      <c r="BO743" s="430"/>
      <c r="BP743" s="430"/>
      <c r="BQ743" s="430"/>
      <c r="BR743" s="430"/>
      <c r="BS743" s="430"/>
      <c r="BT743" s="430"/>
      <c r="BU743" s="430"/>
      <c r="BV743" s="430"/>
      <c r="BW743" s="430"/>
      <c r="BX743" s="430"/>
      <c r="BY743" s="430"/>
      <c r="BZ743" s="430"/>
      <c r="CA743" s="430"/>
      <c r="CB743" s="430"/>
      <c r="CC743" s="430"/>
      <c r="CD743" s="430"/>
      <c r="CE743" s="430"/>
      <c r="CF743" s="430"/>
      <c r="CG743" s="430"/>
      <c r="CH743" s="430"/>
      <c r="CI743" s="430"/>
      <c r="CJ743" s="430"/>
      <c r="CK743" s="430"/>
      <c r="CL743" s="430"/>
    </row>
    <row r="744" spans="63:90" ht="14.25" customHeight="1">
      <c r="BK744" s="430"/>
      <c r="BL744" s="430"/>
      <c r="BM744" s="430"/>
      <c r="BN744" s="430"/>
      <c r="BO744" s="430"/>
      <c r="BP744" s="430"/>
      <c r="BQ744" s="430"/>
      <c r="BR744" s="430"/>
      <c r="BS744" s="430"/>
      <c r="BT744" s="430"/>
      <c r="BU744" s="430"/>
      <c r="BV744" s="430"/>
      <c r="BW744" s="430"/>
      <c r="BX744" s="430"/>
      <c r="BY744" s="430"/>
      <c r="BZ744" s="430"/>
      <c r="CA744" s="430"/>
      <c r="CB744" s="430"/>
      <c r="CC744" s="430"/>
      <c r="CD744" s="430"/>
      <c r="CE744" s="430"/>
      <c r="CF744" s="430"/>
      <c r="CG744" s="430"/>
      <c r="CH744" s="430"/>
      <c r="CI744" s="430"/>
      <c r="CJ744" s="430"/>
      <c r="CK744" s="430"/>
      <c r="CL744" s="430"/>
    </row>
    <row r="745" spans="63:90" ht="14.25" customHeight="1">
      <c r="BK745" s="430"/>
      <c r="BL745" s="430"/>
      <c r="BM745" s="430"/>
      <c r="BN745" s="430"/>
      <c r="BO745" s="430"/>
      <c r="BP745" s="430"/>
      <c r="BQ745" s="430"/>
      <c r="BR745" s="430"/>
      <c r="BS745" s="430"/>
      <c r="BT745" s="430"/>
      <c r="BU745" s="430"/>
      <c r="BV745" s="430"/>
      <c r="BW745" s="430"/>
      <c r="BX745" s="430"/>
      <c r="BY745" s="430"/>
      <c r="BZ745" s="430"/>
      <c r="CA745" s="430"/>
      <c r="CB745" s="430"/>
      <c r="CC745" s="430"/>
      <c r="CD745" s="430"/>
      <c r="CE745" s="430"/>
      <c r="CF745" s="430"/>
      <c r="CG745" s="430"/>
      <c r="CH745" s="430"/>
      <c r="CI745" s="430"/>
      <c r="CJ745" s="430"/>
      <c r="CK745" s="430"/>
      <c r="CL745" s="430"/>
    </row>
    <row r="746" spans="63:90" ht="14.25" customHeight="1">
      <c r="BK746" s="430"/>
      <c r="BL746" s="430"/>
      <c r="BM746" s="430"/>
      <c r="BN746" s="430"/>
      <c r="BO746" s="430"/>
      <c r="BP746" s="430"/>
      <c r="BQ746" s="430"/>
      <c r="BR746" s="430"/>
      <c r="BS746" s="430"/>
      <c r="BT746" s="430"/>
      <c r="BU746" s="430"/>
      <c r="BV746" s="430"/>
      <c r="BW746" s="430"/>
      <c r="BX746" s="430"/>
      <c r="BY746" s="430"/>
      <c r="BZ746" s="430"/>
      <c r="CA746" s="430"/>
      <c r="CB746" s="430"/>
      <c r="CC746" s="430"/>
      <c r="CD746" s="430"/>
      <c r="CE746" s="430"/>
      <c r="CF746" s="430"/>
      <c r="CG746" s="430"/>
      <c r="CH746" s="430"/>
      <c r="CI746" s="430"/>
      <c r="CJ746" s="430"/>
      <c r="CK746" s="430"/>
      <c r="CL746" s="430"/>
    </row>
    <row r="747" spans="63:90" ht="14.25" customHeight="1">
      <c r="BK747" s="430"/>
      <c r="BL747" s="430"/>
      <c r="BM747" s="430"/>
      <c r="BN747" s="430"/>
      <c r="BO747" s="430"/>
      <c r="BP747" s="430"/>
      <c r="BQ747" s="430"/>
      <c r="BR747" s="430"/>
      <c r="BS747" s="430"/>
      <c r="BT747" s="430"/>
      <c r="BU747" s="430"/>
      <c r="BV747" s="430"/>
      <c r="BW747" s="430"/>
      <c r="BX747" s="430"/>
      <c r="BY747" s="430"/>
      <c r="BZ747" s="430"/>
      <c r="CA747" s="430"/>
      <c r="CB747" s="430"/>
      <c r="CC747" s="430"/>
      <c r="CD747" s="430"/>
      <c r="CE747" s="430"/>
      <c r="CF747" s="430"/>
      <c r="CG747" s="430"/>
      <c r="CH747" s="430"/>
      <c r="CI747" s="430"/>
      <c r="CJ747" s="430"/>
      <c r="CK747" s="430"/>
      <c r="CL747" s="430"/>
    </row>
    <row r="748" spans="63:90" ht="14.25" customHeight="1">
      <c r="BK748" s="430"/>
      <c r="BL748" s="430"/>
      <c r="BM748" s="430"/>
      <c r="BN748" s="430"/>
      <c r="BO748" s="430"/>
      <c r="BP748" s="430"/>
      <c r="BQ748" s="430"/>
      <c r="BR748" s="430"/>
      <c r="BS748" s="430"/>
      <c r="BT748" s="430"/>
      <c r="BU748" s="430"/>
      <c r="BV748" s="430"/>
      <c r="BW748" s="430"/>
      <c r="BX748" s="430"/>
      <c r="BY748" s="430"/>
      <c r="BZ748" s="430"/>
      <c r="CA748" s="430"/>
      <c r="CB748" s="430"/>
      <c r="CC748" s="430"/>
      <c r="CD748" s="430"/>
      <c r="CE748" s="430"/>
      <c r="CF748" s="430"/>
      <c r="CG748" s="430"/>
      <c r="CH748" s="430"/>
      <c r="CI748" s="430"/>
      <c r="CJ748" s="430"/>
      <c r="CK748" s="430"/>
      <c r="CL748" s="430"/>
    </row>
    <row r="749" spans="63:90" ht="14.25" customHeight="1">
      <c r="BK749" s="430"/>
      <c r="BL749" s="430"/>
      <c r="BM749" s="430"/>
      <c r="BN749" s="430"/>
      <c r="BO749" s="430"/>
      <c r="BP749" s="430"/>
      <c r="BQ749" s="430"/>
      <c r="BR749" s="430"/>
      <c r="BS749" s="430"/>
      <c r="BT749" s="430"/>
      <c r="BU749" s="430"/>
      <c r="BV749" s="430"/>
      <c r="BW749" s="430"/>
      <c r="BX749" s="430"/>
      <c r="BY749" s="430"/>
      <c r="BZ749" s="430"/>
      <c r="CA749" s="430"/>
      <c r="CB749" s="430"/>
      <c r="CC749" s="430"/>
      <c r="CD749" s="430"/>
      <c r="CE749" s="430"/>
      <c r="CF749" s="430"/>
      <c r="CG749" s="430"/>
      <c r="CH749" s="430"/>
      <c r="CI749" s="430"/>
      <c r="CJ749" s="430"/>
      <c r="CK749" s="430"/>
      <c r="CL749" s="430"/>
    </row>
    <row r="750" spans="63:90" ht="14.25" customHeight="1">
      <c r="BK750" s="430"/>
      <c r="BL750" s="430"/>
      <c r="BM750" s="430"/>
      <c r="BN750" s="430"/>
      <c r="BO750" s="430"/>
      <c r="BP750" s="430"/>
      <c r="BQ750" s="430"/>
      <c r="BR750" s="430"/>
      <c r="BS750" s="430"/>
      <c r="BT750" s="430"/>
      <c r="BU750" s="430"/>
      <c r="BV750" s="430"/>
      <c r="BW750" s="430"/>
      <c r="BX750" s="430"/>
      <c r="BY750" s="430"/>
      <c r="BZ750" s="430"/>
      <c r="CA750" s="430"/>
      <c r="CB750" s="430"/>
      <c r="CC750" s="430"/>
      <c r="CD750" s="430"/>
      <c r="CE750" s="430"/>
      <c r="CF750" s="430"/>
      <c r="CG750" s="430"/>
      <c r="CH750" s="430"/>
      <c r="CI750" s="430"/>
      <c r="CJ750" s="430"/>
      <c r="CK750" s="430"/>
      <c r="CL750" s="430"/>
    </row>
    <row r="751" spans="63:90" ht="14.25" customHeight="1">
      <c r="BK751" s="430"/>
      <c r="BL751" s="430"/>
      <c r="BM751" s="430"/>
      <c r="BN751" s="430"/>
      <c r="BO751" s="430"/>
      <c r="BP751" s="430"/>
      <c r="BQ751" s="430"/>
      <c r="BR751" s="430"/>
      <c r="BS751" s="430"/>
      <c r="BT751" s="430"/>
      <c r="BU751" s="430"/>
      <c r="BV751" s="430"/>
      <c r="BW751" s="430"/>
      <c r="BX751" s="430"/>
      <c r="BY751" s="430"/>
      <c r="BZ751" s="430"/>
      <c r="CA751" s="430"/>
      <c r="CB751" s="430"/>
      <c r="CC751" s="430"/>
      <c r="CD751" s="430"/>
      <c r="CE751" s="430"/>
      <c r="CF751" s="430"/>
      <c r="CG751" s="430"/>
      <c r="CH751" s="430"/>
      <c r="CI751" s="430"/>
      <c r="CJ751" s="430"/>
      <c r="CK751" s="430"/>
      <c r="CL751" s="430"/>
    </row>
    <row r="752" spans="63:90" ht="14.25" customHeight="1">
      <c r="BK752" s="430"/>
      <c r="BL752" s="430"/>
      <c r="BM752" s="430"/>
      <c r="BN752" s="430"/>
      <c r="BO752" s="430"/>
      <c r="BP752" s="430"/>
      <c r="BQ752" s="430"/>
      <c r="BR752" s="430"/>
      <c r="BS752" s="430"/>
      <c r="BT752" s="430"/>
      <c r="BU752" s="430"/>
      <c r="BV752" s="430"/>
      <c r="BW752" s="430"/>
      <c r="BX752" s="430"/>
      <c r="BY752" s="430"/>
      <c r="BZ752" s="430"/>
      <c r="CA752" s="430"/>
      <c r="CB752" s="430"/>
      <c r="CC752" s="430"/>
      <c r="CD752" s="430"/>
      <c r="CE752" s="430"/>
      <c r="CF752" s="430"/>
      <c r="CG752" s="430"/>
      <c r="CH752" s="430"/>
      <c r="CI752" s="430"/>
      <c r="CJ752" s="430"/>
      <c r="CK752" s="430"/>
      <c r="CL752" s="430"/>
    </row>
    <row r="753" spans="63:90" ht="14.25" customHeight="1">
      <c r="BK753" s="430"/>
      <c r="BL753" s="430"/>
      <c r="BM753" s="430"/>
      <c r="BN753" s="430"/>
      <c r="BO753" s="430"/>
      <c r="BP753" s="430"/>
      <c r="BQ753" s="430"/>
      <c r="BR753" s="430"/>
      <c r="BS753" s="430"/>
      <c r="BT753" s="430"/>
      <c r="BU753" s="430"/>
      <c r="BV753" s="430"/>
      <c r="BW753" s="430"/>
      <c r="BX753" s="430"/>
      <c r="BY753" s="430"/>
      <c r="BZ753" s="430"/>
      <c r="CA753" s="430"/>
      <c r="CB753" s="430"/>
      <c r="CC753" s="430"/>
      <c r="CD753" s="430"/>
      <c r="CE753" s="430"/>
      <c r="CF753" s="430"/>
      <c r="CG753" s="430"/>
      <c r="CH753" s="430"/>
      <c r="CI753" s="430"/>
      <c r="CJ753" s="430"/>
      <c r="CK753" s="430"/>
      <c r="CL753" s="430"/>
    </row>
    <row r="754" spans="63:90" ht="14.25" customHeight="1">
      <c r="BK754" s="430"/>
      <c r="BL754" s="430"/>
      <c r="BM754" s="430"/>
      <c r="BN754" s="430"/>
      <c r="BO754" s="430"/>
      <c r="BP754" s="430"/>
      <c r="BQ754" s="430"/>
      <c r="BR754" s="430"/>
      <c r="BS754" s="430"/>
      <c r="BT754" s="430"/>
      <c r="BU754" s="430"/>
      <c r="BV754" s="430"/>
      <c r="BW754" s="430"/>
      <c r="BX754" s="430"/>
      <c r="BY754" s="430"/>
      <c r="BZ754" s="430"/>
      <c r="CA754" s="430"/>
      <c r="CB754" s="430"/>
      <c r="CC754" s="430"/>
      <c r="CD754" s="430"/>
      <c r="CE754" s="430"/>
      <c r="CF754" s="430"/>
      <c r="CG754" s="430"/>
      <c r="CH754" s="430"/>
      <c r="CI754" s="430"/>
      <c r="CJ754" s="430"/>
      <c r="CK754" s="430"/>
      <c r="CL754" s="430"/>
    </row>
    <row r="755" spans="63:90" ht="14.25" customHeight="1">
      <c r="BK755" s="430"/>
      <c r="BL755" s="430"/>
      <c r="BM755" s="430"/>
      <c r="BN755" s="430"/>
      <c r="BO755" s="430"/>
      <c r="BP755" s="430"/>
      <c r="BQ755" s="430"/>
      <c r="BR755" s="430"/>
      <c r="BS755" s="430"/>
      <c r="BT755" s="430"/>
      <c r="BU755" s="430"/>
      <c r="BV755" s="430"/>
      <c r="BW755" s="430"/>
      <c r="BX755" s="430"/>
      <c r="BY755" s="430"/>
      <c r="BZ755" s="430"/>
      <c r="CA755" s="430"/>
      <c r="CB755" s="430"/>
      <c r="CC755" s="430"/>
      <c r="CD755" s="430"/>
      <c r="CE755" s="430"/>
      <c r="CF755" s="430"/>
      <c r="CG755" s="430"/>
      <c r="CH755" s="430"/>
      <c r="CI755" s="430"/>
      <c r="CJ755" s="430"/>
      <c r="CK755" s="430"/>
      <c r="CL755" s="430"/>
    </row>
    <row r="756" spans="63:90" ht="14.25" customHeight="1">
      <c r="BK756" s="430"/>
      <c r="BL756" s="430"/>
      <c r="BM756" s="430"/>
      <c r="BN756" s="430"/>
      <c r="BO756" s="430"/>
      <c r="BP756" s="430"/>
      <c r="BQ756" s="430"/>
      <c r="BR756" s="430"/>
      <c r="BS756" s="430"/>
      <c r="BT756" s="430"/>
      <c r="BU756" s="430"/>
      <c r="BV756" s="430"/>
      <c r="BW756" s="430"/>
      <c r="BX756" s="430"/>
      <c r="BY756" s="430"/>
      <c r="BZ756" s="430"/>
      <c r="CA756" s="430"/>
      <c r="CB756" s="430"/>
      <c r="CC756" s="430"/>
      <c r="CD756" s="430"/>
      <c r="CE756" s="430"/>
      <c r="CF756" s="430"/>
      <c r="CG756" s="430"/>
      <c r="CH756" s="430"/>
      <c r="CI756" s="430"/>
      <c r="CJ756" s="430"/>
      <c r="CK756" s="430"/>
      <c r="CL756" s="430"/>
    </row>
    <row r="757" spans="63:90" ht="14.25" customHeight="1">
      <c r="BK757" s="430"/>
      <c r="BL757" s="430"/>
      <c r="BM757" s="430"/>
      <c r="BN757" s="430"/>
      <c r="BO757" s="430"/>
      <c r="BP757" s="430"/>
      <c r="BQ757" s="430"/>
      <c r="BR757" s="430"/>
      <c r="BS757" s="430"/>
      <c r="BT757" s="430"/>
      <c r="BU757" s="430"/>
      <c r="BV757" s="430"/>
      <c r="BW757" s="430"/>
      <c r="BX757" s="430"/>
      <c r="BY757" s="430"/>
      <c r="BZ757" s="430"/>
      <c r="CA757" s="430"/>
      <c r="CB757" s="430"/>
      <c r="CC757" s="430"/>
      <c r="CD757" s="430"/>
      <c r="CE757" s="430"/>
      <c r="CF757" s="430"/>
      <c r="CG757" s="430"/>
      <c r="CH757" s="430"/>
      <c r="CI757" s="430"/>
      <c r="CJ757" s="430"/>
      <c r="CK757" s="430"/>
      <c r="CL757" s="430"/>
    </row>
    <row r="758" spans="63:90" ht="14.25" customHeight="1">
      <c r="BK758" s="430"/>
      <c r="BL758" s="430"/>
      <c r="BM758" s="430"/>
      <c r="BN758" s="430"/>
      <c r="BO758" s="430"/>
      <c r="BP758" s="430"/>
      <c r="BQ758" s="430"/>
      <c r="BR758" s="430"/>
      <c r="BS758" s="430"/>
      <c r="BT758" s="430"/>
      <c r="BU758" s="430"/>
      <c r="BV758" s="430"/>
      <c r="BW758" s="430"/>
      <c r="BX758" s="430"/>
      <c r="BY758" s="430"/>
      <c r="BZ758" s="430"/>
      <c r="CA758" s="430"/>
      <c r="CB758" s="430"/>
      <c r="CC758" s="430"/>
      <c r="CD758" s="430"/>
      <c r="CE758" s="430"/>
      <c r="CF758" s="430"/>
      <c r="CG758" s="430"/>
      <c r="CH758" s="430"/>
      <c r="CI758" s="430"/>
      <c r="CJ758" s="430"/>
      <c r="CK758" s="430"/>
      <c r="CL758" s="430"/>
    </row>
    <row r="759" spans="63:90" ht="14.25" customHeight="1">
      <c r="BK759" s="430"/>
      <c r="BL759" s="430"/>
      <c r="BM759" s="430"/>
      <c r="BN759" s="430"/>
      <c r="BO759" s="430"/>
      <c r="BP759" s="430"/>
      <c r="BQ759" s="430"/>
      <c r="BR759" s="430"/>
      <c r="BS759" s="430"/>
      <c r="BT759" s="430"/>
      <c r="BU759" s="430"/>
      <c r="BV759" s="430"/>
      <c r="BW759" s="430"/>
      <c r="BX759" s="430"/>
      <c r="BY759" s="430"/>
      <c r="BZ759" s="430"/>
      <c r="CA759" s="430"/>
      <c r="CB759" s="430"/>
      <c r="CC759" s="430"/>
      <c r="CD759" s="430"/>
      <c r="CE759" s="430"/>
      <c r="CF759" s="430"/>
      <c r="CG759" s="430"/>
      <c r="CH759" s="430"/>
      <c r="CI759" s="430"/>
      <c r="CJ759" s="430"/>
      <c r="CK759" s="430"/>
      <c r="CL759" s="430"/>
    </row>
    <row r="760" spans="63:90" ht="14.25" customHeight="1">
      <c r="BK760" s="430"/>
      <c r="BL760" s="430"/>
      <c r="BM760" s="430"/>
      <c r="BN760" s="430"/>
      <c r="BO760" s="430"/>
      <c r="BP760" s="430"/>
      <c r="BQ760" s="430"/>
      <c r="BR760" s="430"/>
      <c r="BS760" s="430"/>
      <c r="BT760" s="430"/>
      <c r="BU760" s="430"/>
      <c r="BV760" s="430"/>
      <c r="BW760" s="430"/>
      <c r="BX760" s="430"/>
      <c r="BY760" s="430"/>
      <c r="BZ760" s="430"/>
      <c r="CA760" s="430"/>
      <c r="CB760" s="430"/>
      <c r="CC760" s="430"/>
      <c r="CD760" s="430"/>
      <c r="CE760" s="430"/>
      <c r="CF760" s="430"/>
      <c r="CG760" s="430"/>
      <c r="CH760" s="430"/>
      <c r="CI760" s="430"/>
      <c r="CJ760" s="430"/>
      <c r="CK760" s="430"/>
      <c r="CL760" s="430"/>
    </row>
    <row r="761" spans="63:90" ht="14.25" customHeight="1">
      <c r="BK761" s="430"/>
      <c r="BL761" s="430"/>
      <c r="BM761" s="430"/>
      <c r="BN761" s="430"/>
      <c r="BO761" s="430"/>
      <c r="BP761" s="430"/>
      <c r="BQ761" s="430"/>
      <c r="BR761" s="430"/>
      <c r="BS761" s="430"/>
      <c r="BT761" s="430"/>
      <c r="BU761" s="430"/>
      <c r="BV761" s="430"/>
      <c r="BW761" s="430"/>
      <c r="BX761" s="430"/>
      <c r="BY761" s="430"/>
      <c r="BZ761" s="430"/>
      <c r="CA761" s="430"/>
      <c r="CB761" s="430"/>
      <c r="CC761" s="430"/>
      <c r="CD761" s="430"/>
      <c r="CE761" s="430"/>
      <c r="CF761" s="430"/>
      <c r="CG761" s="430"/>
      <c r="CH761" s="430"/>
      <c r="CI761" s="430"/>
      <c r="CJ761" s="430"/>
      <c r="CK761" s="430"/>
      <c r="CL761" s="430"/>
    </row>
    <row r="762" spans="63:90" ht="14.25" customHeight="1">
      <c r="BK762" s="430"/>
      <c r="BL762" s="430"/>
      <c r="BM762" s="430"/>
      <c r="BN762" s="430"/>
      <c r="BO762" s="430"/>
      <c r="BP762" s="430"/>
      <c r="BQ762" s="430"/>
      <c r="BR762" s="430"/>
      <c r="BS762" s="430"/>
      <c r="BT762" s="430"/>
      <c r="BU762" s="430"/>
      <c r="BV762" s="430"/>
      <c r="BW762" s="430"/>
      <c r="BX762" s="430"/>
      <c r="BY762" s="430"/>
      <c r="BZ762" s="430"/>
      <c r="CA762" s="430"/>
      <c r="CB762" s="430"/>
      <c r="CC762" s="430"/>
      <c r="CD762" s="430"/>
      <c r="CE762" s="430"/>
      <c r="CF762" s="430"/>
      <c r="CG762" s="430"/>
      <c r="CH762" s="430"/>
      <c r="CI762" s="430"/>
      <c r="CJ762" s="430"/>
      <c r="CK762" s="430"/>
      <c r="CL762" s="430"/>
    </row>
    <row r="763" spans="63:90" ht="14.25" customHeight="1">
      <c r="BK763" s="430"/>
      <c r="BL763" s="430"/>
      <c r="BM763" s="430"/>
      <c r="BN763" s="430"/>
      <c r="BO763" s="430"/>
      <c r="BP763" s="430"/>
      <c r="BQ763" s="430"/>
      <c r="BR763" s="430"/>
      <c r="BS763" s="430"/>
      <c r="BT763" s="430"/>
      <c r="BU763" s="430"/>
      <c r="BV763" s="430"/>
      <c r="BW763" s="430"/>
      <c r="BX763" s="430"/>
      <c r="BY763" s="430"/>
      <c r="BZ763" s="430"/>
      <c r="CA763" s="430"/>
      <c r="CB763" s="430"/>
      <c r="CC763" s="430"/>
      <c r="CD763" s="430"/>
      <c r="CE763" s="430"/>
      <c r="CF763" s="430"/>
      <c r="CG763" s="430"/>
      <c r="CH763" s="430"/>
      <c r="CI763" s="430"/>
      <c r="CJ763" s="430"/>
      <c r="CK763" s="430"/>
      <c r="CL763" s="430"/>
    </row>
    <row r="764" spans="63:90" ht="14.25" customHeight="1">
      <c r="BK764" s="430"/>
      <c r="BL764" s="430"/>
      <c r="BM764" s="430"/>
      <c r="BN764" s="430"/>
      <c r="BO764" s="430"/>
      <c r="BP764" s="430"/>
      <c r="BQ764" s="430"/>
      <c r="BR764" s="430"/>
      <c r="BS764" s="430"/>
      <c r="BT764" s="430"/>
      <c r="BU764" s="430"/>
      <c r="BV764" s="430"/>
      <c r="BW764" s="430"/>
      <c r="BX764" s="430"/>
      <c r="BY764" s="430"/>
      <c r="BZ764" s="430"/>
      <c r="CA764" s="430"/>
      <c r="CB764" s="430"/>
      <c r="CC764" s="430"/>
      <c r="CD764" s="430"/>
      <c r="CE764" s="430"/>
      <c r="CF764" s="430"/>
      <c r="CG764" s="430"/>
      <c r="CH764" s="430"/>
      <c r="CI764" s="430"/>
      <c r="CJ764" s="430"/>
      <c r="CK764" s="430"/>
      <c r="CL764" s="430"/>
    </row>
    <row r="765" spans="63:90" ht="14.25" customHeight="1">
      <c r="BK765" s="430"/>
      <c r="BL765" s="430"/>
      <c r="BM765" s="430"/>
      <c r="BN765" s="430"/>
      <c r="BO765" s="430"/>
      <c r="BP765" s="430"/>
      <c r="BQ765" s="430"/>
      <c r="BR765" s="430"/>
      <c r="BS765" s="430"/>
      <c r="BT765" s="430"/>
      <c r="BU765" s="430"/>
      <c r="BV765" s="430"/>
      <c r="BW765" s="430"/>
      <c r="BX765" s="430"/>
      <c r="BY765" s="430"/>
      <c r="BZ765" s="430"/>
      <c r="CA765" s="430"/>
      <c r="CB765" s="430"/>
      <c r="CC765" s="430"/>
      <c r="CD765" s="430"/>
      <c r="CE765" s="430"/>
      <c r="CF765" s="430"/>
      <c r="CG765" s="430"/>
      <c r="CH765" s="430"/>
      <c r="CI765" s="430"/>
      <c r="CJ765" s="430"/>
      <c r="CK765" s="430"/>
      <c r="CL765" s="430"/>
    </row>
    <row r="766" spans="63:90" ht="14.25" customHeight="1">
      <c r="BK766" s="430"/>
      <c r="BL766" s="430"/>
      <c r="BM766" s="430"/>
      <c r="BN766" s="430"/>
      <c r="BO766" s="430"/>
      <c r="BP766" s="430"/>
      <c r="BQ766" s="430"/>
      <c r="BR766" s="430"/>
      <c r="BS766" s="430"/>
      <c r="BT766" s="430"/>
      <c r="BU766" s="430"/>
      <c r="BV766" s="430"/>
      <c r="BW766" s="430"/>
      <c r="BX766" s="430"/>
      <c r="BY766" s="430"/>
      <c r="BZ766" s="430"/>
      <c r="CA766" s="430"/>
      <c r="CB766" s="430"/>
      <c r="CC766" s="430"/>
      <c r="CD766" s="430"/>
      <c r="CE766" s="430"/>
      <c r="CF766" s="430"/>
      <c r="CG766" s="430"/>
      <c r="CH766" s="430"/>
      <c r="CI766" s="430"/>
      <c r="CJ766" s="430"/>
      <c r="CK766" s="430"/>
      <c r="CL766" s="430"/>
    </row>
    <row r="767" spans="63:90" ht="14.25" customHeight="1">
      <c r="BK767" s="430"/>
      <c r="BL767" s="430"/>
      <c r="BM767" s="430"/>
      <c r="BN767" s="430"/>
      <c r="BO767" s="430"/>
      <c r="BP767" s="430"/>
      <c r="BQ767" s="430"/>
      <c r="BR767" s="430"/>
      <c r="BS767" s="430"/>
      <c r="BT767" s="430"/>
      <c r="BU767" s="430"/>
      <c r="BV767" s="430"/>
      <c r="BW767" s="430"/>
      <c r="BX767" s="430"/>
      <c r="BY767" s="430"/>
      <c r="BZ767" s="430"/>
      <c r="CA767" s="430"/>
      <c r="CB767" s="430"/>
      <c r="CC767" s="430"/>
      <c r="CD767" s="430"/>
      <c r="CE767" s="430"/>
      <c r="CF767" s="430"/>
      <c r="CG767" s="430"/>
      <c r="CH767" s="430"/>
      <c r="CI767" s="430"/>
      <c r="CJ767" s="430"/>
      <c r="CK767" s="430"/>
      <c r="CL767" s="430"/>
    </row>
    <row r="768" spans="63:90" ht="14.25" customHeight="1">
      <c r="BK768" s="430"/>
      <c r="BL768" s="430"/>
      <c r="BM768" s="430"/>
      <c r="BN768" s="430"/>
      <c r="BO768" s="430"/>
      <c r="BP768" s="430"/>
      <c r="BQ768" s="430"/>
      <c r="BR768" s="430"/>
      <c r="BS768" s="430"/>
      <c r="BT768" s="430"/>
      <c r="BU768" s="430"/>
      <c r="BV768" s="430"/>
      <c r="BW768" s="430"/>
      <c r="BX768" s="430"/>
      <c r="BY768" s="430"/>
      <c r="BZ768" s="430"/>
      <c r="CA768" s="430"/>
      <c r="CB768" s="430"/>
      <c r="CC768" s="430"/>
      <c r="CD768" s="430"/>
      <c r="CE768" s="430"/>
      <c r="CF768" s="430"/>
      <c r="CG768" s="430"/>
      <c r="CH768" s="430"/>
      <c r="CI768" s="430"/>
      <c r="CJ768" s="430"/>
      <c r="CK768" s="430"/>
      <c r="CL768" s="430"/>
    </row>
    <row r="769" spans="63:90" ht="14.25" customHeight="1">
      <c r="BK769" s="430"/>
      <c r="BL769" s="430"/>
      <c r="BM769" s="430"/>
      <c r="BN769" s="430"/>
      <c r="BO769" s="430"/>
      <c r="BP769" s="430"/>
      <c r="BQ769" s="430"/>
      <c r="BR769" s="430"/>
      <c r="BS769" s="430"/>
      <c r="BT769" s="430"/>
      <c r="BU769" s="430"/>
      <c r="BV769" s="430"/>
      <c r="BW769" s="430"/>
      <c r="BX769" s="430"/>
      <c r="BY769" s="430"/>
      <c r="BZ769" s="430"/>
      <c r="CA769" s="430"/>
      <c r="CB769" s="430"/>
      <c r="CC769" s="430"/>
      <c r="CD769" s="430"/>
      <c r="CE769" s="430"/>
      <c r="CF769" s="430"/>
      <c r="CG769" s="430"/>
      <c r="CH769" s="430"/>
      <c r="CI769" s="430"/>
      <c r="CJ769" s="430"/>
      <c r="CK769" s="430"/>
      <c r="CL769" s="430"/>
    </row>
    <row r="770" spans="63:90" ht="14.25" customHeight="1">
      <c r="BK770" s="430"/>
      <c r="BL770" s="430"/>
      <c r="BM770" s="430"/>
      <c r="BN770" s="430"/>
      <c r="BO770" s="430"/>
      <c r="BP770" s="430"/>
      <c r="BQ770" s="430"/>
      <c r="BR770" s="430"/>
      <c r="BS770" s="430"/>
      <c r="BT770" s="430"/>
      <c r="BU770" s="430"/>
      <c r="BV770" s="430"/>
      <c r="BW770" s="430"/>
      <c r="BX770" s="430"/>
      <c r="BY770" s="430"/>
      <c r="BZ770" s="430"/>
      <c r="CA770" s="430"/>
      <c r="CB770" s="430"/>
      <c r="CC770" s="430"/>
      <c r="CD770" s="430"/>
      <c r="CE770" s="430"/>
      <c r="CF770" s="430"/>
      <c r="CG770" s="430"/>
      <c r="CH770" s="430"/>
      <c r="CI770" s="430"/>
      <c r="CJ770" s="430"/>
      <c r="CK770" s="430"/>
      <c r="CL770" s="430"/>
    </row>
    <row r="771" spans="63:90" ht="14.25" customHeight="1">
      <c r="BK771" s="430"/>
      <c r="BL771" s="430"/>
      <c r="BM771" s="430"/>
      <c r="BN771" s="430"/>
      <c r="BO771" s="430"/>
      <c r="BP771" s="430"/>
      <c r="BQ771" s="430"/>
      <c r="BR771" s="430"/>
      <c r="BS771" s="430"/>
      <c r="BT771" s="430"/>
      <c r="BU771" s="430"/>
      <c r="BV771" s="430"/>
      <c r="BW771" s="430"/>
      <c r="BX771" s="430"/>
      <c r="BY771" s="430"/>
      <c r="BZ771" s="430"/>
      <c r="CA771" s="430"/>
      <c r="CB771" s="430"/>
      <c r="CC771" s="430"/>
      <c r="CD771" s="430"/>
      <c r="CE771" s="430"/>
      <c r="CF771" s="430"/>
      <c r="CG771" s="430"/>
      <c r="CH771" s="430"/>
      <c r="CI771" s="430"/>
      <c r="CJ771" s="430"/>
      <c r="CK771" s="430"/>
      <c r="CL771" s="430"/>
    </row>
    <row r="772" spans="63:90" ht="14.25" customHeight="1">
      <c r="BK772" s="430"/>
      <c r="BL772" s="430"/>
      <c r="BM772" s="430"/>
      <c r="BN772" s="430"/>
      <c r="BO772" s="430"/>
      <c r="BP772" s="430"/>
      <c r="BQ772" s="430"/>
      <c r="BR772" s="430"/>
      <c r="BS772" s="430"/>
      <c r="BT772" s="430"/>
      <c r="BU772" s="430"/>
      <c r="BV772" s="430"/>
      <c r="BW772" s="430"/>
      <c r="BX772" s="430"/>
      <c r="BY772" s="430"/>
      <c r="BZ772" s="430"/>
      <c r="CA772" s="430"/>
      <c r="CB772" s="430"/>
      <c r="CC772" s="430"/>
      <c r="CD772" s="430"/>
      <c r="CE772" s="430"/>
      <c r="CF772" s="430"/>
      <c r="CG772" s="430"/>
      <c r="CH772" s="430"/>
      <c r="CI772" s="430"/>
      <c r="CJ772" s="430"/>
      <c r="CK772" s="430"/>
      <c r="CL772" s="430"/>
    </row>
    <row r="773" spans="63:90" ht="14.25" customHeight="1">
      <c r="BK773" s="430"/>
      <c r="BL773" s="430"/>
      <c r="BM773" s="430"/>
      <c r="BN773" s="430"/>
      <c r="BO773" s="430"/>
      <c r="BP773" s="430"/>
      <c r="BQ773" s="430"/>
      <c r="BR773" s="430"/>
      <c r="BS773" s="430"/>
      <c r="BT773" s="430"/>
      <c r="BU773" s="430"/>
      <c r="BV773" s="430"/>
      <c r="BW773" s="430"/>
      <c r="BX773" s="430"/>
      <c r="BY773" s="430"/>
      <c r="BZ773" s="430"/>
      <c r="CA773" s="430"/>
      <c r="CB773" s="430"/>
      <c r="CC773" s="430"/>
      <c r="CD773" s="430"/>
      <c r="CE773" s="430"/>
      <c r="CF773" s="430"/>
      <c r="CG773" s="430"/>
      <c r="CH773" s="430"/>
      <c r="CI773" s="430"/>
      <c r="CJ773" s="430"/>
      <c r="CK773" s="430"/>
      <c r="CL773" s="430"/>
    </row>
    <row r="774" spans="63:90" ht="14.25" customHeight="1">
      <c r="BK774" s="430"/>
      <c r="BL774" s="430"/>
      <c r="BM774" s="430"/>
      <c r="BN774" s="430"/>
      <c r="BO774" s="430"/>
      <c r="BP774" s="430"/>
      <c r="BQ774" s="430"/>
      <c r="BR774" s="430"/>
      <c r="BS774" s="430"/>
      <c r="BT774" s="430"/>
      <c r="BU774" s="430"/>
      <c r="BV774" s="430"/>
      <c r="BW774" s="430"/>
      <c r="BX774" s="430"/>
      <c r="BY774" s="430"/>
      <c r="BZ774" s="430"/>
      <c r="CA774" s="430"/>
      <c r="CB774" s="430"/>
      <c r="CC774" s="430"/>
      <c r="CD774" s="430"/>
      <c r="CE774" s="430"/>
      <c r="CF774" s="430"/>
      <c r="CG774" s="430"/>
      <c r="CH774" s="430"/>
      <c r="CI774" s="430"/>
      <c r="CJ774" s="430"/>
      <c r="CK774" s="430"/>
      <c r="CL774" s="430"/>
    </row>
    <row r="775" spans="63:90" ht="14.25" customHeight="1">
      <c r="BK775" s="430"/>
      <c r="BL775" s="430"/>
      <c r="BM775" s="430"/>
      <c r="BN775" s="430"/>
      <c r="BO775" s="430"/>
      <c r="BP775" s="430"/>
      <c r="BQ775" s="430"/>
      <c r="BR775" s="430"/>
      <c r="BS775" s="430"/>
      <c r="BT775" s="430"/>
      <c r="BU775" s="430"/>
      <c r="BV775" s="430"/>
      <c r="BW775" s="430"/>
      <c r="BX775" s="430"/>
      <c r="BY775" s="430"/>
      <c r="BZ775" s="430"/>
      <c r="CA775" s="430"/>
      <c r="CB775" s="430"/>
      <c r="CC775" s="430"/>
      <c r="CD775" s="430"/>
      <c r="CE775" s="430"/>
      <c r="CF775" s="430"/>
      <c r="CG775" s="430"/>
      <c r="CH775" s="430"/>
      <c r="CI775" s="430"/>
      <c r="CJ775" s="430"/>
      <c r="CK775" s="430"/>
      <c r="CL775" s="430"/>
    </row>
    <row r="776" spans="63:90" ht="14.25" customHeight="1">
      <c r="BK776" s="430"/>
      <c r="BL776" s="430"/>
      <c r="BM776" s="430"/>
      <c r="BN776" s="430"/>
      <c r="BO776" s="430"/>
      <c r="BP776" s="430"/>
      <c r="BQ776" s="430"/>
      <c r="BR776" s="430"/>
      <c r="BS776" s="430"/>
      <c r="BT776" s="430"/>
      <c r="BU776" s="430"/>
      <c r="BV776" s="430"/>
      <c r="BW776" s="430"/>
      <c r="BX776" s="430"/>
      <c r="BY776" s="430"/>
      <c r="BZ776" s="430"/>
      <c r="CA776" s="430"/>
      <c r="CB776" s="430"/>
      <c r="CC776" s="430"/>
      <c r="CD776" s="430"/>
      <c r="CE776" s="430"/>
      <c r="CF776" s="430"/>
      <c r="CG776" s="430"/>
      <c r="CH776" s="430"/>
      <c r="CI776" s="430"/>
      <c r="CJ776" s="430"/>
      <c r="CK776" s="430"/>
      <c r="CL776" s="430"/>
    </row>
    <row r="777" spans="63:90" ht="14.25" customHeight="1">
      <c r="BK777" s="430"/>
      <c r="BL777" s="430"/>
      <c r="BM777" s="430"/>
      <c r="BN777" s="430"/>
      <c r="BO777" s="430"/>
      <c r="BP777" s="430"/>
      <c r="BQ777" s="430"/>
      <c r="BR777" s="430"/>
      <c r="BS777" s="430"/>
      <c r="BT777" s="430"/>
      <c r="BU777" s="430"/>
      <c r="BV777" s="430"/>
      <c r="BW777" s="430"/>
      <c r="BX777" s="430"/>
      <c r="BY777" s="430"/>
      <c r="BZ777" s="430"/>
      <c r="CA777" s="430"/>
      <c r="CB777" s="430"/>
      <c r="CC777" s="430"/>
      <c r="CD777" s="430"/>
      <c r="CE777" s="430"/>
      <c r="CF777" s="430"/>
      <c r="CG777" s="430"/>
      <c r="CH777" s="430"/>
      <c r="CI777" s="430"/>
      <c r="CJ777" s="430"/>
      <c r="CK777" s="430"/>
      <c r="CL777" s="430"/>
    </row>
    <row r="778" spans="63:90" ht="14.25" customHeight="1">
      <c r="BK778" s="430"/>
      <c r="BL778" s="430"/>
      <c r="BM778" s="430"/>
      <c r="BN778" s="430"/>
      <c r="BO778" s="430"/>
      <c r="BP778" s="430"/>
      <c r="BQ778" s="430"/>
      <c r="BR778" s="430"/>
      <c r="BS778" s="430"/>
      <c r="BT778" s="430"/>
      <c r="BU778" s="430"/>
      <c r="BV778" s="430"/>
      <c r="BW778" s="430"/>
      <c r="BX778" s="430"/>
      <c r="BY778" s="430"/>
      <c r="BZ778" s="430"/>
      <c r="CA778" s="430"/>
      <c r="CB778" s="430"/>
      <c r="CC778" s="430"/>
      <c r="CD778" s="430"/>
      <c r="CE778" s="430"/>
      <c r="CF778" s="430"/>
      <c r="CG778" s="430"/>
      <c r="CH778" s="430"/>
      <c r="CI778" s="430"/>
      <c r="CJ778" s="430"/>
      <c r="CK778" s="430"/>
      <c r="CL778" s="430"/>
    </row>
    <row r="779" spans="63:90" ht="14.25" customHeight="1">
      <c r="BK779" s="430"/>
      <c r="BL779" s="430"/>
      <c r="BM779" s="430"/>
      <c r="BN779" s="430"/>
      <c r="BO779" s="430"/>
      <c r="BP779" s="430"/>
      <c r="BQ779" s="430"/>
      <c r="BR779" s="430"/>
      <c r="BS779" s="430"/>
      <c r="BT779" s="430"/>
      <c r="BU779" s="430"/>
      <c r="BV779" s="430"/>
      <c r="BW779" s="430"/>
      <c r="BX779" s="430"/>
      <c r="BY779" s="430"/>
      <c r="BZ779" s="430"/>
      <c r="CA779" s="430"/>
      <c r="CB779" s="430"/>
      <c r="CC779" s="430"/>
      <c r="CD779" s="430"/>
      <c r="CE779" s="430"/>
      <c r="CF779" s="430"/>
      <c r="CG779" s="430"/>
      <c r="CH779" s="430"/>
      <c r="CI779" s="430"/>
      <c r="CJ779" s="430"/>
      <c r="CK779" s="430"/>
      <c r="CL779" s="430"/>
    </row>
    <row r="780" spans="63:90" ht="14.25" customHeight="1">
      <c r="BK780" s="430"/>
      <c r="BL780" s="430"/>
      <c r="BM780" s="430"/>
      <c r="BN780" s="430"/>
      <c r="BO780" s="430"/>
      <c r="BP780" s="430"/>
      <c r="BQ780" s="430"/>
      <c r="BR780" s="430"/>
      <c r="BS780" s="430"/>
      <c r="BT780" s="430"/>
      <c r="BU780" s="430"/>
      <c r="BV780" s="430"/>
      <c r="BW780" s="430"/>
      <c r="BX780" s="430"/>
      <c r="BY780" s="430"/>
      <c r="BZ780" s="430"/>
      <c r="CA780" s="430"/>
      <c r="CB780" s="430"/>
      <c r="CC780" s="430"/>
      <c r="CD780" s="430"/>
      <c r="CE780" s="430"/>
      <c r="CF780" s="430"/>
      <c r="CG780" s="430"/>
      <c r="CH780" s="430"/>
      <c r="CI780" s="430"/>
      <c r="CJ780" s="430"/>
      <c r="CK780" s="430"/>
      <c r="CL780" s="430"/>
    </row>
    <row r="781" spans="63:90" ht="14.25" customHeight="1">
      <c r="BK781" s="430"/>
      <c r="BL781" s="430"/>
      <c r="BM781" s="430"/>
      <c r="BN781" s="430"/>
      <c r="BO781" s="430"/>
      <c r="BP781" s="430"/>
      <c r="BQ781" s="430"/>
      <c r="BR781" s="430"/>
      <c r="BS781" s="430"/>
      <c r="BT781" s="430"/>
      <c r="BU781" s="430"/>
      <c r="BV781" s="430"/>
      <c r="BW781" s="430"/>
      <c r="BX781" s="430"/>
      <c r="BY781" s="430"/>
      <c r="BZ781" s="430"/>
      <c r="CA781" s="430"/>
      <c r="CB781" s="430"/>
      <c r="CC781" s="430"/>
      <c r="CD781" s="430"/>
      <c r="CE781" s="430"/>
      <c r="CF781" s="430"/>
      <c r="CG781" s="430"/>
      <c r="CH781" s="430"/>
      <c r="CI781" s="430"/>
      <c r="CJ781" s="430"/>
      <c r="CK781" s="430"/>
      <c r="CL781" s="430"/>
    </row>
    <row r="782" spans="63:90" ht="14.25" customHeight="1">
      <c r="BK782" s="430"/>
      <c r="BL782" s="430"/>
      <c r="BM782" s="430"/>
      <c r="BN782" s="430"/>
      <c r="BO782" s="430"/>
      <c r="BP782" s="430"/>
      <c r="BQ782" s="430"/>
      <c r="BR782" s="430"/>
      <c r="BS782" s="430"/>
      <c r="BT782" s="430"/>
      <c r="BU782" s="430"/>
      <c r="BV782" s="430"/>
      <c r="BW782" s="430"/>
      <c r="BX782" s="430"/>
      <c r="BY782" s="430"/>
      <c r="BZ782" s="430"/>
      <c r="CA782" s="430"/>
      <c r="CB782" s="430"/>
      <c r="CC782" s="430"/>
      <c r="CD782" s="430"/>
      <c r="CE782" s="430"/>
      <c r="CF782" s="430"/>
      <c r="CG782" s="430"/>
      <c r="CH782" s="430"/>
      <c r="CI782" s="430"/>
      <c r="CJ782" s="430"/>
      <c r="CK782" s="430"/>
      <c r="CL782" s="430"/>
    </row>
    <row r="783" spans="63:90" ht="14.25" customHeight="1">
      <c r="BK783" s="430"/>
      <c r="BL783" s="430"/>
      <c r="BM783" s="430"/>
      <c r="BN783" s="430"/>
      <c r="BO783" s="430"/>
      <c r="BP783" s="430"/>
      <c r="BQ783" s="430"/>
      <c r="BR783" s="430"/>
      <c r="BS783" s="430"/>
      <c r="BT783" s="430"/>
      <c r="BU783" s="430"/>
      <c r="BV783" s="430"/>
      <c r="BW783" s="430"/>
      <c r="BX783" s="430"/>
      <c r="BY783" s="430"/>
      <c r="BZ783" s="430"/>
      <c r="CA783" s="430"/>
      <c r="CB783" s="430"/>
      <c r="CC783" s="430"/>
      <c r="CD783" s="430"/>
      <c r="CE783" s="430"/>
      <c r="CF783" s="430"/>
      <c r="CG783" s="430"/>
      <c r="CH783" s="430"/>
      <c r="CI783" s="430"/>
      <c r="CJ783" s="430"/>
      <c r="CK783" s="430"/>
      <c r="CL783" s="430"/>
    </row>
    <row r="784" spans="63:90" ht="14.25" customHeight="1">
      <c r="BK784" s="430"/>
      <c r="BL784" s="430"/>
      <c r="BM784" s="430"/>
      <c r="BN784" s="430"/>
      <c r="BO784" s="430"/>
      <c r="BP784" s="430"/>
      <c r="BQ784" s="430"/>
      <c r="BR784" s="430"/>
      <c r="BS784" s="430"/>
      <c r="BT784" s="430"/>
      <c r="BU784" s="430"/>
      <c r="BV784" s="430"/>
      <c r="BW784" s="430"/>
      <c r="BX784" s="430"/>
      <c r="BY784" s="430"/>
      <c r="BZ784" s="430"/>
      <c r="CA784" s="430"/>
      <c r="CB784" s="430"/>
      <c r="CC784" s="430"/>
      <c r="CD784" s="430"/>
      <c r="CE784" s="430"/>
      <c r="CF784" s="430"/>
      <c r="CG784" s="430"/>
      <c r="CH784" s="430"/>
      <c r="CI784" s="430"/>
      <c r="CJ784" s="430"/>
      <c r="CK784" s="430"/>
      <c r="CL784" s="430"/>
    </row>
    <row r="785" spans="63:90" ht="14.25" customHeight="1">
      <c r="BK785" s="430"/>
      <c r="BL785" s="430"/>
      <c r="BM785" s="430"/>
      <c r="BN785" s="430"/>
      <c r="BO785" s="430"/>
      <c r="BP785" s="430"/>
      <c r="BQ785" s="430"/>
      <c r="BR785" s="430"/>
      <c r="BS785" s="430"/>
      <c r="BT785" s="430"/>
      <c r="BU785" s="430"/>
      <c r="BV785" s="430"/>
      <c r="BW785" s="430"/>
      <c r="BX785" s="430"/>
      <c r="BY785" s="430"/>
      <c r="BZ785" s="430"/>
      <c r="CA785" s="430"/>
      <c r="CB785" s="430"/>
      <c r="CC785" s="430"/>
      <c r="CD785" s="430"/>
      <c r="CE785" s="430"/>
      <c r="CF785" s="430"/>
      <c r="CG785" s="430"/>
      <c r="CH785" s="430"/>
      <c r="CI785" s="430"/>
      <c r="CJ785" s="430"/>
      <c r="CK785" s="430"/>
      <c r="CL785" s="430"/>
    </row>
    <row r="786" spans="63:90" ht="14.25" customHeight="1">
      <c r="BK786" s="430"/>
      <c r="BL786" s="430"/>
      <c r="BM786" s="430"/>
      <c r="BN786" s="430"/>
      <c r="BO786" s="430"/>
      <c r="BP786" s="430"/>
      <c r="BQ786" s="430"/>
      <c r="BR786" s="430"/>
      <c r="BS786" s="430"/>
      <c r="BT786" s="430"/>
      <c r="BU786" s="430"/>
      <c r="BV786" s="430"/>
      <c r="BW786" s="430"/>
      <c r="BX786" s="430"/>
      <c r="BY786" s="430"/>
      <c r="BZ786" s="430"/>
      <c r="CA786" s="430"/>
      <c r="CB786" s="430"/>
      <c r="CC786" s="430"/>
      <c r="CD786" s="430"/>
      <c r="CE786" s="430"/>
      <c r="CF786" s="430"/>
      <c r="CG786" s="430"/>
      <c r="CH786" s="430"/>
      <c r="CI786" s="430"/>
      <c r="CJ786" s="430"/>
      <c r="CK786" s="430"/>
      <c r="CL786" s="430"/>
    </row>
    <row r="787" spans="63:90" ht="14.25" customHeight="1">
      <c r="BK787" s="430"/>
      <c r="BL787" s="430"/>
      <c r="BM787" s="430"/>
      <c r="BN787" s="430"/>
      <c r="BO787" s="430"/>
      <c r="BP787" s="430"/>
      <c r="BQ787" s="430"/>
      <c r="BR787" s="430"/>
      <c r="BS787" s="430"/>
      <c r="BT787" s="430"/>
      <c r="BU787" s="430"/>
      <c r="BV787" s="430"/>
      <c r="BW787" s="430"/>
      <c r="BX787" s="430"/>
      <c r="BY787" s="430"/>
      <c r="BZ787" s="430"/>
      <c r="CA787" s="430"/>
      <c r="CB787" s="430"/>
      <c r="CC787" s="430"/>
      <c r="CD787" s="430"/>
      <c r="CE787" s="430"/>
      <c r="CF787" s="430"/>
      <c r="CG787" s="430"/>
      <c r="CH787" s="430"/>
      <c r="CI787" s="430"/>
      <c r="CJ787" s="430"/>
      <c r="CK787" s="430"/>
      <c r="CL787" s="430"/>
    </row>
    <row r="788" spans="63:90" ht="14.25" customHeight="1">
      <c r="BK788" s="430"/>
      <c r="BL788" s="430"/>
      <c r="BM788" s="430"/>
      <c r="BN788" s="430"/>
      <c r="BO788" s="430"/>
      <c r="BP788" s="430"/>
      <c r="BQ788" s="430"/>
      <c r="BR788" s="430"/>
      <c r="BS788" s="430"/>
      <c r="BT788" s="430"/>
      <c r="BU788" s="430"/>
      <c r="BV788" s="430"/>
      <c r="BW788" s="430"/>
      <c r="BX788" s="430"/>
      <c r="BY788" s="430"/>
      <c r="BZ788" s="430"/>
      <c r="CA788" s="430"/>
      <c r="CB788" s="430"/>
      <c r="CC788" s="430"/>
      <c r="CD788" s="430"/>
      <c r="CE788" s="430"/>
      <c r="CF788" s="430"/>
      <c r="CG788" s="430"/>
      <c r="CH788" s="430"/>
      <c r="CI788" s="430"/>
      <c r="CJ788" s="430"/>
      <c r="CK788" s="430"/>
      <c r="CL788" s="430"/>
    </row>
    <row r="789" spans="63:90" ht="14.25" customHeight="1">
      <c r="BK789" s="430"/>
      <c r="BL789" s="430"/>
      <c r="BM789" s="430"/>
      <c r="BN789" s="430"/>
      <c r="BO789" s="430"/>
      <c r="BP789" s="430"/>
      <c r="BQ789" s="430"/>
      <c r="BR789" s="430"/>
      <c r="BS789" s="430"/>
      <c r="BT789" s="430"/>
      <c r="BU789" s="430"/>
      <c r="BV789" s="430"/>
      <c r="BW789" s="430"/>
      <c r="BX789" s="430"/>
      <c r="BY789" s="430"/>
      <c r="BZ789" s="430"/>
      <c r="CA789" s="430"/>
      <c r="CB789" s="430"/>
      <c r="CC789" s="430"/>
      <c r="CD789" s="430"/>
      <c r="CE789" s="430"/>
      <c r="CF789" s="430"/>
      <c r="CG789" s="430"/>
      <c r="CH789" s="430"/>
      <c r="CI789" s="430"/>
      <c r="CJ789" s="430"/>
      <c r="CK789" s="430"/>
      <c r="CL789" s="430"/>
    </row>
    <row r="790" spans="63:90" ht="14.25" customHeight="1">
      <c r="BK790" s="430"/>
      <c r="BL790" s="430"/>
      <c r="BM790" s="430"/>
      <c r="BN790" s="430"/>
      <c r="BO790" s="430"/>
      <c r="BP790" s="430"/>
      <c r="BQ790" s="430"/>
      <c r="BR790" s="430"/>
      <c r="BS790" s="430"/>
      <c r="BT790" s="430"/>
      <c r="BU790" s="430"/>
      <c r="BV790" s="430"/>
      <c r="BW790" s="430"/>
      <c r="BX790" s="430"/>
      <c r="BY790" s="430"/>
      <c r="BZ790" s="430"/>
      <c r="CA790" s="430"/>
      <c r="CB790" s="430"/>
      <c r="CC790" s="430"/>
      <c r="CD790" s="430"/>
      <c r="CE790" s="430"/>
      <c r="CF790" s="430"/>
      <c r="CG790" s="430"/>
      <c r="CH790" s="430"/>
      <c r="CI790" s="430"/>
      <c r="CJ790" s="430"/>
      <c r="CK790" s="430"/>
      <c r="CL790" s="430"/>
    </row>
    <row r="791" spans="63:90" ht="14.25" customHeight="1">
      <c r="BK791" s="430"/>
      <c r="BL791" s="430"/>
      <c r="BM791" s="430"/>
      <c r="BN791" s="430"/>
      <c r="BO791" s="430"/>
      <c r="BP791" s="430"/>
      <c r="BQ791" s="430"/>
      <c r="BR791" s="430"/>
      <c r="BS791" s="430"/>
      <c r="BT791" s="430"/>
      <c r="BU791" s="430"/>
      <c r="BV791" s="430"/>
      <c r="BW791" s="430"/>
      <c r="BX791" s="430"/>
      <c r="BY791" s="430"/>
      <c r="BZ791" s="430"/>
      <c r="CA791" s="430"/>
      <c r="CB791" s="430"/>
      <c r="CC791" s="430"/>
      <c r="CD791" s="430"/>
      <c r="CE791" s="430"/>
      <c r="CF791" s="430"/>
      <c r="CG791" s="430"/>
      <c r="CH791" s="430"/>
      <c r="CI791" s="430"/>
      <c r="CJ791" s="430"/>
      <c r="CK791" s="430"/>
      <c r="CL791" s="430"/>
    </row>
    <row r="792" spans="63:90" ht="14.25" customHeight="1">
      <c r="BK792" s="430"/>
      <c r="BL792" s="430"/>
      <c r="BM792" s="430"/>
      <c r="BN792" s="430"/>
      <c r="BO792" s="430"/>
      <c r="BP792" s="430"/>
      <c r="BQ792" s="430"/>
      <c r="BR792" s="430"/>
      <c r="BS792" s="430"/>
      <c r="BT792" s="430"/>
      <c r="BU792" s="430"/>
      <c r="BV792" s="430"/>
      <c r="BW792" s="430"/>
      <c r="BX792" s="430"/>
      <c r="BY792" s="430"/>
      <c r="BZ792" s="430"/>
      <c r="CA792" s="430"/>
      <c r="CB792" s="430"/>
      <c r="CC792" s="430"/>
      <c r="CD792" s="430"/>
      <c r="CE792" s="430"/>
      <c r="CF792" s="430"/>
      <c r="CG792" s="430"/>
      <c r="CH792" s="430"/>
      <c r="CI792" s="430"/>
      <c r="CJ792" s="430"/>
      <c r="CK792" s="430"/>
      <c r="CL792" s="430"/>
    </row>
    <row r="793" spans="63:90" ht="14.25" customHeight="1">
      <c r="BK793" s="430"/>
      <c r="BL793" s="430"/>
      <c r="BM793" s="430"/>
      <c r="BN793" s="430"/>
      <c r="BO793" s="430"/>
      <c r="BP793" s="430"/>
      <c r="BQ793" s="430"/>
      <c r="BR793" s="430"/>
      <c r="BS793" s="430"/>
      <c r="BT793" s="430"/>
      <c r="BU793" s="430"/>
      <c r="BV793" s="430"/>
      <c r="BW793" s="430"/>
      <c r="BX793" s="430"/>
      <c r="BY793" s="430"/>
      <c r="BZ793" s="430"/>
      <c r="CA793" s="430"/>
      <c r="CB793" s="430"/>
      <c r="CC793" s="430"/>
      <c r="CD793" s="430"/>
      <c r="CE793" s="430"/>
      <c r="CF793" s="430"/>
      <c r="CG793" s="430"/>
      <c r="CH793" s="430"/>
      <c r="CI793" s="430"/>
      <c r="CJ793" s="430"/>
      <c r="CK793" s="430"/>
      <c r="CL793" s="430"/>
    </row>
    <row r="794" spans="63:90" ht="14.25" customHeight="1">
      <c r="BK794" s="430"/>
      <c r="BL794" s="430"/>
      <c r="BM794" s="430"/>
      <c r="BN794" s="430"/>
      <c r="BO794" s="430"/>
      <c r="BP794" s="430"/>
      <c r="BQ794" s="430"/>
      <c r="BR794" s="430"/>
      <c r="BS794" s="430"/>
      <c r="BT794" s="430"/>
      <c r="BU794" s="430"/>
      <c r="BV794" s="430"/>
      <c r="BW794" s="430"/>
      <c r="BX794" s="430"/>
      <c r="BY794" s="430"/>
      <c r="BZ794" s="430"/>
      <c r="CA794" s="430"/>
      <c r="CB794" s="430"/>
      <c r="CC794" s="430"/>
      <c r="CD794" s="430"/>
      <c r="CE794" s="430"/>
      <c r="CF794" s="430"/>
      <c r="CG794" s="430"/>
      <c r="CH794" s="430"/>
      <c r="CI794" s="430"/>
      <c r="CJ794" s="430"/>
      <c r="CK794" s="430"/>
      <c r="CL794" s="430"/>
    </row>
    <row r="795" spans="63:90" ht="14.25" customHeight="1">
      <c r="BK795" s="430"/>
      <c r="BL795" s="430"/>
      <c r="BM795" s="430"/>
      <c r="BN795" s="430"/>
      <c r="BO795" s="430"/>
      <c r="BP795" s="430"/>
      <c r="BQ795" s="430"/>
      <c r="BR795" s="430"/>
      <c r="BS795" s="430"/>
      <c r="BT795" s="430"/>
      <c r="BU795" s="430"/>
      <c r="BV795" s="430"/>
      <c r="BW795" s="430"/>
      <c r="BX795" s="430"/>
      <c r="BY795" s="430"/>
      <c r="BZ795" s="430"/>
      <c r="CA795" s="430"/>
      <c r="CB795" s="430"/>
      <c r="CC795" s="430"/>
      <c r="CD795" s="430"/>
      <c r="CE795" s="430"/>
      <c r="CF795" s="430"/>
      <c r="CG795" s="430"/>
      <c r="CH795" s="430"/>
      <c r="CI795" s="430"/>
      <c r="CJ795" s="430"/>
      <c r="CK795" s="430"/>
      <c r="CL795" s="430"/>
    </row>
    <row r="796" spans="63:90" ht="14.25" customHeight="1">
      <c r="BK796" s="430"/>
      <c r="BL796" s="430"/>
      <c r="BM796" s="430"/>
      <c r="BN796" s="430"/>
      <c r="BO796" s="430"/>
      <c r="BP796" s="430"/>
      <c r="BQ796" s="430"/>
      <c r="BR796" s="430"/>
      <c r="BS796" s="430"/>
      <c r="BT796" s="430"/>
      <c r="BU796" s="430"/>
      <c r="BV796" s="430"/>
      <c r="BW796" s="430"/>
      <c r="BX796" s="430"/>
      <c r="BY796" s="430"/>
      <c r="BZ796" s="430"/>
      <c r="CA796" s="430"/>
      <c r="CB796" s="430"/>
      <c r="CC796" s="430"/>
      <c r="CD796" s="430"/>
      <c r="CE796" s="430"/>
      <c r="CF796" s="430"/>
      <c r="CG796" s="430"/>
      <c r="CH796" s="430"/>
      <c r="CI796" s="430"/>
      <c r="CJ796" s="430"/>
      <c r="CK796" s="430"/>
      <c r="CL796" s="430"/>
    </row>
    <row r="797" spans="63:90" ht="14.25" customHeight="1">
      <c r="BK797" s="430"/>
      <c r="BL797" s="430"/>
      <c r="BM797" s="430"/>
      <c r="BN797" s="430"/>
      <c r="BO797" s="430"/>
      <c r="BP797" s="430"/>
      <c r="BQ797" s="430"/>
      <c r="BR797" s="430"/>
      <c r="BS797" s="430"/>
      <c r="BT797" s="430"/>
      <c r="BU797" s="430"/>
      <c r="BV797" s="430"/>
      <c r="BW797" s="430"/>
      <c r="BX797" s="430"/>
      <c r="BY797" s="430"/>
      <c r="BZ797" s="430"/>
      <c r="CA797" s="430"/>
      <c r="CB797" s="430"/>
      <c r="CC797" s="430"/>
      <c r="CD797" s="430"/>
      <c r="CE797" s="430"/>
      <c r="CF797" s="430"/>
      <c r="CG797" s="430"/>
      <c r="CH797" s="430"/>
      <c r="CI797" s="430"/>
      <c r="CJ797" s="430"/>
      <c r="CK797" s="430"/>
      <c r="CL797" s="430"/>
    </row>
    <row r="798" spans="63:90" ht="14.25" customHeight="1">
      <c r="BK798" s="430"/>
      <c r="BL798" s="430"/>
      <c r="BM798" s="430"/>
      <c r="BN798" s="430"/>
      <c r="BO798" s="430"/>
      <c r="BP798" s="430"/>
      <c r="BQ798" s="430"/>
      <c r="BR798" s="430"/>
      <c r="BS798" s="430"/>
      <c r="BT798" s="430"/>
      <c r="BU798" s="430"/>
      <c r="BV798" s="430"/>
      <c r="BW798" s="430"/>
      <c r="BX798" s="430"/>
      <c r="BY798" s="430"/>
      <c r="BZ798" s="430"/>
      <c r="CA798" s="430"/>
      <c r="CB798" s="430"/>
      <c r="CC798" s="430"/>
      <c r="CD798" s="430"/>
      <c r="CE798" s="430"/>
      <c r="CF798" s="430"/>
      <c r="CG798" s="430"/>
      <c r="CH798" s="430"/>
      <c r="CI798" s="430"/>
      <c r="CJ798" s="430"/>
      <c r="CK798" s="430"/>
      <c r="CL798" s="430"/>
    </row>
    <row r="799" spans="63:90" ht="14.25" customHeight="1">
      <c r="BK799" s="430"/>
      <c r="BL799" s="430"/>
      <c r="BM799" s="430"/>
      <c r="BN799" s="430"/>
      <c r="BO799" s="430"/>
      <c r="BP799" s="430"/>
      <c r="BQ799" s="430"/>
      <c r="BR799" s="430"/>
      <c r="BS799" s="430"/>
      <c r="BT799" s="430"/>
      <c r="BU799" s="430"/>
      <c r="BV799" s="430"/>
      <c r="BW799" s="430"/>
      <c r="BX799" s="430"/>
      <c r="BY799" s="430"/>
      <c r="BZ799" s="430"/>
      <c r="CA799" s="430"/>
      <c r="CB799" s="430"/>
      <c r="CC799" s="430"/>
      <c r="CD799" s="430"/>
      <c r="CE799" s="430"/>
      <c r="CF799" s="430"/>
      <c r="CG799" s="430"/>
      <c r="CH799" s="430"/>
      <c r="CI799" s="430"/>
      <c r="CJ799" s="430"/>
      <c r="CK799" s="430"/>
      <c r="CL799" s="430"/>
    </row>
    <row r="800" spans="63:90" ht="14.25" customHeight="1">
      <c r="BK800" s="430"/>
      <c r="BL800" s="430"/>
      <c r="BM800" s="430"/>
      <c r="BN800" s="430"/>
      <c r="BO800" s="430"/>
      <c r="BP800" s="430"/>
      <c r="BQ800" s="430"/>
      <c r="BR800" s="430"/>
      <c r="BS800" s="430"/>
      <c r="BT800" s="430"/>
      <c r="BU800" s="430"/>
      <c r="BV800" s="430"/>
      <c r="BW800" s="430"/>
      <c r="BX800" s="430"/>
      <c r="BY800" s="430"/>
      <c r="BZ800" s="430"/>
      <c r="CA800" s="430"/>
      <c r="CB800" s="430"/>
      <c r="CC800" s="430"/>
      <c r="CD800" s="430"/>
      <c r="CE800" s="430"/>
      <c r="CF800" s="430"/>
      <c r="CG800" s="430"/>
      <c r="CH800" s="430"/>
      <c r="CI800" s="430"/>
      <c r="CJ800" s="430"/>
      <c r="CK800" s="430"/>
      <c r="CL800" s="430"/>
    </row>
    <row r="801" spans="63:90" ht="14.25" customHeight="1">
      <c r="BK801" s="430"/>
      <c r="BL801" s="430"/>
      <c r="BM801" s="430"/>
      <c r="BN801" s="430"/>
      <c r="BO801" s="430"/>
      <c r="BP801" s="430"/>
      <c r="BQ801" s="430"/>
      <c r="BR801" s="430"/>
      <c r="BS801" s="430"/>
      <c r="BT801" s="430"/>
      <c r="BU801" s="430"/>
      <c r="BV801" s="430"/>
      <c r="BW801" s="430"/>
      <c r="BX801" s="430"/>
      <c r="BY801" s="430"/>
      <c r="BZ801" s="430"/>
      <c r="CA801" s="430"/>
      <c r="CB801" s="430"/>
      <c r="CC801" s="430"/>
      <c r="CD801" s="430"/>
      <c r="CE801" s="430"/>
      <c r="CF801" s="430"/>
      <c r="CG801" s="430"/>
      <c r="CH801" s="430"/>
      <c r="CI801" s="430"/>
      <c r="CJ801" s="430"/>
      <c r="CK801" s="430"/>
      <c r="CL801" s="430"/>
    </row>
    <row r="802" spans="63:90" ht="14.25" customHeight="1">
      <c r="BK802" s="430"/>
      <c r="BL802" s="430"/>
      <c r="BM802" s="430"/>
      <c r="BN802" s="430"/>
      <c r="BO802" s="430"/>
      <c r="BP802" s="430"/>
      <c r="BQ802" s="430"/>
      <c r="BR802" s="430"/>
      <c r="BS802" s="430"/>
      <c r="BT802" s="430"/>
      <c r="BU802" s="430"/>
      <c r="BV802" s="430"/>
      <c r="BW802" s="430"/>
      <c r="BX802" s="430"/>
      <c r="BY802" s="430"/>
      <c r="BZ802" s="430"/>
      <c r="CA802" s="430"/>
      <c r="CB802" s="430"/>
      <c r="CC802" s="430"/>
      <c r="CD802" s="430"/>
      <c r="CE802" s="430"/>
      <c r="CF802" s="430"/>
      <c r="CG802" s="430"/>
      <c r="CH802" s="430"/>
      <c r="CI802" s="430"/>
      <c r="CJ802" s="430"/>
      <c r="CK802" s="430"/>
      <c r="CL802" s="430"/>
    </row>
    <row r="803" spans="63:90" ht="14.25" customHeight="1">
      <c r="BK803" s="430"/>
      <c r="BL803" s="430"/>
      <c r="BM803" s="430"/>
      <c r="BN803" s="430"/>
      <c r="BO803" s="430"/>
      <c r="BP803" s="430"/>
      <c r="BQ803" s="430"/>
      <c r="BR803" s="430"/>
      <c r="BS803" s="430"/>
      <c r="BT803" s="430"/>
      <c r="BU803" s="430"/>
      <c r="BV803" s="430"/>
      <c r="BW803" s="430"/>
      <c r="BX803" s="430"/>
      <c r="BY803" s="430"/>
      <c r="BZ803" s="430"/>
      <c r="CA803" s="430"/>
      <c r="CB803" s="430"/>
      <c r="CC803" s="430"/>
      <c r="CD803" s="430"/>
      <c r="CE803" s="430"/>
      <c r="CF803" s="430"/>
      <c r="CG803" s="430"/>
      <c r="CH803" s="430"/>
      <c r="CI803" s="430"/>
      <c r="CJ803" s="430"/>
      <c r="CK803" s="430"/>
      <c r="CL803" s="430"/>
    </row>
    <row r="804" spans="63:90" ht="14.25" customHeight="1">
      <c r="BK804" s="430"/>
      <c r="BL804" s="430"/>
      <c r="BM804" s="430"/>
      <c r="BN804" s="430"/>
      <c r="BO804" s="430"/>
      <c r="BP804" s="430"/>
      <c r="BQ804" s="430"/>
      <c r="BR804" s="430"/>
      <c r="BS804" s="430"/>
      <c r="BT804" s="430"/>
      <c r="BU804" s="430"/>
      <c r="BV804" s="430"/>
      <c r="BW804" s="430"/>
      <c r="BX804" s="430"/>
      <c r="BY804" s="430"/>
      <c r="BZ804" s="430"/>
      <c r="CA804" s="430"/>
      <c r="CB804" s="430"/>
      <c r="CC804" s="430"/>
      <c r="CD804" s="430"/>
      <c r="CE804" s="430"/>
      <c r="CF804" s="430"/>
      <c r="CG804" s="430"/>
      <c r="CH804" s="430"/>
      <c r="CI804" s="430"/>
      <c r="CJ804" s="430"/>
      <c r="CK804" s="430"/>
      <c r="CL804" s="430"/>
    </row>
    <row r="805" spans="63:90" ht="14.25" customHeight="1">
      <c r="BK805" s="430"/>
      <c r="BL805" s="430"/>
      <c r="BM805" s="430"/>
      <c r="BN805" s="430"/>
      <c r="BO805" s="430"/>
      <c r="BP805" s="430"/>
      <c r="BQ805" s="430"/>
      <c r="BR805" s="430"/>
      <c r="BS805" s="430"/>
      <c r="BT805" s="430"/>
      <c r="BU805" s="430"/>
      <c r="BV805" s="430"/>
      <c r="BW805" s="430"/>
      <c r="BX805" s="430"/>
      <c r="BY805" s="430"/>
      <c r="BZ805" s="430"/>
      <c r="CA805" s="430"/>
      <c r="CB805" s="430"/>
      <c r="CC805" s="430"/>
      <c r="CD805" s="430"/>
      <c r="CE805" s="430"/>
      <c r="CF805" s="430"/>
      <c r="CG805" s="430"/>
      <c r="CH805" s="430"/>
      <c r="CI805" s="430"/>
      <c r="CJ805" s="430"/>
      <c r="CK805" s="430"/>
      <c r="CL805" s="430"/>
    </row>
    <row r="806" spans="63:90" ht="14.25" customHeight="1">
      <c r="BK806" s="430"/>
      <c r="BL806" s="430"/>
      <c r="BM806" s="430"/>
      <c r="BN806" s="430"/>
      <c r="BO806" s="430"/>
      <c r="BP806" s="430"/>
      <c r="BQ806" s="430"/>
      <c r="BR806" s="430"/>
      <c r="BS806" s="430"/>
      <c r="BT806" s="430"/>
      <c r="BU806" s="430"/>
      <c r="BV806" s="430"/>
      <c r="BW806" s="430"/>
      <c r="BX806" s="430"/>
      <c r="BY806" s="430"/>
      <c r="BZ806" s="430"/>
      <c r="CA806" s="430"/>
      <c r="CB806" s="430"/>
      <c r="CC806" s="430"/>
      <c r="CD806" s="430"/>
      <c r="CE806" s="430"/>
      <c r="CF806" s="430"/>
      <c r="CG806" s="430"/>
      <c r="CH806" s="430"/>
      <c r="CI806" s="430"/>
      <c r="CJ806" s="430"/>
      <c r="CK806" s="430"/>
      <c r="CL806" s="430"/>
    </row>
    <row r="807" spans="63:90" ht="14.25" customHeight="1">
      <c r="BK807" s="430"/>
      <c r="BL807" s="430"/>
      <c r="BM807" s="430"/>
      <c r="BN807" s="430"/>
      <c r="BO807" s="430"/>
      <c r="BP807" s="430"/>
      <c r="BQ807" s="430"/>
      <c r="BR807" s="430"/>
      <c r="BS807" s="430"/>
      <c r="BT807" s="430"/>
      <c r="BU807" s="430"/>
      <c r="BV807" s="430"/>
      <c r="BW807" s="430"/>
      <c r="BX807" s="430"/>
      <c r="BY807" s="430"/>
      <c r="BZ807" s="430"/>
      <c r="CA807" s="430"/>
      <c r="CB807" s="430"/>
      <c r="CC807" s="430"/>
      <c r="CD807" s="430"/>
      <c r="CE807" s="430"/>
      <c r="CF807" s="430"/>
      <c r="CG807" s="430"/>
      <c r="CH807" s="430"/>
      <c r="CI807" s="430"/>
      <c r="CJ807" s="430"/>
      <c r="CK807" s="430"/>
      <c r="CL807" s="430"/>
    </row>
    <row r="808" spans="63:90" ht="14.25" customHeight="1">
      <c r="BK808" s="430"/>
      <c r="BL808" s="430"/>
      <c r="BM808" s="430"/>
      <c r="BN808" s="430"/>
      <c r="BO808" s="430"/>
      <c r="BP808" s="430"/>
      <c r="BQ808" s="430"/>
      <c r="BR808" s="430"/>
      <c r="BS808" s="430"/>
      <c r="BT808" s="430"/>
      <c r="BU808" s="430"/>
      <c r="BV808" s="430"/>
      <c r="BW808" s="430"/>
      <c r="BX808" s="430"/>
      <c r="BY808" s="430"/>
      <c r="BZ808" s="430"/>
      <c r="CA808" s="430"/>
      <c r="CB808" s="430"/>
      <c r="CC808" s="430"/>
      <c r="CD808" s="430"/>
      <c r="CE808" s="430"/>
      <c r="CF808" s="430"/>
      <c r="CG808" s="430"/>
      <c r="CH808" s="430"/>
      <c r="CI808" s="430"/>
      <c r="CJ808" s="430"/>
      <c r="CK808" s="430"/>
      <c r="CL808" s="430"/>
    </row>
    <row r="809" spans="63:90" ht="14.25" customHeight="1">
      <c r="BK809" s="430"/>
      <c r="BL809" s="430"/>
      <c r="BM809" s="430"/>
      <c r="BN809" s="430"/>
      <c r="BO809" s="430"/>
      <c r="BP809" s="430"/>
      <c r="BQ809" s="430"/>
      <c r="BR809" s="430"/>
      <c r="BS809" s="430"/>
      <c r="BT809" s="430"/>
      <c r="BU809" s="430"/>
      <c r="BV809" s="430"/>
      <c r="BW809" s="430"/>
      <c r="BX809" s="430"/>
      <c r="BY809" s="430"/>
      <c r="BZ809" s="430"/>
      <c r="CA809" s="430"/>
      <c r="CB809" s="430"/>
      <c r="CC809" s="430"/>
      <c r="CD809" s="430"/>
      <c r="CE809" s="430"/>
      <c r="CF809" s="430"/>
      <c r="CG809" s="430"/>
      <c r="CH809" s="430"/>
      <c r="CI809" s="430"/>
      <c r="CJ809" s="430"/>
      <c r="CK809" s="430"/>
      <c r="CL809" s="430"/>
    </row>
    <row r="810" spans="63:90" ht="14.25" customHeight="1">
      <c r="BK810" s="430"/>
      <c r="BL810" s="430"/>
      <c r="BM810" s="430"/>
      <c r="BN810" s="430"/>
      <c r="BO810" s="430"/>
      <c r="BP810" s="430"/>
      <c r="BQ810" s="430"/>
      <c r="BR810" s="430"/>
      <c r="BS810" s="430"/>
      <c r="BT810" s="430"/>
      <c r="BU810" s="430"/>
      <c r="BV810" s="430"/>
      <c r="BW810" s="430"/>
      <c r="BX810" s="430"/>
      <c r="BY810" s="430"/>
      <c r="BZ810" s="430"/>
      <c r="CA810" s="430"/>
      <c r="CB810" s="430"/>
      <c r="CC810" s="430"/>
      <c r="CD810" s="430"/>
      <c r="CE810" s="430"/>
      <c r="CF810" s="430"/>
      <c r="CG810" s="430"/>
      <c r="CH810" s="430"/>
      <c r="CI810" s="430"/>
      <c r="CJ810" s="430"/>
      <c r="CK810" s="430"/>
      <c r="CL810" s="430"/>
    </row>
    <row r="811" spans="63:90" ht="14.25" customHeight="1">
      <c r="BK811" s="430"/>
      <c r="BL811" s="430"/>
      <c r="BM811" s="430"/>
      <c r="BN811" s="430"/>
      <c r="BO811" s="430"/>
      <c r="BP811" s="430"/>
      <c r="BQ811" s="430"/>
      <c r="BR811" s="430"/>
      <c r="BS811" s="430"/>
      <c r="BT811" s="430"/>
      <c r="BU811" s="430"/>
      <c r="BV811" s="430"/>
      <c r="BW811" s="430"/>
      <c r="BX811" s="430"/>
      <c r="BY811" s="430"/>
      <c r="BZ811" s="430"/>
      <c r="CA811" s="430"/>
      <c r="CB811" s="430"/>
      <c r="CC811" s="430"/>
      <c r="CD811" s="430"/>
      <c r="CE811" s="430"/>
      <c r="CF811" s="430"/>
      <c r="CG811" s="430"/>
      <c r="CH811" s="430"/>
      <c r="CI811" s="430"/>
      <c r="CJ811" s="430"/>
      <c r="CK811" s="430"/>
      <c r="CL811" s="430"/>
    </row>
    <row r="812" spans="63:90" ht="14.25" customHeight="1">
      <c r="BK812" s="430"/>
      <c r="BL812" s="430"/>
      <c r="BM812" s="430"/>
      <c r="BN812" s="430"/>
      <c r="BO812" s="430"/>
      <c r="BP812" s="430"/>
      <c r="BQ812" s="430"/>
      <c r="BR812" s="430"/>
      <c r="BS812" s="430"/>
      <c r="BT812" s="430"/>
      <c r="BU812" s="430"/>
      <c r="BV812" s="430"/>
      <c r="BW812" s="430"/>
      <c r="BX812" s="430"/>
      <c r="BY812" s="430"/>
      <c r="BZ812" s="430"/>
      <c r="CA812" s="430"/>
      <c r="CB812" s="430"/>
      <c r="CC812" s="430"/>
      <c r="CD812" s="430"/>
      <c r="CE812" s="430"/>
      <c r="CF812" s="430"/>
      <c r="CG812" s="430"/>
      <c r="CH812" s="430"/>
      <c r="CI812" s="430"/>
      <c r="CJ812" s="430"/>
      <c r="CK812" s="430"/>
      <c r="CL812" s="430"/>
    </row>
    <row r="813" spans="63:90" ht="14.25" customHeight="1">
      <c r="BK813" s="430"/>
      <c r="BL813" s="430"/>
      <c r="BM813" s="430"/>
      <c r="BN813" s="430"/>
      <c r="BO813" s="430"/>
      <c r="BP813" s="430"/>
      <c r="BQ813" s="430"/>
      <c r="BR813" s="430"/>
      <c r="BS813" s="430"/>
      <c r="BT813" s="430"/>
      <c r="BU813" s="430"/>
      <c r="BV813" s="430"/>
      <c r="BW813" s="430"/>
      <c r="BX813" s="430"/>
      <c r="BY813" s="430"/>
      <c r="BZ813" s="430"/>
      <c r="CA813" s="430"/>
      <c r="CB813" s="430"/>
      <c r="CC813" s="430"/>
      <c r="CD813" s="430"/>
      <c r="CE813" s="430"/>
      <c r="CF813" s="430"/>
      <c r="CG813" s="430"/>
      <c r="CH813" s="430"/>
      <c r="CI813" s="430"/>
      <c r="CJ813" s="430"/>
      <c r="CK813" s="430"/>
      <c r="CL813" s="430"/>
    </row>
    <row r="814" spans="63:90" ht="14.25" customHeight="1">
      <c r="BK814" s="430"/>
      <c r="BL814" s="430"/>
      <c r="BM814" s="430"/>
      <c r="BN814" s="430"/>
      <c r="BO814" s="430"/>
      <c r="BP814" s="430"/>
      <c r="BQ814" s="430"/>
      <c r="BR814" s="430"/>
      <c r="BS814" s="430"/>
      <c r="BT814" s="430"/>
      <c r="BU814" s="430"/>
      <c r="BV814" s="430"/>
      <c r="BW814" s="430"/>
      <c r="BX814" s="430"/>
      <c r="BY814" s="430"/>
      <c r="BZ814" s="430"/>
      <c r="CA814" s="430"/>
      <c r="CB814" s="430"/>
      <c r="CC814" s="430"/>
      <c r="CD814" s="430"/>
      <c r="CE814" s="430"/>
      <c r="CF814" s="430"/>
      <c r="CG814" s="430"/>
      <c r="CH814" s="430"/>
      <c r="CI814" s="430"/>
      <c r="CJ814" s="430"/>
      <c r="CK814" s="430"/>
      <c r="CL814" s="430"/>
    </row>
    <row r="815" spans="63:90" ht="14.25" customHeight="1">
      <c r="BK815" s="430"/>
      <c r="BL815" s="430"/>
      <c r="BM815" s="430"/>
      <c r="BN815" s="430"/>
      <c r="BO815" s="430"/>
      <c r="BP815" s="430"/>
      <c r="BQ815" s="430"/>
      <c r="BR815" s="430"/>
      <c r="BS815" s="430"/>
      <c r="BT815" s="430"/>
      <c r="BU815" s="430"/>
      <c r="BV815" s="430"/>
      <c r="BW815" s="430"/>
      <c r="BX815" s="430"/>
      <c r="BY815" s="430"/>
      <c r="BZ815" s="430"/>
      <c r="CA815" s="430"/>
      <c r="CB815" s="430"/>
      <c r="CC815" s="430"/>
      <c r="CD815" s="430"/>
      <c r="CE815" s="430"/>
      <c r="CF815" s="430"/>
      <c r="CG815" s="430"/>
      <c r="CH815" s="430"/>
      <c r="CI815" s="430"/>
      <c r="CJ815" s="430"/>
      <c r="CK815" s="430"/>
      <c r="CL815" s="430"/>
    </row>
    <row r="816" spans="63:90" ht="14.25" customHeight="1">
      <c r="BK816" s="430"/>
      <c r="BL816" s="430"/>
      <c r="BM816" s="430"/>
      <c r="BN816" s="430"/>
      <c r="BO816" s="430"/>
      <c r="BP816" s="430"/>
      <c r="BQ816" s="430"/>
      <c r="BR816" s="430"/>
      <c r="BS816" s="430"/>
      <c r="BT816" s="430"/>
      <c r="BU816" s="430"/>
      <c r="BV816" s="430"/>
      <c r="BW816" s="430"/>
      <c r="BX816" s="430"/>
      <c r="BY816" s="430"/>
      <c r="BZ816" s="430"/>
      <c r="CA816" s="430"/>
      <c r="CB816" s="430"/>
      <c r="CC816" s="430"/>
      <c r="CD816" s="430"/>
      <c r="CE816" s="430"/>
      <c r="CF816" s="430"/>
      <c r="CG816" s="430"/>
      <c r="CH816" s="430"/>
      <c r="CI816" s="430"/>
      <c r="CJ816" s="430"/>
      <c r="CK816" s="430"/>
      <c r="CL816" s="430"/>
    </row>
    <row r="817" spans="63:90" ht="14.25" customHeight="1">
      <c r="BK817" s="430"/>
      <c r="BL817" s="430"/>
      <c r="BM817" s="430"/>
      <c r="BN817" s="430"/>
      <c r="BO817" s="430"/>
      <c r="BP817" s="430"/>
      <c r="BQ817" s="430"/>
      <c r="BR817" s="430"/>
      <c r="BS817" s="430"/>
      <c r="BT817" s="430"/>
      <c r="BU817" s="430"/>
      <c r="BV817" s="430"/>
      <c r="BW817" s="430"/>
      <c r="BX817" s="430"/>
      <c r="BY817" s="430"/>
      <c r="BZ817" s="430"/>
      <c r="CA817" s="430"/>
      <c r="CB817" s="430"/>
      <c r="CC817" s="430"/>
      <c r="CD817" s="430"/>
      <c r="CE817" s="430"/>
      <c r="CF817" s="430"/>
      <c r="CG817" s="430"/>
      <c r="CH817" s="430"/>
      <c r="CI817" s="430"/>
      <c r="CJ817" s="430"/>
      <c r="CK817" s="430"/>
      <c r="CL817" s="430"/>
    </row>
    <row r="818" spans="63:90" ht="14.25" customHeight="1">
      <c r="BK818" s="430"/>
      <c r="BL818" s="430"/>
      <c r="BM818" s="430"/>
      <c r="BN818" s="430"/>
      <c r="BO818" s="430"/>
      <c r="BP818" s="430"/>
      <c r="BQ818" s="430"/>
      <c r="BR818" s="430"/>
      <c r="BS818" s="430"/>
      <c r="BT818" s="430"/>
      <c r="BU818" s="430"/>
      <c r="BV818" s="430"/>
      <c r="BW818" s="430"/>
      <c r="BX818" s="430"/>
      <c r="BY818" s="430"/>
      <c r="BZ818" s="430"/>
      <c r="CA818" s="430"/>
      <c r="CB818" s="430"/>
      <c r="CC818" s="430"/>
      <c r="CD818" s="430"/>
      <c r="CE818" s="430"/>
      <c r="CF818" s="430"/>
      <c r="CG818" s="430"/>
      <c r="CH818" s="430"/>
      <c r="CI818" s="430"/>
      <c r="CJ818" s="430"/>
      <c r="CK818" s="430"/>
      <c r="CL818" s="430"/>
    </row>
    <row r="819" spans="63:90" ht="14.25" customHeight="1">
      <c r="BK819" s="430"/>
      <c r="BL819" s="430"/>
      <c r="BM819" s="430"/>
      <c r="BN819" s="430"/>
      <c r="BO819" s="430"/>
      <c r="BP819" s="430"/>
      <c r="BQ819" s="430"/>
      <c r="BR819" s="430"/>
      <c r="BS819" s="430"/>
      <c r="BT819" s="430"/>
      <c r="BU819" s="430"/>
      <c r="BV819" s="430"/>
      <c r="BW819" s="430"/>
      <c r="BX819" s="430"/>
      <c r="BY819" s="430"/>
      <c r="BZ819" s="430"/>
      <c r="CA819" s="430"/>
      <c r="CB819" s="430"/>
      <c r="CC819" s="430"/>
      <c r="CD819" s="430"/>
      <c r="CE819" s="430"/>
      <c r="CF819" s="430"/>
      <c r="CG819" s="430"/>
      <c r="CH819" s="430"/>
      <c r="CI819" s="430"/>
      <c r="CJ819" s="430"/>
      <c r="CK819" s="430"/>
      <c r="CL819" s="430"/>
    </row>
    <row r="820" spans="63:90" ht="14.25" customHeight="1">
      <c r="BK820" s="430"/>
      <c r="BL820" s="430"/>
      <c r="BM820" s="430"/>
      <c r="BN820" s="430"/>
      <c r="BO820" s="430"/>
      <c r="BP820" s="430"/>
      <c r="BQ820" s="430"/>
      <c r="BR820" s="430"/>
      <c r="BS820" s="430"/>
      <c r="BT820" s="430"/>
      <c r="BU820" s="430"/>
      <c r="BV820" s="430"/>
      <c r="BW820" s="430"/>
      <c r="BX820" s="430"/>
      <c r="BY820" s="430"/>
      <c r="BZ820" s="430"/>
      <c r="CA820" s="430"/>
      <c r="CB820" s="430"/>
      <c r="CC820" s="430"/>
      <c r="CD820" s="430"/>
      <c r="CE820" s="430"/>
      <c r="CF820" s="430"/>
      <c r="CG820" s="430"/>
      <c r="CH820" s="430"/>
      <c r="CI820" s="430"/>
      <c r="CJ820" s="430"/>
      <c r="CK820" s="430"/>
      <c r="CL820" s="430"/>
    </row>
    <row r="821" spans="63:90" ht="14.25" customHeight="1">
      <c r="BK821" s="430"/>
      <c r="BL821" s="430"/>
      <c r="BM821" s="430"/>
      <c r="BN821" s="430"/>
      <c r="BO821" s="430"/>
      <c r="BP821" s="430"/>
      <c r="BQ821" s="430"/>
      <c r="BR821" s="430"/>
      <c r="BS821" s="430"/>
      <c r="BT821" s="430"/>
      <c r="BU821" s="430"/>
      <c r="BV821" s="430"/>
      <c r="BW821" s="430"/>
      <c r="BX821" s="430"/>
      <c r="BY821" s="430"/>
      <c r="BZ821" s="430"/>
      <c r="CA821" s="430"/>
      <c r="CB821" s="430"/>
      <c r="CC821" s="430"/>
      <c r="CD821" s="430"/>
      <c r="CE821" s="430"/>
      <c r="CF821" s="430"/>
      <c r="CG821" s="430"/>
      <c r="CH821" s="430"/>
      <c r="CI821" s="430"/>
      <c r="CJ821" s="430"/>
      <c r="CK821" s="430"/>
      <c r="CL821" s="430"/>
    </row>
    <row r="822" spans="63:90" ht="14.25" customHeight="1">
      <c r="BK822" s="430"/>
      <c r="BL822" s="430"/>
      <c r="BM822" s="430"/>
      <c r="BN822" s="430"/>
      <c r="BO822" s="430"/>
      <c r="BP822" s="430"/>
      <c r="BQ822" s="430"/>
      <c r="BR822" s="430"/>
      <c r="BS822" s="430"/>
      <c r="BT822" s="430"/>
      <c r="BU822" s="430"/>
      <c r="BV822" s="430"/>
      <c r="BW822" s="430"/>
      <c r="BX822" s="430"/>
      <c r="BY822" s="430"/>
      <c r="BZ822" s="430"/>
      <c r="CA822" s="430"/>
      <c r="CB822" s="430"/>
      <c r="CC822" s="430"/>
      <c r="CD822" s="430"/>
      <c r="CE822" s="430"/>
      <c r="CF822" s="430"/>
      <c r="CG822" s="430"/>
      <c r="CH822" s="430"/>
      <c r="CI822" s="430"/>
      <c r="CJ822" s="430"/>
      <c r="CK822" s="430"/>
      <c r="CL822" s="430"/>
    </row>
    <row r="823" spans="63:90" ht="14.25" customHeight="1">
      <c r="BK823" s="430"/>
      <c r="BL823" s="430"/>
      <c r="BM823" s="430"/>
      <c r="BN823" s="430"/>
      <c r="BO823" s="430"/>
      <c r="BP823" s="430"/>
      <c r="BQ823" s="430"/>
      <c r="BR823" s="430"/>
      <c r="BS823" s="430"/>
      <c r="BT823" s="430"/>
      <c r="BU823" s="430"/>
      <c r="BV823" s="430"/>
      <c r="BW823" s="430"/>
      <c r="BX823" s="430"/>
      <c r="BY823" s="430"/>
      <c r="BZ823" s="430"/>
      <c r="CA823" s="430"/>
      <c r="CB823" s="430"/>
      <c r="CC823" s="430"/>
      <c r="CD823" s="430"/>
      <c r="CE823" s="430"/>
      <c r="CF823" s="430"/>
      <c r="CG823" s="430"/>
      <c r="CH823" s="430"/>
      <c r="CI823" s="430"/>
      <c r="CJ823" s="430"/>
      <c r="CK823" s="430"/>
      <c r="CL823" s="430"/>
    </row>
    <row r="824" spans="63:90" ht="14.25" customHeight="1">
      <c r="BK824" s="430"/>
      <c r="BL824" s="430"/>
      <c r="BM824" s="430"/>
      <c r="BN824" s="430"/>
      <c r="BO824" s="430"/>
      <c r="BP824" s="430"/>
      <c r="BQ824" s="430"/>
      <c r="BR824" s="430"/>
      <c r="BS824" s="430"/>
      <c r="BT824" s="430"/>
      <c r="BU824" s="430"/>
      <c r="BV824" s="430"/>
      <c r="BW824" s="430"/>
      <c r="BX824" s="430"/>
      <c r="BY824" s="430"/>
      <c r="BZ824" s="430"/>
      <c r="CA824" s="430"/>
      <c r="CB824" s="430"/>
      <c r="CC824" s="430"/>
      <c r="CD824" s="430"/>
      <c r="CE824" s="430"/>
      <c r="CF824" s="430"/>
      <c r="CG824" s="430"/>
      <c r="CH824" s="430"/>
      <c r="CI824" s="430"/>
      <c r="CJ824" s="430"/>
      <c r="CK824" s="430"/>
      <c r="CL824" s="430"/>
    </row>
    <row r="825" spans="63:90" ht="14.25" customHeight="1">
      <c r="BK825" s="430"/>
      <c r="BL825" s="430"/>
      <c r="BM825" s="430"/>
      <c r="BN825" s="430"/>
      <c r="BO825" s="430"/>
      <c r="BP825" s="430"/>
      <c r="BQ825" s="430"/>
      <c r="BR825" s="430"/>
      <c r="BS825" s="430"/>
      <c r="BT825" s="430"/>
      <c r="BU825" s="430"/>
      <c r="BV825" s="430"/>
      <c r="BW825" s="430"/>
      <c r="BX825" s="430"/>
      <c r="BY825" s="430"/>
      <c r="BZ825" s="430"/>
      <c r="CA825" s="430"/>
      <c r="CB825" s="430"/>
      <c r="CC825" s="430"/>
      <c r="CD825" s="430"/>
      <c r="CE825" s="430"/>
      <c r="CF825" s="430"/>
      <c r="CG825" s="430"/>
      <c r="CH825" s="430"/>
      <c r="CI825" s="430"/>
      <c r="CJ825" s="430"/>
      <c r="CK825" s="430"/>
      <c r="CL825" s="430"/>
    </row>
    <row r="826" spans="63:90" ht="14.25" customHeight="1">
      <c r="BK826" s="430"/>
      <c r="BL826" s="430"/>
      <c r="BM826" s="430"/>
      <c r="BN826" s="430"/>
      <c r="BO826" s="430"/>
      <c r="BP826" s="430"/>
      <c r="BQ826" s="430"/>
      <c r="BR826" s="430"/>
      <c r="BS826" s="430"/>
      <c r="BT826" s="430"/>
      <c r="BU826" s="430"/>
      <c r="BV826" s="430"/>
      <c r="BW826" s="430"/>
      <c r="BX826" s="430"/>
      <c r="BY826" s="430"/>
      <c r="BZ826" s="430"/>
      <c r="CA826" s="430"/>
      <c r="CB826" s="430"/>
      <c r="CC826" s="430"/>
      <c r="CD826" s="430"/>
      <c r="CE826" s="430"/>
      <c r="CF826" s="430"/>
      <c r="CG826" s="430"/>
      <c r="CH826" s="430"/>
      <c r="CI826" s="430"/>
      <c r="CJ826" s="430"/>
      <c r="CK826" s="430"/>
      <c r="CL826" s="430"/>
    </row>
    <row r="827" spans="63:90" ht="14.25" customHeight="1">
      <c r="BK827" s="430"/>
      <c r="BL827" s="430"/>
      <c r="BM827" s="430"/>
      <c r="BN827" s="430"/>
      <c r="BO827" s="430"/>
      <c r="BP827" s="430"/>
      <c r="BQ827" s="430"/>
      <c r="BR827" s="430"/>
      <c r="BS827" s="430"/>
      <c r="BT827" s="430"/>
      <c r="BU827" s="430"/>
      <c r="BV827" s="430"/>
      <c r="BW827" s="430"/>
      <c r="BX827" s="430"/>
      <c r="BY827" s="430"/>
      <c r="BZ827" s="430"/>
      <c r="CA827" s="430"/>
      <c r="CB827" s="430"/>
      <c r="CC827" s="430"/>
      <c r="CD827" s="430"/>
      <c r="CE827" s="430"/>
      <c r="CF827" s="430"/>
      <c r="CG827" s="430"/>
      <c r="CH827" s="430"/>
      <c r="CI827" s="430"/>
      <c r="CJ827" s="430"/>
      <c r="CK827" s="430"/>
      <c r="CL827" s="430"/>
    </row>
    <row r="828" spans="63:90" ht="14.25" customHeight="1">
      <c r="BK828" s="430"/>
      <c r="BL828" s="430"/>
      <c r="BM828" s="430"/>
      <c r="BN828" s="430"/>
      <c r="BO828" s="430"/>
      <c r="BP828" s="430"/>
      <c r="BQ828" s="430"/>
      <c r="BR828" s="430"/>
      <c r="BS828" s="430"/>
      <c r="BT828" s="430"/>
      <c r="BU828" s="430"/>
      <c r="BV828" s="430"/>
      <c r="BW828" s="430"/>
      <c r="BX828" s="430"/>
      <c r="BY828" s="430"/>
      <c r="BZ828" s="430"/>
      <c r="CA828" s="430"/>
      <c r="CB828" s="430"/>
      <c r="CC828" s="430"/>
      <c r="CD828" s="430"/>
      <c r="CE828" s="430"/>
      <c r="CF828" s="430"/>
      <c r="CG828" s="430"/>
      <c r="CH828" s="430"/>
      <c r="CI828" s="430"/>
      <c r="CJ828" s="430"/>
      <c r="CK828" s="430"/>
      <c r="CL828" s="430"/>
    </row>
    <row r="829" spans="63:90" ht="14.25" customHeight="1">
      <c r="BK829" s="430"/>
      <c r="BL829" s="430"/>
      <c r="BM829" s="430"/>
      <c r="BN829" s="430"/>
      <c r="BO829" s="430"/>
      <c r="BP829" s="430"/>
      <c r="BQ829" s="430"/>
      <c r="BR829" s="430"/>
      <c r="BS829" s="430"/>
      <c r="BT829" s="430"/>
      <c r="BU829" s="430"/>
      <c r="BV829" s="430"/>
      <c r="BW829" s="430"/>
      <c r="BX829" s="430"/>
      <c r="BY829" s="430"/>
      <c r="BZ829" s="430"/>
      <c r="CA829" s="430"/>
      <c r="CB829" s="430"/>
      <c r="CC829" s="430"/>
      <c r="CD829" s="430"/>
      <c r="CE829" s="430"/>
      <c r="CF829" s="430"/>
      <c r="CG829" s="430"/>
      <c r="CH829" s="430"/>
      <c r="CI829" s="430"/>
      <c r="CJ829" s="430"/>
      <c r="CK829" s="430"/>
      <c r="CL829" s="430"/>
    </row>
    <row r="830" spans="63:90" ht="14.25" customHeight="1">
      <c r="BK830" s="430"/>
      <c r="BL830" s="430"/>
      <c r="BM830" s="430"/>
      <c r="BN830" s="430"/>
      <c r="BO830" s="430"/>
      <c r="BP830" s="430"/>
      <c r="BQ830" s="430"/>
      <c r="BR830" s="430"/>
      <c r="BS830" s="430"/>
      <c r="BT830" s="430"/>
      <c r="BU830" s="430"/>
      <c r="BV830" s="430"/>
      <c r="BW830" s="430"/>
      <c r="BX830" s="430"/>
      <c r="BY830" s="430"/>
      <c r="BZ830" s="430"/>
      <c r="CA830" s="430"/>
      <c r="CB830" s="430"/>
      <c r="CC830" s="430"/>
      <c r="CD830" s="430"/>
      <c r="CE830" s="430"/>
      <c r="CF830" s="430"/>
      <c r="CG830" s="430"/>
      <c r="CH830" s="430"/>
      <c r="CI830" s="430"/>
      <c r="CJ830" s="430"/>
      <c r="CK830" s="430"/>
      <c r="CL830" s="430"/>
    </row>
    <row r="831" spans="63:90" ht="14.25" customHeight="1">
      <c r="BK831" s="430"/>
      <c r="BL831" s="430"/>
      <c r="BM831" s="430"/>
      <c r="BN831" s="430"/>
      <c r="BO831" s="430"/>
      <c r="BP831" s="430"/>
      <c r="BQ831" s="430"/>
      <c r="BR831" s="430"/>
      <c r="BS831" s="430"/>
      <c r="BT831" s="430"/>
      <c r="BU831" s="430"/>
      <c r="BV831" s="430"/>
      <c r="BW831" s="430"/>
      <c r="BX831" s="430"/>
      <c r="BY831" s="430"/>
      <c r="BZ831" s="430"/>
      <c r="CA831" s="430"/>
      <c r="CB831" s="430"/>
      <c r="CC831" s="430"/>
      <c r="CD831" s="430"/>
      <c r="CE831" s="430"/>
      <c r="CF831" s="430"/>
      <c r="CG831" s="430"/>
      <c r="CH831" s="430"/>
      <c r="CI831" s="430"/>
      <c r="CJ831" s="430"/>
      <c r="CK831" s="430"/>
      <c r="CL831" s="430"/>
    </row>
    <row r="832" spans="63:90" ht="14.25" customHeight="1">
      <c r="BK832" s="430"/>
      <c r="BL832" s="430"/>
      <c r="BM832" s="430"/>
      <c r="BN832" s="430"/>
      <c r="BO832" s="430"/>
      <c r="BP832" s="430"/>
      <c r="BQ832" s="430"/>
      <c r="BR832" s="430"/>
      <c r="BS832" s="430"/>
      <c r="BT832" s="430"/>
      <c r="BU832" s="430"/>
      <c r="BV832" s="430"/>
      <c r="BW832" s="430"/>
      <c r="BX832" s="430"/>
      <c r="BY832" s="430"/>
      <c r="BZ832" s="430"/>
      <c r="CA832" s="430"/>
      <c r="CB832" s="430"/>
      <c r="CC832" s="430"/>
      <c r="CD832" s="430"/>
      <c r="CE832" s="430"/>
      <c r="CF832" s="430"/>
      <c r="CG832" s="430"/>
      <c r="CH832" s="430"/>
      <c r="CI832" s="430"/>
      <c r="CJ832" s="430"/>
      <c r="CK832" s="430"/>
      <c r="CL832" s="430"/>
    </row>
    <row r="833" spans="63:90" ht="14.25" customHeight="1">
      <c r="BK833" s="430"/>
      <c r="BL833" s="430"/>
      <c r="BM833" s="430"/>
      <c r="BN833" s="430"/>
      <c r="BO833" s="430"/>
      <c r="BP833" s="430"/>
      <c r="BQ833" s="430"/>
      <c r="BR833" s="430"/>
      <c r="BS833" s="430"/>
      <c r="BT833" s="430"/>
      <c r="BU833" s="430"/>
      <c r="BV833" s="430"/>
      <c r="BW833" s="430"/>
      <c r="BX833" s="430"/>
      <c r="BY833" s="430"/>
      <c r="BZ833" s="430"/>
      <c r="CA833" s="430"/>
      <c r="CB833" s="430"/>
      <c r="CC833" s="430"/>
      <c r="CD833" s="430"/>
      <c r="CE833" s="430"/>
      <c r="CF833" s="430"/>
      <c r="CG833" s="430"/>
      <c r="CH833" s="430"/>
      <c r="CI833" s="430"/>
      <c r="CJ833" s="430"/>
      <c r="CK833" s="430"/>
      <c r="CL833" s="430"/>
    </row>
    <row r="834" spans="63:90" ht="14.25" customHeight="1">
      <c r="BK834" s="430"/>
      <c r="BL834" s="430"/>
      <c r="BM834" s="430"/>
      <c r="BN834" s="430"/>
      <c r="BO834" s="430"/>
      <c r="BP834" s="430"/>
      <c r="BQ834" s="430"/>
      <c r="BR834" s="430"/>
      <c r="BS834" s="430"/>
      <c r="BT834" s="430"/>
      <c r="BU834" s="430"/>
      <c r="BV834" s="430"/>
      <c r="BW834" s="430"/>
      <c r="BX834" s="430"/>
      <c r="BY834" s="430"/>
      <c r="BZ834" s="430"/>
      <c r="CA834" s="430"/>
      <c r="CB834" s="430"/>
      <c r="CC834" s="430"/>
      <c r="CD834" s="430"/>
      <c r="CE834" s="430"/>
      <c r="CF834" s="430"/>
      <c r="CG834" s="430"/>
      <c r="CH834" s="430"/>
      <c r="CI834" s="430"/>
      <c r="CJ834" s="430"/>
      <c r="CK834" s="430"/>
      <c r="CL834" s="430"/>
    </row>
    <row r="835" spans="63:90" ht="14.25" customHeight="1">
      <c r="BK835" s="430"/>
      <c r="BL835" s="430"/>
      <c r="BM835" s="430"/>
      <c r="BN835" s="430"/>
      <c r="BO835" s="430"/>
      <c r="BP835" s="430"/>
      <c r="BQ835" s="430"/>
      <c r="BR835" s="430"/>
      <c r="BS835" s="430"/>
      <c r="BT835" s="430"/>
      <c r="BU835" s="430"/>
      <c r="BV835" s="430"/>
      <c r="BW835" s="430"/>
      <c r="BX835" s="430"/>
      <c r="BY835" s="430"/>
      <c r="BZ835" s="430"/>
      <c r="CA835" s="430"/>
      <c r="CB835" s="430"/>
      <c r="CC835" s="430"/>
      <c r="CD835" s="430"/>
      <c r="CE835" s="430"/>
      <c r="CF835" s="430"/>
      <c r="CG835" s="430"/>
      <c r="CH835" s="430"/>
      <c r="CI835" s="430"/>
      <c r="CJ835" s="430"/>
      <c r="CK835" s="430"/>
      <c r="CL835" s="430"/>
    </row>
    <row r="836" spans="63:90" ht="14.25" customHeight="1">
      <c r="BK836" s="430"/>
      <c r="BL836" s="430"/>
      <c r="BM836" s="430"/>
      <c r="BN836" s="430"/>
      <c r="BO836" s="430"/>
      <c r="BP836" s="430"/>
      <c r="BQ836" s="430"/>
      <c r="BR836" s="430"/>
      <c r="BS836" s="430"/>
      <c r="BT836" s="430"/>
      <c r="BU836" s="430"/>
      <c r="BV836" s="430"/>
      <c r="BW836" s="430"/>
      <c r="BX836" s="430"/>
      <c r="BY836" s="430"/>
      <c r="BZ836" s="430"/>
      <c r="CA836" s="430"/>
      <c r="CB836" s="430"/>
      <c r="CC836" s="430"/>
      <c r="CD836" s="430"/>
      <c r="CE836" s="430"/>
      <c r="CF836" s="430"/>
      <c r="CG836" s="430"/>
      <c r="CH836" s="430"/>
      <c r="CI836" s="430"/>
      <c r="CJ836" s="430"/>
      <c r="CK836" s="430"/>
      <c r="CL836" s="430"/>
    </row>
    <row r="837" spans="63:90" ht="14.25" customHeight="1">
      <c r="BK837" s="430"/>
      <c r="BL837" s="430"/>
      <c r="BM837" s="430"/>
      <c r="BN837" s="430"/>
      <c r="BO837" s="430"/>
      <c r="BP837" s="430"/>
      <c r="BQ837" s="430"/>
      <c r="BR837" s="430"/>
      <c r="BS837" s="430"/>
      <c r="BT837" s="430"/>
      <c r="BU837" s="430"/>
      <c r="BV837" s="430"/>
      <c r="BW837" s="430"/>
      <c r="BX837" s="430"/>
      <c r="BY837" s="430"/>
      <c r="BZ837" s="430"/>
      <c r="CA837" s="430"/>
      <c r="CB837" s="430"/>
      <c r="CC837" s="430"/>
      <c r="CD837" s="430"/>
      <c r="CE837" s="430"/>
      <c r="CF837" s="430"/>
      <c r="CG837" s="430"/>
      <c r="CH837" s="430"/>
      <c r="CI837" s="430"/>
      <c r="CJ837" s="430"/>
      <c r="CK837" s="430"/>
      <c r="CL837" s="430"/>
    </row>
    <row r="838" spans="63:90" ht="14.25" customHeight="1">
      <c r="BK838" s="430"/>
      <c r="BL838" s="430"/>
      <c r="BM838" s="430"/>
      <c r="BN838" s="430"/>
      <c r="BO838" s="430"/>
      <c r="BP838" s="430"/>
      <c r="BQ838" s="430"/>
      <c r="BR838" s="430"/>
      <c r="BS838" s="430"/>
      <c r="BT838" s="430"/>
      <c r="BU838" s="430"/>
      <c r="BV838" s="430"/>
      <c r="BW838" s="430"/>
      <c r="BX838" s="430"/>
      <c r="BY838" s="430"/>
      <c r="BZ838" s="430"/>
      <c r="CA838" s="430"/>
      <c r="CB838" s="430"/>
      <c r="CC838" s="430"/>
      <c r="CD838" s="430"/>
      <c r="CE838" s="430"/>
      <c r="CF838" s="430"/>
      <c r="CG838" s="430"/>
      <c r="CH838" s="430"/>
      <c r="CI838" s="430"/>
      <c r="CJ838" s="430"/>
      <c r="CK838" s="430"/>
      <c r="CL838" s="430"/>
    </row>
    <row r="839" spans="63:90" ht="14.25" customHeight="1">
      <c r="BK839" s="430"/>
      <c r="BL839" s="430"/>
      <c r="BM839" s="430"/>
      <c r="BN839" s="430"/>
      <c r="BO839" s="430"/>
      <c r="BP839" s="430"/>
      <c r="BQ839" s="430"/>
      <c r="BR839" s="430"/>
      <c r="BS839" s="430"/>
      <c r="BT839" s="430"/>
      <c r="BU839" s="430"/>
      <c r="BV839" s="430"/>
      <c r="BW839" s="430"/>
      <c r="BX839" s="430"/>
      <c r="BY839" s="430"/>
      <c r="BZ839" s="430"/>
      <c r="CA839" s="430"/>
      <c r="CB839" s="430"/>
      <c r="CC839" s="430"/>
      <c r="CD839" s="430"/>
      <c r="CE839" s="430"/>
      <c r="CF839" s="430"/>
      <c r="CG839" s="430"/>
      <c r="CH839" s="430"/>
      <c r="CI839" s="430"/>
      <c r="CJ839" s="430"/>
      <c r="CK839" s="430"/>
      <c r="CL839" s="430"/>
    </row>
    <row r="840" spans="63:90" ht="14.25" customHeight="1">
      <c r="BK840" s="430"/>
      <c r="BL840" s="430"/>
      <c r="BM840" s="430"/>
      <c r="BN840" s="430"/>
      <c r="BO840" s="430"/>
      <c r="BP840" s="430"/>
      <c r="BQ840" s="430"/>
      <c r="BR840" s="430"/>
      <c r="BS840" s="430"/>
      <c r="BT840" s="430"/>
      <c r="BU840" s="430"/>
      <c r="BV840" s="430"/>
      <c r="BW840" s="430"/>
      <c r="BX840" s="430"/>
      <c r="BY840" s="430"/>
      <c r="BZ840" s="430"/>
      <c r="CA840" s="430"/>
      <c r="CB840" s="430"/>
      <c r="CC840" s="430"/>
      <c r="CD840" s="430"/>
      <c r="CE840" s="430"/>
      <c r="CF840" s="430"/>
      <c r="CG840" s="430"/>
      <c r="CH840" s="430"/>
      <c r="CI840" s="430"/>
      <c r="CJ840" s="430"/>
      <c r="CK840" s="430"/>
      <c r="CL840" s="430"/>
    </row>
    <row r="841" spans="63:90" ht="14.25" customHeight="1">
      <c r="BK841" s="430"/>
      <c r="BL841" s="430"/>
      <c r="BM841" s="430"/>
      <c r="BN841" s="430"/>
      <c r="BO841" s="430"/>
      <c r="BP841" s="430"/>
      <c r="BQ841" s="430"/>
      <c r="BR841" s="430"/>
      <c r="BS841" s="430"/>
      <c r="BT841" s="430"/>
      <c r="BU841" s="430"/>
      <c r="BV841" s="430"/>
      <c r="BW841" s="430"/>
      <c r="BX841" s="430"/>
      <c r="BY841" s="430"/>
      <c r="BZ841" s="430"/>
      <c r="CA841" s="430"/>
      <c r="CB841" s="430"/>
      <c r="CC841" s="430"/>
      <c r="CD841" s="430"/>
      <c r="CE841" s="430"/>
      <c r="CF841" s="430"/>
      <c r="CG841" s="430"/>
      <c r="CH841" s="430"/>
      <c r="CI841" s="430"/>
      <c r="CJ841" s="430"/>
      <c r="CK841" s="430"/>
      <c r="CL841" s="430"/>
    </row>
    <row r="842" spans="63:90" ht="14.25" customHeight="1">
      <c r="BK842" s="430"/>
      <c r="BL842" s="430"/>
      <c r="BM842" s="430"/>
      <c r="BN842" s="430"/>
      <c r="BO842" s="430"/>
      <c r="BP842" s="430"/>
      <c r="BQ842" s="430"/>
      <c r="BR842" s="430"/>
      <c r="BS842" s="430"/>
      <c r="BT842" s="430"/>
      <c r="BU842" s="430"/>
      <c r="BV842" s="430"/>
      <c r="BW842" s="430"/>
      <c r="BX842" s="430"/>
      <c r="BY842" s="430"/>
      <c r="BZ842" s="430"/>
      <c r="CA842" s="430"/>
      <c r="CB842" s="430"/>
      <c r="CC842" s="430"/>
      <c r="CD842" s="430"/>
      <c r="CE842" s="430"/>
      <c r="CF842" s="430"/>
      <c r="CG842" s="430"/>
      <c r="CH842" s="430"/>
      <c r="CI842" s="430"/>
      <c r="CJ842" s="430"/>
      <c r="CK842" s="430"/>
      <c r="CL842" s="430"/>
    </row>
    <row r="843" spans="63:90" ht="14.25" customHeight="1">
      <c r="BK843" s="430"/>
      <c r="BL843" s="430"/>
      <c r="BM843" s="430"/>
      <c r="BN843" s="430"/>
      <c r="BO843" s="430"/>
      <c r="BP843" s="430"/>
      <c r="BQ843" s="430"/>
      <c r="BR843" s="430"/>
      <c r="BS843" s="430"/>
      <c r="BT843" s="430"/>
      <c r="BU843" s="430"/>
      <c r="BV843" s="430"/>
      <c r="BW843" s="430"/>
      <c r="BX843" s="430"/>
      <c r="BY843" s="430"/>
      <c r="BZ843" s="430"/>
      <c r="CA843" s="430"/>
      <c r="CB843" s="430"/>
      <c r="CC843" s="430"/>
      <c r="CD843" s="430"/>
      <c r="CE843" s="430"/>
      <c r="CF843" s="430"/>
      <c r="CG843" s="430"/>
      <c r="CH843" s="430"/>
      <c r="CI843" s="430"/>
      <c r="CJ843" s="430"/>
      <c r="CK843" s="430"/>
      <c r="CL843" s="430"/>
    </row>
    <row r="844" spans="63:90" ht="14.25" customHeight="1">
      <c r="BK844" s="430"/>
      <c r="BL844" s="430"/>
      <c r="BM844" s="430"/>
      <c r="BN844" s="430"/>
      <c r="BO844" s="430"/>
      <c r="BP844" s="430"/>
      <c r="BQ844" s="430"/>
      <c r="BR844" s="430"/>
      <c r="BS844" s="430"/>
      <c r="BT844" s="430"/>
      <c r="BU844" s="430"/>
      <c r="BV844" s="430"/>
      <c r="BW844" s="430"/>
      <c r="BX844" s="430"/>
      <c r="BY844" s="430"/>
      <c r="BZ844" s="430"/>
      <c r="CA844" s="430"/>
      <c r="CB844" s="430"/>
      <c r="CC844" s="430"/>
      <c r="CD844" s="430"/>
      <c r="CE844" s="430"/>
      <c r="CF844" s="430"/>
      <c r="CG844" s="430"/>
      <c r="CH844" s="430"/>
      <c r="CI844" s="430"/>
      <c r="CJ844" s="430"/>
      <c r="CK844" s="430"/>
      <c r="CL844" s="430"/>
    </row>
    <row r="845" spans="63:90" ht="14.25" customHeight="1">
      <c r="BK845" s="430"/>
      <c r="BL845" s="430"/>
      <c r="BM845" s="430"/>
      <c r="BN845" s="430"/>
      <c r="BO845" s="430"/>
      <c r="BP845" s="430"/>
      <c r="BQ845" s="430"/>
      <c r="BR845" s="430"/>
      <c r="BS845" s="430"/>
      <c r="BT845" s="430"/>
      <c r="BU845" s="430"/>
      <c r="BV845" s="430"/>
      <c r="BW845" s="430"/>
      <c r="BX845" s="430"/>
      <c r="BY845" s="430"/>
      <c r="BZ845" s="430"/>
      <c r="CA845" s="430"/>
      <c r="CB845" s="430"/>
      <c r="CC845" s="430"/>
      <c r="CD845" s="430"/>
      <c r="CE845" s="430"/>
      <c r="CF845" s="430"/>
      <c r="CG845" s="430"/>
      <c r="CH845" s="430"/>
      <c r="CI845" s="430"/>
      <c r="CJ845" s="430"/>
      <c r="CK845" s="430"/>
      <c r="CL845" s="430"/>
    </row>
    <row r="846" spans="63:90" ht="14.25" customHeight="1">
      <c r="BK846" s="430"/>
      <c r="BL846" s="430"/>
      <c r="BM846" s="430"/>
      <c r="BN846" s="430"/>
      <c r="BO846" s="430"/>
      <c r="BP846" s="430"/>
      <c r="BQ846" s="430"/>
      <c r="BR846" s="430"/>
      <c r="BS846" s="430"/>
      <c r="BT846" s="430"/>
      <c r="BU846" s="430"/>
      <c r="BV846" s="430"/>
      <c r="BW846" s="430"/>
      <c r="BX846" s="430"/>
      <c r="BY846" s="430"/>
      <c r="BZ846" s="430"/>
      <c r="CA846" s="430"/>
      <c r="CB846" s="430"/>
      <c r="CC846" s="430"/>
      <c r="CD846" s="430"/>
      <c r="CE846" s="430"/>
      <c r="CF846" s="430"/>
      <c r="CG846" s="430"/>
      <c r="CH846" s="430"/>
      <c r="CI846" s="430"/>
      <c r="CJ846" s="430"/>
      <c r="CK846" s="430"/>
      <c r="CL846" s="430"/>
    </row>
    <row r="847" spans="63:90" ht="14.25" customHeight="1">
      <c r="BK847" s="430"/>
      <c r="BL847" s="430"/>
      <c r="BM847" s="430"/>
      <c r="BN847" s="430"/>
      <c r="BO847" s="430"/>
      <c r="BP847" s="430"/>
      <c r="BQ847" s="430"/>
      <c r="BR847" s="430"/>
      <c r="BS847" s="430"/>
      <c r="BT847" s="430"/>
      <c r="BU847" s="430"/>
      <c r="BV847" s="430"/>
      <c r="BW847" s="430"/>
      <c r="BX847" s="430"/>
      <c r="BY847" s="430"/>
      <c r="BZ847" s="430"/>
      <c r="CA847" s="430"/>
      <c r="CB847" s="430"/>
      <c r="CC847" s="430"/>
      <c r="CD847" s="430"/>
      <c r="CE847" s="430"/>
      <c r="CF847" s="430"/>
      <c r="CG847" s="430"/>
      <c r="CH847" s="430"/>
      <c r="CI847" s="430"/>
      <c r="CJ847" s="430"/>
      <c r="CK847" s="430"/>
      <c r="CL847" s="430"/>
    </row>
    <row r="848" spans="63:90" ht="14.25" customHeight="1">
      <c r="BK848" s="430"/>
      <c r="BL848" s="430"/>
      <c r="BM848" s="430"/>
      <c r="BN848" s="430"/>
      <c r="BO848" s="430"/>
      <c r="BP848" s="430"/>
      <c r="BQ848" s="430"/>
      <c r="BR848" s="430"/>
      <c r="BS848" s="430"/>
      <c r="BT848" s="430"/>
      <c r="BU848" s="430"/>
      <c r="BV848" s="430"/>
      <c r="BW848" s="430"/>
      <c r="BX848" s="430"/>
      <c r="BY848" s="430"/>
      <c r="BZ848" s="430"/>
      <c r="CA848" s="430"/>
      <c r="CB848" s="430"/>
      <c r="CC848" s="430"/>
      <c r="CD848" s="430"/>
      <c r="CE848" s="430"/>
      <c r="CF848" s="430"/>
      <c r="CG848" s="430"/>
      <c r="CH848" s="430"/>
      <c r="CI848" s="430"/>
      <c r="CJ848" s="430"/>
      <c r="CK848" s="430"/>
      <c r="CL848" s="430"/>
    </row>
    <row r="849" spans="63:90" ht="14.25" customHeight="1">
      <c r="BK849" s="430"/>
      <c r="BL849" s="430"/>
      <c r="BM849" s="430"/>
      <c r="BN849" s="430"/>
      <c r="BO849" s="430"/>
      <c r="BP849" s="430"/>
      <c r="BQ849" s="430"/>
      <c r="BR849" s="430"/>
      <c r="BS849" s="430"/>
      <c r="BT849" s="430"/>
      <c r="BU849" s="430"/>
      <c r="BV849" s="430"/>
      <c r="BW849" s="430"/>
      <c r="BX849" s="430"/>
      <c r="BY849" s="430"/>
      <c r="BZ849" s="430"/>
      <c r="CA849" s="430"/>
      <c r="CB849" s="430"/>
      <c r="CC849" s="430"/>
      <c r="CD849" s="430"/>
      <c r="CE849" s="430"/>
      <c r="CF849" s="430"/>
      <c r="CG849" s="430"/>
      <c r="CH849" s="430"/>
      <c r="CI849" s="430"/>
      <c r="CJ849" s="430"/>
      <c r="CK849" s="430"/>
      <c r="CL849" s="430"/>
    </row>
    <row r="850" spans="63:90" ht="14.25" customHeight="1">
      <c r="BK850" s="430"/>
      <c r="BL850" s="430"/>
      <c r="BM850" s="430"/>
      <c r="BN850" s="430"/>
      <c r="BO850" s="430"/>
      <c r="BP850" s="430"/>
      <c r="BQ850" s="430"/>
      <c r="BR850" s="430"/>
      <c r="BS850" s="430"/>
      <c r="BT850" s="430"/>
      <c r="BU850" s="430"/>
      <c r="BV850" s="430"/>
      <c r="BW850" s="430"/>
      <c r="BX850" s="430"/>
      <c r="BY850" s="430"/>
      <c r="BZ850" s="430"/>
      <c r="CA850" s="430"/>
      <c r="CB850" s="430"/>
      <c r="CC850" s="430"/>
      <c r="CD850" s="430"/>
      <c r="CE850" s="430"/>
      <c r="CF850" s="430"/>
      <c r="CG850" s="430"/>
      <c r="CH850" s="430"/>
      <c r="CI850" s="430"/>
      <c r="CJ850" s="430"/>
      <c r="CK850" s="430"/>
      <c r="CL850" s="430"/>
    </row>
    <row r="851" spans="63:90" ht="14.25" customHeight="1">
      <c r="BK851" s="430"/>
      <c r="BL851" s="430"/>
      <c r="BM851" s="430"/>
      <c r="BN851" s="430"/>
      <c r="BO851" s="430"/>
      <c r="BP851" s="430"/>
      <c r="BQ851" s="430"/>
      <c r="BR851" s="430"/>
      <c r="BS851" s="430"/>
      <c r="BT851" s="430"/>
      <c r="BU851" s="430"/>
      <c r="BV851" s="430"/>
      <c r="BW851" s="430"/>
      <c r="BX851" s="430"/>
      <c r="BY851" s="430"/>
      <c r="BZ851" s="430"/>
      <c r="CA851" s="430"/>
      <c r="CB851" s="430"/>
      <c r="CC851" s="430"/>
      <c r="CD851" s="430"/>
      <c r="CE851" s="430"/>
      <c r="CF851" s="430"/>
      <c r="CG851" s="430"/>
      <c r="CH851" s="430"/>
      <c r="CI851" s="430"/>
      <c r="CJ851" s="430"/>
      <c r="CK851" s="430"/>
      <c r="CL851" s="430"/>
    </row>
    <row r="852" spans="63:90" ht="14.25" customHeight="1">
      <c r="BK852" s="430"/>
      <c r="BL852" s="430"/>
      <c r="BM852" s="430"/>
      <c r="BN852" s="430"/>
      <c r="BO852" s="430"/>
      <c r="BP852" s="430"/>
      <c r="BQ852" s="430"/>
      <c r="BR852" s="430"/>
      <c r="BS852" s="430"/>
      <c r="BT852" s="430"/>
      <c r="BU852" s="430"/>
      <c r="BV852" s="430"/>
      <c r="BW852" s="430"/>
      <c r="BX852" s="430"/>
      <c r="BY852" s="430"/>
      <c r="BZ852" s="430"/>
      <c r="CA852" s="430"/>
      <c r="CB852" s="430"/>
      <c r="CC852" s="430"/>
      <c r="CD852" s="430"/>
      <c r="CE852" s="430"/>
      <c r="CF852" s="430"/>
      <c r="CG852" s="430"/>
      <c r="CH852" s="430"/>
      <c r="CI852" s="430"/>
      <c r="CJ852" s="430"/>
      <c r="CK852" s="430"/>
      <c r="CL852" s="430"/>
    </row>
    <row r="853" spans="63:90" ht="14.25" customHeight="1">
      <c r="BK853" s="430"/>
      <c r="BL853" s="430"/>
      <c r="BM853" s="430"/>
      <c r="BN853" s="430"/>
      <c r="BO853" s="430"/>
      <c r="BP853" s="430"/>
      <c r="BQ853" s="430"/>
      <c r="BR853" s="430"/>
      <c r="BS853" s="430"/>
      <c r="BT853" s="430"/>
      <c r="BU853" s="430"/>
      <c r="BV853" s="430"/>
      <c r="BW853" s="430"/>
      <c r="BX853" s="430"/>
      <c r="BY853" s="430"/>
      <c r="BZ853" s="430"/>
      <c r="CA853" s="430"/>
      <c r="CB853" s="430"/>
      <c r="CC853" s="430"/>
      <c r="CD853" s="430"/>
      <c r="CE853" s="430"/>
      <c r="CF853" s="430"/>
      <c r="CG853" s="430"/>
      <c r="CH853" s="430"/>
      <c r="CI853" s="430"/>
      <c r="CJ853" s="430"/>
      <c r="CK853" s="430"/>
      <c r="CL853" s="430"/>
    </row>
    <row r="854" spans="63:90" ht="14.25" customHeight="1">
      <c r="BK854" s="430"/>
      <c r="BL854" s="430"/>
      <c r="BM854" s="430"/>
      <c r="BN854" s="430"/>
      <c r="BO854" s="430"/>
      <c r="BP854" s="430"/>
      <c r="BQ854" s="430"/>
      <c r="BR854" s="430"/>
      <c r="BS854" s="430"/>
      <c r="BT854" s="430"/>
      <c r="BU854" s="430"/>
      <c r="BV854" s="430"/>
      <c r="BW854" s="430"/>
      <c r="BX854" s="430"/>
      <c r="BY854" s="430"/>
      <c r="BZ854" s="430"/>
      <c r="CA854" s="430"/>
      <c r="CB854" s="430"/>
      <c r="CC854" s="430"/>
      <c r="CD854" s="430"/>
      <c r="CE854" s="430"/>
      <c r="CF854" s="430"/>
      <c r="CG854" s="430"/>
      <c r="CH854" s="430"/>
      <c r="CI854" s="430"/>
      <c r="CJ854" s="430"/>
      <c r="CK854" s="430"/>
      <c r="CL854" s="430"/>
    </row>
    <row r="855" spans="63:90" ht="14.25" customHeight="1">
      <c r="BK855" s="430"/>
      <c r="BL855" s="430"/>
      <c r="BM855" s="430"/>
      <c r="BN855" s="430"/>
      <c r="BO855" s="430"/>
      <c r="BP855" s="430"/>
      <c r="BQ855" s="430"/>
      <c r="BR855" s="430"/>
      <c r="BS855" s="430"/>
      <c r="BT855" s="430"/>
      <c r="BU855" s="430"/>
      <c r="BV855" s="430"/>
      <c r="BW855" s="430"/>
      <c r="BX855" s="430"/>
      <c r="BY855" s="430"/>
      <c r="BZ855" s="430"/>
      <c r="CA855" s="430"/>
      <c r="CB855" s="430"/>
      <c r="CC855" s="430"/>
      <c r="CD855" s="430"/>
      <c r="CE855" s="430"/>
      <c r="CF855" s="430"/>
      <c r="CG855" s="430"/>
      <c r="CH855" s="430"/>
      <c r="CI855" s="430"/>
      <c r="CJ855" s="430"/>
      <c r="CK855" s="430"/>
      <c r="CL855" s="430"/>
    </row>
    <row r="856" spans="63:90" ht="14.25" customHeight="1">
      <c r="BK856" s="430"/>
      <c r="BL856" s="430"/>
      <c r="BM856" s="430"/>
      <c r="BN856" s="430"/>
      <c r="BO856" s="430"/>
      <c r="BP856" s="430"/>
      <c r="BQ856" s="430"/>
      <c r="BR856" s="430"/>
      <c r="BS856" s="430"/>
      <c r="BT856" s="430"/>
      <c r="BU856" s="430"/>
      <c r="BV856" s="430"/>
      <c r="BW856" s="430"/>
      <c r="BX856" s="430"/>
      <c r="BY856" s="430"/>
      <c r="BZ856" s="430"/>
      <c r="CA856" s="430"/>
      <c r="CB856" s="430"/>
      <c r="CC856" s="430"/>
      <c r="CD856" s="430"/>
      <c r="CE856" s="430"/>
      <c r="CF856" s="430"/>
      <c r="CG856" s="430"/>
      <c r="CH856" s="430"/>
      <c r="CI856" s="430"/>
      <c r="CJ856" s="430"/>
      <c r="CK856" s="430"/>
      <c r="CL856" s="430"/>
    </row>
    <row r="857" spans="63:90" ht="14.25" customHeight="1">
      <c r="BK857" s="430"/>
      <c r="BL857" s="430"/>
      <c r="BM857" s="430"/>
      <c r="BN857" s="430"/>
      <c r="BO857" s="430"/>
      <c r="BP857" s="430"/>
      <c r="BQ857" s="430"/>
      <c r="BR857" s="430"/>
      <c r="BS857" s="430"/>
      <c r="BT857" s="430"/>
      <c r="BU857" s="430"/>
      <c r="BV857" s="430"/>
      <c r="BW857" s="430"/>
      <c r="BX857" s="430"/>
      <c r="BY857" s="430"/>
      <c r="BZ857" s="430"/>
      <c r="CA857" s="430"/>
      <c r="CB857" s="430"/>
      <c r="CC857" s="430"/>
      <c r="CD857" s="430"/>
      <c r="CE857" s="430"/>
      <c r="CF857" s="430"/>
      <c r="CG857" s="430"/>
      <c r="CH857" s="430"/>
      <c r="CI857" s="430"/>
      <c r="CJ857" s="430"/>
      <c r="CK857" s="430"/>
      <c r="CL857" s="430"/>
    </row>
    <row r="858" spans="63:90" ht="14.25" customHeight="1">
      <c r="BK858" s="430"/>
      <c r="BL858" s="430"/>
      <c r="BM858" s="430"/>
      <c r="BN858" s="430"/>
      <c r="BO858" s="430"/>
      <c r="BP858" s="430"/>
      <c r="BQ858" s="430"/>
      <c r="BR858" s="430"/>
      <c r="BS858" s="430"/>
      <c r="BT858" s="430"/>
      <c r="BU858" s="430"/>
      <c r="BV858" s="430"/>
      <c r="BW858" s="430"/>
      <c r="BX858" s="430"/>
      <c r="BY858" s="430"/>
      <c r="BZ858" s="430"/>
      <c r="CA858" s="430"/>
      <c r="CB858" s="430"/>
      <c r="CC858" s="430"/>
      <c r="CD858" s="430"/>
      <c r="CE858" s="430"/>
      <c r="CF858" s="430"/>
      <c r="CG858" s="430"/>
      <c r="CH858" s="430"/>
      <c r="CI858" s="430"/>
      <c r="CJ858" s="430"/>
      <c r="CK858" s="430"/>
      <c r="CL858" s="430"/>
    </row>
    <row r="859" spans="63:90" ht="14.25" customHeight="1">
      <c r="BK859" s="430"/>
      <c r="BL859" s="430"/>
      <c r="BM859" s="430"/>
      <c r="BN859" s="430"/>
      <c r="BO859" s="430"/>
      <c r="BP859" s="430"/>
      <c r="BQ859" s="430"/>
      <c r="BR859" s="430"/>
      <c r="BS859" s="430"/>
      <c r="BT859" s="430"/>
      <c r="BU859" s="430"/>
      <c r="BV859" s="430"/>
      <c r="BW859" s="430"/>
      <c r="BX859" s="430"/>
      <c r="BY859" s="430"/>
      <c r="BZ859" s="430"/>
      <c r="CA859" s="430"/>
      <c r="CB859" s="430"/>
      <c r="CC859" s="430"/>
      <c r="CD859" s="430"/>
      <c r="CE859" s="430"/>
      <c r="CF859" s="430"/>
      <c r="CG859" s="430"/>
      <c r="CH859" s="430"/>
      <c r="CI859" s="430"/>
      <c r="CJ859" s="430"/>
      <c r="CK859" s="430"/>
      <c r="CL859" s="430"/>
    </row>
    <row r="860" spans="63:90" ht="14.25" customHeight="1">
      <c r="BK860" s="430"/>
      <c r="BL860" s="430"/>
      <c r="BM860" s="430"/>
      <c r="BN860" s="430"/>
      <c r="BO860" s="430"/>
      <c r="BP860" s="430"/>
      <c r="BQ860" s="430"/>
      <c r="BR860" s="430"/>
      <c r="BS860" s="430"/>
      <c r="BT860" s="430"/>
      <c r="BU860" s="430"/>
      <c r="BV860" s="430"/>
      <c r="BW860" s="430"/>
      <c r="BX860" s="430"/>
      <c r="BY860" s="430"/>
      <c r="BZ860" s="430"/>
      <c r="CA860" s="430"/>
      <c r="CB860" s="430"/>
      <c r="CC860" s="430"/>
      <c r="CD860" s="430"/>
      <c r="CE860" s="430"/>
      <c r="CF860" s="430"/>
      <c r="CG860" s="430"/>
      <c r="CH860" s="430"/>
      <c r="CI860" s="430"/>
      <c r="CJ860" s="430"/>
      <c r="CK860" s="430"/>
      <c r="CL860" s="430"/>
    </row>
    <row r="861" spans="63:90" ht="14.25" customHeight="1">
      <c r="BK861" s="430"/>
      <c r="BL861" s="430"/>
      <c r="BM861" s="430"/>
      <c r="BN861" s="430"/>
      <c r="BO861" s="430"/>
      <c r="BP861" s="430"/>
      <c r="BQ861" s="430"/>
      <c r="BR861" s="430"/>
      <c r="BS861" s="430"/>
      <c r="BT861" s="430"/>
      <c r="BU861" s="430"/>
      <c r="BV861" s="430"/>
      <c r="BW861" s="430"/>
      <c r="BX861" s="430"/>
      <c r="BY861" s="430"/>
      <c r="BZ861" s="430"/>
      <c r="CA861" s="430"/>
      <c r="CB861" s="430"/>
      <c r="CC861" s="430"/>
      <c r="CD861" s="430"/>
      <c r="CE861" s="430"/>
      <c r="CF861" s="430"/>
      <c r="CG861" s="430"/>
      <c r="CH861" s="430"/>
      <c r="CI861" s="430"/>
      <c r="CJ861" s="430"/>
      <c r="CK861" s="430"/>
      <c r="CL861" s="430"/>
    </row>
    <row r="862" spans="63:90" ht="14.25" customHeight="1">
      <c r="BK862" s="430"/>
      <c r="BL862" s="430"/>
      <c r="BM862" s="430"/>
      <c r="BN862" s="430"/>
      <c r="BO862" s="430"/>
      <c r="BP862" s="430"/>
      <c r="BQ862" s="430"/>
      <c r="BR862" s="430"/>
      <c r="BS862" s="430"/>
      <c r="BT862" s="430"/>
      <c r="BU862" s="430"/>
      <c r="BV862" s="430"/>
      <c r="BW862" s="430"/>
      <c r="BX862" s="430"/>
      <c r="BY862" s="430"/>
      <c r="BZ862" s="430"/>
      <c r="CA862" s="430"/>
      <c r="CB862" s="430"/>
      <c r="CC862" s="430"/>
      <c r="CD862" s="430"/>
      <c r="CE862" s="430"/>
      <c r="CF862" s="430"/>
      <c r="CG862" s="430"/>
      <c r="CH862" s="430"/>
      <c r="CI862" s="430"/>
      <c r="CJ862" s="430"/>
      <c r="CK862" s="430"/>
      <c r="CL862" s="430"/>
    </row>
    <row r="863" spans="63:90" ht="14.25" customHeight="1">
      <c r="BK863" s="430"/>
      <c r="BL863" s="430"/>
      <c r="BM863" s="430"/>
      <c r="BN863" s="430"/>
      <c r="BO863" s="430"/>
      <c r="BP863" s="430"/>
      <c r="BQ863" s="430"/>
      <c r="BR863" s="430"/>
      <c r="BS863" s="430"/>
      <c r="BT863" s="430"/>
      <c r="BU863" s="430"/>
      <c r="BV863" s="430"/>
      <c r="BW863" s="430"/>
      <c r="BX863" s="430"/>
      <c r="BY863" s="430"/>
      <c r="BZ863" s="430"/>
      <c r="CA863" s="430"/>
      <c r="CB863" s="430"/>
      <c r="CC863" s="430"/>
      <c r="CD863" s="430"/>
      <c r="CE863" s="430"/>
      <c r="CF863" s="430"/>
      <c r="CG863" s="430"/>
      <c r="CH863" s="430"/>
      <c r="CI863" s="430"/>
      <c r="CJ863" s="430"/>
      <c r="CK863" s="430"/>
      <c r="CL863" s="430"/>
    </row>
    <row r="864" spans="63:90" ht="14.25" customHeight="1">
      <c r="BK864" s="430"/>
      <c r="BL864" s="430"/>
      <c r="BM864" s="430"/>
      <c r="BN864" s="430"/>
      <c r="BO864" s="430"/>
      <c r="BP864" s="430"/>
      <c r="BQ864" s="430"/>
      <c r="BR864" s="430"/>
      <c r="BS864" s="430"/>
      <c r="BT864" s="430"/>
      <c r="BU864" s="430"/>
      <c r="BV864" s="430"/>
      <c r="BW864" s="430"/>
      <c r="BX864" s="430"/>
      <c r="BY864" s="430"/>
      <c r="BZ864" s="430"/>
      <c r="CA864" s="430"/>
      <c r="CB864" s="430"/>
      <c r="CC864" s="430"/>
      <c r="CD864" s="430"/>
      <c r="CE864" s="430"/>
      <c r="CF864" s="430"/>
      <c r="CG864" s="430"/>
      <c r="CH864" s="430"/>
      <c r="CI864" s="430"/>
      <c r="CJ864" s="430"/>
      <c r="CK864" s="430"/>
      <c r="CL864" s="430"/>
    </row>
    <row r="865" spans="63:90" ht="14.25" customHeight="1">
      <c r="BK865" s="430"/>
      <c r="BL865" s="430"/>
      <c r="BM865" s="430"/>
      <c r="BN865" s="430"/>
      <c r="BO865" s="430"/>
      <c r="BP865" s="430"/>
      <c r="BQ865" s="430"/>
      <c r="BR865" s="430"/>
      <c r="BS865" s="430"/>
      <c r="BT865" s="430"/>
      <c r="BU865" s="430"/>
      <c r="BV865" s="430"/>
      <c r="BW865" s="430"/>
      <c r="BX865" s="430"/>
      <c r="BY865" s="430"/>
      <c r="BZ865" s="430"/>
      <c r="CA865" s="430"/>
      <c r="CB865" s="430"/>
      <c r="CC865" s="430"/>
      <c r="CD865" s="430"/>
      <c r="CE865" s="430"/>
      <c r="CF865" s="430"/>
      <c r="CG865" s="430"/>
      <c r="CH865" s="430"/>
      <c r="CI865" s="430"/>
      <c r="CJ865" s="430"/>
      <c r="CK865" s="430"/>
      <c r="CL865" s="430"/>
    </row>
    <row r="866" spans="63:90" ht="14.25" customHeight="1">
      <c r="BK866" s="430"/>
      <c r="BL866" s="430"/>
      <c r="BM866" s="430"/>
      <c r="BN866" s="430"/>
      <c r="BO866" s="430"/>
      <c r="BP866" s="430"/>
      <c r="BQ866" s="430"/>
      <c r="BR866" s="430"/>
      <c r="BS866" s="430"/>
      <c r="BT866" s="430"/>
      <c r="BU866" s="430"/>
      <c r="BV866" s="430"/>
      <c r="BW866" s="430"/>
      <c r="BX866" s="430"/>
      <c r="BY866" s="430"/>
      <c r="BZ866" s="430"/>
      <c r="CA866" s="430"/>
      <c r="CB866" s="430"/>
      <c r="CC866" s="430"/>
      <c r="CD866" s="430"/>
      <c r="CE866" s="430"/>
      <c r="CF866" s="430"/>
      <c r="CG866" s="430"/>
      <c r="CH866" s="430"/>
      <c r="CI866" s="430"/>
      <c r="CJ866" s="430"/>
      <c r="CK866" s="430"/>
      <c r="CL866" s="430"/>
    </row>
    <row r="867" spans="63:90" ht="14.25" customHeight="1">
      <c r="BK867" s="430"/>
      <c r="BL867" s="430"/>
      <c r="BM867" s="430"/>
      <c r="BN867" s="430"/>
      <c r="BO867" s="430"/>
      <c r="BP867" s="430"/>
      <c r="BQ867" s="430"/>
      <c r="BR867" s="430"/>
      <c r="BS867" s="430"/>
      <c r="BT867" s="430"/>
      <c r="BU867" s="430"/>
      <c r="BV867" s="430"/>
      <c r="BW867" s="430"/>
      <c r="BX867" s="430"/>
      <c r="BY867" s="430"/>
      <c r="BZ867" s="430"/>
      <c r="CA867" s="430"/>
      <c r="CB867" s="430"/>
      <c r="CC867" s="430"/>
      <c r="CD867" s="430"/>
      <c r="CE867" s="430"/>
      <c r="CF867" s="430"/>
      <c r="CG867" s="430"/>
      <c r="CH867" s="430"/>
      <c r="CI867" s="430"/>
      <c r="CJ867" s="430"/>
      <c r="CK867" s="430"/>
      <c r="CL867" s="430"/>
    </row>
    <row r="868" spans="63:90" ht="14.25" customHeight="1">
      <c r="BK868" s="430"/>
      <c r="BL868" s="430"/>
      <c r="BM868" s="430"/>
      <c r="BN868" s="430"/>
      <c r="BO868" s="430"/>
      <c r="BP868" s="430"/>
      <c r="BQ868" s="430"/>
      <c r="BR868" s="430"/>
      <c r="BS868" s="430"/>
      <c r="BT868" s="430"/>
      <c r="BU868" s="430"/>
      <c r="BV868" s="430"/>
      <c r="BW868" s="430"/>
      <c r="BX868" s="430"/>
      <c r="BY868" s="430"/>
      <c r="BZ868" s="430"/>
      <c r="CA868" s="430"/>
      <c r="CB868" s="430"/>
      <c r="CC868" s="430"/>
      <c r="CD868" s="430"/>
      <c r="CE868" s="430"/>
      <c r="CF868" s="430"/>
      <c r="CG868" s="430"/>
      <c r="CH868" s="430"/>
      <c r="CI868" s="430"/>
      <c r="CJ868" s="430"/>
      <c r="CK868" s="430"/>
      <c r="CL868" s="430"/>
    </row>
    <row r="869" spans="63:90" ht="14.25" customHeight="1">
      <c r="BK869" s="430"/>
      <c r="BL869" s="430"/>
      <c r="BM869" s="430"/>
      <c r="BN869" s="430"/>
      <c r="BO869" s="430"/>
      <c r="BP869" s="430"/>
      <c r="BQ869" s="430"/>
      <c r="BR869" s="430"/>
      <c r="BS869" s="430"/>
      <c r="BT869" s="430"/>
      <c r="BU869" s="430"/>
      <c r="BV869" s="430"/>
      <c r="BW869" s="430"/>
      <c r="BX869" s="430"/>
      <c r="BY869" s="430"/>
      <c r="BZ869" s="430"/>
      <c r="CA869" s="430"/>
      <c r="CB869" s="430"/>
      <c r="CC869" s="430"/>
      <c r="CD869" s="430"/>
      <c r="CE869" s="430"/>
      <c r="CF869" s="430"/>
      <c r="CG869" s="430"/>
      <c r="CH869" s="430"/>
      <c r="CI869" s="430"/>
      <c r="CJ869" s="430"/>
      <c r="CK869" s="430"/>
      <c r="CL869" s="430"/>
    </row>
    <row r="870" spans="63:90" ht="14.25" customHeight="1">
      <c r="BK870" s="430"/>
      <c r="BL870" s="430"/>
      <c r="BM870" s="430"/>
      <c r="BN870" s="430"/>
      <c r="BO870" s="430"/>
      <c r="BP870" s="430"/>
      <c r="BQ870" s="430"/>
      <c r="BR870" s="430"/>
      <c r="BS870" s="430"/>
      <c r="BT870" s="430"/>
      <c r="BU870" s="430"/>
      <c r="BV870" s="430"/>
      <c r="BW870" s="430"/>
      <c r="BX870" s="430"/>
      <c r="BY870" s="430"/>
      <c r="BZ870" s="430"/>
      <c r="CA870" s="430"/>
      <c r="CB870" s="430"/>
      <c r="CC870" s="430"/>
      <c r="CD870" s="430"/>
      <c r="CE870" s="430"/>
      <c r="CF870" s="430"/>
      <c r="CG870" s="430"/>
      <c r="CH870" s="430"/>
      <c r="CI870" s="430"/>
      <c r="CJ870" s="430"/>
      <c r="CK870" s="430"/>
      <c r="CL870" s="430"/>
    </row>
    <row r="871" spans="63:90" ht="14.25" customHeight="1">
      <c r="BK871" s="430"/>
      <c r="BL871" s="430"/>
      <c r="BM871" s="430"/>
      <c r="BN871" s="430"/>
      <c r="BO871" s="430"/>
      <c r="BP871" s="430"/>
      <c r="BQ871" s="430"/>
      <c r="BR871" s="430"/>
      <c r="BS871" s="430"/>
      <c r="BT871" s="430"/>
      <c r="BU871" s="430"/>
      <c r="BV871" s="430"/>
      <c r="BW871" s="430"/>
      <c r="BX871" s="430"/>
      <c r="BY871" s="430"/>
      <c r="BZ871" s="430"/>
      <c r="CA871" s="430"/>
      <c r="CB871" s="430"/>
      <c r="CC871" s="430"/>
      <c r="CD871" s="430"/>
      <c r="CE871" s="430"/>
      <c r="CF871" s="430"/>
      <c r="CG871" s="430"/>
      <c r="CH871" s="430"/>
      <c r="CI871" s="430"/>
      <c r="CJ871" s="430"/>
      <c r="CK871" s="430"/>
      <c r="CL871" s="430"/>
    </row>
    <row r="872" spans="63:90" ht="14.25" customHeight="1">
      <c r="BK872" s="430"/>
      <c r="BL872" s="430"/>
      <c r="BM872" s="430"/>
      <c r="BN872" s="430"/>
      <c r="BO872" s="430"/>
      <c r="BP872" s="430"/>
      <c r="BQ872" s="430"/>
      <c r="BR872" s="430"/>
      <c r="BS872" s="430"/>
      <c r="BT872" s="430"/>
      <c r="BU872" s="430"/>
      <c r="BV872" s="430"/>
      <c r="BW872" s="430"/>
      <c r="BX872" s="430"/>
      <c r="BY872" s="430"/>
      <c r="BZ872" s="430"/>
      <c r="CA872" s="430"/>
      <c r="CB872" s="430"/>
      <c r="CC872" s="430"/>
      <c r="CD872" s="430"/>
      <c r="CE872" s="430"/>
      <c r="CF872" s="430"/>
      <c r="CG872" s="430"/>
      <c r="CH872" s="430"/>
      <c r="CI872" s="430"/>
      <c r="CJ872" s="430"/>
      <c r="CK872" s="430"/>
      <c r="CL872" s="430"/>
    </row>
    <row r="873" spans="63:90" ht="14.25" customHeight="1">
      <c r="BK873" s="430"/>
      <c r="BL873" s="430"/>
      <c r="BM873" s="430"/>
      <c r="BN873" s="430"/>
      <c r="BO873" s="430"/>
      <c r="BP873" s="430"/>
      <c r="BQ873" s="430"/>
      <c r="BR873" s="430"/>
      <c r="BS873" s="430"/>
      <c r="BT873" s="430"/>
      <c r="BU873" s="430"/>
      <c r="BV873" s="430"/>
      <c r="BW873" s="430"/>
      <c r="BX873" s="430"/>
      <c r="BY873" s="430"/>
      <c r="BZ873" s="430"/>
      <c r="CA873" s="430"/>
      <c r="CB873" s="430"/>
      <c r="CC873" s="430"/>
      <c r="CD873" s="430"/>
      <c r="CE873" s="430"/>
      <c r="CF873" s="430"/>
      <c r="CG873" s="430"/>
      <c r="CH873" s="430"/>
      <c r="CI873" s="430"/>
      <c r="CJ873" s="430"/>
      <c r="CK873" s="430"/>
      <c r="CL873" s="430"/>
    </row>
    <row r="874" spans="63:90" ht="14.25" customHeight="1">
      <c r="BK874" s="430"/>
      <c r="BL874" s="430"/>
      <c r="BM874" s="430"/>
      <c r="BN874" s="430"/>
      <c r="BO874" s="430"/>
      <c r="BP874" s="430"/>
      <c r="BQ874" s="430"/>
      <c r="BR874" s="430"/>
      <c r="BS874" s="430"/>
      <c r="BT874" s="430"/>
      <c r="BU874" s="430"/>
      <c r="BV874" s="430"/>
      <c r="BW874" s="430"/>
      <c r="BX874" s="430"/>
      <c r="BY874" s="430"/>
      <c r="BZ874" s="430"/>
      <c r="CA874" s="430"/>
      <c r="CB874" s="430"/>
      <c r="CC874" s="430"/>
      <c r="CD874" s="430"/>
      <c r="CE874" s="430"/>
      <c r="CF874" s="430"/>
      <c r="CG874" s="430"/>
      <c r="CH874" s="430"/>
      <c r="CI874" s="430"/>
      <c r="CJ874" s="430"/>
      <c r="CK874" s="430"/>
      <c r="CL874" s="430"/>
    </row>
    <row r="875" spans="63:90" ht="14.25" customHeight="1">
      <c r="BK875" s="430"/>
      <c r="BL875" s="430"/>
      <c r="BM875" s="430"/>
      <c r="BN875" s="430"/>
      <c r="BO875" s="430"/>
      <c r="BP875" s="430"/>
      <c r="BQ875" s="430"/>
      <c r="BR875" s="430"/>
      <c r="BS875" s="430"/>
      <c r="BT875" s="430"/>
      <c r="BU875" s="430"/>
      <c r="BV875" s="430"/>
      <c r="BW875" s="430"/>
      <c r="BX875" s="430"/>
      <c r="BY875" s="430"/>
      <c r="BZ875" s="430"/>
      <c r="CA875" s="430"/>
      <c r="CB875" s="430"/>
      <c r="CC875" s="430"/>
      <c r="CD875" s="430"/>
      <c r="CE875" s="430"/>
      <c r="CF875" s="430"/>
      <c r="CG875" s="430"/>
      <c r="CH875" s="430"/>
      <c r="CI875" s="430"/>
      <c r="CJ875" s="430"/>
      <c r="CK875" s="430"/>
      <c r="CL875" s="430"/>
    </row>
    <row r="876" spans="63:90" ht="14.25" customHeight="1">
      <c r="BK876" s="430"/>
      <c r="BL876" s="430"/>
      <c r="BM876" s="430"/>
      <c r="BN876" s="430"/>
      <c r="BO876" s="430"/>
      <c r="BP876" s="430"/>
      <c r="BQ876" s="430"/>
      <c r="BR876" s="430"/>
      <c r="BS876" s="430"/>
      <c r="BT876" s="430"/>
      <c r="BU876" s="430"/>
      <c r="BV876" s="430"/>
      <c r="BW876" s="430"/>
      <c r="BX876" s="430"/>
      <c r="BY876" s="430"/>
      <c r="BZ876" s="430"/>
      <c r="CA876" s="430"/>
      <c r="CB876" s="430"/>
      <c r="CC876" s="430"/>
      <c r="CD876" s="430"/>
      <c r="CE876" s="430"/>
      <c r="CF876" s="430"/>
      <c r="CG876" s="430"/>
      <c r="CH876" s="430"/>
      <c r="CI876" s="430"/>
      <c r="CJ876" s="430"/>
      <c r="CK876" s="430"/>
      <c r="CL876" s="430"/>
    </row>
    <row r="877" spans="63:90" ht="14.25" customHeight="1">
      <c r="BK877" s="430"/>
      <c r="BL877" s="430"/>
      <c r="BM877" s="430"/>
      <c r="BN877" s="430"/>
      <c r="BO877" s="430"/>
      <c r="BP877" s="430"/>
      <c r="BQ877" s="430"/>
      <c r="BR877" s="430"/>
      <c r="BS877" s="430"/>
      <c r="BT877" s="430"/>
      <c r="BU877" s="430"/>
      <c r="BV877" s="430"/>
      <c r="BW877" s="430"/>
      <c r="BX877" s="430"/>
      <c r="BY877" s="430"/>
      <c r="BZ877" s="430"/>
      <c r="CA877" s="430"/>
      <c r="CB877" s="430"/>
      <c r="CC877" s="430"/>
      <c r="CD877" s="430"/>
      <c r="CE877" s="430"/>
      <c r="CF877" s="430"/>
      <c r="CG877" s="430"/>
      <c r="CH877" s="430"/>
      <c r="CI877" s="430"/>
      <c r="CJ877" s="430"/>
      <c r="CK877" s="430"/>
      <c r="CL877" s="430"/>
    </row>
    <row r="878" spans="63:90" ht="14.25" customHeight="1">
      <c r="BK878" s="430"/>
      <c r="BL878" s="430"/>
      <c r="BM878" s="430"/>
      <c r="BN878" s="430"/>
      <c r="BO878" s="430"/>
      <c r="BP878" s="430"/>
      <c r="BQ878" s="430"/>
      <c r="BR878" s="430"/>
      <c r="BS878" s="430"/>
      <c r="BT878" s="430"/>
      <c r="BU878" s="430"/>
      <c r="BV878" s="430"/>
      <c r="BW878" s="430"/>
      <c r="BX878" s="430"/>
      <c r="BY878" s="430"/>
      <c r="BZ878" s="430"/>
      <c r="CA878" s="430"/>
      <c r="CB878" s="430"/>
      <c r="CC878" s="430"/>
      <c r="CD878" s="430"/>
      <c r="CE878" s="430"/>
      <c r="CF878" s="430"/>
      <c r="CG878" s="430"/>
      <c r="CH878" s="430"/>
      <c r="CI878" s="430"/>
      <c r="CJ878" s="430"/>
      <c r="CK878" s="430"/>
      <c r="CL878" s="430"/>
    </row>
    <row r="879" spans="63:90" ht="14.25" customHeight="1">
      <c r="BK879" s="430"/>
      <c r="BL879" s="430"/>
      <c r="BM879" s="430"/>
      <c r="BN879" s="430"/>
      <c r="BO879" s="430"/>
      <c r="BP879" s="430"/>
      <c r="BQ879" s="430"/>
      <c r="BR879" s="430"/>
      <c r="BS879" s="430"/>
      <c r="BT879" s="430"/>
      <c r="BU879" s="430"/>
      <c r="BV879" s="430"/>
      <c r="BW879" s="430"/>
      <c r="BX879" s="430"/>
      <c r="BY879" s="430"/>
      <c r="BZ879" s="430"/>
      <c r="CA879" s="430"/>
      <c r="CB879" s="430"/>
      <c r="CC879" s="430"/>
      <c r="CD879" s="430"/>
      <c r="CE879" s="430"/>
      <c r="CF879" s="430"/>
      <c r="CG879" s="430"/>
      <c r="CH879" s="430"/>
      <c r="CI879" s="430"/>
      <c r="CJ879" s="430"/>
      <c r="CK879" s="430"/>
      <c r="CL879" s="430"/>
    </row>
    <row r="880" spans="63:90" ht="14.25" customHeight="1">
      <c r="BK880" s="430"/>
      <c r="BL880" s="430"/>
      <c r="BM880" s="430"/>
      <c r="BN880" s="430"/>
      <c r="BO880" s="430"/>
      <c r="BP880" s="430"/>
      <c r="BQ880" s="430"/>
      <c r="BR880" s="430"/>
      <c r="BS880" s="430"/>
      <c r="BT880" s="430"/>
      <c r="BU880" s="430"/>
      <c r="BV880" s="430"/>
      <c r="BW880" s="430"/>
      <c r="BX880" s="430"/>
      <c r="BY880" s="430"/>
      <c r="BZ880" s="430"/>
      <c r="CA880" s="430"/>
      <c r="CB880" s="430"/>
      <c r="CC880" s="430"/>
      <c r="CD880" s="430"/>
      <c r="CE880" s="430"/>
      <c r="CF880" s="430"/>
      <c r="CG880" s="430"/>
      <c r="CH880" s="430"/>
      <c r="CI880" s="430"/>
      <c r="CJ880" s="430"/>
      <c r="CK880" s="430"/>
      <c r="CL880" s="430"/>
    </row>
    <row r="881" spans="63:90" ht="14.25" customHeight="1">
      <c r="BK881" s="430"/>
      <c r="BL881" s="430"/>
      <c r="BM881" s="430"/>
      <c r="BN881" s="430"/>
      <c r="BO881" s="430"/>
      <c r="BP881" s="430"/>
      <c r="BQ881" s="430"/>
      <c r="BR881" s="430"/>
      <c r="BS881" s="430"/>
      <c r="BT881" s="430"/>
      <c r="BU881" s="430"/>
      <c r="BV881" s="430"/>
      <c r="BW881" s="430"/>
      <c r="BX881" s="430"/>
      <c r="BY881" s="430"/>
      <c r="BZ881" s="430"/>
      <c r="CA881" s="430"/>
      <c r="CB881" s="430"/>
      <c r="CC881" s="430"/>
      <c r="CD881" s="430"/>
      <c r="CE881" s="430"/>
      <c r="CF881" s="430"/>
      <c r="CG881" s="430"/>
      <c r="CH881" s="430"/>
      <c r="CI881" s="430"/>
      <c r="CJ881" s="430"/>
      <c r="CK881" s="430"/>
      <c r="CL881" s="430"/>
    </row>
    <row r="882" spans="63:90" ht="14.25" customHeight="1">
      <c r="BK882" s="430"/>
      <c r="BL882" s="430"/>
      <c r="BM882" s="430"/>
      <c r="BN882" s="430"/>
      <c r="BO882" s="430"/>
      <c r="BP882" s="430"/>
      <c r="BQ882" s="430"/>
      <c r="BR882" s="430"/>
      <c r="BS882" s="430"/>
      <c r="BT882" s="430"/>
      <c r="BU882" s="430"/>
      <c r="BV882" s="430"/>
      <c r="BW882" s="430"/>
      <c r="BX882" s="430"/>
      <c r="BY882" s="430"/>
      <c r="BZ882" s="430"/>
      <c r="CA882" s="430"/>
      <c r="CB882" s="430"/>
      <c r="CC882" s="430"/>
      <c r="CD882" s="430"/>
      <c r="CE882" s="430"/>
      <c r="CF882" s="430"/>
      <c r="CG882" s="430"/>
      <c r="CH882" s="430"/>
      <c r="CI882" s="430"/>
      <c r="CJ882" s="430"/>
      <c r="CK882" s="430"/>
      <c r="CL882" s="430"/>
    </row>
    <row r="883" spans="63:90" ht="14.25" customHeight="1">
      <c r="BK883" s="430"/>
      <c r="BL883" s="430"/>
      <c r="BM883" s="430"/>
      <c r="BN883" s="430"/>
      <c r="BO883" s="430"/>
      <c r="BP883" s="430"/>
      <c r="BQ883" s="430"/>
      <c r="BR883" s="430"/>
      <c r="BS883" s="430"/>
      <c r="BT883" s="430"/>
      <c r="BU883" s="430"/>
      <c r="BV883" s="430"/>
      <c r="BW883" s="430"/>
      <c r="BX883" s="430"/>
      <c r="BY883" s="430"/>
      <c r="BZ883" s="430"/>
      <c r="CA883" s="430"/>
      <c r="CB883" s="430"/>
      <c r="CC883" s="430"/>
      <c r="CD883" s="430"/>
      <c r="CE883" s="430"/>
      <c r="CF883" s="430"/>
      <c r="CG883" s="430"/>
      <c r="CH883" s="430"/>
      <c r="CI883" s="430"/>
      <c r="CJ883" s="430"/>
      <c r="CK883" s="430"/>
      <c r="CL883" s="430"/>
    </row>
    <row r="884" spans="63:90" ht="14.25" customHeight="1">
      <c r="BK884" s="430"/>
      <c r="BL884" s="430"/>
      <c r="BM884" s="430"/>
      <c r="BN884" s="430"/>
      <c r="BO884" s="430"/>
      <c r="BP884" s="430"/>
      <c r="BQ884" s="430"/>
      <c r="BR884" s="430"/>
      <c r="BS884" s="430"/>
      <c r="BT884" s="430"/>
      <c r="BU884" s="430"/>
      <c r="BV884" s="430"/>
      <c r="BW884" s="430"/>
      <c r="BX884" s="430"/>
      <c r="BY884" s="430"/>
      <c r="BZ884" s="430"/>
      <c r="CA884" s="430"/>
      <c r="CB884" s="430"/>
      <c r="CC884" s="430"/>
      <c r="CD884" s="430"/>
      <c r="CE884" s="430"/>
      <c r="CF884" s="430"/>
      <c r="CG884" s="430"/>
      <c r="CH884" s="430"/>
      <c r="CI884" s="430"/>
      <c r="CJ884" s="430"/>
      <c r="CK884" s="430"/>
      <c r="CL884" s="430"/>
    </row>
    <row r="885" spans="63:90" ht="14.25" customHeight="1">
      <c r="BK885" s="430"/>
      <c r="BL885" s="430"/>
      <c r="BM885" s="430"/>
      <c r="BN885" s="430"/>
      <c r="BO885" s="430"/>
      <c r="BP885" s="430"/>
      <c r="BQ885" s="430"/>
      <c r="BR885" s="430"/>
      <c r="BS885" s="430"/>
      <c r="BT885" s="430"/>
      <c r="BU885" s="430"/>
      <c r="BV885" s="430"/>
      <c r="BW885" s="430"/>
      <c r="BX885" s="430"/>
      <c r="BY885" s="430"/>
      <c r="BZ885" s="430"/>
      <c r="CA885" s="430"/>
      <c r="CB885" s="430"/>
      <c r="CC885" s="430"/>
      <c r="CD885" s="430"/>
      <c r="CE885" s="430"/>
      <c r="CF885" s="430"/>
      <c r="CG885" s="430"/>
      <c r="CH885" s="430"/>
      <c r="CI885" s="430"/>
      <c r="CJ885" s="430"/>
      <c r="CK885" s="430"/>
      <c r="CL885" s="430"/>
    </row>
    <row r="886" spans="63:90" ht="14.25" customHeight="1">
      <c r="BK886" s="430"/>
      <c r="BL886" s="430"/>
      <c r="BM886" s="430"/>
      <c r="BN886" s="430"/>
      <c r="BO886" s="430"/>
      <c r="BP886" s="430"/>
      <c r="BQ886" s="430"/>
      <c r="BR886" s="430"/>
      <c r="BS886" s="430"/>
      <c r="BT886" s="430"/>
      <c r="BU886" s="430"/>
      <c r="BV886" s="430"/>
      <c r="BW886" s="430"/>
      <c r="BX886" s="430"/>
      <c r="BY886" s="430"/>
      <c r="BZ886" s="430"/>
      <c r="CA886" s="430"/>
      <c r="CB886" s="430"/>
      <c r="CC886" s="430"/>
      <c r="CD886" s="430"/>
      <c r="CE886" s="430"/>
      <c r="CF886" s="430"/>
      <c r="CG886" s="430"/>
      <c r="CH886" s="430"/>
      <c r="CI886" s="430"/>
      <c r="CJ886" s="430"/>
      <c r="CK886" s="430"/>
      <c r="CL886" s="430"/>
    </row>
    <row r="887" spans="63:90" ht="14.25" customHeight="1">
      <c r="BK887" s="430"/>
      <c r="BL887" s="430"/>
      <c r="BM887" s="430"/>
      <c r="BN887" s="430"/>
      <c r="BO887" s="430"/>
      <c r="BP887" s="430"/>
      <c r="BQ887" s="430"/>
      <c r="BR887" s="430"/>
      <c r="BS887" s="430"/>
      <c r="BT887" s="430"/>
      <c r="BU887" s="430"/>
      <c r="BV887" s="430"/>
      <c r="BW887" s="430"/>
      <c r="BX887" s="430"/>
      <c r="BY887" s="430"/>
      <c r="BZ887" s="430"/>
      <c r="CA887" s="430"/>
      <c r="CB887" s="430"/>
      <c r="CC887" s="430"/>
      <c r="CD887" s="430"/>
      <c r="CE887" s="430"/>
      <c r="CF887" s="430"/>
      <c r="CG887" s="430"/>
      <c r="CH887" s="430"/>
      <c r="CI887" s="430"/>
      <c r="CJ887" s="430"/>
      <c r="CK887" s="430"/>
      <c r="CL887" s="430"/>
    </row>
    <row r="888" spans="63:90" ht="14.25" customHeight="1">
      <c r="BK888" s="430"/>
      <c r="BL888" s="430"/>
      <c r="BM888" s="430"/>
      <c r="BN888" s="430"/>
      <c r="BO888" s="430"/>
      <c r="BP888" s="430"/>
      <c r="BQ888" s="430"/>
      <c r="BR888" s="430"/>
      <c r="BS888" s="430"/>
      <c r="BT888" s="430"/>
      <c r="BU888" s="430"/>
      <c r="BV888" s="430"/>
      <c r="BW888" s="430"/>
      <c r="BX888" s="430"/>
      <c r="BY888" s="430"/>
      <c r="BZ888" s="430"/>
      <c r="CA888" s="430"/>
      <c r="CB888" s="430"/>
      <c r="CC888" s="430"/>
      <c r="CD888" s="430"/>
      <c r="CE888" s="430"/>
      <c r="CF888" s="430"/>
      <c r="CG888" s="430"/>
      <c r="CH888" s="430"/>
      <c r="CI888" s="430"/>
      <c r="CJ888" s="430"/>
      <c r="CK888" s="430"/>
      <c r="CL888" s="430"/>
    </row>
    <row r="889" spans="63:90" ht="14.25" customHeight="1">
      <c r="BK889" s="430"/>
      <c r="BL889" s="430"/>
      <c r="BM889" s="430"/>
      <c r="BN889" s="430"/>
      <c r="BO889" s="430"/>
      <c r="BP889" s="430"/>
      <c r="BQ889" s="430"/>
      <c r="BR889" s="430"/>
      <c r="BS889" s="430"/>
      <c r="BT889" s="430"/>
      <c r="BU889" s="430"/>
      <c r="BV889" s="430"/>
      <c r="BW889" s="430"/>
      <c r="BX889" s="430"/>
      <c r="BY889" s="430"/>
      <c r="BZ889" s="430"/>
      <c r="CA889" s="430"/>
      <c r="CB889" s="430"/>
      <c r="CC889" s="430"/>
      <c r="CD889" s="430"/>
      <c r="CE889" s="430"/>
      <c r="CF889" s="430"/>
      <c r="CG889" s="430"/>
      <c r="CH889" s="430"/>
      <c r="CI889" s="430"/>
      <c r="CJ889" s="430"/>
      <c r="CK889" s="430"/>
      <c r="CL889" s="430"/>
    </row>
    <row r="890" spans="63:90" ht="14.25" customHeight="1">
      <c r="BK890" s="430"/>
      <c r="BL890" s="430"/>
      <c r="BM890" s="430"/>
      <c r="BN890" s="430"/>
      <c r="BO890" s="430"/>
      <c r="BP890" s="430"/>
      <c r="BQ890" s="430"/>
      <c r="BR890" s="430"/>
      <c r="BS890" s="430"/>
      <c r="BT890" s="430"/>
      <c r="BU890" s="430"/>
      <c r="BV890" s="430"/>
      <c r="BW890" s="430"/>
      <c r="BX890" s="430"/>
      <c r="BY890" s="430"/>
      <c r="BZ890" s="430"/>
      <c r="CA890" s="430"/>
      <c r="CB890" s="430"/>
      <c r="CC890" s="430"/>
      <c r="CD890" s="430"/>
      <c r="CE890" s="430"/>
      <c r="CF890" s="430"/>
      <c r="CG890" s="430"/>
      <c r="CH890" s="430"/>
      <c r="CI890" s="430"/>
      <c r="CJ890" s="430"/>
      <c r="CK890" s="430"/>
      <c r="CL890" s="430"/>
    </row>
    <row r="891" spans="63:90" ht="14.25" customHeight="1">
      <c r="BK891" s="430"/>
      <c r="BL891" s="430"/>
      <c r="BM891" s="430"/>
      <c r="BN891" s="430"/>
      <c r="BO891" s="430"/>
      <c r="BP891" s="430"/>
      <c r="BQ891" s="430"/>
      <c r="BR891" s="430"/>
      <c r="BS891" s="430"/>
      <c r="BT891" s="430"/>
      <c r="BU891" s="430"/>
      <c r="BV891" s="430"/>
      <c r="BW891" s="430"/>
      <c r="BX891" s="430"/>
      <c r="BY891" s="430"/>
      <c r="BZ891" s="430"/>
      <c r="CA891" s="430"/>
      <c r="CB891" s="430"/>
      <c r="CC891" s="430"/>
      <c r="CD891" s="430"/>
      <c r="CE891" s="430"/>
      <c r="CF891" s="430"/>
      <c r="CG891" s="430"/>
      <c r="CH891" s="430"/>
      <c r="CI891" s="430"/>
      <c r="CJ891" s="430"/>
      <c r="CK891" s="430"/>
      <c r="CL891" s="430"/>
    </row>
    <row r="892" spans="63:90" ht="14.25" customHeight="1">
      <c r="BK892" s="430"/>
      <c r="BL892" s="430"/>
      <c r="BM892" s="430"/>
      <c r="BN892" s="430"/>
      <c r="BO892" s="430"/>
      <c r="BP892" s="430"/>
      <c r="BQ892" s="430"/>
      <c r="BR892" s="430"/>
      <c r="BS892" s="430"/>
      <c r="BT892" s="430"/>
      <c r="BU892" s="430"/>
      <c r="BV892" s="430"/>
      <c r="BW892" s="430"/>
      <c r="BX892" s="430"/>
      <c r="BY892" s="430"/>
      <c r="BZ892" s="430"/>
      <c r="CA892" s="430"/>
      <c r="CB892" s="430"/>
      <c r="CC892" s="430"/>
      <c r="CD892" s="430"/>
      <c r="CE892" s="430"/>
      <c r="CF892" s="430"/>
      <c r="CG892" s="430"/>
      <c r="CH892" s="430"/>
      <c r="CI892" s="430"/>
      <c r="CJ892" s="430"/>
      <c r="CK892" s="430"/>
      <c r="CL892" s="430"/>
    </row>
    <row r="893" spans="63:90" ht="14.25" customHeight="1">
      <c r="BK893" s="430"/>
      <c r="BL893" s="430"/>
      <c r="BM893" s="430"/>
      <c r="BN893" s="430"/>
      <c r="BO893" s="430"/>
      <c r="BP893" s="430"/>
      <c r="BQ893" s="430"/>
      <c r="BR893" s="430"/>
      <c r="BS893" s="430"/>
      <c r="BT893" s="430"/>
      <c r="BU893" s="430"/>
      <c r="BV893" s="430"/>
      <c r="BW893" s="430"/>
      <c r="BX893" s="430"/>
      <c r="BY893" s="430"/>
      <c r="BZ893" s="430"/>
      <c r="CA893" s="430"/>
      <c r="CB893" s="430"/>
      <c r="CC893" s="430"/>
      <c r="CD893" s="430"/>
      <c r="CE893" s="430"/>
      <c r="CF893" s="430"/>
      <c r="CG893" s="430"/>
      <c r="CH893" s="430"/>
      <c r="CI893" s="430"/>
      <c r="CJ893" s="430"/>
      <c r="CK893" s="430"/>
      <c r="CL893" s="430"/>
    </row>
    <row r="894" spans="63:90" ht="14.25" customHeight="1">
      <c r="BK894" s="430"/>
      <c r="BL894" s="430"/>
      <c r="BM894" s="430"/>
      <c r="BN894" s="430"/>
      <c r="BO894" s="430"/>
      <c r="BP894" s="430"/>
      <c r="BQ894" s="430"/>
      <c r="BR894" s="430"/>
      <c r="BS894" s="430"/>
      <c r="BT894" s="430"/>
      <c r="BU894" s="430"/>
      <c r="BV894" s="430"/>
      <c r="BW894" s="430"/>
      <c r="BX894" s="430"/>
      <c r="BY894" s="430"/>
      <c r="BZ894" s="430"/>
      <c r="CA894" s="430"/>
      <c r="CB894" s="430"/>
      <c r="CC894" s="430"/>
      <c r="CD894" s="430"/>
      <c r="CE894" s="430"/>
      <c r="CF894" s="430"/>
      <c r="CG894" s="430"/>
      <c r="CH894" s="430"/>
      <c r="CI894" s="430"/>
      <c r="CJ894" s="430"/>
      <c r="CK894" s="430"/>
      <c r="CL894" s="430"/>
    </row>
    <row r="895" spans="63:90" ht="14.25" customHeight="1">
      <c r="BK895" s="430"/>
      <c r="BL895" s="430"/>
      <c r="BM895" s="430"/>
      <c r="BN895" s="430"/>
      <c r="BO895" s="430"/>
      <c r="BP895" s="430"/>
      <c r="BQ895" s="430"/>
      <c r="BR895" s="430"/>
      <c r="BS895" s="430"/>
      <c r="BT895" s="430"/>
      <c r="BU895" s="430"/>
      <c r="BV895" s="430"/>
      <c r="BW895" s="430"/>
      <c r="BX895" s="430"/>
      <c r="BY895" s="430"/>
      <c r="BZ895" s="430"/>
      <c r="CA895" s="430"/>
      <c r="CB895" s="430"/>
      <c r="CC895" s="430"/>
      <c r="CD895" s="430"/>
      <c r="CE895" s="430"/>
      <c r="CF895" s="430"/>
      <c r="CG895" s="430"/>
      <c r="CH895" s="430"/>
      <c r="CI895" s="430"/>
      <c r="CJ895" s="430"/>
      <c r="CK895" s="430"/>
      <c r="CL895" s="430"/>
    </row>
    <row r="896" spans="63:90" ht="14.25" customHeight="1">
      <c r="BK896" s="430"/>
      <c r="BL896" s="430"/>
      <c r="BM896" s="430"/>
      <c r="BN896" s="430"/>
      <c r="BO896" s="430"/>
      <c r="BP896" s="430"/>
      <c r="BQ896" s="430"/>
      <c r="BR896" s="430"/>
      <c r="BS896" s="430"/>
      <c r="BT896" s="430"/>
      <c r="BU896" s="430"/>
      <c r="BV896" s="430"/>
      <c r="BW896" s="430"/>
      <c r="BX896" s="430"/>
      <c r="BY896" s="430"/>
      <c r="BZ896" s="430"/>
      <c r="CA896" s="430"/>
      <c r="CB896" s="430"/>
      <c r="CC896" s="430"/>
      <c r="CD896" s="430"/>
      <c r="CE896" s="430"/>
      <c r="CF896" s="430"/>
      <c r="CG896" s="430"/>
      <c r="CH896" s="430"/>
      <c r="CI896" s="430"/>
      <c r="CJ896" s="430"/>
      <c r="CK896" s="430"/>
      <c r="CL896" s="430"/>
    </row>
    <row r="897" spans="63:90" ht="14.25" customHeight="1">
      <c r="BK897" s="430"/>
      <c r="BL897" s="430"/>
      <c r="BM897" s="430"/>
      <c r="BN897" s="430"/>
      <c r="BO897" s="430"/>
      <c r="BP897" s="430"/>
      <c r="BQ897" s="430"/>
      <c r="BR897" s="430"/>
      <c r="BS897" s="430"/>
      <c r="BT897" s="430"/>
      <c r="BU897" s="430"/>
      <c r="BV897" s="430"/>
      <c r="BW897" s="430"/>
      <c r="BX897" s="430"/>
      <c r="BY897" s="430"/>
      <c r="BZ897" s="430"/>
      <c r="CA897" s="430"/>
      <c r="CB897" s="430"/>
      <c r="CC897" s="430"/>
      <c r="CD897" s="430"/>
      <c r="CE897" s="430"/>
      <c r="CF897" s="430"/>
      <c r="CG897" s="430"/>
      <c r="CH897" s="430"/>
      <c r="CI897" s="430"/>
      <c r="CJ897" s="430"/>
      <c r="CK897" s="430"/>
      <c r="CL897" s="430"/>
    </row>
    <row r="898" spans="63:90" ht="14.25" customHeight="1">
      <c r="BK898" s="430"/>
      <c r="BL898" s="430"/>
      <c r="BM898" s="430"/>
      <c r="BN898" s="430"/>
      <c r="BO898" s="430"/>
      <c r="BP898" s="430"/>
      <c r="BQ898" s="430"/>
      <c r="BR898" s="430"/>
      <c r="BS898" s="430"/>
      <c r="BT898" s="430"/>
      <c r="BU898" s="430"/>
      <c r="BV898" s="430"/>
      <c r="BW898" s="430"/>
      <c r="BX898" s="430"/>
      <c r="BY898" s="430"/>
      <c r="BZ898" s="430"/>
      <c r="CA898" s="430"/>
      <c r="CB898" s="430"/>
      <c r="CC898" s="430"/>
      <c r="CD898" s="430"/>
      <c r="CE898" s="430"/>
      <c r="CF898" s="430"/>
      <c r="CG898" s="430"/>
      <c r="CH898" s="430"/>
      <c r="CI898" s="430"/>
      <c r="CJ898" s="430"/>
      <c r="CK898" s="430"/>
      <c r="CL898" s="430"/>
    </row>
    <row r="899" spans="63:90" ht="14.25" customHeight="1">
      <c r="BK899" s="430"/>
      <c r="BL899" s="430"/>
      <c r="BM899" s="430"/>
      <c r="BN899" s="430"/>
      <c r="BO899" s="430"/>
      <c r="BP899" s="430"/>
      <c r="BQ899" s="430"/>
      <c r="BR899" s="430"/>
      <c r="BS899" s="430"/>
      <c r="BT899" s="430"/>
      <c r="BU899" s="430"/>
      <c r="BV899" s="430"/>
      <c r="BW899" s="430"/>
      <c r="BX899" s="430"/>
      <c r="BY899" s="430"/>
      <c r="BZ899" s="430"/>
      <c r="CA899" s="430"/>
      <c r="CB899" s="430"/>
      <c r="CC899" s="430"/>
      <c r="CD899" s="430"/>
      <c r="CE899" s="430"/>
      <c r="CF899" s="430"/>
      <c r="CG899" s="430"/>
      <c r="CH899" s="430"/>
      <c r="CI899" s="430"/>
      <c r="CJ899" s="430"/>
      <c r="CK899" s="430"/>
      <c r="CL899" s="430"/>
    </row>
    <row r="900" spans="63:90" ht="14.25" customHeight="1">
      <c r="BK900" s="430"/>
      <c r="BL900" s="430"/>
      <c r="BM900" s="430"/>
      <c r="BN900" s="430"/>
      <c r="BO900" s="430"/>
      <c r="BP900" s="430"/>
      <c r="BQ900" s="430"/>
      <c r="BR900" s="430"/>
      <c r="BS900" s="430"/>
      <c r="BT900" s="430"/>
      <c r="BU900" s="430"/>
      <c r="BV900" s="430"/>
      <c r="BW900" s="430"/>
      <c r="BX900" s="430"/>
      <c r="BY900" s="430"/>
      <c r="BZ900" s="430"/>
      <c r="CA900" s="430"/>
      <c r="CB900" s="430"/>
      <c r="CC900" s="430"/>
      <c r="CD900" s="430"/>
      <c r="CE900" s="430"/>
      <c r="CF900" s="430"/>
      <c r="CG900" s="430"/>
      <c r="CH900" s="430"/>
      <c r="CI900" s="430"/>
      <c r="CJ900" s="430"/>
      <c r="CK900" s="430"/>
      <c r="CL900" s="430"/>
    </row>
    <row r="901" spans="63:90" ht="14.25" customHeight="1">
      <c r="BK901" s="430"/>
      <c r="BL901" s="430"/>
      <c r="BM901" s="430"/>
      <c r="BN901" s="430"/>
      <c r="BO901" s="430"/>
      <c r="BP901" s="430"/>
      <c r="BQ901" s="430"/>
      <c r="BR901" s="430"/>
      <c r="BS901" s="430"/>
      <c r="BT901" s="430"/>
      <c r="BU901" s="430"/>
      <c r="BV901" s="430"/>
      <c r="BW901" s="430"/>
      <c r="BX901" s="430"/>
      <c r="BY901" s="430"/>
      <c r="BZ901" s="430"/>
      <c r="CA901" s="430"/>
      <c r="CB901" s="430"/>
      <c r="CC901" s="430"/>
      <c r="CD901" s="430"/>
      <c r="CE901" s="430"/>
      <c r="CF901" s="430"/>
      <c r="CG901" s="430"/>
      <c r="CH901" s="430"/>
      <c r="CI901" s="430"/>
      <c r="CJ901" s="430"/>
      <c r="CK901" s="430"/>
      <c r="CL901" s="430"/>
    </row>
    <row r="902" spans="63:90" ht="14.25" customHeight="1">
      <c r="BK902" s="430"/>
      <c r="BL902" s="430"/>
      <c r="BM902" s="430"/>
      <c r="BN902" s="430"/>
      <c r="BO902" s="430"/>
      <c r="BP902" s="430"/>
      <c r="BQ902" s="430"/>
      <c r="BR902" s="430"/>
      <c r="BS902" s="430"/>
      <c r="BT902" s="430"/>
      <c r="BU902" s="430"/>
      <c r="BV902" s="430"/>
      <c r="BW902" s="430"/>
      <c r="BX902" s="430"/>
      <c r="BY902" s="430"/>
      <c r="BZ902" s="430"/>
      <c r="CA902" s="430"/>
      <c r="CB902" s="430"/>
      <c r="CC902" s="430"/>
      <c r="CD902" s="430"/>
      <c r="CE902" s="430"/>
      <c r="CF902" s="430"/>
      <c r="CG902" s="430"/>
      <c r="CH902" s="430"/>
      <c r="CI902" s="430"/>
      <c r="CJ902" s="430"/>
      <c r="CK902" s="430"/>
      <c r="CL902" s="430"/>
    </row>
    <row r="903" spans="63:90" ht="14.25" customHeight="1">
      <c r="BK903" s="430"/>
      <c r="BL903" s="430"/>
      <c r="BM903" s="430"/>
      <c r="BN903" s="430"/>
      <c r="BO903" s="430"/>
      <c r="BP903" s="430"/>
      <c r="BQ903" s="430"/>
      <c r="BR903" s="430"/>
      <c r="BS903" s="430"/>
      <c r="BT903" s="430"/>
      <c r="BU903" s="430"/>
      <c r="BV903" s="430"/>
      <c r="BW903" s="430"/>
      <c r="BX903" s="430"/>
      <c r="BY903" s="430"/>
      <c r="BZ903" s="430"/>
      <c r="CA903" s="430"/>
      <c r="CB903" s="430"/>
      <c r="CC903" s="430"/>
      <c r="CD903" s="430"/>
      <c r="CE903" s="430"/>
      <c r="CF903" s="430"/>
      <c r="CG903" s="430"/>
      <c r="CH903" s="430"/>
      <c r="CI903" s="430"/>
      <c r="CJ903" s="430"/>
      <c r="CK903" s="430"/>
      <c r="CL903" s="430"/>
    </row>
    <row r="904" spans="63:90" ht="14.25" customHeight="1">
      <c r="BK904" s="430"/>
      <c r="BL904" s="430"/>
      <c r="BM904" s="430"/>
      <c r="BN904" s="430"/>
      <c r="BO904" s="430"/>
      <c r="BP904" s="430"/>
      <c r="BQ904" s="430"/>
      <c r="BR904" s="430"/>
      <c r="BS904" s="430"/>
      <c r="BT904" s="430"/>
      <c r="BU904" s="430"/>
      <c r="BV904" s="430"/>
      <c r="BW904" s="430"/>
      <c r="BX904" s="430"/>
      <c r="BY904" s="430"/>
      <c r="BZ904" s="430"/>
      <c r="CA904" s="430"/>
      <c r="CB904" s="430"/>
      <c r="CC904" s="430"/>
      <c r="CD904" s="430"/>
      <c r="CE904" s="430"/>
      <c r="CF904" s="430"/>
      <c r="CG904" s="430"/>
      <c r="CH904" s="430"/>
      <c r="CI904" s="430"/>
      <c r="CJ904" s="430"/>
      <c r="CK904" s="430"/>
      <c r="CL904" s="430"/>
    </row>
    <row r="905" spans="63:90" ht="14.25" customHeight="1">
      <c r="BK905" s="430"/>
      <c r="BL905" s="430"/>
      <c r="BM905" s="430"/>
      <c r="BN905" s="430"/>
      <c r="BO905" s="430"/>
      <c r="BP905" s="430"/>
      <c r="BQ905" s="430"/>
      <c r="BR905" s="430"/>
      <c r="BS905" s="430"/>
      <c r="BT905" s="430"/>
      <c r="BU905" s="430"/>
      <c r="BV905" s="430"/>
      <c r="BW905" s="430"/>
      <c r="BX905" s="430"/>
      <c r="BY905" s="430"/>
      <c r="BZ905" s="430"/>
      <c r="CA905" s="430"/>
      <c r="CB905" s="430"/>
      <c r="CC905" s="430"/>
      <c r="CD905" s="430"/>
      <c r="CE905" s="430"/>
      <c r="CF905" s="430"/>
      <c r="CG905" s="430"/>
      <c r="CH905" s="430"/>
      <c r="CI905" s="430"/>
      <c r="CJ905" s="430"/>
      <c r="CK905" s="430"/>
      <c r="CL905" s="430"/>
    </row>
    <row r="906" spans="63:90" ht="14.25" customHeight="1">
      <c r="BK906" s="430"/>
      <c r="BL906" s="430"/>
      <c r="BM906" s="430"/>
      <c r="BN906" s="430"/>
      <c r="BO906" s="430"/>
      <c r="BP906" s="430"/>
      <c r="BQ906" s="430"/>
      <c r="BR906" s="430"/>
      <c r="BS906" s="430"/>
      <c r="BT906" s="430"/>
      <c r="BU906" s="430"/>
      <c r="BV906" s="430"/>
      <c r="BW906" s="430"/>
      <c r="BX906" s="430"/>
      <c r="BY906" s="430"/>
      <c r="BZ906" s="430"/>
      <c r="CA906" s="430"/>
      <c r="CB906" s="430"/>
      <c r="CC906" s="430"/>
      <c r="CD906" s="430"/>
      <c r="CE906" s="430"/>
      <c r="CF906" s="430"/>
      <c r="CG906" s="430"/>
      <c r="CH906" s="430"/>
      <c r="CI906" s="430"/>
      <c r="CJ906" s="430"/>
      <c r="CK906" s="430"/>
      <c r="CL906" s="430"/>
    </row>
    <row r="907" spans="63:90" ht="14.25" customHeight="1">
      <c r="BK907" s="430"/>
      <c r="BL907" s="430"/>
      <c r="BM907" s="430"/>
      <c r="BN907" s="430"/>
      <c r="BO907" s="430"/>
      <c r="BP907" s="430"/>
      <c r="BQ907" s="430"/>
      <c r="BR907" s="430"/>
      <c r="BS907" s="430"/>
      <c r="BT907" s="430"/>
      <c r="BU907" s="430"/>
      <c r="BV907" s="430"/>
      <c r="BW907" s="430"/>
      <c r="BX907" s="430"/>
      <c r="BY907" s="430"/>
      <c r="BZ907" s="430"/>
      <c r="CA907" s="430"/>
      <c r="CB907" s="430"/>
      <c r="CC907" s="430"/>
      <c r="CD907" s="430"/>
      <c r="CE907" s="430"/>
      <c r="CF907" s="430"/>
      <c r="CG907" s="430"/>
      <c r="CH907" s="430"/>
      <c r="CI907" s="430"/>
      <c r="CJ907" s="430"/>
      <c r="CK907" s="430"/>
      <c r="CL907" s="430"/>
    </row>
    <row r="908" spans="63:90" ht="14.25" customHeight="1">
      <c r="BK908" s="430"/>
      <c r="BL908" s="430"/>
      <c r="BM908" s="430"/>
      <c r="BN908" s="430"/>
      <c r="BO908" s="430"/>
      <c r="BP908" s="430"/>
      <c r="BQ908" s="430"/>
      <c r="BR908" s="430"/>
      <c r="BS908" s="430"/>
      <c r="BT908" s="430"/>
      <c r="BU908" s="430"/>
      <c r="BV908" s="430"/>
      <c r="BW908" s="430"/>
      <c r="BX908" s="430"/>
      <c r="BY908" s="430"/>
      <c r="BZ908" s="430"/>
      <c r="CA908" s="430"/>
      <c r="CB908" s="430"/>
      <c r="CC908" s="430"/>
      <c r="CD908" s="430"/>
      <c r="CE908" s="430"/>
      <c r="CF908" s="430"/>
      <c r="CG908" s="430"/>
      <c r="CH908" s="430"/>
      <c r="CI908" s="430"/>
      <c r="CJ908" s="430"/>
      <c r="CK908" s="430"/>
      <c r="CL908" s="430"/>
    </row>
    <row r="909" spans="63:90" ht="14.25" customHeight="1">
      <c r="BK909" s="430"/>
      <c r="BL909" s="430"/>
      <c r="BM909" s="430"/>
      <c r="BN909" s="430"/>
      <c r="BO909" s="430"/>
      <c r="BP909" s="430"/>
      <c r="BQ909" s="430"/>
      <c r="BR909" s="430"/>
      <c r="BS909" s="430"/>
      <c r="BT909" s="430"/>
      <c r="BU909" s="430"/>
      <c r="BV909" s="430"/>
      <c r="BW909" s="430"/>
      <c r="BX909" s="430"/>
      <c r="BY909" s="430"/>
      <c r="BZ909" s="430"/>
      <c r="CA909" s="430"/>
      <c r="CB909" s="430"/>
      <c r="CC909" s="430"/>
      <c r="CD909" s="430"/>
      <c r="CE909" s="430"/>
      <c r="CF909" s="430"/>
      <c r="CG909" s="430"/>
      <c r="CH909" s="430"/>
      <c r="CI909" s="430"/>
      <c r="CJ909" s="430"/>
      <c r="CK909" s="430"/>
      <c r="CL909" s="430"/>
    </row>
    <row r="910" spans="63:90" ht="14.25" customHeight="1">
      <c r="BK910" s="430"/>
      <c r="BL910" s="430"/>
      <c r="BM910" s="430"/>
      <c r="BN910" s="430"/>
      <c r="BO910" s="430"/>
      <c r="BP910" s="430"/>
      <c r="BQ910" s="430"/>
      <c r="BR910" s="430"/>
      <c r="BS910" s="430"/>
      <c r="BT910" s="430"/>
      <c r="BU910" s="430"/>
      <c r="BV910" s="430"/>
      <c r="BW910" s="430"/>
      <c r="BX910" s="430"/>
      <c r="BY910" s="430"/>
      <c r="BZ910" s="430"/>
      <c r="CA910" s="430"/>
      <c r="CB910" s="430"/>
      <c r="CC910" s="430"/>
      <c r="CD910" s="430"/>
      <c r="CE910" s="430"/>
      <c r="CF910" s="430"/>
      <c r="CG910" s="430"/>
      <c r="CH910" s="430"/>
      <c r="CI910" s="430"/>
      <c r="CJ910" s="430"/>
      <c r="CK910" s="430"/>
      <c r="CL910" s="430"/>
    </row>
    <row r="911" spans="63:90" ht="14.25" customHeight="1">
      <c r="BK911" s="430"/>
      <c r="BL911" s="430"/>
      <c r="BM911" s="430"/>
      <c r="BN911" s="430"/>
      <c r="BO911" s="430"/>
      <c r="BP911" s="430"/>
      <c r="BQ911" s="430"/>
      <c r="BR911" s="430"/>
      <c r="BS911" s="430"/>
      <c r="BT911" s="430"/>
      <c r="BU911" s="430"/>
      <c r="BV911" s="430"/>
      <c r="BW911" s="430"/>
      <c r="BX911" s="430"/>
      <c r="BY911" s="430"/>
      <c r="BZ911" s="430"/>
      <c r="CA911" s="430"/>
      <c r="CB911" s="430"/>
      <c r="CC911" s="430"/>
      <c r="CD911" s="430"/>
      <c r="CE911" s="430"/>
      <c r="CF911" s="430"/>
      <c r="CG911" s="430"/>
      <c r="CH911" s="430"/>
      <c r="CI911" s="430"/>
      <c r="CJ911" s="430"/>
      <c r="CK911" s="430"/>
      <c r="CL911" s="430"/>
    </row>
    <row r="912" spans="63:90" ht="14.25" customHeight="1">
      <c r="BK912" s="430"/>
      <c r="BL912" s="430"/>
      <c r="BM912" s="430"/>
      <c r="BN912" s="430"/>
      <c r="BO912" s="430"/>
      <c r="BP912" s="430"/>
      <c r="BQ912" s="430"/>
      <c r="BR912" s="430"/>
      <c r="BS912" s="430"/>
      <c r="BT912" s="430"/>
      <c r="BU912" s="430"/>
      <c r="BV912" s="430"/>
      <c r="BW912" s="430"/>
      <c r="BX912" s="430"/>
      <c r="BY912" s="430"/>
      <c r="BZ912" s="430"/>
      <c r="CA912" s="430"/>
      <c r="CB912" s="430"/>
      <c r="CC912" s="430"/>
      <c r="CD912" s="430"/>
      <c r="CE912" s="430"/>
      <c r="CF912" s="430"/>
      <c r="CG912" s="430"/>
      <c r="CH912" s="430"/>
      <c r="CI912" s="430"/>
      <c r="CJ912" s="430"/>
      <c r="CK912" s="430"/>
      <c r="CL912" s="430"/>
    </row>
    <row r="913" spans="63:90" ht="14.25" customHeight="1">
      <c r="BK913" s="430"/>
      <c r="BL913" s="430"/>
      <c r="BM913" s="430"/>
      <c r="BN913" s="430"/>
      <c r="BO913" s="430"/>
      <c r="BP913" s="430"/>
      <c r="BQ913" s="430"/>
      <c r="BR913" s="430"/>
      <c r="BS913" s="430"/>
      <c r="BT913" s="430"/>
      <c r="BU913" s="430"/>
      <c r="BV913" s="430"/>
      <c r="BW913" s="430"/>
      <c r="BX913" s="430"/>
      <c r="BY913" s="430"/>
      <c r="BZ913" s="430"/>
      <c r="CA913" s="430"/>
      <c r="CB913" s="430"/>
      <c r="CC913" s="430"/>
      <c r="CD913" s="430"/>
      <c r="CE913" s="430"/>
      <c r="CF913" s="430"/>
      <c r="CG913" s="430"/>
      <c r="CH913" s="430"/>
      <c r="CI913" s="430"/>
      <c r="CJ913" s="430"/>
      <c r="CK913" s="430"/>
      <c r="CL913" s="430"/>
    </row>
    <row r="914" spans="63:90" ht="14.25" customHeight="1">
      <c r="BK914" s="430"/>
      <c r="BL914" s="430"/>
      <c r="BM914" s="430"/>
      <c r="BN914" s="430"/>
      <c r="BO914" s="430"/>
      <c r="BP914" s="430"/>
      <c r="BQ914" s="430"/>
      <c r="BR914" s="430"/>
      <c r="BS914" s="430"/>
      <c r="BT914" s="430"/>
      <c r="BU914" s="430"/>
      <c r="BV914" s="430"/>
      <c r="BW914" s="430"/>
      <c r="BX914" s="430"/>
      <c r="BY914" s="430"/>
      <c r="BZ914" s="430"/>
      <c r="CA914" s="430"/>
      <c r="CB914" s="430"/>
      <c r="CC914" s="430"/>
      <c r="CD914" s="430"/>
      <c r="CE914" s="430"/>
      <c r="CF914" s="430"/>
      <c r="CG914" s="430"/>
      <c r="CH914" s="430"/>
      <c r="CI914" s="430"/>
      <c r="CJ914" s="430"/>
      <c r="CK914" s="430"/>
      <c r="CL914" s="430"/>
    </row>
    <row r="915" spans="63:90" ht="14.25" customHeight="1">
      <c r="BK915" s="430"/>
      <c r="BL915" s="430"/>
      <c r="BM915" s="430"/>
      <c r="BN915" s="430"/>
      <c r="BO915" s="430"/>
      <c r="BP915" s="430"/>
      <c r="BQ915" s="430"/>
      <c r="BR915" s="430"/>
      <c r="BS915" s="430"/>
      <c r="BT915" s="430"/>
      <c r="BU915" s="430"/>
      <c r="BV915" s="430"/>
      <c r="BW915" s="430"/>
      <c r="BX915" s="430"/>
      <c r="BY915" s="430"/>
      <c r="BZ915" s="430"/>
      <c r="CA915" s="430"/>
      <c r="CB915" s="430"/>
      <c r="CC915" s="430"/>
      <c r="CD915" s="430"/>
      <c r="CE915" s="430"/>
      <c r="CF915" s="430"/>
      <c r="CG915" s="430"/>
      <c r="CH915" s="430"/>
      <c r="CI915" s="430"/>
      <c r="CJ915" s="430"/>
      <c r="CK915" s="430"/>
      <c r="CL915" s="430"/>
    </row>
    <row r="916" spans="63:90" ht="14.25" customHeight="1">
      <c r="BK916" s="430"/>
      <c r="BL916" s="430"/>
      <c r="BM916" s="430"/>
      <c r="BN916" s="430"/>
      <c r="BO916" s="430"/>
      <c r="BP916" s="430"/>
      <c r="BQ916" s="430"/>
      <c r="BR916" s="430"/>
      <c r="BS916" s="430"/>
      <c r="BT916" s="430"/>
      <c r="BU916" s="430"/>
      <c r="BV916" s="430"/>
      <c r="BW916" s="430"/>
      <c r="BX916" s="430"/>
      <c r="BY916" s="430"/>
      <c r="BZ916" s="430"/>
      <c r="CA916" s="430"/>
      <c r="CB916" s="430"/>
      <c r="CC916" s="430"/>
      <c r="CD916" s="430"/>
      <c r="CE916" s="430"/>
      <c r="CF916" s="430"/>
      <c r="CG916" s="430"/>
      <c r="CH916" s="430"/>
      <c r="CI916" s="430"/>
      <c r="CJ916" s="430"/>
      <c r="CK916" s="430"/>
      <c r="CL916" s="430"/>
    </row>
    <row r="917" spans="63:90" ht="14.25" customHeight="1">
      <c r="BK917" s="430"/>
      <c r="BL917" s="430"/>
      <c r="BM917" s="430"/>
      <c r="BN917" s="430"/>
      <c r="BO917" s="430"/>
      <c r="BP917" s="430"/>
      <c r="BQ917" s="430"/>
      <c r="BR917" s="430"/>
      <c r="BS917" s="430"/>
      <c r="BT917" s="430"/>
      <c r="BU917" s="430"/>
      <c r="BV917" s="430"/>
      <c r="BW917" s="430"/>
      <c r="BX917" s="430"/>
      <c r="BY917" s="430"/>
      <c r="BZ917" s="430"/>
      <c r="CA917" s="430"/>
      <c r="CB917" s="430"/>
      <c r="CC917" s="430"/>
      <c r="CD917" s="430"/>
      <c r="CE917" s="430"/>
      <c r="CF917" s="430"/>
      <c r="CG917" s="430"/>
      <c r="CH917" s="430"/>
      <c r="CI917" s="430"/>
      <c r="CJ917" s="430"/>
      <c r="CK917" s="430"/>
      <c r="CL917" s="430"/>
    </row>
    <row r="918" spans="63:90" ht="14.25" customHeight="1">
      <c r="BK918" s="430"/>
      <c r="BL918" s="430"/>
      <c r="BM918" s="430"/>
      <c r="BN918" s="430"/>
      <c r="BO918" s="430"/>
      <c r="BP918" s="430"/>
      <c r="BQ918" s="430"/>
      <c r="BR918" s="430"/>
      <c r="BS918" s="430"/>
      <c r="BT918" s="430"/>
      <c r="BU918" s="430"/>
      <c r="BV918" s="430"/>
      <c r="BW918" s="430"/>
      <c r="BX918" s="430"/>
      <c r="BY918" s="430"/>
      <c r="BZ918" s="430"/>
      <c r="CA918" s="430"/>
      <c r="CB918" s="430"/>
      <c r="CC918" s="430"/>
      <c r="CD918" s="430"/>
      <c r="CE918" s="430"/>
      <c r="CF918" s="430"/>
      <c r="CG918" s="430"/>
      <c r="CH918" s="430"/>
      <c r="CI918" s="430"/>
      <c r="CJ918" s="430"/>
      <c r="CK918" s="430"/>
      <c r="CL918" s="430"/>
    </row>
    <row r="919" spans="63:90" ht="14.25" customHeight="1">
      <c r="BK919" s="430"/>
      <c r="BL919" s="430"/>
      <c r="BM919" s="430"/>
      <c r="BN919" s="430"/>
      <c r="BO919" s="430"/>
      <c r="BP919" s="430"/>
      <c r="BQ919" s="430"/>
      <c r="BR919" s="430"/>
      <c r="BS919" s="430"/>
      <c r="BT919" s="430"/>
      <c r="BU919" s="430"/>
      <c r="BV919" s="430"/>
      <c r="BW919" s="430"/>
      <c r="BX919" s="430"/>
      <c r="BY919" s="430"/>
      <c r="BZ919" s="430"/>
      <c r="CA919" s="430"/>
      <c r="CB919" s="430"/>
      <c r="CC919" s="430"/>
      <c r="CD919" s="430"/>
      <c r="CE919" s="430"/>
      <c r="CF919" s="430"/>
      <c r="CG919" s="430"/>
      <c r="CH919" s="430"/>
      <c r="CI919" s="430"/>
      <c r="CJ919" s="430"/>
      <c r="CK919" s="430"/>
      <c r="CL919" s="430"/>
    </row>
    <row r="920" spans="63:90" ht="14.25" customHeight="1">
      <c r="BK920" s="430"/>
      <c r="BL920" s="430"/>
      <c r="BM920" s="430"/>
      <c r="BN920" s="430"/>
      <c r="BO920" s="430"/>
      <c r="BP920" s="430"/>
      <c r="BQ920" s="430"/>
      <c r="BR920" s="430"/>
      <c r="BS920" s="430"/>
      <c r="BT920" s="430"/>
      <c r="BU920" s="430"/>
      <c r="BV920" s="430"/>
      <c r="BW920" s="430"/>
      <c r="BX920" s="430"/>
      <c r="BY920" s="430"/>
      <c r="BZ920" s="430"/>
      <c r="CA920" s="430"/>
      <c r="CB920" s="430"/>
      <c r="CC920" s="430"/>
      <c r="CD920" s="430"/>
      <c r="CE920" s="430"/>
      <c r="CF920" s="430"/>
      <c r="CG920" s="430"/>
      <c r="CH920" s="430"/>
      <c r="CI920" s="430"/>
      <c r="CJ920" s="430"/>
      <c r="CK920" s="430"/>
      <c r="CL920" s="430"/>
    </row>
    <row r="921" spans="63:90" ht="14.25" customHeight="1">
      <c r="BK921" s="430"/>
      <c r="BL921" s="430"/>
      <c r="BM921" s="430"/>
      <c r="BN921" s="430"/>
      <c r="BO921" s="430"/>
      <c r="BP921" s="430"/>
      <c r="BQ921" s="430"/>
      <c r="BR921" s="430"/>
      <c r="BS921" s="430"/>
      <c r="BT921" s="430"/>
      <c r="BU921" s="430"/>
      <c r="BV921" s="430"/>
      <c r="BW921" s="430"/>
      <c r="BX921" s="430"/>
      <c r="BY921" s="430"/>
      <c r="BZ921" s="430"/>
      <c r="CA921" s="430"/>
      <c r="CB921" s="430"/>
      <c r="CC921" s="430"/>
      <c r="CD921" s="430"/>
      <c r="CE921" s="430"/>
      <c r="CF921" s="430"/>
      <c r="CG921" s="430"/>
      <c r="CH921" s="430"/>
      <c r="CI921" s="430"/>
      <c r="CJ921" s="430"/>
      <c r="CK921" s="430"/>
      <c r="CL921" s="430"/>
    </row>
    <row r="922" spans="63:90" ht="14.25" customHeight="1">
      <c r="BK922" s="430"/>
      <c r="BL922" s="430"/>
      <c r="BM922" s="430"/>
      <c r="BN922" s="430"/>
      <c r="BO922" s="430"/>
      <c r="BP922" s="430"/>
      <c r="BQ922" s="430"/>
      <c r="BR922" s="430"/>
      <c r="BS922" s="430"/>
      <c r="BT922" s="430"/>
      <c r="BU922" s="430"/>
      <c r="BV922" s="430"/>
      <c r="BW922" s="430"/>
      <c r="BX922" s="430"/>
      <c r="BY922" s="430"/>
      <c r="BZ922" s="430"/>
      <c r="CA922" s="430"/>
      <c r="CB922" s="430"/>
      <c r="CC922" s="430"/>
      <c r="CD922" s="430"/>
      <c r="CE922" s="430"/>
      <c r="CF922" s="430"/>
      <c r="CG922" s="430"/>
      <c r="CH922" s="430"/>
      <c r="CI922" s="430"/>
      <c r="CJ922" s="430"/>
      <c r="CK922" s="430"/>
      <c r="CL922" s="430"/>
    </row>
    <row r="923" spans="63:90" ht="14.25" customHeight="1">
      <c r="BK923" s="430"/>
      <c r="BL923" s="430"/>
      <c r="BM923" s="430"/>
      <c r="BN923" s="430"/>
      <c r="BO923" s="430"/>
      <c r="BP923" s="430"/>
      <c r="BQ923" s="430"/>
      <c r="BR923" s="430"/>
      <c r="BS923" s="430"/>
      <c r="BT923" s="430"/>
      <c r="BU923" s="430"/>
      <c r="BV923" s="430"/>
      <c r="BW923" s="430"/>
      <c r="BX923" s="430"/>
      <c r="BY923" s="430"/>
      <c r="BZ923" s="430"/>
      <c r="CA923" s="430"/>
      <c r="CB923" s="430"/>
      <c r="CC923" s="430"/>
      <c r="CD923" s="430"/>
      <c r="CE923" s="430"/>
      <c r="CF923" s="430"/>
      <c r="CG923" s="430"/>
      <c r="CH923" s="430"/>
      <c r="CI923" s="430"/>
      <c r="CJ923" s="430"/>
      <c r="CK923" s="430"/>
      <c r="CL923" s="430"/>
    </row>
    <row r="924" spans="63:90" ht="14.25" customHeight="1">
      <c r="BK924" s="430"/>
      <c r="BL924" s="430"/>
      <c r="BM924" s="430"/>
      <c r="BN924" s="430"/>
      <c r="BO924" s="430"/>
      <c r="BP924" s="430"/>
      <c r="BQ924" s="430"/>
      <c r="BR924" s="430"/>
      <c r="BS924" s="430"/>
      <c r="BT924" s="430"/>
      <c r="BU924" s="430"/>
      <c r="BV924" s="430"/>
      <c r="BW924" s="430"/>
      <c r="BX924" s="430"/>
      <c r="BY924" s="430"/>
      <c r="BZ924" s="430"/>
      <c r="CA924" s="430"/>
      <c r="CB924" s="430"/>
      <c r="CC924" s="430"/>
      <c r="CD924" s="430"/>
      <c r="CE924" s="430"/>
      <c r="CF924" s="430"/>
      <c r="CG924" s="430"/>
      <c r="CH924" s="430"/>
      <c r="CI924" s="430"/>
      <c r="CJ924" s="430"/>
      <c r="CK924" s="430"/>
      <c r="CL924" s="430"/>
    </row>
    <row r="925" spans="63:90" ht="14.25" customHeight="1">
      <c r="BK925" s="430"/>
      <c r="BL925" s="430"/>
      <c r="BM925" s="430"/>
      <c r="BN925" s="430"/>
      <c r="BO925" s="430"/>
      <c r="BP925" s="430"/>
      <c r="BQ925" s="430"/>
      <c r="BR925" s="430"/>
      <c r="BS925" s="430"/>
      <c r="BT925" s="430"/>
      <c r="BU925" s="430"/>
      <c r="BV925" s="430"/>
      <c r="BW925" s="430"/>
      <c r="BX925" s="430"/>
      <c r="BY925" s="430"/>
      <c r="BZ925" s="430"/>
      <c r="CA925" s="430"/>
      <c r="CB925" s="430"/>
      <c r="CC925" s="430"/>
      <c r="CD925" s="430"/>
      <c r="CE925" s="430"/>
      <c r="CF925" s="430"/>
      <c r="CG925" s="430"/>
      <c r="CH925" s="430"/>
      <c r="CI925" s="430"/>
      <c r="CJ925" s="430"/>
      <c r="CK925" s="430"/>
      <c r="CL925" s="430"/>
    </row>
    <row r="926" spans="63:90" ht="14.25" customHeight="1">
      <c r="BK926" s="430"/>
      <c r="BL926" s="430"/>
      <c r="BM926" s="430"/>
      <c r="BN926" s="430"/>
      <c r="BO926" s="430"/>
      <c r="BP926" s="430"/>
      <c r="BQ926" s="430"/>
      <c r="BR926" s="430"/>
      <c r="BS926" s="430"/>
      <c r="BT926" s="430"/>
      <c r="BU926" s="430"/>
      <c r="BV926" s="430"/>
      <c r="BW926" s="430"/>
      <c r="BX926" s="430"/>
      <c r="BY926" s="430"/>
      <c r="BZ926" s="430"/>
      <c r="CA926" s="430"/>
      <c r="CB926" s="430"/>
      <c r="CC926" s="430"/>
      <c r="CD926" s="430"/>
      <c r="CE926" s="430"/>
      <c r="CF926" s="430"/>
      <c r="CG926" s="430"/>
      <c r="CH926" s="430"/>
      <c r="CI926" s="430"/>
      <c r="CJ926" s="430"/>
      <c r="CK926" s="430"/>
      <c r="CL926" s="430"/>
    </row>
    <row r="927" spans="63:90" ht="14.25" customHeight="1">
      <c r="BK927" s="430"/>
      <c r="BL927" s="430"/>
      <c r="BM927" s="430"/>
      <c r="BN927" s="430"/>
      <c r="BO927" s="430"/>
      <c r="BP927" s="430"/>
      <c r="BQ927" s="430"/>
      <c r="BR927" s="430"/>
      <c r="BS927" s="430"/>
      <c r="BT927" s="430"/>
      <c r="BU927" s="430"/>
      <c r="BV927" s="430"/>
      <c r="BW927" s="430"/>
      <c r="BX927" s="430"/>
      <c r="BY927" s="430"/>
      <c r="BZ927" s="430"/>
      <c r="CA927" s="430"/>
      <c r="CB927" s="430"/>
      <c r="CC927" s="430"/>
      <c r="CD927" s="430"/>
      <c r="CE927" s="430"/>
      <c r="CF927" s="430"/>
      <c r="CG927" s="430"/>
      <c r="CH927" s="430"/>
      <c r="CI927" s="430"/>
      <c r="CJ927" s="430"/>
      <c r="CK927" s="430"/>
      <c r="CL927" s="430"/>
    </row>
    <row r="928" spans="63:90" ht="14.25" customHeight="1">
      <c r="BK928" s="430"/>
      <c r="BL928" s="430"/>
      <c r="BM928" s="430"/>
      <c r="BN928" s="430"/>
      <c r="BO928" s="430"/>
      <c r="BP928" s="430"/>
      <c r="BQ928" s="430"/>
      <c r="BR928" s="430"/>
      <c r="BS928" s="430"/>
      <c r="BT928" s="430"/>
      <c r="BU928" s="430"/>
      <c r="BV928" s="430"/>
      <c r="BW928" s="430"/>
      <c r="BX928" s="430"/>
      <c r="BY928" s="430"/>
      <c r="BZ928" s="430"/>
      <c r="CA928" s="430"/>
      <c r="CB928" s="430"/>
      <c r="CC928" s="430"/>
      <c r="CD928" s="430"/>
      <c r="CE928" s="430"/>
      <c r="CF928" s="430"/>
      <c r="CG928" s="430"/>
      <c r="CH928" s="430"/>
      <c r="CI928" s="430"/>
      <c r="CJ928" s="430"/>
      <c r="CK928" s="430"/>
      <c r="CL928" s="430"/>
    </row>
    <row r="929" spans="63:90" ht="14.25" customHeight="1">
      <c r="BK929" s="430"/>
      <c r="BL929" s="430"/>
      <c r="BM929" s="430"/>
      <c r="BN929" s="430"/>
      <c r="BO929" s="430"/>
      <c r="BP929" s="430"/>
      <c r="BQ929" s="430"/>
      <c r="BR929" s="430"/>
      <c r="BS929" s="430"/>
      <c r="BT929" s="430"/>
      <c r="BU929" s="430"/>
      <c r="BV929" s="430"/>
      <c r="BW929" s="430"/>
      <c r="BX929" s="430"/>
      <c r="BY929" s="430"/>
      <c r="BZ929" s="430"/>
      <c r="CA929" s="430"/>
      <c r="CB929" s="430"/>
      <c r="CC929" s="430"/>
      <c r="CD929" s="430"/>
      <c r="CE929" s="430"/>
      <c r="CF929" s="430"/>
      <c r="CG929" s="430"/>
      <c r="CH929" s="430"/>
      <c r="CI929" s="430"/>
      <c r="CJ929" s="430"/>
      <c r="CK929" s="430"/>
      <c r="CL929" s="430"/>
    </row>
    <row r="930" spans="63:90" ht="14.25" customHeight="1">
      <c r="BK930" s="430"/>
      <c r="BL930" s="430"/>
      <c r="BM930" s="430"/>
      <c r="BN930" s="430"/>
      <c r="BO930" s="430"/>
      <c r="BP930" s="430"/>
      <c r="BQ930" s="430"/>
      <c r="BR930" s="430"/>
      <c r="BS930" s="430"/>
      <c r="BT930" s="430"/>
      <c r="BU930" s="430"/>
      <c r="BV930" s="430"/>
      <c r="BW930" s="430"/>
      <c r="BX930" s="430"/>
      <c r="BY930" s="430"/>
      <c r="BZ930" s="430"/>
      <c r="CA930" s="430"/>
      <c r="CB930" s="430"/>
      <c r="CC930" s="430"/>
      <c r="CD930" s="430"/>
      <c r="CE930" s="430"/>
      <c r="CF930" s="430"/>
      <c r="CG930" s="430"/>
      <c r="CH930" s="430"/>
      <c r="CI930" s="430"/>
      <c r="CJ930" s="430"/>
      <c r="CK930" s="430"/>
      <c r="CL930" s="430"/>
    </row>
    <row r="931" spans="63:90" ht="14.25" customHeight="1">
      <c r="BK931" s="430"/>
      <c r="BL931" s="430"/>
      <c r="BM931" s="430"/>
      <c r="BN931" s="430"/>
      <c r="BO931" s="430"/>
      <c r="BP931" s="430"/>
      <c r="BQ931" s="430"/>
      <c r="BR931" s="430"/>
      <c r="BS931" s="430"/>
      <c r="BT931" s="430"/>
      <c r="BU931" s="430"/>
      <c r="BV931" s="430"/>
      <c r="BW931" s="430"/>
      <c r="BX931" s="430"/>
      <c r="BY931" s="430"/>
      <c r="BZ931" s="430"/>
      <c r="CA931" s="430"/>
      <c r="CB931" s="430"/>
      <c r="CC931" s="430"/>
      <c r="CD931" s="430"/>
      <c r="CE931" s="430"/>
      <c r="CF931" s="430"/>
      <c r="CG931" s="430"/>
      <c r="CH931" s="430"/>
      <c r="CI931" s="430"/>
      <c r="CJ931" s="430"/>
      <c r="CK931" s="430"/>
      <c r="CL931" s="430"/>
    </row>
    <row r="932" spans="63:90" ht="14.25" customHeight="1">
      <c r="BK932" s="430"/>
      <c r="BL932" s="430"/>
      <c r="BM932" s="430"/>
      <c r="BN932" s="430"/>
      <c r="BO932" s="430"/>
      <c r="BP932" s="430"/>
      <c r="BQ932" s="430"/>
      <c r="BR932" s="430"/>
      <c r="BS932" s="430"/>
      <c r="BT932" s="430"/>
      <c r="BU932" s="430"/>
      <c r="BV932" s="430"/>
      <c r="BW932" s="430"/>
      <c r="BX932" s="430"/>
      <c r="BY932" s="430"/>
      <c r="BZ932" s="430"/>
      <c r="CA932" s="430"/>
      <c r="CB932" s="430"/>
      <c r="CC932" s="430"/>
      <c r="CD932" s="430"/>
      <c r="CE932" s="430"/>
      <c r="CF932" s="430"/>
      <c r="CG932" s="430"/>
      <c r="CH932" s="430"/>
      <c r="CI932" s="430"/>
      <c r="CJ932" s="430"/>
      <c r="CK932" s="430"/>
      <c r="CL932" s="430"/>
    </row>
    <row r="933" spans="63:90" ht="14.25" customHeight="1">
      <c r="BK933" s="430"/>
      <c r="BL933" s="430"/>
      <c r="BM933" s="430"/>
      <c r="BN933" s="430"/>
      <c r="BO933" s="430"/>
      <c r="BP933" s="430"/>
      <c r="BQ933" s="430"/>
      <c r="BR933" s="430"/>
      <c r="BS933" s="430"/>
      <c r="BT933" s="430"/>
      <c r="BU933" s="430"/>
      <c r="BV933" s="430"/>
      <c r="BW933" s="430"/>
      <c r="BX933" s="430"/>
      <c r="BY933" s="430"/>
      <c r="BZ933" s="430"/>
      <c r="CA933" s="430"/>
      <c r="CB933" s="430"/>
      <c r="CC933" s="430"/>
      <c r="CD933" s="430"/>
      <c r="CE933" s="430"/>
      <c r="CF933" s="430"/>
      <c r="CG933" s="430"/>
      <c r="CH933" s="430"/>
      <c r="CI933" s="430"/>
      <c r="CJ933" s="430"/>
      <c r="CK933" s="430"/>
      <c r="CL933" s="430"/>
    </row>
    <row r="934" spans="63:90" ht="14.25" customHeight="1">
      <c r="BK934" s="430"/>
      <c r="BL934" s="430"/>
      <c r="BM934" s="430"/>
      <c r="BN934" s="430"/>
      <c r="BO934" s="430"/>
      <c r="BP934" s="430"/>
      <c r="BQ934" s="430"/>
      <c r="BR934" s="430"/>
      <c r="BS934" s="430"/>
      <c r="BT934" s="430"/>
      <c r="BU934" s="430"/>
      <c r="BV934" s="430"/>
      <c r="BW934" s="430"/>
      <c r="BX934" s="430"/>
      <c r="BY934" s="430"/>
      <c r="BZ934" s="430"/>
      <c r="CA934" s="430"/>
      <c r="CB934" s="430"/>
      <c r="CC934" s="430"/>
      <c r="CD934" s="430"/>
      <c r="CE934" s="430"/>
      <c r="CF934" s="430"/>
      <c r="CG934" s="430"/>
      <c r="CH934" s="430"/>
      <c r="CI934" s="430"/>
      <c r="CJ934" s="430"/>
      <c r="CK934" s="430"/>
      <c r="CL934" s="430"/>
    </row>
    <row r="935" spans="63:90" ht="14.25" customHeight="1">
      <c r="BK935" s="430"/>
      <c r="BL935" s="430"/>
      <c r="BM935" s="430"/>
      <c r="BN935" s="430"/>
      <c r="BO935" s="430"/>
      <c r="BP935" s="430"/>
      <c r="BQ935" s="430"/>
      <c r="BR935" s="430"/>
      <c r="BS935" s="430"/>
      <c r="BT935" s="430"/>
      <c r="BU935" s="430"/>
      <c r="BV935" s="430"/>
      <c r="BW935" s="430"/>
      <c r="BX935" s="430"/>
      <c r="BY935" s="430"/>
      <c r="BZ935" s="430"/>
      <c r="CA935" s="430"/>
      <c r="CB935" s="430"/>
      <c r="CC935" s="430"/>
      <c r="CD935" s="430"/>
      <c r="CE935" s="430"/>
      <c r="CF935" s="430"/>
      <c r="CG935" s="430"/>
      <c r="CH935" s="430"/>
      <c r="CI935" s="430"/>
      <c r="CJ935" s="430"/>
      <c r="CK935" s="430"/>
      <c r="CL935" s="430"/>
    </row>
    <row r="936" spans="63:90" ht="14.25" customHeight="1">
      <c r="BK936" s="430"/>
      <c r="BL936" s="430"/>
      <c r="BM936" s="430"/>
      <c r="BN936" s="430"/>
      <c r="BO936" s="430"/>
      <c r="BP936" s="430"/>
      <c r="BQ936" s="430"/>
      <c r="BR936" s="430"/>
      <c r="BS936" s="430"/>
      <c r="BT936" s="430"/>
      <c r="BU936" s="430"/>
      <c r="BV936" s="430"/>
      <c r="BW936" s="430"/>
      <c r="BX936" s="430"/>
      <c r="BY936" s="430"/>
      <c r="BZ936" s="430"/>
      <c r="CA936" s="430"/>
      <c r="CB936" s="430"/>
      <c r="CC936" s="430"/>
      <c r="CD936" s="430"/>
      <c r="CE936" s="430"/>
      <c r="CF936" s="430"/>
      <c r="CG936" s="430"/>
      <c r="CH936" s="430"/>
      <c r="CI936" s="430"/>
      <c r="CJ936" s="430"/>
      <c r="CK936" s="430"/>
      <c r="CL936" s="430"/>
    </row>
    <row r="937" spans="63:90" ht="14.25" customHeight="1">
      <c r="BK937" s="430"/>
      <c r="BL937" s="430"/>
      <c r="BM937" s="430"/>
      <c r="BN937" s="430"/>
      <c r="BO937" s="430"/>
      <c r="BP937" s="430"/>
      <c r="BQ937" s="430"/>
      <c r="BR937" s="430"/>
      <c r="BS937" s="430"/>
      <c r="BT937" s="430"/>
      <c r="BU937" s="430"/>
      <c r="BV937" s="430"/>
      <c r="BW937" s="430"/>
      <c r="BX937" s="430"/>
      <c r="BY937" s="430"/>
      <c r="BZ937" s="430"/>
      <c r="CA937" s="430"/>
      <c r="CB937" s="430"/>
      <c r="CC937" s="430"/>
      <c r="CD937" s="430"/>
      <c r="CE937" s="430"/>
      <c r="CF937" s="430"/>
      <c r="CG937" s="430"/>
      <c r="CH937" s="430"/>
      <c r="CI937" s="430"/>
      <c r="CJ937" s="430"/>
      <c r="CK937" s="430"/>
      <c r="CL937" s="430"/>
    </row>
    <row r="938" spans="63:90" ht="14.25" customHeight="1">
      <c r="BK938" s="430"/>
      <c r="BL938" s="430"/>
      <c r="BM938" s="430"/>
      <c r="BN938" s="430"/>
      <c r="BO938" s="430"/>
      <c r="BP938" s="430"/>
      <c r="BQ938" s="430"/>
      <c r="BR938" s="430"/>
      <c r="BS938" s="430"/>
      <c r="BT938" s="430"/>
      <c r="BU938" s="430"/>
      <c r="BV938" s="430"/>
      <c r="BW938" s="430"/>
      <c r="BX938" s="430"/>
      <c r="BY938" s="430"/>
      <c r="BZ938" s="430"/>
      <c r="CA938" s="430"/>
      <c r="CB938" s="430"/>
      <c r="CC938" s="430"/>
      <c r="CD938" s="430"/>
      <c r="CE938" s="430"/>
      <c r="CF938" s="430"/>
      <c r="CG938" s="430"/>
      <c r="CH938" s="430"/>
      <c r="CI938" s="430"/>
      <c r="CJ938" s="430"/>
      <c r="CK938" s="430"/>
      <c r="CL938" s="430"/>
    </row>
    <row r="939" spans="63:90" ht="14.25" customHeight="1">
      <c r="BK939" s="430"/>
      <c r="BL939" s="430"/>
      <c r="BM939" s="430"/>
      <c r="BN939" s="430"/>
      <c r="BO939" s="430"/>
      <c r="BP939" s="430"/>
      <c r="BQ939" s="430"/>
      <c r="BR939" s="430"/>
      <c r="BS939" s="430"/>
      <c r="BT939" s="430"/>
      <c r="BU939" s="430"/>
      <c r="BV939" s="430"/>
      <c r="BW939" s="430"/>
      <c r="BX939" s="430"/>
      <c r="BY939" s="430"/>
      <c r="BZ939" s="430"/>
      <c r="CA939" s="430"/>
      <c r="CB939" s="430"/>
      <c r="CC939" s="430"/>
      <c r="CD939" s="430"/>
      <c r="CE939" s="430"/>
      <c r="CF939" s="430"/>
      <c r="CG939" s="430"/>
      <c r="CH939" s="430"/>
      <c r="CI939" s="430"/>
      <c r="CJ939" s="430"/>
      <c r="CK939" s="430"/>
      <c r="CL939" s="430"/>
    </row>
    <row r="940" spans="63:90" ht="14.25" customHeight="1">
      <c r="BK940" s="430"/>
      <c r="BL940" s="430"/>
      <c r="BM940" s="430"/>
      <c r="BN940" s="430"/>
      <c r="BO940" s="430"/>
      <c r="BP940" s="430"/>
      <c r="BQ940" s="430"/>
      <c r="BR940" s="430"/>
      <c r="BS940" s="430"/>
      <c r="BT940" s="430"/>
      <c r="BU940" s="430"/>
      <c r="BV940" s="430"/>
      <c r="BW940" s="430"/>
      <c r="BX940" s="430"/>
      <c r="BY940" s="430"/>
      <c r="BZ940" s="430"/>
      <c r="CA940" s="430"/>
      <c r="CB940" s="430"/>
      <c r="CC940" s="430"/>
      <c r="CD940" s="430"/>
      <c r="CE940" s="430"/>
      <c r="CF940" s="430"/>
      <c r="CG940" s="430"/>
      <c r="CH940" s="430"/>
      <c r="CI940" s="430"/>
      <c r="CJ940" s="430"/>
      <c r="CK940" s="430"/>
      <c r="CL940" s="430"/>
    </row>
    <row r="941" spans="63:90" ht="14.25" customHeight="1">
      <c r="BK941" s="430"/>
      <c r="BL941" s="430"/>
      <c r="BM941" s="430"/>
      <c r="BN941" s="430"/>
      <c r="BO941" s="430"/>
      <c r="BP941" s="430"/>
      <c r="BQ941" s="430"/>
      <c r="BR941" s="430"/>
      <c r="BS941" s="430"/>
      <c r="BT941" s="430"/>
      <c r="BU941" s="430"/>
      <c r="BV941" s="430"/>
      <c r="BW941" s="430"/>
      <c r="BX941" s="430"/>
      <c r="BY941" s="430"/>
      <c r="BZ941" s="430"/>
      <c r="CA941" s="430"/>
      <c r="CB941" s="430"/>
      <c r="CC941" s="430"/>
      <c r="CD941" s="430"/>
      <c r="CE941" s="430"/>
      <c r="CF941" s="430"/>
      <c r="CG941" s="430"/>
      <c r="CH941" s="430"/>
      <c r="CI941" s="430"/>
      <c r="CJ941" s="430"/>
      <c r="CK941" s="430"/>
      <c r="CL941" s="430"/>
    </row>
    <row r="942" spans="63:90" ht="14.25" customHeight="1">
      <c r="BK942" s="430"/>
      <c r="BL942" s="430"/>
      <c r="BM942" s="430"/>
      <c r="BN942" s="430"/>
      <c r="BO942" s="430"/>
      <c r="BP942" s="430"/>
      <c r="BQ942" s="430"/>
      <c r="BR942" s="430"/>
      <c r="BS942" s="430"/>
      <c r="BT942" s="430"/>
      <c r="BU942" s="430"/>
      <c r="BV942" s="430"/>
      <c r="BW942" s="430"/>
      <c r="BX942" s="430"/>
      <c r="BY942" s="430"/>
      <c r="BZ942" s="430"/>
      <c r="CA942" s="430"/>
      <c r="CB942" s="430"/>
      <c r="CC942" s="430"/>
      <c r="CD942" s="430"/>
      <c r="CE942" s="430"/>
      <c r="CF942" s="430"/>
      <c r="CG942" s="430"/>
      <c r="CH942" s="430"/>
      <c r="CI942" s="430"/>
      <c r="CJ942" s="430"/>
      <c r="CK942" s="430"/>
      <c r="CL942" s="430"/>
    </row>
    <row r="943" spans="63:90" ht="14.25" customHeight="1">
      <c r="BK943" s="430"/>
      <c r="BL943" s="430"/>
      <c r="BM943" s="430"/>
      <c r="BN943" s="430"/>
      <c r="BO943" s="430"/>
      <c r="BP943" s="430"/>
      <c r="BQ943" s="430"/>
      <c r="BR943" s="430"/>
      <c r="BS943" s="430"/>
      <c r="BT943" s="430"/>
      <c r="BU943" s="430"/>
      <c r="BV943" s="430"/>
      <c r="BW943" s="430"/>
      <c r="BX943" s="430"/>
      <c r="BY943" s="430"/>
      <c r="BZ943" s="430"/>
      <c r="CA943" s="430"/>
      <c r="CB943" s="430"/>
      <c r="CC943" s="430"/>
      <c r="CD943" s="430"/>
      <c r="CE943" s="430"/>
      <c r="CF943" s="430"/>
      <c r="CG943" s="430"/>
      <c r="CH943" s="430"/>
      <c r="CI943" s="430"/>
      <c r="CJ943" s="430"/>
      <c r="CK943" s="430"/>
      <c r="CL943" s="430"/>
    </row>
    <row r="944" spans="63:90" ht="14.25" customHeight="1">
      <c r="BK944" s="430"/>
      <c r="BL944" s="430"/>
      <c r="BM944" s="430"/>
      <c r="BN944" s="430"/>
      <c r="BO944" s="430"/>
      <c r="BP944" s="430"/>
      <c r="BQ944" s="430"/>
      <c r="BR944" s="430"/>
      <c r="BS944" s="430"/>
      <c r="BT944" s="430"/>
      <c r="BU944" s="430"/>
      <c r="BV944" s="430"/>
      <c r="BW944" s="430"/>
      <c r="BX944" s="430"/>
      <c r="BY944" s="430"/>
      <c r="BZ944" s="430"/>
      <c r="CA944" s="430"/>
      <c r="CB944" s="430"/>
      <c r="CC944" s="430"/>
      <c r="CD944" s="430"/>
      <c r="CE944" s="430"/>
      <c r="CF944" s="430"/>
      <c r="CG944" s="430"/>
      <c r="CH944" s="430"/>
      <c r="CI944" s="430"/>
      <c r="CJ944" s="430"/>
      <c r="CK944" s="430"/>
      <c r="CL944" s="430"/>
    </row>
    <row r="945" spans="63:90" ht="14.25" customHeight="1">
      <c r="BK945" s="430"/>
      <c r="BL945" s="430"/>
      <c r="BM945" s="430"/>
      <c r="BN945" s="430"/>
      <c r="BO945" s="430"/>
      <c r="BP945" s="430"/>
      <c r="BQ945" s="430"/>
      <c r="BR945" s="430"/>
      <c r="BS945" s="430"/>
      <c r="BT945" s="430"/>
      <c r="BU945" s="430"/>
      <c r="BV945" s="430"/>
      <c r="BW945" s="430"/>
      <c r="BX945" s="430"/>
      <c r="BY945" s="430"/>
      <c r="BZ945" s="430"/>
      <c r="CA945" s="430"/>
      <c r="CB945" s="430"/>
      <c r="CC945" s="430"/>
      <c r="CD945" s="430"/>
      <c r="CE945" s="430"/>
      <c r="CF945" s="430"/>
      <c r="CG945" s="430"/>
      <c r="CH945" s="430"/>
      <c r="CI945" s="430"/>
      <c r="CJ945" s="430"/>
      <c r="CK945" s="430"/>
      <c r="CL945" s="430"/>
    </row>
    <row r="946" spans="63:90" ht="14.25" customHeight="1">
      <c r="BK946" s="430"/>
      <c r="BL946" s="430"/>
      <c r="BM946" s="430"/>
      <c r="BN946" s="430"/>
      <c r="BO946" s="430"/>
      <c r="BP946" s="430"/>
      <c r="BQ946" s="430"/>
      <c r="BR946" s="430"/>
      <c r="BS946" s="430"/>
      <c r="BT946" s="430"/>
      <c r="BU946" s="430"/>
      <c r="BV946" s="430"/>
      <c r="BW946" s="430"/>
      <c r="BX946" s="430"/>
      <c r="BY946" s="430"/>
      <c r="BZ946" s="430"/>
      <c r="CA946" s="430"/>
      <c r="CB946" s="430"/>
      <c r="CC946" s="430"/>
      <c r="CD946" s="430"/>
      <c r="CE946" s="430"/>
      <c r="CF946" s="430"/>
      <c r="CG946" s="430"/>
      <c r="CH946" s="430"/>
      <c r="CI946" s="430"/>
      <c r="CJ946" s="430"/>
      <c r="CK946" s="430"/>
      <c r="CL946" s="430"/>
    </row>
    <row r="947" spans="63:90" ht="14.25" customHeight="1">
      <c r="BK947" s="430"/>
      <c r="BL947" s="430"/>
      <c r="BM947" s="430"/>
      <c r="BN947" s="430"/>
      <c r="BO947" s="430"/>
      <c r="BP947" s="430"/>
      <c r="BQ947" s="430"/>
      <c r="BR947" s="430"/>
      <c r="BS947" s="430"/>
      <c r="BT947" s="430"/>
      <c r="BU947" s="430"/>
      <c r="BV947" s="430"/>
      <c r="BW947" s="430"/>
      <c r="BX947" s="430"/>
      <c r="BY947" s="430"/>
      <c r="BZ947" s="430"/>
      <c r="CA947" s="430"/>
      <c r="CB947" s="430"/>
      <c r="CC947" s="430"/>
      <c r="CD947" s="430"/>
      <c r="CE947" s="430"/>
      <c r="CF947" s="430"/>
      <c r="CG947" s="430"/>
      <c r="CH947" s="430"/>
      <c r="CI947" s="430"/>
      <c r="CJ947" s="430"/>
      <c r="CK947" s="430"/>
      <c r="CL947" s="430"/>
    </row>
    <row r="948" spans="63:90" ht="14.25" customHeight="1">
      <c r="BK948" s="430"/>
      <c r="BL948" s="430"/>
      <c r="BM948" s="430"/>
      <c r="BN948" s="430"/>
      <c r="BO948" s="430"/>
      <c r="BP948" s="430"/>
      <c r="BQ948" s="430"/>
      <c r="BR948" s="430"/>
      <c r="BS948" s="430"/>
      <c r="BT948" s="430"/>
      <c r="BU948" s="430"/>
      <c r="BV948" s="430"/>
      <c r="BW948" s="430"/>
      <c r="BX948" s="430"/>
      <c r="BY948" s="430"/>
      <c r="BZ948" s="430"/>
      <c r="CA948" s="430"/>
      <c r="CB948" s="430"/>
      <c r="CC948" s="430"/>
      <c r="CD948" s="430"/>
      <c r="CE948" s="430"/>
      <c r="CF948" s="430"/>
      <c r="CG948" s="430"/>
      <c r="CH948" s="430"/>
      <c r="CI948" s="430"/>
      <c r="CJ948" s="430"/>
      <c r="CK948" s="430"/>
      <c r="CL948" s="430"/>
    </row>
    <row r="949" spans="63:90" ht="14.25" customHeight="1">
      <c r="BK949" s="430"/>
      <c r="BL949" s="430"/>
      <c r="BM949" s="430"/>
      <c r="BN949" s="430"/>
      <c r="BO949" s="430"/>
      <c r="BP949" s="430"/>
      <c r="BQ949" s="430"/>
      <c r="BR949" s="430"/>
      <c r="BS949" s="430"/>
      <c r="BT949" s="430"/>
      <c r="BU949" s="430"/>
      <c r="BV949" s="430"/>
      <c r="BW949" s="430"/>
      <c r="BX949" s="430"/>
      <c r="BY949" s="430"/>
      <c r="BZ949" s="430"/>
      <c r="CA949" s="430"/>
      <c r="CB949" s="430"/>
      <c r="CC949" s="430"/>
      <c r="CD949" s="430"/>
      <c r="CE949" s="430"/>
      <c r="CF949" s="430"/>
      <c r="CG949" s="430"/>
      <c r="CH949" s="430"/>
      <c r="CI949" s="430"/>
      <c r="CJ949" s="430"/>
      <c r="CK949" s="430"/>
      <c r="CL949" s="430"/>
    </row>
    <row r="950" spans="63:90" ht="14.25" customHeight="1">
      <c r="BK950" s="430"/>
      <c r="BL950" s="430"/>
      <c r="BM950" s="430"/>
      <c r="BN950" s="430"/>
      <c r="BO950" s="430"/>
      <c r="BP950" s="430"/>
      <c r="BQ950" s="430"/>
      <c r="BR950" s="430"/>
      <c r="BS950" s="430"/>
      <c r="BT950" s="430"/>
      <c r="BU950" s="430"/>
      <c r="BV950" s="430"/>
      <c r="BW950" s="430"/>
      <c r="BX950" s="430"/>
      <c r="BY950" s="430"/>
      <c r="BZ950" s="430"/>
      <c r="CA950" s="430"/>
      <c r="CB950" s="430"/>
      <c r="CC950" s="430"/>
      <c r="CD950" s="430"/>
      <c r="CE950" s="430"/>
      <c r="CF950" s="430"/>
      <c r="CG950" s="430"/>
      <c r="CH950" s="430"/>
      <c r="CI950" s="430"/>
      <c r="CJ950" s="430"/>
      <c r="CK950" s="430"/>
      <c r="CL950" s="430"/>
    </row>
    <row r="951" spans="63:90" ht="14.25" customHeight="1">
      <c r="BK951" s="430"/>
      <c r="BL951" s="430"/>
      <c r="BM951" s="430"/>
      <c r="BN951" s="430"/>
      <c r="BO951" s="430"/>
      <c r="BP951" s="430"/>
      <c r="BQ951" s="430"/>
      <c r="BR951" s="430"/>
      <c r="BS951" s="430"/>
      <c r="BT951" s="430"/>
      <c r="BU951" s="430"/>
      <c r="BV951" s="430"/>
      <c r="BW951" s="430"/>
      <c r="BX951" s="430"/>
      <c r="BY951" s="430"/>
      <c r="BZ951" s="430"/>
      <c r="CA951" s="430"/>
      <c r="CB951" s="430"/>
      <c r="CC951" s="430"/>
      <c r="CD951" s="430"/>
      <c r="CE951" s="430"/>
      <c r="CF951" s="430"/>
      <c r="CG951" s="430"/>
      <c r="CH951" s="430"/>
      <c r="CI951" s="430"/>
      <c r="CJ951" s="430"/>
      <c r="CK951" s="430"/>
      <c r="CL951" s="430"/>
    </row>
    <row r="952" spans="63:90" ht="14.25" customHeight="1">
      <c r="BK952" s="430"/>
      <c r="BL952" s="430"/>
      <c r="BM952" s="430"/>
      <c r="BN952" s="430"/>
      <c r="BO952" s="430"/>
      <c r="BP952" s="430"/>
      <c r="BQ952" s="430"/>
      <c r="BR952" s="430"/>
      <c r="BS952" s="430"/>
      <c r="BT952" s="430"/>
      <c r="BU952" s="430"/>
      <c r="BV952" s="430"/>
      <c r="BW952" s="430"/>
      <c r="BX952" s="430"/>
      <c r="BY952" s="430"/>
      <c r="BZ952" s="430"/>
      <c r="CA952" s="430"/>
      <c r="CB952" s="430"/>
      <c r="CC952" s="430"/>
      <c r="CD952" s="430"/>
      <c r="CE952" s="430"/>
      <c r="CF952" s="430"/>
      <c r="CG952" s="430"/>
      <c r="CH952" s="430"/>
      <c r="CI952" s="430"/>
      <c r="CJ952" s="430"/>
      <c r="CK952" s="430"/>
      <c r="CL952" s="430"/>
    </row>
    <row r="953" spans="63:90" ht="14.25" customHeight="1">
      <c r="BK953" s="430"/>
      <c r="BL953" s="430"/>
      <c r="BM953" s="430"/>
      <c r="BN953" s="430"/>
      <c r="BO953" s="430"/>
      <c r="BP953" s="430"/>
      <c r="BQ953" s="430"/>
      <c r="BR953" s="430"/>
      <c r="BS953" s="430"/>
      <c r="BT953" s="430"/>
      <c r="BU953" s="430"/>
      <c r="BV953" s="430"/>
      <c r="BW953" s="430"/>
      <c r="BX953" s="430"/>
      <c r="BY953" s="430"/>
      <c r="BZ953" s="430"/>
      <c r="CA953" s="430"/>
      <c r="CB953" s="430"/>
      <c r="CC953" s="430"/>
      <c r="CD953" s="430"/>
      <c r="CE953" s="430"/>
      <c r="CF953" s="430"/>
      <c r="CG953" s="430"/>
      <c r="CH953" s="430"/>
      <c r="CI953" s="430"/>
      <c r="CJ953" s="430"/>
      <c r="CK953" s="430"/>
      <c r="CL953" s="430"/>
    </row>
    <row r="954" spans="63:90" ht="14.25" customHeight="1">
      <c r="BK954" s="430"/>
      <c r="BL954" s="430"/>
      <c r="BM954" s="430"/>
      <c r="BN954" s="430"/>
      <c r="BO954" s="430"/>
      <c r="BP954" s="430"/>
      <c r="BQ954" s="430"/>
      <c r="BR954" s="430"/>
      <c r="BS954" s="430"/>
      <c r="BT954" s="430"/>
      <c r="BU954" s="430"/>
      <c r="BV954" s="430"/>
      <c r="BW954" s="430"/>
      <c r="BX954" s="430"/>
      <c r="BY954" s="430"/>
      <c r="BZ954" s="430"/>
      <c r="CA954" s="430"/>
      <c r="CB954" s="430"/>
      <c r="CC954" s="430"/>
      <c r="CD954" s="430"/>
      <c r="CE954" s="430"/>
      <c r="CF954" s="430"/>
      <c r="CG954" s="430"/>
      <c r="CH954" s="430"/>
      <c r="CI954" s="430"/>
      <c r="CJ954" s="430"/>
      <c r="CK954" s="430"/>
      <c r="CL954" s="430"/>
    </row>
    <row r="955" spans="63:90" ht="14.25" customHeight="1">
      <c r="BK955" s="430"/>
      <c r="BL955" s="430"/>
      <c r="BM955" s="430"/>
      <c r="BN955" s="430"/>
      <c r="BO955" s="430"/>
      <c r="BP955" s="430"/>
      <c r="BQ955" s="430"/>
      <c r="BR955" s="430"/>
      <c r="BS955" s="430"/>
      <c r="BT955" s="430"/>
      <c r="BU955" s="430"/>
      <c r="BV955" s="430"/>
      <c r="BW955" s="430"/>
      <c r="BX955" s="430"/>
      <c r="BY955" s="430"/>
      <c r="BZ955" s="430"/>
      <c r="CA955" s="430"/>
      <c r="CB955" s="430"/>
      <c r="CC955" s="430"/>
      <c r="CD955" s="430"/>
      <c r="CE955" s="430"/>
      <c r="CF955" s="430"/>
      <c r="CG955" s="430"/>
      <c r="CH955" s="430"/>
      <c r="CI955" s="430"/>
      <c r="CJ955" s="430"/>
      <c r="CK955" s="430"/>
      <c r="CL955" s="430"/>
    </row>
    <row r="956" spans="63:90" ht="14.25" customHeight="1">
      <c r="BK956" s="430"/>
      <c r="BL956" s="430"/>
      <c r="BM956" s="430"/>
      <c r="BN956" s="430"/>
      <c r="BO956" s="430"/>
      <c r="BP956" s="430"/>
      <c r="BQ956" s="430"/>
      <c r="BR956" s="430"/>
      <c r="BS956" s="430"/>
      <c r="BT956" s="430"/>
      <c r="BU956" s="430"/>
      <c r="BV956" s="430"/>
      <c r="BW956" s="430"/>
      <c r="BX956" s="430"/>
      <c r="BY956" s="430"/>
      <c r="BZ956" s="430"/>
      <c r="CA956" s="430"/>
      <c r="CB956" s="430"/>
      <c r="CC956" s="430"/>
      <c r="CD956" s="430"/>
      <c r="CE956" s="430"/>
      <c r="CF956" s="430"/>
      <c r="CG956" s="430"/>
      <c r="CH956" s="430"/>
      <c r="CI956" s="430"/>
      <c r="CJ956" s="430"/>
      <c r="CK956" s="430"/>
      <c r="CL956" s="430"/>
    </row>
    <row r="957" spans="63:90" ht="14.25" customHeight="1">
      <c r="BK957" s="430"/>
      <c r="BL957" s="430"/>
      <c r="BM957" s="430"/>
      <c r="BN957" s="430"/>
      <c r="BO957" s="430"/>
      <c r="BP957" s="430"/>
      <c r="BQ957" s="430"/>
      <c r="BR957" s="430"/>
      <c r="BS957" s="430"/>
      <c r="BT957" s="430"/>
      <c r="BU957" s="430"/>
      <c r="BV957" s="430"/>
      <c r="BW957" s="430"/>
      <c r="BX957" s="430"/>
      <c r="BY957" s="430"/>
      <c r="BZ957" s="430"/>
      <c r="CA957" s="430"/>
      <c r="CB957" s="430"/>
      <c r="CC957" s="430"/>
      <c r="CD957" s="430"/>
      <c r="CE957" s="430"/>
      <c r="CF957" s="430"/>
      <c r="CG957" s="430"/>
      <c r="CH957" s="430"/>
      <c r="CI957" s="430"/>
      <c r="CJ957" s="430"/>
      <c r="CK957" s="430"/>
      <c r="CL957" s="430"/>
    </row>
    <row r="958" spans="63:90" ht="14.25" customHeight="1">
      <c r="BK958" s="430"/>
      <c r="BL958" s="430"/>
      <c r="BM958" s="430"/>
      <c r="BN958" s="430"/>
      <c r="BO958" s="430"/>
      <c r="BP958" s="430"/>
      <c r="BQ958" s="430"/>
      <c r="BR958" s="430"/>
      <c r="BS958" s="430"/>
      <c r="BT958" s="430"/>
      <c r="BU958" s="430"/>
      <c r="BV958" s="430"/>
      <c r="BW958" s="430"/>
      <c r="BX958" s="430"/>
      <c r="BY958" s="430"/>
      <c r="BZ958" s="430"/>
      <c r="CA958" s="430"/>
      <c r="CB958" s="430"/>
      <c r="CC958" s="430"/>
      <c r="CD958" s="430"/>
      <c r="CE958" s="430"/>
      <c r="CF958" s="430"/>
      <c r="CG958" s="430"/>
      <c r="CH958" s="430"/>
      <c r="CI958" s="430"/>
      <c r="CJ958" s="430"/>
      <c r="CK958" s="430"/>
      <c r="CL958" s="430"/>
    </row>
    <row r="959" spans="63:90" ht="14.25" customHeight="1">
      <c r="BK959" s="430"/>
      <c r="BL959" s="430"/>
      <c r="BM959" s="430"/>
      <c r="BN959" s="430"/>
      <c r="BO959" s="430"/>
      <c r="BP959" s="430"/>
      <c r="BQ959" s="430"/>
      <c r="BR959" s="430"/>
      <c r="BS959" s="430"/>
      <c r="BT959" s="430"/>
      <c r="BU959" s="430"/>
      <c r="BV959" s="430"/>
      <c r="BW959" s="430"/>
      <c r="BX959" s="430"/>
      <c r="BY959" s="430"/>
      <c r="BZ959" s="430"/>
      <c r="CA959" s="430"/>
      <c r="CB959" s="430"/>
      <c r="CC959" s="430"/>
      <c r="CD959" s="430"/>
      <c r="CE959" s="430"/>
      <c r="CF959" s="430"/>
      <c r="CG959" s="430"/>
      <c r="CH959" s="430"/>
      <c r="CI959" s="430"/>
      <c r="CJ959" s="430"/>
      <c r="CK959" s="430"/>
      <c r="CL959" s="430"/>
    </row>
    <row r="960" spans="63:90" ht="14.25" customHeight="1">
      <c r="BK960" s="430"/>
      <c r="BL960" s="430"/>
      <c r="BM960" s="430"/>
      <c r="BN960" s="430"/>
      <c r="BO960" s="430"/>
      <c r="BP960" s="430"/>
      <c r="BQ960" s="430"/>
      <c r="BR960" s="430"/>
      <c r="BS960" s="430"/>
      <c r="BT960" s="430"/>
      <c r="BU960" s="430"/>
      <c r="BV960" s="430"/>
      <c r="BW960" s="430"/>
      <c r="BX960" s="430"/>
      <c r="BY960" s="430"/>
      <c r="BZ960" s="430"/>
      <c r="CA960" s="430"/>
      <c r="CB960" s="430"/>
      <c r="CC960" s="430"/>
      <c r="CD960" s="430"/>
      <c r="CE960" s="430"/>
      <c r="CF960" s="430"/>
      <c r="CG960" s="430"/>
      <c r="CH960" s="430"/>
      <c r="CI960" s="430"/>
      <c r="CJ960" s="430"/>
      <c r="CK960" s="430"/>
      <c r="CL960" s="430"/>
    </row>
    <row r="961" spans="63:90" ht="14.25" customHeight="1">
      <c r="BK961" s="430"/>
      <c r="BL961" s="430"/>
      <c r="BM961" s="430"/>
      <c r="BN961" s="430"/>
      <c r="BO961" s="430"/>
      <c r="BP961" s="430"/>
      <c r="BQ961" s="430"/>
      <c r="BR961" s="430"/>
      <c r="BS961" s="430"/>
      <c r="BT961" s="430"/>
      <c r="BU961" s="430"/>
      <c r="BV961" s="430"/>
      <c r="BW961" s="430"/>
      <c r="BX961" s="430"/>
      <c r="BY961" s="430"/>
      <c r="BZ961" s="430"/>
      <c r="CA961" s="430"/>
      <c r="CB961" s="430"/>
      <c r="CC961" s="430"/>
      <c r="CD961" s="430"/>
      <c r="CE961" s="430"/>
      <c r="CF961" s="430"/>
      <c r="CG961" s="430"/>
      <c r="CH961" s="430"/>
      <c r="CI961" s="430"/>
      <c r="CJ961" s="430"/>
      <c r="CK961" s="430"/>
      <c r="CL961" s="430"/>
    </row>
    <row r="962" spans="63:90" ht="14.25" customHeight="1">
      <c r="BK962" s="430"/>
      <c r="BL962" s="430"/>
      <c r="BM962" s="430"/>
      <c r="BN962" s="430"/>
      <c r="BO962" s="430"/>
      <c r="BP962" s="430"/>
      <c r="BQ962" s="430"/>
      <c r="BR962" s="430"/>
      <c r="BS962" s="430"/>
      <c r="BT962" s="430"/>
      <c r="BU962" s="430"/>
      <c r="BV962" s="430"/>
      <c r="BW962" s="430"/>
      <c r="BX962" s="430"/>
      <c r="BY962" s="430"/>
      <c r="BZ962" s="430"/>
      <c r="CA962" s="430"/>
      <c r="CB962" s="430"/>
      <c r="CC962" s="430"/>
      <c r="CD962" s="430"/>
      <c r="CE962" s="430"/>
      <c r="CF962" s="430"/>
      <c r="CG962" s="430"/>
      <c r="CH962" s="430"/>
      <c r="CI962" s="430"/>
      <c r="CJ962" s="430"/>
      <c r="CK962" s="430"/>
      <c r="CL962" s="430"/>
    </row>
    <row r="963" spans="63:90" ht="14.25" customHeight="1">
      <c r="BK963" s="430"/>
      <c r="BL963" s="430"/>
      <c r="BM963" s="430"/>
      <c r="BN963" s="430"/>
      <c r="BO963" s="430"/>
      <c r="BP963" s="430"/>
      <c r="BQ963" s="430"/>
      <c r="BR963" s="430"/>
      <c r="BS963" s="430"/>
      <c r="BT963" s="430"/>
      <c r="BU963" s="430"/>
      <c r="BV963" s="430"/>
      <c r="BW963" s="430"/>
      <c r="BX963" s="430"/>
      <c r="BY963" s="430"/>
      <c r="BZ963" s="430"/>
      <c r="CA963" s="430"/>
      <c r="CB963" s="430"/>
      <c r="CC963" s="430"/>
      <c r="CD963" s="430"/>
      <c r="CE963" s="430"/>
      <c r="CF963" s="430"/>
      <c r="CG963" s="430"/>
      <c r="CH963" s="430"/>
      <c r="CI963" s="430"/>
      <c r="CJ963" s="430"/>
      <c r="CK963" s="430"/>
      <c r="CL963" s="430"/>
    </row>
    <row r="964" spans="63:90" ht="14.25" customHeight="1">
      <c r="BK964" s="430"/>
      <c r="BL964" s="430"/>
      <c r="BM964" s="430"/>
      <c r="BN964" s="430"/>
      <c r="BO964" s="430"/>
      <c r="BP964" s="430"/>
      <c r="BQ964" s="430"/>
      <c r="BR964" s="430"/>
      <c r="BS964" s="430"/>
      <c r="BT964" s="430"/>
      <c r="BU964" s="430"/>
      <c r="BV964" s="430"/>
      <c r="BW964" s="430"/>
      <c r="BX964" s="430"/>
      <c r="BY964" s="430"/>
      <c r="BZ964" s="430"/>
      <c r="CA964" s="430"/>
      <c r="CB964" s="430"/>
      <c r="CC964" s="430"/>
      <c r="CD964" s="430"/>
      <c r="CE964" s="430"/>
      <c r="CF964" s="430"/>
      <c r="CG964" s="430"/>
      <c r="CH964" s="430"/>
      <c r="CI964" s="430"/>
      <c r="CJ964" s="430"/>
      <c r="CK964" s="430"/>
      <c r="CL964" s="430"/>
    </row>
    <row r="965" spans="63:90" ht="14.25" customHeight="1">
      <c r="BK965" s="430"/>
      <c r="BL965" s="430"/>
      <c r="BM965" s="430"/>
      <c r="BN965" s="430"/>
      <c r="BO965" s="430"/>
      <c r="BP965" s="430"/>
      <c r="BQ965" s="430"/>
      <c r="BR965" s="430"/>
      <c r="BS965" s="430"/>
      <c r="BT965" s="430"/>
      <c r="BU965" s="430"/>
      <c r="BV965" s="430"/>
      <c r="BW965" s="430"/>
      <c r="BX965" s="430"/>
      <c r="BY965" s="430"/>
      <c r="BZ965" s="430"/>
      <c r="CA965" s="430"/>
      <c r="CB965" s="430"/>
      <c r="CC965" s="430"/>
      <c r="CD965" s="430"/>
      <c r="CE965" s="430"/>
      <c r="CF965" s="430"/>
      <c r="CG965" s="430"/>
      <c r="CH965" s="430"/>
      <c r="CI965" s="430"/>
      <c r="CJ965" s="430"/>
      <c r="CK965" s="430"/>
      <c r="CL965" s="430"/>
    </row>
    <row r="966" spans="63:90" ht="14.25" customHeight="1">
      <c r="BK966" s="430"/>
      <c r="BL966" s="430"/>
      <c r="BM966" s="430"/>
      <c r="BN966" s="430"/>
      <c r="BO966" s="430"/>
      <c r="BP966" s="430"/>
      <c r="BQ966" s="430"/>
      <c r="BR966" s="430"/>
      <c r="BS966" s="430"/>
      <c r="BT966" s="430"/>
      <c r="BU966" s="430"/>
      <c r="BV966" s="430"/>
      <c r="BW966" s="430"/>
      <c r="BX966" s="430"/>
      <c r="BY966" s="430"/>
      <c r="BZ966" s="430"/>
      <c r="CA966" s="430"/>
      <c r="CB966" s="430"/>
      <c r="CC966" s="430"/>
      <c r="CD966" s="430"/>
      <c r="CE966" s="430"/>
      <c r="CF966" s="430"/>
      <c r="CG966" s="430"/>
      <c r="CH966" s="430"/>
      <c r="CI966" s="430"/>
      <c r="CJ966" s="430"/>
      <c r="CK966" s="430"/>
      <c r="CL966" s="430"/>
    </row>
    <row r="967" spans="63:90" ht="14.25" customHeight="1">
      <c r="BK967" s="430"/>
      <c r="BL967" s="430"/>
      <c r="BM967" s="430"/>
      <c r="BN967" s="430"/>
      <c r="BO967" s="430"/>
      <c r="BP967" s="430"/>
      <c r="BQ967" s="430"/>
      <c r="BR967" s="430"/>
      <c r="BS967" s="430"/>
      <c r="BT967" s="430"/>
      <c r="BU967" s="430"/>
      <c r="BV967" s="430"/>
      <c r="BW967" s="430"/>
      <c r="BX967" s="430"/>
      <c r="BY967" s="430"/>
      <c r="BZ967" s="430"/>
      <c r="CA967" s="430"/>
      <c r="CB967" s="430"/>
      <c r="CC967" s="430"/>
      <c r="CD967" s="430"/>
      <c r="CE967" s="430"/>
      <c r="CF967" s="430"/>
      <c r="CG967" s="430"/>
      <c r="CH967" s="430"/>
      <c r="CI967" s="430"/>
      <c r="CJ967" s="430"/>
      <c r="CK967" s="430"/>
      <c r="CL967" s="430"/>
    </row>
    <row r="968" spans="63:90" ht="14.25" customHeight="1">
      <c r="BK968" s="430"/>
      <c r="BL968" s="430"/>
      <c r="BM968" s="430"/>
      <c r="BN968" s="430"/>
      <c r="BO968" s="430"/>
      <c r="BP968" s="430"/>
      <c r="BQ968" s="430"/>
      <c r="BR968" s="430"/>
      <c r="BS968" s="430"/>
      <c r="BT968" s="430"/>
      <c r="BU968" s="430"/>
      <c r="BV968" s="430"/>
      <c r="BW968" s="430"/>
      <c r="BX968" s="430"/>
      <c r="BY968" s="430"/>
      <c r="BZ968" s="430"/>
      <c r="CA968" s="430"/>
      <c r="CB968" s="430"/>
      <c r="CC968" s="430"/>
      <c r="CD968" s="430"/>
      <c r="CE968" s="430"/>
      <c r="CF968" s="430"/>
      <c r="CG968" s="430"/>
      <c r="CH968" s="430"/>
      <c r="CI968" s="430"/>
      <c r="CJ968" s="430"/>
      <c r="CK968" s="430"/>
      <c r="CL968" s="430"/>
    </row>
    <row r="969" spans="63:90" ht="14.25" customHeight="1">
      <c r="BK969" s="430"/>
      <c r="BL969" s="430"/>
      <c r="BM969" s="430"/>
      <c r="BN969" s="430"/>
      <c r="BO969" s="430"/>
      <c r="BP969" s="430"/>
      <c r="BQ969" s="430"/>
      <c r="BR969" s="430"/>
      <c r="BS969" s="430"/>
      <c r="BT969" s="430"/>
      <c r="BU969" s="430"/>
      <c r="BV969" s="430"/>
      <c r="BW969" s="430"/>
      <c r="BX969" s="430"/>
      <c r="BY969" s="430"/>
      <c r="BZ969" s="430"/>
      <c r="CA969" s="430"/>
      <c r="CB969" s="430"/>
      <c r="CC969" s="430"/>
      <c r="CD969" s="430"/>
      <c r="CE969" s="430"/>
      <c r="CF969" s="430"/>
      <c r="CG969" s="430"/>
      <c r="CH969" s="430"/>
      <c r="CI969" s="430"/>
      <c r="CJ969" s="430"/>
      <c r="CK969" s="430"/>
      <c r="CL969" s="430"/>
    </row>
    <row r="970" spans="63:90" ht="14.25" customHeight="1">
      <c r="BK970" s="430"/>
      <c r="BL970" s="430"/>
      <c r="BM970" s="430"/>
      <c r="BN970" s="430"/>
      <c r="BO970" s="430"/>
      <c r="BP970" s="430"/>
      <c r="BQ970" s="430"/>
      <c r="BR970" s="430"/>
      <c r="BS970" s="430"/>
      <c r="BT970" s="430"/>
      <c r="BU970" s="430"/>
      <c r="BV970" s="430"/>
      <c r="BW970" s="430"/>
      <c r="BX970" s="430"/>
      <c r="BY970" s="430"/>
      <c r="BZ970" s="430"/>
      <c r="CA970" s="430"/>
      <c r="CB970" s="430"/>
      <c r="CC970" s="430"/>
      <c r="CD970" s="430"/>
      <c r="CE970" s="430"/>
      <c r="CF970" s="430"/>
      <c r="CG970" s="430"/>
      <c r="CH970" s="430"/>
      <c r="CI970" s="430"/>
      <c r="CJ970" s="430"/>
      <c r="CK970" s="430"/>
      <c r="CL970" s="430"/>
    </row>
    <row r="971" spans="63:90" ht="14.25" customHeight="1">
      <c r="BK971" s="430"/>
      <c r="BL971" s="430"/>
      <c r="BM971" s="430"/>
      <c r="BN971" s="430"/>
      <c r="BO971" s="430"/>
      <c r="BP971" s="430"/>
      <c r="BQ971" s="430"/>
      <c r="BR971" s="430"/>
      <c r="BS971" s="430"/>
      <c r="BT971" s="430"/>
      <c r="BU971" s="430"/>
      <c r="BV971" s="430"/>
      <c r="BW971" s="430"/>
      <c r="BX971" s="430"/>
      <c r="BY971" s="430"/>
      <c r="BZ971" s="430"/>
      <c r="CA971" s="430"/>
      <c r="CB971" s="430"/>
      <c r="CC971" s="430"/>
      <c r="CD971" s="430"/>
      <c r="CE971" s="430"/>
      <c r="CF971" s="430"/>
      <c r="CG971" s="430"/>
      <c r="CH971" s="430"/>
      <c r="CI971" s="430"/>
      <c r="CJ971" s="430"/>
      <c r="CK971" s="430"/>
      <c r="CL971" s="430"/>
    </row>
    <row r="972" spans="63:90" ht="14.25" customHeight="1">
      <c r="BK972" s="430"/>
      <c r="BL972" s="430"/>
      <c r="BM972" s="430"/>
      <c r="BN972" s="430"/>
      <c r="BO972" s="430"/>
      <c r="BP972" s="430"/>
      <c r="BQ972" s="430"/>
      <c r="BR972" s="430"/>
      <c r="BS972" s="430"/>
      <c r="BT972" s="430"/>
      <c r="BU972" s="430"/>
      <c r="BV972" s="430"/>
      <c r="BW972" s="430"/>
      <c r="BX972" s="430"/>
      <c r="BY972" s="430"/>
      <c r="BZ972" s="430"/>
      <c r="CA972" s="430"/>
      <c r="CB972" s="430"/>
      <c r="CC972" s="430"/>
      <c r="CD972" s="430"/>
      <c r="CE972" s="430"/>
      <c r="CF972" s="430"/>
      <c r="CG972" s="430"/>
      <c r="CH972" s="430"/>
      <c r="CI972" s="430"/>
      <c r="CJ972" s="430"/>
      <c r="CK972" s="430"/>
      <c r="CL972" s="430"/>
    </row>
    <row r="973" spans="63:90" ht="14.25" customHeight="1">
      <c r="BK973" s="430"/>
      <c r="BL973" s="430"/>
      <c r="BM973" s="430"/>
      <c r="BN973" s="430"/>
      <c r="BO973" s="430"/>
      <c r="BP973" s="430"/>
      <c r="BQ973" s="430"/>
      <c r="BR973" s="430"/>
      <c r="BS973" s="430"/>
      <c r="BT973" s="430"/>
      <c r="BU973" s="430"/>
      <c r="BV973" s="430"/>
      <c r="BW973" s="430"/>
      <c r="BX973" s="430"/>
      <c r="BY973" s="430"/>
      <c r="BZ973" s="430"/>
      <c r="CA973" s="430"/>
      <c r="CB973" s="430"/>
      <c r="CC973" s="430"/>
      <c r="CD973" s="430"/>
      <c r="CE973" s="430"/>
      <c r="CF973" s="430"/>
      <c r="CG973" s="430"/>
      <c r="CH973" s="430"/>
      <c r="CI973" s="430"/>
      <c r="CJ973" s="430"/>
      <c r="CK973" s="430"/>
      <c r="CL973" s="430"/>
    </row>
    <row r="974" spans="63:90" ht="14.25" customHeight="1">
      <c r="BK974" s="430"/>
      <c r="BL974" s="430"/>
      <c r="BM974" s="430"/>
      <c r="BN974" s="430"/>
      <c r="BO974" s="430"/>
      <c r="BP974" s="430"/>
      <c r="BQ974" s="430"/>
      <c r="BR974" s="430"/>
      <c r="BS974" s="430"/>
      <c r="BT974" s="430"/>
      <c r="BU974" s="430"/>
      <c r="BV974" s="430"/>
      <c r="BW974" s="430"/>
      <c r="BX974" s="430"/>
      <c r="BY974" s="430"/>
      <c r="BZ974" s="430"/>
      <c r="CA974" s="430"/>
      <c r="CB974" s="430"/>
      <c r="CC974" s="430"/>
      <c r="CD974" s="430"/>
      <c r="CE974" s="430"/>
      <c r="CF974" s="430"/>
      <c r="CG974" s="430"/>
      <c r="CH974" s="430"/>
      <c r="CI974" s="430"/>
      <c r="CJ974" s="430"/>
      <c r="CK974" s="430"/>
      <c r="CL974" s="430"/>
    </row>
    <row r="975" spans="63:90" ht="14.25" customHeight="1">
      <c r="BK975" s="430"/>
      <c r="BL975" s="430"/>
      <c r="BM975" s="430"/>
      <c r="BN975" s="430"/>
      <c r="BO975" s="430"/>
      <c r="BP975" s="430"/>
      <c r="BQ975" s="430"/>
      <c r="BR975" s="430"/>
      <c r="BS975" s="430"/>
      <c r="BT975" s="430"/>
      <c r="BU975" s="430"/>
      <c r="BV975" s="430"/>
      <c r="BW975" s="430"/>
      <c r="BX975" s="430"/>
      <c r="BY975" s="430"/>
      <c r="BZ975" s="430"/>
      <c r="CA975" s="430"/>
      <c r="CB975" s="430"/>
      <c r="CC975" s="430"/>
      <c r="CD975" s="430"/>
      <c r="CE975" s="430"/>
      <c r="CF975" s="430"/>
      <c r="CG975" s="430"/>
      <c r="CH975" s="430"/>
      <c r="CI975" s="430"/>
      <c r="CJ975" s="430"/>
      <c r="CK975" s="430"/>
      <c r="CL975" s="430"/>
    </row>
    <row r="976" spans="63:90" ht="14.25" customHeight="1">
      <c r="BK976" s="430"/>
      <c r="BL976" s="430"/>
      <c r="BM976" s="430"/>
      <c r="BN976" s="430"/>
      <c r="BO976" s="430"/>
      <c r="BP976" s="430"/>
      <c r="BQ976" s="430"/>
      <c r="BR976" s="430"/>
      <c r="BS976" s="430"/>
      <c r="BT976" s="430"/>
      <c r="BU976" s="430"/>
      <c r="BV976" s="430"/>
      <c r="BW976" s="430"/>
      <c r="BX976" s="430"/>
      <c r="BY976" s="430"/>
      <c r="BZ976" s="430"/>
      <c r="CA976" s="430"/>
      <c r="CB976" s="430"/>
      <c r="CC976" s="430"/>
      <c r="CD976" s="430"/>
      <c r="CE976" s="430"/>
      <c r="CF976" s="430"/>
      <c r="CG976" s="430"/>
      <c r="CH976" s="430"/>
      <c r="CI976" s="430"/>
      <c r="CJ976" s="430"/>
      <c r="CK976" s="430"/>
      <c r="CL976" s="430"/>
    </row>
    <row r="977" spans="63:90" ht="14.25" customHeight="1">
      <c r="BK977" s="430"/>
      <c r="BL977" s="430"/>
      <c r="BM977" s="430"/>
      <c r="BN977" s="430"/>
      <c r="BO977" s="430"/>
      <c r="BP977" s="430"/>
      <c r="BQ977" s="430"/>
      <c r="BR977" s="430"/>
      <c r="BS977" s="430"/>
      <c r="BT977" s="430"/>
      <c r="BU977" s="430"/>
      <c r="BV977" s="430"/>
      <c r="BW977" s="430"/>
      <c r="BX977" s="430"/>
      <c r="BY977" s="430"/>
      <c r="BZ977" s="430"/>
      <c r="CA977" s="430"/>
      <c r="CB977" s="430"/>
      <c r="CC977" s="430"/>
      <c r="CD977" s="430"/>
      <c r="CE977" s="430"/>
      <c r="CF977" s="430"/>
      <c r="CG977" s="430"/>
      <c r="CH977" s="430"/>
      <c r="CI977" s="430"/>
      <c r="CJ977" s="430"/>
      <c r="CK977" s="430"/>
      <c r="CL977" s="430"/>
    </row>
    <row r="978" spans="63:90" ht="14.25" customHeight="1">
      <c r="BK978" s="430"/>
      <c r="BL978" s="430"/>
      <c r="BM978" s="430"/>
      <c r="BN978" s="430"/>
      <c r="BO978" s="430"/>
      <c r="BP978" s="430"/>
      <c r="BQ978" s="430"/>
      <c r="BR978" s="430"/>
      <c r="BS978" s="430"/>
      <c r="BT978" s="430"/>
      <c r="BU978" s="430"/>
      <c r="BV978" s="430"/>
      <c r="BW978" s="430"/>
      <c r="BX978" s="430"/>
      <c r="BY978" s="430"/>
      <c r="BZ978" s="430"/>
      <c r="CA978" s="430"/>
      <c r="CB978" s="430"/>
      <c r="CC978" s="430"/>
      <c r="CD978" s="430"/>
      <c r="CE978" s="430"/>
      <c r="CF978" s="430"/>
      <c r="CG978" s="430"/>
      <c r="CH978" s="430"/>
      <c r="CI978" s="430"/>
      <c r="CJ978" s="430"/>
      <c r="CK978" s="430"/>
      <c r="CL978" s="430"/>
    </row>
    <row r="979" spans="63:90" ht="14.25" customHeight="1">
      <c r="BK979" s="430"/>
      <c r="BL979" s="430"/>
      <c r="BM979" s="430"/>
      <c r="BN979" s="430"/>
      <c r="BO979" s="430"/>
      <c r="BP979" s="430"/>
      <c r="BQ979" s="430"/>
      <c r="BR979" s="430"/>
      <c r="BS979" s="430"/>
      <c r="BT979" s="430"/>
      <c r="BU979" s="430"/>
      <c r="BV979" s="430"/>
      <c r="BW979" s="430"/>
      <c r="BX979" s="430"/>
      <c r="BY979" s="430"/>
      <c r="BZ979" s="430"/>
      <c r="CA979" s="430"/>
      <c r="CB979" s="430"/>
      <c r="CC979" s="430"/>
      <c r="CD979" s="430"/>
      <c r="CE979" s="430"/>
      <c r="CF979" s="430"/>
      <c r="CG979" s="430"/>
      <c r="CH979" s="430"/>
      <c r="CI979" s="430"/>
      <c r="CJ979" s="430"/>
      <c r="CK979" s="430"/>
      <c r="CL979" s="430"/>
    </row>
    <row r="980" spans="63:90" ht="14.25" customHeight="1">
      <c r="BK980" s="430"/>
      <c r="BL980" s="430"/>
      <c r="BM980" s="430"/>
      <c r="BN980" s="430"/>
      <c r="BO980" s="430"/>
      <c r="BP980" s="430"/>
      <c r="BQ980" s="430"/>
      <c r="BR980" s="430"/>
      <c r="BS980" s="430"/>
      <c r="BT980" s="430"/>
      <c r="BU980" s="430"/>
      <c r="BV980" s="430"/>
      <c r="BW980" s="430"/>
      <c r="BX980" s="430"/>
      <c r="BY980" s="430"/>
      <c r="BZ980" s="430"/>
      <c r="CA980" s="430"/>
      <c r="CB980" s="430"/>
      <c r="CC980" s="430"/>
      <c r="CD980" s="430"/>
      <c r="CE980" s="430"/>
      <c r="CF980" s="430"/>
      <c r="CG980" s="430"/>
      <c r="CH980" s="430"/>
      <c r="CI980" s="430"/>
      <c r="CJ980" s="430"/>
      <c r="CK980" s="430"/>
      <c r="CL980" s="430"/>
    </row>
    <row r="981" spans="63:90" ht="14.25" customHeight="1">
      <c r="BK981" s="430"/>
      <c r="BL981" s="430"/>
      <c r="BM981" s="430"/>
      <c r="BN981" s="430"/>
      <c r="BO981" s="430"/>
      <c r="BP981" s="430"/>
      <c r="BQ981" s="430"/>
      <c r="BR981" s="430"/>
      <c r="BS981" s="430"/>
      <c r="BT981" s="430"/>
      <c r="BU981" s="430"/>
      <c r="BV981" s="430"/>
      <c r="BW981" s="430"/>
      <c r="BX981" s="430"/>
      <c r="BY981" s="430"/>
      <c r="BZ981" s="430"/>
      <c r="CA981" s="430"/>
      <c r="CB981" s="430"/>
      <c r="CC981" s="430"/>
      <c r="CD981" s="430"/>
      <c r="CE981" s="430"/>
      <c r="CF981" s="430"/>
      <c r="CG981" s="430"/>
      <c r="CH981" s="430"/>
      <c r="CI981" s="430"/>
      <c r="CJ981" s="430"/>
      <c r="CK981" s="430"/>
      <c r="CL981" s="430"/>
    </row>
    <row r="982" spans="63:90" ht="14.25" customHeight="1">
      <c r="BK982" s="430"/>
      <c r="BL982" s="430"/>
      <c r="BM982" s="430"/>
      <c r="BN982" s="430"/>
      <c r="BO982" s="430"/>
      <c r="BP982" s="430"/>
      <c r="BQ982" s="430"/>
      <c r="BR982" s="430"/>
      <c r="BS982" s="430"/>
      <c r="BT982" s="430"/>
      <c r="BU982" s="430"/>
      <c r="BV982" s="430"/>
      <c r="BW982" s="430"/>
      <c r="BX982" s="430"/>
      <c r="BY982" s="430"/>
      <c r="BZ982" s="430"/>
      <c r="CA982" s="430"/>
      <c r="CB982" s="430"/>
      <c r="CC982" s="430"/>
      <c r="CD982" s="430"/>
      <c r="CE982" s="430"/>
      <c r="CF982" s="430"/>
      <c r="CG982" s="430"/>
      <c r="CH982" s="430"/>
      <c r="CI982" s="430"/>
      <c r="CJ982" s="430"/>
      <c r="CK982" s="430"/>
      <c r="CL982" s="430"/>
    </row>
    <row r="983" spans="63:90" ht="14.25" customHeight="1">
      <c r="BK983" s="430"/>
      <c r="BL983" s="430"/>
      <c r="BM983" s="430"/>
      <c r="BN983" s="430"/>
      <c r="BO983" s="430"/>
      <c r="BP983" s="430"/>
      <c r="BQ983" s="430"/>
      <c r="BR983" s="430"/>
      <c r="BS983" s="430"/>
      <c r="BT983" s="430"/>
      <c r="BU983" s="430"/>
      <c r="BV983" s="430"/>
      <c r="BW983" s="430"/>
      <c r="BX983" s="430"/>
      <c r="BY983" s="430"/>
      <c r="BZ983" s="430"/>
      <c r="CA983" s="430"/>
      <c r="CB983" s="430"/>
      <c r="CC983" s="430"/>
      <c r="CD983" s="430"/>
      <c r="CE983" s="430"/>
      <c r="CF983" s="430"/>
      <c r="CG983" s="430"/>
      <c r="CH983" s="430"/>
      <c r="CI983" s="430"/>
      <c r="CJ983" s="430"/>
      <c r="CK983" s="430"/>
      <c r="CL983" s="430"/>
    </row>
    <row r="984" spans="63:90" ht="14.25" customHeight="1">
      <c r="BK984" s="430"/>
      <c r="BL984" s="430"/>
      <c r="BM984" s="430"/>
      <c r="BN984" s="430"/>
      <c r="BO984" s="430"/>
      <c r="BP984" s="430"/>
      <c r="BQ984" s="430"/>
      <c r="BR984" s="430"/>
      <c r="BS984" s="430"/>
      <c r="BT984" s="430"/>
      <c r="BU984" s="430"/>
      <c r="BV984" s="430"/>
      <c r="BW984" s="430"/>
      <c r="BX984" s="430"/>
      <c r="BY984" s="430"/>
      <c r="BZ984" s="430"/>
      <c r="CA984" s="430"/>
      <c r="CB984" s="430"/>
      <c r="CC984" s="430"/>
      <c r="CD984" s="430"/>
      <c r="CE984" s="430"/>
      <c r="CF984" s="430"/>
      <c r="CG984" s="430"/>
      <c r="CH984" s="430"/>
      <c r="CI984" s="430"/>
      <c r="CJ984" s="430"/>
      <c r="CK984" s="430"/>
      <c r="CL984" s="430"/>
    </row>
    <row r="985" spans="63:90" ht="14.25" customHeight="1">
      <c r="BK985" s="430"/>
      <c r="BL985" s="430"/>
      <c r="BM985" s="430"/>
      <c r="BN985" s="430"/>
      <c r="BO985" s="430"/>
      <c r="BP985" s="430"/>
      <c r="BQ985" s="430"/>
      <c r="BR985" s="430"/>
      <c r="BS985" s="430"/>
      <c r="BT985" s="430"/>
      <c r="BU985" s="430"/>
      <c r="BV985" s="430"/>
      <c r="BW985" s="430"/>
      <c r="BX985" s="430"/>
      <c r="BY985" s="430"/>
      <c r="BZ985" s="430"/>
      <c r="CA985" s="430"/>
      <c r="CB985" s="430"/>
      <c r="CC985" s="430"/>
      <c r="CD985" s="430"/>
      <c r="CE985" s="430"/>
      <c r="CF985" s="430"/>
      <c r="CG985" s="430"/>
      <c r="CH985" s="430"/>
      <c r="CI985" s="430"/>
      <c r="CJ985" s="430"/>
      <c r="CK985" s="430"/>
      <c r="CL985" s="430"/>
    </row>
    <row r="986" spans="63:90" ht="14.25" customHeight="1">
      <c r="BK986" s="430"/>
      <c r="BL986" s="430"/>
      <c r="BM986" s="430"/>
      <c r="BN986" s="430"/>
      <c r="BO986" s="430"/>
      <c r="BP986" s="430"/>
      <c r="BQ986" s="430"/>
      <c r="BR986" s="430"/>
      <c r="BS986" s="430"/>
      <c r="BT986" s="430"/>
      <c r="BU986" s="430"/>
      <c r="BV986" s="430"/>
      <c r="BW986" s="430"/>
      <c r="BX986" s="430"/>
      <c r="BY986" s="430"/>
      <c r="BZ986" s="430"/>
      <c r="CA986" s="430"/>
      <c r="CB986" s="430"/>
      <c r="CC986" s="430"/>
      <c r="CD986" s="430"/>
      <c r="CE986" s="430"/>
      <c r="CF986" s="430"/>
      <c r="CG986" s="430"/>
      <c r="CH986" s="430"/>
      <c r="CI986" s="430"/>
      <c r="CJ986" s="430"/>
      <c r="CK986" s="430"/>
      <c r="CL986" s="430"/>
    </row>
    <row r="987" spans="63:90" ht="14.25" customHeight="1">
      <c r="BK987" s="430"/>
      <c r="BL987" s="430"/>
      <c r="BM987" s="430"/>
      <c r="BN987" s="430"/>
      <c r="BO987" s="430"/>
      <c r="BP987" s="430"/>
      <c r="BQ987" s="430"/>
      <c r="BR987" s="430"/>
      <c r="BS987" s="430"/>
      <c r="BT987" s="430"/>
      <c r="BU987" s="430"/>
      <c r="BV987" s="430"/>
      <c r="BW987" s="430"/>
      <c r="BX987" s="430"/>
      <c r="BY987" s="430"/>
      <c r="BZ987" s="430"/>
      <c r="CA987" s="430"/>
      <c r="CB987" s="430"/>
      <c r="CC987" s="430"/>
      <c r="CD987" s="430"/>
      <c r="CE987" s="430"/>
      <c r="CF987" s="430"/>
      <c r="CG987" s="430"/>
      <c r="CH987" s="430"/>
      <c r="CI987" s="430"/>
      <c r="CJ987" s="430"/>
      <c r="CK987" s="430"/>
      <c r="CL987" s="430"/>
    </row>
    <row r="988" spans="63:90" ht="14.25" customHeight="1">
      <c r="BK988" s="430"/>
      <c r="BL988" s="430"/>
      <c r="BM988" s="430"/>
      <c r="BN988" s="430"/>
      <c r="BO988" s="430"/>
      <c r="BP988" s="430"/>
      <c r="BQ988" s="430"/>
      <c r="BR988" s="430"/>
      <c r="BS988" s="430"/>
      <c r="BT988" s="430"/>
      <c r="BU988" s="430"/>
      <c r="BV988" s="430"/>
      <c r="BW988" s="430"/>
      <c r="BX988" s="430"/>
      <c r="BY988" s="430"/>
      <c r="BZ988" s="430"/>
      <c r="CA988" s="430"/>
      <c r="CB988" s="430"/>
      <c r="CC988" s="430"/>
      <c r="CD988" s="430"/>
      <c r="CE988" s="430"/>
      <c r="CF988" s="430"/>
      <c r="CG988" s="430"/>
      <c r="CH988" s="430"/>
      <c r="CI988" s="430"/>
      <c r="CJ988" s="430"/>
      <c r="CK988" s="430"/>
      <c r="CL988" s="430"/>
    </row>
    <row r="989" spans="63:90" ht="14.25" customHeight="1">
      <c r="BK989" s="430"/>
      <c r="BL989" s="430"/>
      <c r="BM989" s="430"/>
      <c r="BN989" s="430"/>
      <c r="BO989" s="430"/>
      <c r="BP989" s="430"/>
      <c r="BQ989" s="430"/>
      <c r="BR989" s="430"/>
      <c r="BS989" s="430"/>
      <c r="BT989" s="430"/>
      <c r="BU989" s="430"/>
      <c r="BV989" s="430"/>
      <c r="BW989" s="430"/>
      <c r="BX989" s="430"/>
      <c r="BY989" s="430"/>
      <c r="BZ989" s="430"/>
      <c r="CA989" s="430"/>
      <c r="CB989" s="430"/>
      <c r="CC989" s="430"/>
      <c r="CD989" s="430"/>
      <c r="CE989" s="430"/>
      <c r="CF989" s="430"/>
      <c r="CG989" s="430"/>
      <c r="CH989" s="430"/>
      <c r="CI989" s="430"/>
      <c r="CJ989" s="430"/>
      <c r="CK989" s="430"/>
      <c r="CL989" s="430"/>
    </row>
    <row r="990" spans="63:90" ht="14.25" customHeight="1">
      <c r="BK990" s="430"/>
      <c r="BL990" s="430"/>
      <c r="BM990" s="430"/>
      <c r="BN990" s="430"/>
      <c r="BO990" s="430"/>
      <c r="BP990" s="430"/>
      <c r="BQ990" s="430"/>
      <c r="BR990" s="430"/>
      <c r="BS990" s="430"/>
      <c r="BT990" s="430"/>
      <c r="BU990" s="430"/>
      <c r="BV990" s="430"/>
      <c r="BW990" s="430"/>
      <c r="BX990" s="430"/>
      <c r="BY990" s="430"/>
      <c r="BZ990" s="430"/>
      <c r="CA990" s="430"/>
      <c r="CB990" s="430"/>
      <c r="CC990" s="430"/>
      <c r="CD990" s="430"/>
      <c r="CE990" s="430"/>
      <c r="CF990" s="430"/>
      <c r="CG990" s="430"/>
      <c r="CH990" s="430"/>
      <c r="CI990" s="430"/>
      <c r="CJ990" s="430"/>
      <c r="CK990" s="430"/>
      <c r="CL990" s="430"/>
    </row>
    <row r="991" spans="63:90" ht="14.25" customHeight="1">
      <c r="BK991" s="430"/>
      <c r="BL991" s="430"/>
      <c r="BM991" s="430"/>
      <c r="BN991" s="430"/>
      <c r="BO991" s="430"/>
      <c r="BP991" s="430"/>
      <c r="BQ991" s="430"/>
      <c r="BR991" s="430"/>
      <c r="BS991" s="430"/>
      <c r="BT991" s="430"/>
      <c r="BU991" s="430"/>
      <c r="BV991" s="430"/>
      <c r="BW991" s="430"/>
      <c r="BX991" s="430"/>
      <c r="BY991" s="430"/>
      <c r="BZ991" s="430"/>
      <c r="CA991" s="430"/>
      <c r="CB991" s="430"/>
      <c r="CC991" s="430"/>
      <c r="CD991" s="430"/>
      <c r="CE991" s="430"/>
      <c r="CF991" s="430"/>
      <c r="CG991" s="430"/>
      <c r="CH991" s="430"/>
      <c r="CI991" s="430"/>
      <c r="CJ991" s="430"/>
      <c r="CK991" s="430"/>
      <c r="CL991" s="430"/>
    </row>
    <row r="992" spans="63:90" ht="14.25" customHeight="1">
      <c r="BK992" s="430"/>
      <c r="BL992" s="430"/>
      <c r="BM992" s="430"/>
      <c r="BN992" s="430"/>
      <c r="BO992" s="430"/>
      <c r="BP992" s="430"/>
      <c r="BQ992" s="430"/>
      <c r="BR992" s="430"/>
      <c r="BS992" s="430"/>
      <c r="BT992" s="430"/>
      <c r="BU992" s="430"/>
      <c r="BV992" s="430"/>
      <c r="BW992" s="430"/>
      <c r="BX992" s="430"/>
      <c r="BY992" s="430"/>
      <c r="BZ992" s="430"/>
      <c r="CA992" s="430"/>
      <c r="CB992" s="430"/>
      <c r="CC992" s="430"/>
      <c r="CD992" s="430"/>
      <c r="CE992" s="430"/>
      <c r="CF992" s="430"/>
      <c r="CG992" s="430"/>
      <c r="CH992" s="430"/>
      <c r="CI992" s="430"/>
      <c r="CJ992" s="430"/>
      <c r="CK992" s="430"/>
      <c r="CL992" s="430"/>
    </row>
    <row r="993" spans="63:90" ht="14.25" customHeight="1">
      <c r="BK993" s="430"/>
      <c r="BL993" s="430"/>
      <c r="BM993" s="430"/>
      <c r="BN993" s="430"/>
      <c r="BO993" s="430"/>
      <c r="BP993" s="430"/>
      <c r="BQ993" s="430"/>
      <c r="BR993" s="430"/>
      <c r="BS993" s="430"/>
      <c r="BT993" s="430"/>
      <c r="BU993" s="430"/>
      <c r="BV993" s="430"/>
      <c r="BW993" s="430"/>
      <c r="BX993" s="430"/>
      <c r="BY993" s="430"/>
      <c r="BZ993" s="430"/>
      <c r="CA993" s="430"/>
      <c r="CB993" s="430"/>
      <c r="CC993" s="430"/>
      <c r="CD993" s="430"/>
      <c r="CE993" s="430"/>
      <c r="CF993" s="430"/>
      <c r="CG993" s="430"/>
      <c r="CH993" s="430"/>
      <c r="CI993" s="430"/>
      <c r="CJ993" s="430"/>
      <c r="CK993" s="430"/>
      <c r="CL993" s="430"/>
    </row>
    <row r="994" spans="63:90" ht="14.25" customHeight="1">
      <c r="BK994" s="430"/>
      <c r="BL994" s="430"/>
      <c r="BM994" s="430"/>
      <c r="BN994" s="430"/>
      <c r="BO994" s="430"/>
      <c r="BP994" s="430"/>
      <c r="BQ994" s="430"/>
      <c r="BR994" s="430"/>
      <c r="BS994" s="430"/>
      <c r="BT994" s="430"/>
      <c r="BU994" s="430"/>
      <c r="BV994" s="430"/>
      <c r="BW994" s="430"/>
      <c r="BX994" s="430"/>
      <c r="BY994" s="430"/>
      <c r="BZ994" s="430"/>
      <c r="CA994" s="430"/>
      <c r="CB994" s="430"/>
      <c r="CC994" s="430"/>
      <c r="CD994" s="430"/>
      <c r="CE994" s="430"/>
      <c r="CF994" s="430"/>
      <c r="CG994" s="430"/>
      <c r="CH994" s="430"/>
      <c r="CI994" s="430"/>
      <c r="CJ994" s="430"/>
      <c r="CK994" s="430"/>
      <c r="CL994" s="430"/>
    </row>
    <row r="995" spans="63:90" ht="14.25" customHeight="1">
      <c r="BK995" s="430"/>
      <c r="BL995" s="430"/>
      <c r="BM995" s="430"/>
      <c r="BN995" s="430"/>
      <c r="BO995" s="430"/>
      <c r="BP995" s="430"/>
      <c r="BQ995" s="430"/>
      <c r="BR995" s="430"/>
      <c r="BS995" s="430"/>
      <c r="BT995" s="430"/>
      <c r="BU995" s="430"/>
      <c r="BV995" s="430"/>
      <c r="BW995" s="430"/>
      <c r="BX995" s="430"/>
      <c r="BY995" s="430"/>
      <c r="BZ995" s="430"/>
      <c r="CA995" s="430"/>
      <c r="CB995" s="430"/>
      <c r="CC995" s="430"/>
      <c r="CD995" s="430"/>
      <c r="CE995" s="430"/>
      <c r="CF995" s="430"/>
      <c r="CG995" s="430"/>
      <c r="CH995" s="430"/>
      <c r="CI995" s="430"/>
      <c r="CJ995" s="430"/>
      <c r="CK995" s="430"/>
      <c r="CL995" s="430"/>
    </row>
    <row r="996" spans="63:90" ht="14.25" customHeight="1">
      <c r="BK996" s="430"/>
      <c r="BL996" s="430"/>
      <c r="BM996" s="430"/>
      <c r="BN996" s="430"/>
      <c r="BO996" s="430"/>
      <c r="BP996" s="430"/>
      <c r="BQ996" s="430"/>
      <c r="BR996" s="430"/>
      <c r="BS996" s="430"/>
      <c r="BT996" s="430"/>
      <c r="BU996" s="430"/>
      <c r="BV996" s="430"/>
      <c r="BW996" s="430"/>
      <c r="BX996" s="430"/>
      <c r="BY996" s="430"/>
      <c r="BZ996" s="430"/>
      <c r="CA996" s="430"/>
      <c r="CB996" s="430"/>
      <c r="CC996" s="430"/>
      <c r="CD996" s="430"/>
      <c r="CE996" s="430"/>
      <c r="CF996" s="430"/>
      <c r="CG996" s="430"/>
      <c r="CH996" s="430"/>
      <c r="CI996" s="430"/>
      <c r="CJ996" s="430"/>
      <c r="CK996" s="430"/>
      <c r="CL996" s="430"/>
    </row>
    <row r="997" spans="63:90" ht="14.25" customHeight="1">
      <c r="BK997" s="430"/>
      <c r="BL997" s="430"/>
      <c r="BM997" s="430"/>
      <c r="BN997" s="430"/>
      <c r="BO997" s="430"/>
      <c r="BP997" s="430"/>
      <c r="BQ997" s="430"/>
      <c r="BR997" s="430"/>
      <c r="BS997" s="430"/>
      <c r="BT997" s="430"/>
      <c r="BU997" s="430"/>
      <c r="BV997" s="430"/>
      <c r="BW997" s="430"/>
      <c r="BX997" s="430"/>
      <c r="BY997" s="430"/>
      <c r="BZ997" s="430"/>
      <c r="CA997" s="430"/>
      <c r="CB997" s="430"/>
      <c r="CC997" s="430"/>
      <c r="CD997" s="430"/>
      <c r="CE997" s="430"/>
      <c r="CF997" s="430"/>
      <c r="CG997" s="430"/>
      <c r="CH997" s="430"/>
      <c r="CI997" s="430"/>
      <c r="CJ997" s="430"/>
      <c r="CK997" s="430"/>
      <c r="CL997" s="430"/>
    </row>
    <row r="998" spans="63:90" ht="14.25" customHeight="1">
      <c r="BK998" s="430"/>
      <c r="BL998" s="430"/>
      <c r="BM998" s="430"/>
      <c r="BN998" s="430"/>
      <c r="BO998" s="430"/>
      <c r="BP998" s="430"/>
      <c r="BQ998" s="430"/>
      <c r="BR998" s="430"/>
      <c r="BS998" s="430"/>
      <c r="BT998" s="430"/>
      <c r="BU998" s="430"/>
      <c r="BV998" s="430"/>
      <c r="BW998" s="430"/>
      <c r="BX998" s="430"/>
      <c r="BY998" s="430"/>
      <c r="BZ998" s="430"/>
      <c r="CA998" s="430"/>
      <c r="CB998" s="430"/>
      <c r="CC998" s="430"/>
      <c r="CD998" s="430"/>
      <c r="CE998" s="430"/>
      <c r="CF998" s="430"/>
      <c r="CG998" s="430"/>
      <c r="CH998" s="430"/>
      <c r="CI998" s="430"/>
      <c r="CJ998" s="430"/>
      <c r="CK998" s="430"/>
      <c r="CL998" s="430"/>
    </row>
    <row r="999" spans="63:90" ht="14.25" customHeight="1">
      <c r="BK999" s="430"/>
      <c r="BL999" s="430"/>
      <c r="BM999" s="430"/>
      <c r="BN999" s="430"/>
      <c r="BO999" s="430"/>
      <c r="BP999" s="430"/>
      <c r="BQ999" s="430"/>
      <c r="BR999" s="430"/>
      <c r="BS999" s="430"/>
      <c r="BT999" s="430"/>
      <c r="BU999" s="430"/>
      <c r="BV999" s="430"/>
      <c r="BW999" s="430"/>
      <c r="BX999" s="430"/>
      <c r="BY999" s="430"/>
      <c r="BZ999" s="430"/>
      <c r="CA999" s="430"/>
      <c r="CB999" s="430"/>
      <c r="CC999" s="430"/>
      <c r="CD999" s="430"/>
      <c r="CE999" s="430"/>
      <c r="CF999" s="430"/>
      <c r="CG999" s="430"/>
      <c r="CH999" s="430"/>
      <c r="CI999" s="430"/>
      <c r="CJ999" s="430"/>
      <c r="CK999" s="430"/>
      <c r="CL999" s="430"/>
    </row>
    <row r="1000" spans="63:90" ht="14.25" customHeight="1">
      <c r="BK1000" s="430"/>
      <c r="BL1000" s="430"/>
      <c r="BM1000" s="430"/>
      <c r="BN1000" s="430"/>
      <c r="BO1000" s="430"/>
      <c r="BP1000" s="430"/>
      <c r="BQ1000" s="430"/>
      <c r="BR1000" s="430"/>
      <c r="BS1000" s="430"/>
      <c r="BT1000" s="430"/>
      <c r="BU1000" s="430"/>
      <c r="BV1000" s="430"/>
      <c r="BW1000" s="430"/>
      <c r="BX1000" s="430"/>
      <c r="BY1000" s="430"/>
      <c r="BZ1000" s="430"/>
      <c r="CA1000" s="430"/>
      <c r="CB1000" s="430"/>
      <c r="CC1000" s="430"/>
      <c r="CD1000" s="430"/>
      <c r="CE1000" s="430"/>
      <c r="CF1000" s="430"/>
      <c r="CG1000" s="430"/>
      <c r="CH1000" s="430"/>
      <c r="CI1000" s="430"/>
      <c r="CJ1000" s="430"/>
      <c r="CK1000" s="430"/>
      <c r="CL1000" s="430"/>
    </row>
    <row r="1001" spans="63:90" ht="14.25" customHeight="1">
      <c r="BK1001" s="430"/>
      <c r="BL1001" s="430"/>
      <c r="BM1001" s="430"/>
      <c r="BN1001" s="430"/>
      <c r="BO1001" s="430"/>
      <c r="BP1001" s="430"/>
      <c r="BQ1001" s="430"/>
      <c r="BR1001" s="430"/>
      <c r="BS1001" s="430"/>
      <c r="BT1001" s="430"/>
      <c r="BU1001" s="430"/>
      <c r="BV1001" s="430"/>
      <c r="BW1001" s="430"/>
      <c r="BX1001" s="430"/>
      <c r="BY1001" s="430"/>
      <c r="BZ1001" s="430"/>
      <c r="CA1001" s="430"/>
      <c r="CB1001" s="430"/>
      <c r="CC1001" s="430"/>
      <c r="CD1001" s="430"/>
      <c r="CE1001" s="430"/>
      <c r="CF1001" s="430"/>
      <c r="CG1001" s="430"/>
      <c r="CH1001" s="430"/>
      <c r="CI1001" s="430"/>
      <c r="CJ1001" s="430"/>
      <c r="CK1001" s="430"/>
      <c r="CL1001" s="430"/>
    </row>
    <row r="1002" spans="63:90" ht="14.25" customHeight="1">
      <c r="BK1002" s="430"/>
      <c r="BL1002" s="430"/>
      <c r="BM1002" s="430"/>
      <c r="BN1002" s="430"/>
      <c r="BO1002" s="430"/>
      <c r="BP1002" s="430"/>
      <c r="BQ1002" s="430"/>
      <c r="BR1002" s="430"/>
      <c r="BS1002" s="430"/>
      <c r="BT1002" s="430"/>
      <c r="BU1002" s="430"/>
      <c r="BV1002" s="430"/>
      <c r="BW1002" s="430"/>
      <c r="BX1002" s="430"/>
      <c r="BY1002" s="430"/>
      <c r="BZ1002" s="430"/>
      <c r="CA1002" s="430"/>
      <c r="CB1002" s="430"/>
      <c r="CC1002" s="430"/>
      <c r="CD1002" s="430"/>
      <c r="CE1002" s="430"/>
      <c r="CF1002" s="430"/>
      <c r="CG1002" s="430"/>
      <c r="CH1002" s="430"/>
      <c r="CI1002" s="430"/>
      <c r="CJ1002" s="430"/>
      <c r="CK1002" s="430"/>
      <c r="CL1002" s="430"/>
    </row>
    <row r="1003" spans="63:90" ht="14.25" customHeight="1">
      <c r="BK1003" s="430"/>
      <c r="BL1003" s="430"/>
      <c r="BM1003" s="430"/>
      <c r="BN1003" s="430"/>
      <c r="BO1003" s="430"/>
      <c r="BP1003" s="430"/>
      <c r="BQ1003" s="430"/>
      <c r="BR1003" s="430"/>
      <c r="BS1003" s="430"/>
      <c r="BT1003" s="430"/>
      <c r="BU1003" s="430"/>
      <c r="BV1003" s="430"/>
      <c r="BW1003" s="430"/>
      <c r="BX1003" s="430"/>
      <c r="BY1003" s="430"/>
      <c r="BZ1003" s="430"/>
      <c r="CA1003" s="430"/>
      <c r="CB1003" s="430"/>
      <c r="CC1003" s="430"/>
      <c r="CD1003" s="430"/>
      <c r="CE1003" s="430"/>
      <c r="CF1003" s="430"/>
      <c r="CG1003" s="430"/>
      <c r="CH1003" s="430"/>
      <c r="CI1003" s="430"/>
      <c r="CJ1003" s="430"/>
      <c r="CK1003" s="430"/>
      <c r="CL1003" s="430"/>
    </row>
    <row r="1004" spans="63:90" ht="14.25" customHeight="1">
      <c r="BK1004" s="430"/>
      <c r="BL1004" s="430"/>
      <c r="BM1004" s="430"/>
      <c r="BN1004" s="430"/>
      <c r="BO1004" s="430"/>
      <c r="BP1004" s="430"/>
      <c r="BQ1004" s="430"/>
      <c r="BR1004" s="430"/>
      <c r="BS1004" s="430"/>
      <c r="BT1004" s="430"/>
      <c r="BU1004" s="430"/>
      <c r="BV1004" s="430"/>
      <c r="BW1004" s="430"/>
      <c r="BX1004" s="430"/>
      <c r="BY1004" s="430"/>
      <c r="BZ1004" s="430"/>
      <c r="CA1004" s="430"/>
      <c r="CB1004" s="430"/>
      <c r="CC1004" s="430"/>
      <c r="CD1004" s="430"/>
      <c r="CE1004" s="430"/>
      <c r="CF1004" s="430"/>
      <c r="CG1004" s="430"/>
      <c r="CH1004" s="430"/>
      <c r="CI1004" s="430"/>
      <c r="CJ1004" s="430"/>
      <c r="CK1004" s="430"/>
      <c r="CL1004" s="430"/>
    </row>
    <row r="1005" spans="63:90" ht="14.25" customHeight="1">
      <c r="BK1005" s="1149"/>
      <c r="BL1005" s="1149"/>
      <c r="BM1005" s="1149"/>
      <c r="BN1005" s="1149"/>
      <c r="BO1005" s="1149"/>
      <c r="BP1005" s="1149"/>
      <c r="BQ1005" s="1149"/>
      <c r="BR1005" s="1149"/>
      <c r="BS1005" s="1149"/>
      <c r="BT1005" s="1149"/>
      <c r="BU1005" s="1149"/>
      <c r="BV1005" s="1149"/>
      <c r="BW1005" s="1149"/>
      <c r="BX1005" s="1149"/>
      <c r="BY1005" s="1149"/>
      <c r="BZ1005" s="1149"/>
      <c r="CA1005" s="1149"/>
      <c r="CB1005" s="1149"/>
      <c r="CC1005" s="1149"/>
      <c r="CD1005" s="1149"/>
      <c r="CE1005" s="1149"/>
      <c r="CF1005" s="1149"/>
      <c r="CG1005" s="1149"/>
      <c r="CH1005" s="1149"/>
      <c r="CI1005" s="1149"/>
      <c r="CJ1005" s="1149"/>
      <c r="CK1005" s="1149"/>
      <c r="CL1005" s="1149"/>
    </row>
  </sheetData>
  <mergeCells count="42">
    <mergeCell ref="AU6:BC6"/>
    <mergeCell ref="BD6:BJ8"/>
    <mergeCell ref="BK6:BR6"/>
    <mergeCell ref="BS6:CA7"/>
    <mergeCell ref="CB6:CE7"/>
    <mergeCell ref="BK8:BL8"/>
    <mergeCell ref="AU8:AV8"/>
    <mergeCell ref="AW8:AY8"/>
    <mergeCell ref="AZ8:BC8"/>
    <mergeCell ref="BU8:BV8"/>
    <mergeCell ref="BW8:BX8"/>
    <mergeCell ref="BY8:BZ8"/>
    <mergeCell ref="CF6:CL7"/>
    <mergeCell ref="BM8:BO8"/>
    <mergeCell ref="BP8:BQ8"/>
    <mergeCell ref="BS8:BS9"/>
    <mergeCell ref="BT8:BT9"/>
    <mergeCell ref="CI8:CI9"/>
    <mergeCell ref="CJ8:CJ9"/>
    <mergeCell ref="CK8:CK9"/>
    <mergeCell ref="CL8:CL9"/>
    <mergeCell ref="CF8:CF9"/>
    <mergeCell ref="CG8:CG9"/>
    <mergeCell ref="CH8:CH9"/>
    <mergeCell ref="B6:B9"/>
    <mergeCell ref="C6:J8"/>
    <mergeCell ref="K6:S6"/>
    <mergeCell ref="T6:AB6"/>
    <mergeCell ref="AC6:AK6"/>
    <mergeCell ref="V8:X8"/>
    <mergeCell ref="Y8:AB8"/>
    <mergeCell ref="AC8:AD8"/>
    <mergeCell ref="AE8:AG8"/>
    <mergeCell ref="AH8:AK8"/>
    <mergeCell ref="AL6:AT6"/>
    <mergeCell ref="K8:L8"/>
    <mergeCell ref="M8:O8"/>
    <mergeCell ref="P8:S8"/>
    <mergeCell ref="T8:U8"/>
    <mergeCell ref="AL8:AM8"/>
    <mergeCell ref="AN8:AP8"/>
    <mergeCell ref="AQ8:AT8"/>
  </mergeCells>
  <dataValidations count="10">
    <dataValidation type="list" allowBlank="1" showInputMessage="1" showErrorMessage="1" sqref="G1:K1" xr:uid="{081BEE3D-2CF5-DE4A-9BC8-315C275089BD}">
      <formula1>MIX_PARAM</formula1>
    </dataValidation>
    <dataValidation type="list" allowBlank="1" showInputMessage="1" showErrorMessage="1" sqref="A2" xr:uid="{1FA833A1-8B00-A74F-B604-1548D1726834}">
      <formula1>SC_GLOB</formula1>
    </dataValidation>
    <dataValidation type="list" allowBlank="1" showInputMessage="1" showErrorMessage="1" sqref="B2" xr:uid="{B0FAE5C2-7A1A-A34D-84A8-F2D3873119FD}">
      <formula1>RM_Avion</formula1>
    </dataValidation>
    <dataValidation type="list" allowBlank="1" showInputMessage="1" showErrorMessage="1" sqref="BM7:BP7" xr:uid="{E465BE10-739D-7449-AC36-67705F5C361C}">
      <formula1>BIOCARB</formula1>
    </dataValidation>
    <dataValidation type="list" allowBlank="1" showInputMessage="1" showErrorMessage="1" sqref="F2" xr:uid="{2C6D5105-81F8-8245-8782-D7DDBD2E66F5}">
      <formula1>MIX</formula1>
    </dataValidation>
    <dataValidation type="list" allowBlank="1" showInputMessage="1" showErrorMessage="1" sqref="M9:O9 V9:X9 AE9:AG9 AN9:AP9 AW9:AY9" xr:uid="{62EB7BB2-10F5-B547-B71D-6D33206B169D}">
      <formula1>CAR_Avion</formula1>
    </dataValidation>
    <dataValidation type="list" allowBlank="1" showInputMessage="1" showErrorMessage="1" sqref="BM9 BO9:BP9" xr:uid="{0F37CFF5-7280-9844-A3CC-B3FAFEB79DBA}">
      <formula1>BIOCARB_PARAM</formula1>
    </dataValidation>
    <dataValidation type="list" allowBlank="1" showInputMessage="1" showErrorMessage="1" sqref="BU8:CA8" xr:uid="{CCE65996-B569-9E45-9485-49E5634EB829}">
      <formula1>CARB</formula1>
    </dataValidation>
    <dataValidation type="list" allowBlank="1" showInputMessage="1" showErrorMessage="1" sqref="K7:BC7" xr:uid="{AD46AB6E-3507-3E43-B030-9006D92EDB71}">
      <formula1>TYPE_Avion</formula1>
    </dataValidation>
    <dataValidation type="list" allowBlank="1" showInputMessage="1" showErrorMessage="1" sqref="C2" xr:uid="{03E89C4F-E78C-4C4D-A217-297D25BE12A8}">
      <formula1>CA</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5E0B3"/>
  </sheetPr>
  <dimension ref="A1:CL1005"/>
  <sheetViews>
    <sheetView topLeftCell="A6" zoomScale="70" zoomScaleNormal="70" workbookViewId="0">
      <pane xSplit="2" topLeftCell="C1" activePane="topRight" state="frozen"/>
      <selection pane="topRight" activeCell="CB46" sqref="CB46"/>
    </sheetView>
  </sheetViews>
  <sheetFormatPr defaultColWidth="12.625" defaultRowHeight="15" customHeight="1"/>
  <cols>
    <col min="1" max="1" width="26.375" style="108" customWidth="1"/>
    <col min="2" max="2" width="12.375" style="108" customWidth="1"/>
    <col min="3" max="8" width="10.875" style="357" customWidth="1"/>
    <col min="9" max="9" width="10.875" style="357" hidden="1" customWidth="1"/>
    <col min="10" max="62" width="10.875" style="357" customWidth="1"/>
    <col min="63" max="89" width="10.875" style="108" customWidth="1"/>
    <col min="90" max="90" width="14.625" style="108" customWidth="1"/>
    <col min="91" max="16384" width="12.625" style="108"/>
  </cols>
  <sheetData>
    <row r="1" spans="1:90" ht="45">
      <c r="A1" s="418" t="s">
        <v>494</v>
      </c>
      <c r="B1" s="419" t="s">
        <v>473</v>
      </c>
      <c r="C1" s="420" t="s">
        <v>474</v>
      </c>
      <c r="D1" s="420" t="s">
        <v>495</v>
      </c>
      <c r="E1" s="420" t="s">
        <v>476</v>
      </c>
      <c r="F1" s="420" t="s">
        <v>477</v>
      </c>
      <c r="G1" s="420" t="s">
        <v>207</v>
      </c>
      <c r="H1" s="420" t="s">
        <v>207</v>
      </c>
      <c r="I1" s="420"/>
      <c r="J1" s="420" t="s">
        <v>209</v>
      </c>
      <c r="BK1" s="357"/>
      <c r="BL1" s="357"/>
      <c r="BM1" s="1149"/>
      <c r="BN1" s="1149"/>
      <c r="BO1" s="1149"/>
      <c r="BP1" s="1149"/>
      <c r="BQ1" s="1149"/>
      <c r="BR1" s="1149"/>
      <c r="BS1" s="1149"/>
      <c r="BT1" s="1149"/>
      <c r="BU1" s="1149"/>
      <c r="BV1" s="1149"/>
      <c r="BW1" s="1149"/>
      <c r="BX1" s="1149"/>
      <c r="BY1" s="1149"/>
      <c r="BZ1" s="1149"/>
      <c r="CA1" s="1149"/>
      <c r="CB1" s="1149"/>
      <c r="CC1" s="1149"/>
      <c r="CD1" s="1149"/>
      <c r="CE1" s="1149"/>
      <c r="CF1" s="1149"/>
      <c r="CG1" s="1149"/>
      <c r="CH1" s="1149"/>
      <c r="CI1" s="1149"/>
      <c r="CJ1" s="1149"/>
      <c r="CK1" s="1149"/>
      <c r="CL1" s="1149"/>
    </row>
    <row r="2" spans="1:90" ht="15" customHeight="1" thickBot="1">
      <c r="A2" s="421" t="s">
        <v>286</v>
      </c>
      <c r="B2" s="422" t="str">
        <f>VLOOKUP($A$2,'Synthèse scénarios'!$B$3:$G$5,2,FALSE)</f>
        <v>INDUS+5</v>
      </c>
      <c r="C2" s="423" t="str">
        <f>VLOOKUP($A$2,'Synthèse scénarios'!$B$3:$G$5,3,FALSE)</f>
        <v>CAPA50</v>
      </c>
      <c r="D2" s="424">
        <f>IF(VLOOKUP($A$2,'Synthèse scénarios'!$B$3:$G$5,4,FALSE)="15 ans",15,25)</f>
        <v>25</v>
      </c>
      <c r="E2" s="424">
        <f>VLOOKUP($A$2,'Synthèse scénarios'!$B$3:$G$5,5,FALSE)</f>
        <v>2025</v>
      </c>
      <c r="F2" s="424" t="str">
        <f>VLOOKUP($A$2,'Synthèse scénarios'!$B$3:$G$5,6,FALSE)</f>
        <v>Eolien</v>
      </c>
      <c r="G2" s="425">
        <f>VLOOKUP($F$2,Hypothèses!$B$120:$F$123,3,FALSE)</f>
        <v>11</v>
      </c>
      <c r="H2" s="425">
        <f>VLOOKUP($F$2,Hypothèses!$B$120:$F$123,4,FALSE)</f>
        <v>651</v>
      </c>
      <c r="I2" s="425"/>
      <c r="J2" s="425">
        <f>VLOOKUP($F$2,Hypothèses!$B$120:$F$123,5,FALSE)</f>
        <v>1405</v>
      </c>
      <c r="BK2" s="357"/>
      <c r="BL2" s="357"/>
      <c r="BM2" s="1149"/>
      <c r="BN2" s="1149"/>
      <c r="BO2" s="1149"/>
      <c r="BP2" s="1149"/>
      <c r="BQ2" s="1149"/>
      <c r="BR2" s="1149"/>
      <c r="BS2" s="1149"/>
      <c r="BT2" s="1149"/>
      <c r="BU2" s="1149"/>
      <c r="BV2" s="1149"/>
      <c r="BW2" s="1149"/>
      <c r="BX2" s="1149"/>
      <c r="BY2" s="1149"/>
      <c r="BZ2" s="1149"/>
      <c r="CA2" s="1149"/>
      <c r="CB2" s="1149"/>
      <c r="CC2" s="1149"/>
      <c r="CD2" s="1149"/>
      <c r="CE2" s="1149"/>
      <c r="CF2" s="1149"/>
      <c r="CG2" s="1149"/>
      <c r="CH2" s="1149"/>
      <c r="CI2" s="1149"/>
      <c r="CJ2" s="1149"/>
      <c r="CK2" s="1149"/>
      <c r="CL2" s="1149"/>
    </row>
    <row r="3" spans="1:90" ht="14.25" customHeight="1">
      <c r="A3" s="426"/>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1149"/>
      <c r="BL3" s="1149"/>
      <c r="BM3" s="1149"/>
      <c r="BN3" s="1149"/>
      <c r="BO3" s="1149"/>
      <c r="BP3" s="1149"/>
      <c r="BQ3" s="1149"/>
      <c r="BR3" s="1149"/>
      <c r="BS3" s="1149"/>
      <c r="BT3" s="1149"/>
      <c r="BU3" s="1149"/>
      <c r="BV3" s="1149"/>
      <c r="BW3" s="1149"/>
      <c r="BX3" s="1149"/>
      <c r="BY3" s="1149"/>
      <c r="BZ3" s="1149"/>
      <c r="CA3" s="1149"/>
      <c r="CB3" s="1149"/>
      <c r="CC3" s="1149"/>
      <c r="CD3" s="1149"/>
      <c r="CE3" s="1149"/>
      <c r="CF3" s="1149"/>
      <c r="CG3" s="1149"/>
      <c r="CH3" s="1149"/>
      <c r="CI3" s="1149"/>
      <c r="CJ3" s="1149"/>
      <c r="CK3" s="1149"/>
      <c r="CL3" s="1149"/>
    </row>
    <row r="4" spans="1:90" ht="14.25" customHeight="1">
      <c r="A4" s="426"/>
      <c r="B4" s="331"/>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1149"/>
      <c r="BL4" s="1149"/>
      <c r="BM4" s="1149"/>
      <c r="BN4" s="1149"/>
      <c r="BO4" s="1149"/>
      <c r="BP4" s="1149"/>
      <c r="BQ4" s="1149"/>
      <c r="BR4" s="1149"/>
      <c r="BS4" s="1149"/>
      <c r="BT4" s="1149"/>
      <c r="BU4" s="1149"/>
      <c r="BV4" s="1149"/>
      <c r="BW4" s="1149"/>
      <c r="BX4" s="1149"/>
      <c r="BY4" s="1149"/>
      <c r="BZ4" s="1149"/>
      <c r="CA4" s="1149"/>
      <c r="CB4" s="1149"/>
      <c r="CC4" s="1149"/>
      <c r="CD4" s="1149"/>
      <c r="CE4" s="1149"/>
      <c r="CF4" s="1149"/>
      <c r="CG4" s="1149"/>
      <c r="CH4" s="1149"/>
      <c r="CI4" s="1149"/>
      <c r="CJ4" s="1149"/>
      <c r="CK4" s="1149"/>
      <c r="CL4" s="1149"/>
    </row>
    <row r="5" spans="1:90" ht="14.25" customHeight="1" thickBot="1">
      <c r="A5" s="426"/>
      <c r="B5" s="331"/>
      <c r="C5" s="332"/>
      <c r="D5" s="332"/>
      <c r="E5" s="332"/>
      <c r="F5" s="332"/>
      <c r="G5" s="332"/>
      <c r="H5" s="332"/>
      <c r="I5" s="332"/>
      <c r="J5" s="332"/>
      <c r="K5" s="332"/>
      <c r="L5" s="332"/>
      <c r="M5" s="332"/>
      <c r="N5" s="332"/>
      <c r="O5" s="332"/>
      <c r="P5" s="332"/>
      <c r="Q5" s="332"/>
      <c r="R5" s="332"/>
      <c r="S5" s="332"/>
      <c r="T5" s="1149"/>
      <c r="U5" s="1149"/>
      <c r="V5" s="1149"/>
      <c r="W5" s="1149"/>
      <c r="X5" s="1149"/>
      <c r="Y5" s="1149"/>
      <c r="Z5" s="1149"/>
      <c r="AA5" s="1149"/>
      <c r="AB5" s="1149"/>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427"/>
      <c r="BL5" s="427"/>
      <c r="BM5" s="428"/>
      <c r="BN5" s="427"/>
      <c r="BO5" s="427"/>
      <c r="BP5" s="429"/>
      <c r="BQ5" s="429"/>
      <c r="BR5" s="429"/>
      <c r="BS5" s="427"/>
      <c r="BT5" s="427"/>
      <c r="BU5" s="429"/>
      <c r="BV5" s="429"/>
      <c r="BW5" s="429"/>
      <c r="BX5" s="429"/>
      <c r="BY5" s="429"/>
      <c r="BZ5" s="429"/>
      <c r="CA5" s="429"/>
      <c r="CB5" s="429"/>
      <c r="CC5" s="429"/>
      <c r="CD5" s="429"/>
      <c r="CE5" s="429"/>
      <c r="CF5" s="429"/>
      <c r="CG5" s="429"/>
      <c r="CH5" s="429"/>
      <c r="CI5" s="429"/>
      <c r="CJ5" s="429"/>
      <c r="CK5" s="429"/>
      <c r="CL5" s="430"/>
    </row>
    <row r="6" spans="1:90" ht="14.25" customHeight="1" thickBot="1">
      <c r="A6" s="426"/>
      <c r="B6" s="1356" t="s">
        <v>496</v>
      </c>
      <c r="C6" s="1359" t="s">
        <v>497</v>
      </c>
      <c r="D6" s="1360"/>
      <c r="E6" s="1360"/>
      <c r="F6" s="1360"/>
      <c r="G6" s="1360"/>
      <c r="H6" s="1360"/>
      <c r="I6" s="1360"/>
      <c r="J6" s="1367"/>
      <c r="K6" s="1303" t="s">
        <v>498</v>
      </c>
      <c r="L6" s="1304"/>
      <c r="M6" s="1304"/>
      <c r="N6" s="1304"/>
      <c r="O6" s="1304"/>
      <c r="P6" s="1304"/>
      <c r="Q6" s="1304"/>
      <c r="R6" s="1304"/>
      <c r="S6" s="1305"/>
      <c r="T6" s="1303" t="s">
        <v>499</v>
      </c>
      <c r="U6" s="1304"/>
      <c r="V6" s="1304"/>
      <c r="W6" s="1304"/>
      <c r="X6" s="1304"/>
      <c r="Y6" s="1304"/>
      <c r="Z6" s="1304"/>
      <c r="AA6" s="1304"/>
      <c r="AB6" s="1305"/>
      <c r="AC6" s="1303" t="s">
        <v>500</v>
      </c>
      <c r="AD6" s="1304"/>
      <c r="AE6" s="1304"/>
      <c r="AF6" s="1304"/>
      <c r="AG6" s="1304"/>
      <c r="AH6" s="1304"/>
      <c r="AI6" s="1304"/>
      <c r="AJ6" s="1304"/>
      <c r="AK6" s="1305"/>
      <c r="AL6" s="1303" t="s">
        <v>501</v>
      </c>
      <c r="AM6" s="1304"/>
      <c r="AN6" s="1304"/>
      <c r="AO6" s="1304"/>
      <c r="AP6" s="1304"/>
      <c r="AQ6" s="1304"/>
      <c r="AR6" s="1304"/>
      <c r="AS6" s="1304"/>
      <c r="AT6" s="1305"/>
      <c r="AU6" s="1303" t="s">
        <v>502</v>
      </c>
      <c r="AV6" s="1304"/>
      <c r="AW6" s="1304"/>
      <c r="AX6" s="1304"/>
      <c r="AY6" s="1304"/>
      <c r="AZ6" s="1304"/>
      <c r="BA6" s="1304"/>
      <c r="BB6" s="1304"/>
      <c r="BC6" s="1305"/>
      <c r="BD6" s="1306" t="s">
        <v>503</v>
      </c>
      <c r="BE6" s="1307"/>
      <c r="BF6" s="1307"/>
      <c r="BG6" s="1307"/>
      <c r="BH6" s="1307"/>
      <c r="BI6" s="1307"/>
      <c r="BJ6" s="1307"/>
      <c r="BK6" s="1312" t="s">
        <v>504</v>
      </c>
      <c r="BL6" s="1313"/>
      <c r="BM6" s="1313"/>
      <c r="BN6" s="1313"/>
      <c r="BO6" s="1313"/>
      <c r="BP6" s="1313"/>
      <c r="BQ6" s="1313"/>
      <c r="BR6" s="1314"/>
      <c r="BS6" s="1315" t="s">
        <v>505</v>
      </c>
      <c r="BT6" s="1315"/>
      <c r="BU6" s="1315"/>
      <c r="BV6" s="1315"/>
      <c r="BW6" s="1315"/>
      <c r="BX6" s="1315"/>
      <c r="BY6" s="1315"/>
      <c r="BZ6" s="1315"/>
      <c r="CA6" s="1315"/>
      <c r="CB6" s="1318" t="s">
        <v>506</v>
      </c>
      <c r="CC6" s="1319"/>
      <c r="CD6" s="1319"/>
      <c r="CE6" s="1320"/>
      <c r="CF6" s="1335" t="s">
        <v>507</v>
      </c>
      <c r="CG6" s="1336"/>
      <c r="CH6" s="1336"/>
      <c r="CI6" s="1336"/>
      <c r="CJ6" s="1336"/>
      <c r="CK6" s="1336"/>
      <c r="CL6" s="1337"/>
    </row>
    <row r="7" spans="1:90" s="435" customFormat="1" ht="14.25" hidden="1" customHeight="1" thickBot="1">
      <c r="A7" s="431"/>
      <c r="B7" s="1357"/>
      <c r="C7" s="1361"/>
      <c r="D7" s="1362"/>
      <c r="E7" s="1362"/>
      <c r="F7" s="1362"/>
      <c r="G7" s="1362"/>
      <c r="H7" s="1362"/>
      <c r="I7" s="1362"/>
      <c r="J7" s="1368"/>
      <c r="K7" s="432"/>
      <c r="L7" s="432"/>
      <c r="M7" s="433" t="s">
        <v>371</v>
      </c>
      <c r="N7" s="433" t="s">
        <v>371</v>
      </c>
      <c r="O7" s="433" t="s">
        <v>371</v>
      </c>
      <c r="P7" s="432"/>
      <c r="Q7" s="432"/>
      <c r="R7" s="432"/>
      <c r="S7" s="432"/>
      <c r="T7" s="433"/>
      <c r="U7" s="432"/>
      <c r="V7" s="433" t="s">
        <v>372</v>
      </c>
      <c r="W7" s="433" t="s">
        <v>372</v>
      </c>
      <c r="X7" s="433" t="s">
        <v>372</v>
      </c>
      <c r="Y7" s="432"/>
      <c r="Z7" s="432"/>
      <c r="AA7" s="432"/>
      <c r="AB7" s="432"/>
      <c r="AC7" s="432"/>
      <c r="AD7" s="432"/>
      <c r="AE7" s="433" t="s">
        <v>373</v>
      </c>
      <c r="AF7" s="433" t="s">
        <v>373</v>
      </c>
      <c r="AG7" s="433" t="s">
        <v>373</v>
      </c>
      <c r="AH7" s="432"/>
      <c r="AI7" s="432"/>
      <c r="AJ7" s="432"/>
      <c r="AK7" s="432"/>
      <c r="AL7" s="432"/>
      <c r="AM7" s="432"/>
      <c r="AN7" s="433" t="s">
        <v>373</v>
      </c>
      <c r="AO7" s="433" t="s">
        <v>373</v>
      </c>
      <c r="AP7" s="433" t="s">
        <v>373</v>
      </c>
      <c r="AQ7" s="432"/>
      <c r="AR7" s="432"/>
      <c r="AS7" s="432"/>
      <c r="AT7" s="432"/>
      <c r="AU7" s="432"/>
      <c r="AV7" s="432"/>
      <c r="AW7" s="433" t="s">
        <v>374</v>
      </c>
      <c r="AX7" s="433" t="s">
        <v>374</v>
      </c>
      <c r="AY7" s="433" t="s">
        <v>374</v>
      </c>
      <c r="AZ7" s="432"/>
      <c r="BA7" s="432"/>
      <c r="BB7" s="432"/>
      <c r="BC7" s="432"/>
      <c r="BD7" s="1308"/>
      <c r="BE7" s="1309"/>
      <c r="BF7" s="1309"/>
      <c r="BG7" s="1309"/>
      <c r="BH7" s="1309"/>
      <c r="BI7" s="1309"/>
      <c r="BJ7" s="1309"/>
      <c r="BK7" s="434"/>
      <c r="BM7" s="431" t="s">
        <v>380</v>
      </c>
      <c r="BN7" s="431" t="s">
        <v>380</v>
      </c>
      <c r="BO7" s="431" t="s">
        <v>380</v>
      </c>
      <c r="BP7" s="431" t="s">
        <v>385</v>
      </c>
      <c r="BR7" s="434"/>
      <c r="BS7" s="1316"/>
      <c r="BT7" s="1316"/>
      <c r="BU7" s="1316"/>
      <c r="BV7" s="1316"/>
      <c r="BW7" s="1316"/>
      <c r="BX7" s="1316"/>
      <c r="BY7" s="1317"/>
      <c r="BZ7" s="1317"/>
      <c r="CA7" s="1316"/>
      <c r="CB7" s="1321"/>
      <c r="CC7" s="1322"/>
      <c r="CD7" s="1322"/>
      <c r="CE7" s="1323"/>
      <c r="CF7" s="1338"/>
      <c r="CG7" s="1339"/>
      <c r="CH7" s="1339"/>
      <c r="CI7" s="1339"/>
      <c r="CJ7" s="1339"/>
      <c r="CK7" s="1339"/>
      <c r="CL7" s="1340"/>
    </row>
    <row r="8" spans="1:90" ht="24" customHeight="1" thickBot="1">
      <c r="A8" s="331"/>
      <c r="B8" s="1357"/>
      <c r="C8" s="1361"/>
      <c r="D8" s="1362"/>
      <c r="E8" s="1362"/>
      <c r="F8" s="1362"/>
      <c r="G8" s="1362"/>
      <c r="H8" s="1362"/>
      <c r="I8" s="1362"/>
      <c r="J8" s="1368"/>
      <c r="K8" s="1366"/>
      <c r="L8" s="1327"/>
      <c r="M8" s="1328" t="s">
        <v>508</v>
      </c>
      <c r="N8" s="1326"/>
      <c r="O8" s="1327"/>
      <c r="P8" s="1329" t="s">
        <v>475</v>
      </c>
      <c r="Q8" s="1329"/>
      <c r="R8" s="1329"/>
      <c r="S8" s="1365"/>
      <c r="T8" s="1366"/>
      <c r="U8" s="1327"/>
      <c r="V8" s="1328" t="s">
        <v>508</v>
      </c>
      <c r="W8" s="1326"/>
      <c r="X8" s="1327"/>
      <c r="Y8" s="1329" t="s">
        <v>475</v>
      </c>
      <c r="Z8" s="1329"/>
      <c r="AA8" s="1329"/>
      <c r="AB8" s="1365"/>
      <c r="AC8" s="1366"/>
      <c r="AD8" s="1327"/>
      <c r="AE8" s="1328" t="s">
        <v>508</v>
      </c>
      <c r="AF8" s="1326"/>
      <c r="AG8" s="1327"/>
      <c r="AH8" s="1329" t="s">
        <v>475</v>
      </c>
      <c r="AI8" s="1329"/>
      <c r="AJ8" s="1329"/>
      <c r="AK8" s="1365"/>
      <c r="AL8" s="1366"/>
      <c r="AM8" s="1327"/>
      <c r="AN8" s="1328" t="s">
        <v>508</v>
      </c>
      <c r="AO8" s="1326"/>
      <c r="AP8" s="1327"/>
      <c r="AQ8" s="1329"/>
      <c r="AR8" s="1329"/>
      <c r="AS8" s="1329"/>
      <c r="AT8" s="1365"/>
      <c r="AU8" s="1326"/>
      <c r="AV8" s="1327"/>
      <c r="AW8" s="1328" t="s">
        <v>508</v>
      </c>
      <c r="AX8" s="1326"/>
      <c r="AY8" s="1327"/>
      <c r="AZ8" s="1329" t="s">
        <v>475</v>
      </c>
      <c r="BA8" s="1329"/>
      <c r="BB8" s="1329"/>
      <c r="BC8" s="1326"/>
      <c r="BD8" s="1310"/>
      <c r="BE8" s="1311"/>
      <c r="BF8" s="1311"/>
      <c r="BG8" s="1311"/>
      <c r="BH8" s="1311"/>
      <c r="BI8" s="1311"/>
      <c r="BJ8" s="1311"/>
      <c r="BK8" s="1324" t="s">
        <v>509</v>
      </c>
      <c r="BL8" s="1325"/>
      <c r="BM8" s="1341" t="s">
        <v>510</v>
      </c>
      <c r="BN8" s="1342"/>
      <c r="BO8" s="1343"/>
      <c r="BP8" s="1344" t="s">
        <v>385</v>
      </c>
      <c r="BQ8" s="1345"/>
      <c r="BR8" s="436" t="s">
        <v>511</v>
      </c>
      <c r="BS8" s="1346" t="s">
        <v>512</v>
      </c>
      <c r="BT8" s="1348" t="s">
        <v>513</v>
      </c>
      <c r="BU8" s="1330" t="s">
        <v>380</v>
      </c>
      <c r="BV8" s="1331"/>
      <c r="BW8" s="1330" t="s">
        <v>385</v>
      </c>
      <c r="BX8" s="1332"/>
      <c r="BY8" s="1333" t="s">
        <v>514</v>
      </c>
      <c r="BZ8" s="1334"/>
      <c r="CA8" s="437" t="s">
        <v>515</v>
      </c>
      <c r="CB8" s="438"/>
      <c r="CC8" s="439"/>
      <c r="CD8" s="439"/>
      <c r="CE8" s="440"/>
      <c r="CF8" s="1354" t="s">
        <v>516</v>
      </c>
      <c r="CG8" s="1350" t="s">
        <v>517</v>
      </c>
      <c r="CH8" s="1350" t="s">
        <v>518</v>
      </c>
      <c r="CI8" s="1350" t="s">
        <v>519</v>
      </c>
      <c r="CJ8" s="1350" t="s">
        <v>520</v>
      </c>
      <c r="CK8" s="1350" t="s">
        <v>521</v>
      </c>
      <c r="CL8" s="1352" t="s">
        <v>522</v>
      </c>
    </row>
    <row r="9" spans="1:90" ht="99" thickBot="1">
      <c r="A9" s="331"/>
      <c r="B9" s="1358"/>
      <c r="C9" s="441" t="s">
        <v>523</v>
      </c>
      <c r="D9" s="442" t="s">
        <v>524</v>
      </c>
      <c r="E9" s="442" t="s">
        <v>525</v>
      </c>
      <c r="F9" s="442" t="s">
        <v>526</v>
      </c>
      <c r="G9" s="442" t="s">
        <v>527</v>
      </c>
      <c r="H9" s="442" t="s">
        <v>528</v>
      </c>
      <c r="I9" s="443" t="s">
        <v>529</v>
      </c>
      <c r="J9" s="442" t="s">
        <v>530</v>
      </c>
      <c r="K9" s="444" t="s">
        <v>531</v>
      </c>
      <c r="L9" s="445" t="s">
        <v>532</v>
      </c>
      <c r="M9" s="446" t="s">
        <v>375</v>
      </c>
      <c r="N9" s="447" t="s">
        <v>376</v>
      </c>
      <c r="O9" s="445" t="s">
        <v>377</v>
      </c>
      <c r="P9" s="447" t="s">
        <v>533</v>
      </c>
      <c r="Q9" s="447" t="s">
        <v>532</v>
      </c>
      <c r="R9" s="448" t="s">
        <v>534</v>
      </c>
      <c r="S9" s="449" t="s">
        <v>535</v>
      </c>
      <c r="T9" s="444" t="s">
        <v>531</v>
      </c>
      <c r="U9" s="445" t="s">
        <v>532</v>
      </c>
      <c r="V9" s="446" t="s">
        <v>375</v>
      </c>
      <c r="W9" s="447" t="s">
        <v>376</v>
      </c>
      <c r="X9" s="445" t="s">
        <v>377</v>
      </c>
      <c r="Y9" s="447" t="s">
        <v>533</v>
      </c>
      <c r="Z9" s="447" t="s">
        <v>532</v>
      </c>
      <c r="AA9" s="448" t="s">
        <v>534</v>
      </c>
      <c r="AB9" s="449" t="s">
        <v>535</v>
      </c>
      <c r="AC9" s="444" t="s">
        <v>531</v>
      </c>
      <c r="AD9" s="445" t="s">
        <v>532</v>
      </c>
      <c r="AE9" s="446" t="s">
        <v>375</v>
      </c>
      <c r="AF9" s="447" t="s">
        <v>376</v>
      </c>
      <c r="AG9" s="445" t="s">
        <v>377</v>
      </c>
      <c r="AH9" s="447" t="s">
        <v>533</v>
      </c>
      <c r="AI9" s="447" t="s">
        <v>532</v>
      </c>
      <c r="AJ9" s="448" t="s">
        <v>534</v>
      </c>
      <c r="AK9" s="449" t="s">
        <v>535</v>
      </c>
      <c r="AL9" s="444" t="s">
        <v>531</v>
      </c>
      <c r="AM9" s="445" t="s">
        <v>532</v>
      </c>
      <c r="AN9" s="446" t="s">
        <v>375</v>
      </c>
      <c r="AO9" s="447" t="s">
        <v>376</v>
      </c>
      <c r="AP9" s="445" t="s">
        <v>377</v>
      </c>
      <c r="AQ9" s="447" t="s">
        <v>533</v>
      </c>
      <c r="AR9" s="447" t="s">
        <v>532</v>
      </c>
      <c r="AS9" s="448" t="s">
        <v>534</v>
      </c>
      <c r="AT9" s="449" t="s">
        <v>535</v>
      </c>
      <c r="AU9" s="447" t="s">
        <v>531</v>
      </c>
      <c r="AV9" s="445" t="s">
        <v>532</v>
      </c>
      <c r="AW9" s="446" t="s">
        <v>375</v>
      </c>
      <c r="AX9" s="447" t="s">
        <v>376</v>
      </c>
      <c r="AY9" s="445" t="s">
        <v>377</v>
      </c>
      <c r="AZ9" s="447" t="s">
        <v>533</v>
      </c>
      <c r="BA9" s="447" t="s">
        <v>532</v>
      </c>
      <c r="BB9" s="450" t="s">
        <v>534</v>
      </c>
      <c r="BC9" s="448" t="s">
        <v>535</v>
      </c>
      <c r="BD9" s="451" t="s">
        <v>536</v>
      </c>
      <c r="BE9" s="452" t="s">
        <v>537</v>
      </c>
      <c r="BF9" s="452" t="s">
        <v>538</v>
      </c>
      <c r="BG9" s="453" t="s">
        <v>539</v>
      </c>
      <c r="BH9" s="454" t="s">
        <v>540</v>
      </c>
      <c r="BI9" s="454" t="s">
        <v>535</v>
      </c>
      <c r="BJ9" s="454" t="s">
        <v>541</v>
      </c>
      <c r="BK9" s="455" t="s">
        <v>542</v>
      </c>
      <c r="BL9" s="456" t="s">
        <v>543</v>
      </c>
      <c r="BM9" s="457" t="s">
        <v>386</v>
      </c>
      <c r="BN9" s="458" t="s">
        <v>544</v>
      </c>
      <c r="BO9" s="458" t="s">
        <v>387</v>
      </c>
      <c r="BP9" s="457" t="s">
        <v>386</v>
      </c>
      <c r="BQ9" s="459" t="s">
        <v>544</v>
      </c>
      <c r="BR9" s="460" t="s">
        <v>545</v>
      </c>
      <c r="BS9" s="1347"/>
      <c r="BT9" s="1349"/>
      <c r="BU9" s="461" t="s">
        <v>546</v>
      </c>
      <c r="BV9" s="462" t="s">
        <v>513</v>
      </c>
      <c r="BW9" s="463" t="s">
        <v>547</v>
      </c>
      <c r="BX9" s="464" t="s">
        <v>513</v>
      </c>
      <c r="BY9" s="465" t="s">
        <v>548</v>
      </c>
      <c r="BZ9" s="466" t="s">
        <v>549</v>
      </c>
      <c r="CA9" s="467" t="s">
        <v>550</v>
      </c>
      <c r="CB9" s="468" t="s">
        <v>551</v>
      </c>
      <c r="CC9" s="469" t="s">
        <v>552</v>
      </c>
      <c r="CD9" s="469" t="s">
        <v>553</v>
      </c>
      <c r="CE9" s="470" t="s">
        <v>554</v>
      </c>
      <c r="CF9" s="1355"/>
      <c r="CG9" s="1351"/>
      <c r="CH9" s="1351"/>
      <c r="CI9" s="1351"/>
      <c r="CJ9" s="1351"/>
      <c r="CK9" s="1351"/>
      <c r="CL9" s="1353"/>
    </row>
    <row r="10" spans="1:90" ht="14.25" customHeight="1">
      <c r="A10" s="331"/>
      <c r="B10" s="471">
        <v>2014</v>
      </c>
      <c r="C10" s="653">
        <f>Trajectoires!AA6</f>
        <v>885.83864771181118</v>
      </c>
      <c r="D10" s="657">
        <f>C10/Hypothèses!$D$23</f>
        <v>236.22363938981633</v>
      </c>
      <c r="E10" s="657">
        <f>D10*Hypothèses!$B$23</f>
        <v>744.10446407792142</v>
      </c>
      <c r="F10" s="657">
        <f>D10*Hypothèses!$B$5</f>
        <v>328.35085875184467</v>
      </c>
      <c r="G10" s="657">
        <f>D10*Hypothèses!$B$6</f>
        <v>7.5591564604741226</v>
      </c>
      <c r="H10" s="472"/>
      <c r="I10" s="472"/>
      <c r="J10" s="472"/>
      <c r="K10" s="473">
        <f>Hypothèses!$G$77</f>
        <v>0.01</v>
      </c>
      <c r="L10" s="474">
        <f>K10*$E10</f>
        <v>7.4410446407792143</v>
      </c>
      <c r="M10" s="475">
        <v>0</v>
      </c>
      <c r="N10" s="476">
        <v>0</v>
      </c>
      <c r="O10" s="477">
        <v>0</v>
      </c>
      <c r="P10" s="478">
        <v>0</v>
      </c>
      <c r="Q10" s="479">
        <f t="shared" ref="Q10:Q14" si="0">(1-P10)*L10</f>
        <v>7.4410446407792143</v>
      </c>
      <c r="R10" s="480">
        <f>SUMIFS(N$16:N$46,$B$16:$B$46,"&lt;="&amp;$B10,$B$16:$B$46,"&gt;"&amp;($B10-$D$2))*K10/$D$2</f>
        <v>0</v>
      </c>
      <c r="S10" s="481">
        <f>SUMIFS(O$16:O$46,$B$16:$B$46,"&lt;="&amp;$B10,$B$16:$B$46,"&gt;"&amp;($B10-$D$2))*K10/$D$2</f>
        <v>0</v>
      </c>
      <c r="T10" s="473">
        <f>Hypothèses!$G$78</f>
        <v>0.03</v>
      </c>
      <c r="U10" s="474">
        <f>T10*$E10</f>
        <v>22.323133922337643</v>
      </c>
      <c r="V10" s="475">
        <v>0</v>
      </c>
      <c r="W10" s="476">
        <v>0</v>
      </c>
      <c r="X10" s="477">
        <v>0</v>
      </c>
      <c r="Y10" s="478">
        <v>0</v>
      </c>
      <c r="Z10" s="479">
        <f t="shared" ref="Z10:Z14" si="1">(1-Y10)*U10</f>
        <v>22.323133922337643</v>
      </c>
      <c r="AA10" s="480">
        <f>SUMIFS(W$16:W$46,$B$16:$B$46,"&lt;="&amp;$B10,$B$16:$B$46,"&gt;"&amp;($B10-$D$2))*T10/$D$2</f>
        <v>0</v>
      </c>
      <c r="AB10" s="481">
        <f>SUMIFS(X$16:X$46,$B$16:$B$46,"&lt;="&amp;$B10,$B$16:$B$46,"&gt;"&amp;($B10-$D$2))*T10/$D$2</f>
        <v>0</v>
      </c>
      <c r="AC10" s="473">
        <f>Hypothèses!$G$79</f>
        <v>0.24</v>
      </c>
      <c r="AD10" s="474">
        <f>AC10*$E10</f>
        <v>178.58507137870114</v>
      </c>
      <c r="AE10" s="475">
        <v>0</v>
      </c>
      <c r="AF10" s="476">
        <v>0</v>
      </c>
      <c r="AG10" s="477">
        <v>0</v>
      </c>
      <c r="AH10" s="478">
        <v>0</v>
      </c>
      <c r="AI10" s="479">
        <f t="shared" ref="AI10:AI14" si="2">(1-AH10)*AD10</f>
        <v>178.58507137870114</v>
      </c>
      <c r="AJ10" s="480">
        <f>SUMIFS(AF$16:AF$46,$B$16:$B$46,"&lt;="&amp;$B10,$B$16:$B$46,"&gt;"&amp;($B10-$D$2))*AC10/$D$2</f>
        <v>0</v>
      </c>
      <c r="AK10" s="481">
        <f>SUMIFS(AG$16:AG$46,$B$16:$B$46,"&lt;="&amp;$B10,$B$16:$B$46,"&gt;"&amp;($B10-$D$2))*AC10/$D$2</f>
        <v>0</v>
      </c>
      <c r="AL10" s="473">
        <f>Hypothèses!$G$80</f>
        <v>0.42</v>
      </c>
      <c r="AM10" s="474">
        <f>AL10*$E10</f>
        <v>312.52387491272697</v>
      </c>
      <c r="AN10" s="475">
        <v>0</v>
      </c>
      <c r="AO10" s="476">
        <v>0</v>
      </c>
      <c r="AP10" s="477">
        <v>0</v>
      </c>
      <c r="AQ10" s="478"/>
      <c r="AR10" s="479">
        <f t="shared" ref="AR10:AR15" si="3">(1-AQ10)*AM10</f>
        <v>312.52387491272697</v>
      </c>
      <c r="AS10" s="480">
        <f t="shared" ref="AS10:AS46" si="4">SUMIFS(AO$16:AO$46,$B$16:$B$46,"&lt;="&amp;$B10,$B$16:$B$46,"&gt;"&amp;($B10-$D$2))*AL10/$D$2</f>
        <v>0</v>
      </c>
      <c r="AT10" s="481">
        <f t="shared" ref="AT10:AT46" si="5">SUMIFS(AP$16:AP$46,$B$16:$B$46,"&lt;="&amp;$B10,$B$16:$B$46,"&gt;"&amp;($B10-$D$2))*AL10/$D$2</f>
        <v>0</v>
      </c>
      <c r="AU10" s="478">
        <f>Hypothèses!$G$81</f>
        <v>0.3</v>
      </c>
      <c r="AV10" s="474">
        <f>AU10*$E10</f>
        <v>223.23133922337641</v>
      </c>
      <c r="AW10" s="475">
        <v>0</v>
      </c>
      <c r="AX10" s="476">
        <v>0</v>
      </c>
      <c r="AY10" s="477">
        <v>0</v>
      </c>
      <c r="AZ10" s="478">
        <v>0</v>
      </c>
      <c r="BA10" s="479">
        <f t="shared" ref="BA10:BA14" si="6">(1-AZ10)*AV10</f>
        <v>223.23133922337641</v>
      </c>
      <c r="BB10" s="480">
        <f>SUMIFS(AX$16:AX$46,$B$16:$B$46,"&lt;="&amp;$B10,$B$16:$B$46,"&gt;"&amp;($B10-$D$2))*AU10/$D$2</f>
        <v>0</v>
      </c>
      <c r="BC10" s="480">
        <f>SUMIFS(AY$16:AY$46,$B$16:$B$46,"&lt;="&amp;$B10,$B$16:$B$46,"&gt;"&amp;($B10-$D$2))*AU10/$D$2</f>
        <v>0</v>
      </c>
      <c r="BD10" s="482">
        <f t="shared" ref="BD10:BD46" si="7">Q10+Z10+AI10+AR10+BA10</f>
        <v>744.10446407792142</v>
      </c>
      <c r="BE10" s="483">
        <f>BD10*(Hypothèses!$D$23/Hypothèses!$B$23)</f>
        <v>885.83864771181118</v>
      </c>
      <c r="BF10" s="484">
        <f t="shared" ref="BF10:BF46" si="8">1-BE10/C10</f>
        <v>0</v>
      </c>
      <c r="BG10" s="483">
        <f>BD10/Hypothèses!$B$23</f>
        <v>236.22363938981633</v>
      </c>
      <c r="BH10" s="484">
        <f t="shared" ref="BH10:BI46" si="9">R10+AA10+AJ10+AS10+BB10</f>
        <v>0</v>
      </c>
      <c r="BI10" s="484">
        <f t="shared" si="9"/>
        <v>0</v>
      </c>
      <c r="BJ10" s="483">
        <f>BG10*BH10</f>
        <v>0</v>
      </c>
      <c r="BK10" s="485"/>
      <c r="BL10" s="486"/>
      <c r="BM10" s="487"/>
      <c r="BN10" s="488"/>
      <c r="BO10" s="489"/>
      <c r="BP10" s="490"/>
      <c r="BQ10" s="491"/>
      <c r="BR10" s="492"/>
      <c r="BS10" s="493"/>
      <c r="BT10" s="494"/>
      <c r="BU10" s="495"/>
      <c r="BV10" s="494"/>
      <c r="BW10" s="496"/>
      <c r="BX10" s="497"/>
      <c r="BY10" s="498"/>
      <c r="BZ10" s="499"/>
      <c r="CA10" s="500">
        <f t="shared" ref="CA10:CA15" si="10">BG10-BS10-BY10</f>
        <v>236.22363938981633</v>
      </c>
      <c r="CB10" s="501"/>
      <c r="CC10" s="498"/>
      <c r="CD10" s="498"/>
      <c r="CE10" s="502"/>
      <c r="CF10" s="503">
        <f>(CA10+BU10*BO10)*Hypothèses!$D$23+CE10</f>
        <v>885.83864771181118</v>
      </c>
      <c r="CG10" s="504">
        <f t="shared" ref="CG10:CG46" si="11">(BE10-CF10)/BE10</f>
        <v>0</v>
      </c>
      <c r="CH10" s="503">
        <f>(CA10+BU10*BO10)*Hypothèses!$B$23</f>
        <v>744.10446407792142</v>
      </c>
      <c r="CI10" s="503"/>
      <c r="CJ10" s="503"/>
      <c r="CK10" s="503"/>
      <c r="CL10" s="507">
        <f t="shared" ref="CL10:CL46" si="12">(C10-CF10)/C10</f>
        <v>0</v>
      </c>
    </row>
    <row r="11" spans="1:90" ht="14.25" customHeight="1">
      <c r="A11" s="331"/>
      <c r="B11" s="471">
        <v>2015</v>
      </c>
      <c r="C11" s="654">
        <f>Trajectoires!AA7</f>
        <v>930.26844806902204</v>
      </c>
      <c r="D11" s="658">
        <f>C11/Hypothèses!$D$23</f>
        <v>248.07158615173921</v>
      </c>
      <c r="E11" s="658">
        <f>D11*Hypothèses!$B$23</f>
        <v>781.42549637797845</v>
      </c>
      <c r="F11" s="658">
        <f>D11*Hypothèses!$B$5</f>
        <v>344.81950475091747</v>
      </c>
      <c r="G11" s="658">
        <f>D11*Hypothèses!$B$6</f>
        <v>7.9382907568556549</v>
      </c>
      <c r="H11" s="472"/>
      <c r="I11" s="472"/>
      <c r="J11" s="472"/>
      <c r="K11" s="473">
        <f>Hypothèses!$G$77</f>
        <v>0.01</v>
      </c>
      <c r="L11" s="474">
        <f t="shared" ref="L11:L46" si="13">K11*$E11</f>
        <v>7.8142549637797849</v>
      </c>
      <c r="M11" s="509">
        <v>0</v>
      </c>
      <c r="N11" s="510">
        <v>0</v>
      </c>
      <c r="O11" s="511">
        <v>0</v>
      </c>
      <c r="P11" s="478">
        <v>0</v>
      </c>
      <c r="Q11" s="479">
        <f t="shared" si="0"/>
        <v>7.8142549637797849</v>
      </c>
      <c r="R11" s="480">
        <f t="shared" ref="R11:R46" si="14">SUMIFS(N$16:N$46,$B$16:$B$46,"&lt;="&amp;$B11,$B$16:$B$46,"&gt;"&amp;($B11-$D$2))*K11/$D$2</f>
        <v>0</v>
      </c>
      <c r="S11" s="481">
        <f t="shared" ref="S11:S46" si="15">SUMIFS(O$16:O$46,$B$16:$B$46,"&lt;="&amp;$B11,$B$16:$B$46,"&gt;"&amp;($B11-$D$2))*K11/$D$2</f>
        <v>0</v>
      </c>
      <c r="T11" s="473">
        <f>Hypothèses!$G$78</f>
        <v>0.03</v>
      </c>
      <c r="U11" s="474">
        <f t="shared" ref="U11:U46" si="16">T11*$E11</f>
        <v>23.442764891339351</v>
      </c>
      <c r="V11" s="509">
        <v>0</v>
      </c>
      <c r="W11" s="510">
        <v>0</v>
      </c>
      <c r="X11" s="511">
        <v>0</v>
      </c>
      <c r="Y11" s="478">
        <v>0</v>
      </c>
      <c r="Z11" s="479">
        <f t="shared" si="1"/>
        <v>23.442764891339351</v>
      </c>
      <c r="AA11" s="480">
        <f t="shared" ref="AA11:AA46" si="17">SUMIFS(W$16:W$46,$B$16:$B$46,"&lt;="&amp;$B11,$B$16:$B$46,"&gt;"&amp;($B11-$D$2))*T11/$D$2</f>
        <v>0</v>
      </c>
      <c r="AB11" s="481">
        <f t="shared" ref="AB11:AB46" si="18">SUMIFS(X$16:X$46,$B$16:$B$46,"&lt;="&amp;$B11,$B$16:$B$46,"&gt;"&amp;($B11-$D$2))*T11/$D$2</f>
        <v>0</v>
      </c>
      <c r="AC11" s="473">
        <f>Hypothèses!$G$79</f>
        <v>0.24</v>
      </c>
      <c r="AD11" s="474">
        <f t="shared" ref="AD11:AD46" si="19">AC11*$E11</f>
        <v>187.54211913071481</v>
      </c>
      <c r="AE11" s="509">
        <v>0</v>
      </c>
      <c r="AF11" s="510">
        <v>0</v>
      </c>
      <c r="AG11" s="511">
        <v>0</v>
      </c>
      <c r="AH11" s="478">
        <v>0</v>
      </c>
      <c r="AI11" s="479">
        <f t="shared" si="2"/>
        <v>187.54211913071481</v>
      </c>
      <c r="AJ11" s="480">
        <f t="shared" ref="AJ11:AJ46" si="20">SUMIFS(AF$16:AF$46,$B$16:$B$46,"&lt;="&amp;$B11,$B$16:$B$46,"&gt;"&amp;($B11-$D$2))*AC11/$D$2</f>
        <v>0</v>
      </c>
      <c r="AK11" s="481">
        <f t="shared" ref="AK11:AK46" si="21">SUMIFS(AG$16:AG$46,$B$16:$B$46,"&lt;="&amp;$B11,$B$16:$B$46,"&gt;"&amp;($B11-$D$2))*AC11/$D$2</f>
        <v>0</v>
      </c>
      <c r="AL11" s="473">
        <f>Hypothèses!$G$80</f>
        <v>0.42</v>
      </c>
      <c r="AM11" s="474">
        <f t="shared" ref="AM11:AM46" si="22">AL11*$E11</f>
        <v>328.19870847875092</v>
      </c>
      <c r="AN11" s="509">
        <v>0</v>
      </c>
      <c r="AO11" s="510">
        <v>0</v>
      </c>
      <c r="AP11" s="511">
        <v>0</v>
      </c>
      <c r="AQ11" s="478"/>
      <c r="AR11" s="479">
        <f t="shared" si="3"/>
        <v>328.19870847875092</v>
      </c>
      <c r="AS11" s="480">
        <f t="shared" si="4"/>
        <v>0</v>
      </c>
      <c r="AT11" s="481">
        <f t="shared" si="5"/>
        <v>0</v>
      </c>
      <c r="AU11" s="478">
        <f>Hypothèses!$G$81</f>
        <v>0.3</v>
      </c>
      <c r="AV11" s="474">
        <f t="shared" ref="AV11:AV46" si="23">AU11*$E11</f>
        <v>234.42764891339351</v>
      </c>
      <c r="AW11" s="509">
        <v>0</v>
      </c>
      <c r="AX11" s="510">
        <v>0</v>
      </c>
      <c r="AY11" s="511">
        <v>0</v>
      </c>
      <c r="AZ11" s="478">
        <v>0</v>
      </c>
      <c r="BA11" s="479">
        <f t="shared" si="6"/>
        <v>234.42764891339351</v>
      </c>
      <c r="BB11" s="480">
        <f t="shared" ref="BB11:BB46" si="24">SUMIFS(AX$16:AX$46,$B$16:$B$46,"&lt;="&amp;$B11,$B$16:$B$46,"&gt;"&amp;($B11-$D$2))*AU11/$D$2</f>
        <v>0</v>
      </c>
      <c r="BC11" s="480">
        <f t="shared" ref="BC11:BC46" si="25">SUMIFS(AY$16:AY$46,$B$16:$B$46,"&lt;="&amp;$B11,$B$16:$B$46,"&gt;"&amp;($B11-$D$2))*AU11/$D$2</f>
        <v>0</v>
      </c>
      <c r="BD11" s="508">
        <f t="shared" si="7"/>
        <v>781.42549637797833</v>
      </c>
      <c r="BE11" s="472">
        <f>BD11*(Hypothèses!$D$23/Hypothèses!$B$23)</f>
        <v>930.26844806902182</v>
      </c>
      <c r="BF11" s="512">
        <f t="shared" si="8"/>
        <v>0</v>
      </c>
      <c r="BG11" s="472">
        <f>BD11/Hypothèses!$B$23</f>
        <v>248.07158615173915</v>
      </c>
      <c r="BH11" s="512">
        <f t="shared" si="9"/>
        <v>0</v>
      </c>
      <c r="BI11" s="512">
        <f t="shared" si="9"/>
        <v>0</v>
      </c>
      <c r="BJ11" s="472">
        <f t="shared" ref="BJ11:BJ46" si="26">BG11*BH11</f>
        <v>0</v>
      </c>
      <c r="BK11" s="485"/>
      <c r="BL11" s="486"/>
      <c r="BM11" s="487"/>
      <c r="BN11" s="488"/>
      <c r="BO11" s="489"/>
      <c r="BP11" s="513"/>
      <c r="BQ11" s="499"/>
      <c r="BR11" s="492"/>
      <c r="BS11" s="486"/>
      <c r="BT11" s="514"/>
      <c r="BU11" s="515"/>
      <c r="BV11" s="514"/>
      <c r="BW11" s="496"/>
      <c r="BX11" s="497"/>
      <c r="BY11" s="498"/>
      <c r="BZ11" s="499"/>
      <c r="CA11" s="500">
        <f t="shared" si="10"/>
        <v>248.07158615173915</v>
      </c>
      <c r="CB11" s="501"/>
      <c r="CC11" s="498"/>
      <c r="CD11" s="498"/>
      <c r="CE11" s="502"/>
      <c r="CF11" s="503">
        <f>(CA11+BU11*BO11)*Hypothèses!$D$23+CE11</f>
        <v>930.26844806902182</v>
      </c>
      <c r="CG11" s="504">
        <f t="shared" si="11"/>
        <v>0</v>
      </c>
      <c r="CH11" s="503">
        <f>(CA11+BU11*BO11)*Hypothèses!$B$23</f>
        <v>781.42549637797833</v>
      </c>
      <c r="CI11" s="503"/>
      <c r="CJ11" s="503"/>
      <c r="CK11" s="503"/>
      <c r="CL11" s="507">
        <f t="shared" si="12"/>
        <v>2.4441727107395335E-16</v>
      </c>
    </row>
    <row r="12" spans="1:90" ht="14.25" customHeight="1">
      <c r="A12" s="331"/>
      <c r="B12" s="471">
        <v>2016</v>
      </c>
      <c r="C12" s="654">
        <f>Trajectoires!AA8</f>
        <v>976.92665329983004</v>
      </c>
      <c r="D12" s="658">
        <f>C12/Hypothèses!$D$23</f>
        <v>260.513774213288</v>
      </c>
      <c r="E12" s="658">
        <f>D12*Hypothèses!$B$23</f>
        <v>820.61838877185721</v>
      </c>
      <c r="F12" s="658">
        <f>D12*Hypothèses!$B$5</f>
        <v>362.11414615647027</v>
      </c>
      <c r="G12" s="658">
        <f>D12*Hypothèses!$B$6</f>
        <v>8.3364407748252169</v>
      </c>
      <c r="H12" s="472"/>
      <c r="I12" s="472"/>
      <c r="J12" s="472"/>
      <c r="K12" s="473">
        <f>Hypothèses!$G$77</f>
        <v>0.01</v>
      </c>
      <c r="L12" s="474">
        <f t="shared" si="13"/>
        <v>8.2061838877185718</v>
      </c>
      <c r="M12" s="509">
        <v>0</v>
      </c>
      <c r="N12" s="510">
        <v>0</v>
      </c>
      <c r="O12" s="511">
        <v>0</v>
      </c>
      <c r="P12" s="478">
        <v>0</v>
      </c>
      <c r="Q12" s="479">
        <f t="shared" si="0"/>
        <v>8.2061838877185718</v>
      </c>
      <c r="R12" s="480">
        <f t="shared" si="14"/>
        <v>0</v>
      </c>
      <c r="S12" s="481">
        <f t="shared" si="15"/>
        <v>0</v>
      </c>
      <c r="T12" s="473">
        <f>Hypothèses!$G$78</f>
        <v>0.03</v>
      </c>
      <c r="U12" s="474">
        <f t="shared" si="16"/>
        <v>24.618551663155717</v>
      </c>
      <c r="V12" s="509">
        <v>0</v>
      </c>
      <c r="W12" s="510">
        <v>0</v>
      </c>
      <c r="X12" s="511">
        <v>0</v>
      </c>
      <c r="Y12" s="478">
        <v>0</v>
      </c>
      <c r="Z12" s="479">
        <f t="shared" si="1"/>
        <v>24.618551663155717</v>
      </c>
      <c r="AA12" s="480">
        <f t="shared" si="17"/>
        <v>0</v>
      </c>
      <c r="AB12" s="481">
        <f t="shared" si="18"/>
        <v>0</v>
      </c>
      <c r="AC12" s="473">
        <f>Hypothèses!$G$79</f>
        <v>0.24</v>
      </c>
      <c r="AD12" s="474">
        <f t="shared" si="19"/>
        <v>196.94841330524574</v>
      </c>
      <c r="AE12" s="509">
        <v>0</v>
      </c>
      <c r="AF12" s="510">
        <v>0</v>
      </c>
      <c r="AG12" s="511">
        <v>0</v>
      </c>
      <c r="AH12" s="478">
        <v>0</v>
      </c>
      <c r="AI12" s="479">
        <f t="shared" si="2"/>
        <v>196.94841330524574</v>
      </c>
      <c r="AJ12" s="480">
        <f t="shared" si="20"/>
        <v>0</v>
      </c>
      <c r="AK12" s="481">
        <f t="shared" si="21"/>
        <v>0</v>
      </c>
      <c r="AL12" s="473">
        <f>Hypothèses!$G$80</f>
        <v>0.42</v>
      </c>
      <c r="AM12" s="474">
        <f t="shared" si="22"/>
        <v>344.65972328418002</v>
      </c>
      <c r="AN12" s="509">
        <v>0</v>
      </c>
      <c r="AO12" s="510">
        <v>0</v>
      </c>
      <c r="AP12" s="511">
        <v>0</v>
      </c>
      <c r="AQ12" s="478"/>
      <c r="AR12" s="479">
        <f t="shared" si="3"/>
        <v>344.65972328418002</v>
      </c>
      <c r="AS12" s="480">
        <f t="shared" si="4"/>
        <v>0</v>
      </c>
      <c r="AT12" s="481">
        <f t="shared" si="5"/>
        <v>0</v>
      </c>
      <c r="AU12" s="478">
        <f>Hypothèses!$G$81</f>
        <v>0.3</v>
      </c>
      <c r="AV12" s="474">
        <f t="shared" si="23"/>
        <v>246.18551663155716</v>
      </c>
      <c r="AW12" s="509">
        <v>0</v>
      </c>
      <c r="AX12" s="510">
        <v>0</v>
      </c>
      <c r="AY12" s="511">
        <v>0</v>
      </c>
      <c r="AZ12" s="478">
        <v>0</v>
      </c>
      <c r="BA12" s="479">
        <f t="shared" si="6"/>
        <v>246.18551663155716</v>
      </c>
      <c r="BB12" s="480">
        <f t="shared" si="24"/>
        <v>0</v>
      </c>
      <c r="BC12" s="480">
        <f t="shared" si="25"/>
        <v>0</v>
      </c>
      <c r="BD12" s="508">
        <f t="shared" si="7"/>
        <v>820.61838877185733</v>
      </c>
      <c r="BE12" s="472">
        <f>BD12*(Hypothèses!$D$23/Hypothèses!$B$23)</f>
        <v>976.92665329983015</v>
      </c>
      <c r="BF12" s="512">
        <f t="shared" si="8"/>
        <v>0</v>
      </c>
      <c r="BG12" s="472">
        <f>BD12/Hypothèses!$B$23</f>
        <v>260.51377421328806</v>
      </c>
      <c r="BH12" s="512">
        <f t="shared" si="9"/>
        <v>0</v>
      </c>
      <c r="BI12" s="512">
        <f t="shared" si="9"/>
        <v>0</v>
      </c>
      <c r="BJ12" s="472">
        <f t="shared" si="26"/>
        <v>0</v>
      </c>
      <c r="BK12" s="485"/>
      <c r="BL12" s="486"/>
      <c r="BM12" s="487"/>
      <c r="BN12" s="488"/>
      <c r="BO12" s="489"/>
      <c r="BP12" s="513"/>
      <c r="BQ12" s="499"/>
      <c r="BR12" s="492"/>
      <c r="BS12" s="486"/>
      <c r="BT12" s="514"/>
      <c r="BU12" s="515"/>
      <c r="BV12" s="514"/>
      <c r="BW12" s="496"/>
      <c r="BX12" s="497"/>
      <c r="BY12" s="498"/>
      <c r="BZ12" s="499"/>
      <c r="CA12" s="500">
        <f t="shared" si="10"/>
        <v>260.51377421328806</v>
      </c>
      <c r="CB12" s="501"/>
      <c r="CC12" s="498"/>
      <c r="CD12" s="498"/>
      <c r="CE12" s="502"/>
      <c r="CF12" s="503">
        <f>(CA12+BU12*BO12)*Hypothèses!$D$23+CE12</f>
        <v>976.92665329983026</v>
      </c>
      <c r="CG12" s="504">
        <f t="shared" si="11"/>
        <v>-1.1637192755219486E-16</v>
      </c>
      <c r="CH12" s="503">
        <f>(CA12+BU12*BO12)*Hypothèses!$B$23</f>
        <v>820.61838877185733</v>
      </c>
      <c r="CI12" s="503"/>
      <c r="CJ12" s="503"/>
      <c r="CK12" s="503"/>
      <c r="CL12" s="507">
        <f t="shared" si="12"/>
        <v>-2.3274385510438977E-16</v>
      </c>
    </row>
    <row r="13" spans="1:90" ht="14.25" customHeight="1">
      <c r="A13" s="331"/>
      <c r="B13" s="471">
        <v>2017</v>
      </c>
      <c r="C13" s="654">
        <f>Trajectoires!AA9</f>
        <v>1025.9250304668988</v>
      </c>
      <c r="D13" s="658">
        <f>C13/Hypothèses!$D$23</f>
        <v>273.58000812450632</v>
      </c>
      <c r="E13" s="658">
        <f>D13*Hypothèses!$B$23</f>
        <v>861.77702559219483</v>
      </c>
      <c r="F13" s="658">
        <f>D13*Hypothèses!$B$5</f>
        <v>380.27621129306374</v>
      </c>
      <c r="G13" s="658">
        <f>D13*Hypothèses!$B$6</f>
        <v>8.7545602599842027</v>
      </c>
      <c r="H13" s="472"/>
      <c r="I13" s="472"/>
      <c r="J13" s="472"/>
      <c r="K13" s="473">
        <f>Hypothèses!$G$77</f>
        <v>0.01</v>
      </c>
      <c r="L13" s="474">
        <f t="shared" si="13"/>
        <v>8.6177702559219487</v>
      </c>
      <c r="M13" s="509">
        <v>0</v>
      </c>
      <c r="N13" s="510">
        <v>0</v>
      </c>
      <c r="O13" s="511">
        <v>0</v>
      </c>
      <c r="P13" s="478">
        <v>0</v>
      </c>
      <c r="Q13" s="479">
        <f t="shared" si="0"/>
        <v>8.6177702559219487</v>
      </c>
      <c r="R13" s="480">
        <f t="shared" si="14"/>
        <v>0</v>
      </c>
      <c r="S13" s="481">
        <f t="shared" si="15"/>
        <v>0</v>
      </c>
      <c r="T13" s="473">
        <f>Hypothèses!$G$78</f>
        <v>0.03</v>
      </c>
      <c r="U13" s="474">
        <f t="shared" si="16"/>
        <v>25.853310767765844</v>
      </c>
      <c r="V13" s="509">
        <v>0</v>
      </c>
      <c r="W13" s="510">
        <v>0</v>
      </c>
      <c r="X13" s="511">
        <v>0</v>
      </c>
      <c r="Y13" s="478">
        <v>0</v>
      </c>
      <c r="Z13" s="479">
        <f t="shared" si="1"/>
        <v>25.853310767765844</v>
      </c>
      <c r="AA13" s="480">
        <f t="shared" si="17"/>
        <v>0</v>
      </c>
      <c r="AB13" s="481">
        <f t="shared" si="18"/>
        <v>0</v>
      </c>
      <c r="AC13" s="473">
        <f>Hypothèses!$G$79</f>
        <v>0.24</v>
      </c>
      <c r="AD13" s="474">
        <f t="shared" si="19"/>
        <v>206.82648614212675</v>
      </c>
      <c r="AE13" s="509">
        <v>0</v>
      </c>
      <c r="AF13" s="510">
        <v>0</v>
      </c>
      <c r="AG13" s="511">
        <v>0</v>
      </c>
      <c r="AH13" s="478">
        <v>0</v>
      </c>
      <c r="AI13" s="479">
        <f t="shared" si="2"/>
        <v>206.82648614212675</v>
      </c>
      <c r="AJ13" s="480">
        <f t="shared" si="20"/>
        <v>0</v>
      </c>
      <c r="AK13" s="481">
        <f t="shared" si="21"/>
        <v>0</v>
      </c>
      <c r="AL13" s="473">
        <f>Hypothèses!$G$80</f>
        <v>0.42</v>
      </c>
      <c r="AM13" s="474">
        <f t="shared" si="22"/>
        <v>361.94635074872184</v>
      </c>
      <c r="AN13" s="509">
        <v>0</v>
      </c>
      <c r="AO13" s="510">
        <v>0</v>
      </c>
      <c r="AP13" s="511">
        <v>0</v>
      </c>
      <c r="AQ13" s="478"/>
      <c r="AR13" s="479">
        <f t="shared" si="3"/>
        <v>361.94635074872184</v>
      </c>
      <c r="AS13" s="480">
        <f t="shared" si="4"/>
        <v>0</v>
      </c>
      <c r="AT13" s="481">
        <f t="shared" si="5"/>
        <v>0</v>
      </c>
      <c r="AU13" s="478">
        <f>Hypothèses!$G$81</f>
        <v>0.3</v>
      </c>
      <c r="AV13" s="474">
        <f t="shared" si="23"/>
        <v>258.53310767765845</v>
      </c>
      <c r="AW13" s="509">
        <v>0</v>
      </c>
      <c r="AX13" s="510">
        <v>0</v>
      </c>
      <c r="AY13" s="511">
        <v>0</v>
      </c>
      <c r="AZ13" s="478">
        <v>0</v>
      </c>
      <c r="BA13" s="479">
        <f t="shared" si="6"/>
        <v>258.53310767765845</v>
      </c>
      <c r="BB13" s="480">
        <f t="shared" si="24"/>
        <v>0</v>
      </c>
      <c r="BC13" s="480">
        <f t="shared" si="25"/>
        <v>0</v>
      </c>
      <c r="BD13" s="508">
        <f t="shared" si="7"/>
        <v>861.77702559219483</v>
      </c>
      <c r="BE13" s="472">
        <f>BD13*(Hypothèses!$D$23/Hypothèses!$B$23)</f>
        <v>1025.9250304668985</v>
      </c>
      <c r="BF13" s="512">
        <f t="shared" si="8"/>
        <v>0</v>
      </c>
      <c r="BG13" s="472">
        <f>BD13/Hypothèses!$B$23</f>
        <v>273.58000812450632</v>
      </c>
      <c r="BH13" s="512">
        <f t="shared" si="9"/>
        <v>0</v>
      </c>
      <c r="BI13" s="512">
        <f t="shared" si="9"/>
        <v>0</v>
      </c>
      <c r="BJ13" s="472">
        <f t="shared" si="26"/>
        <v>0</v>
      </c>
      <c r="BK13" s="485"/>
      <c r="BL13" s="486"/>
      <c r="BM13" s="487"/>
      <c r="BN13" s="488"/>
      <c r="BO13" s="489"/>
      <c r="BP13" s="513"/>
      <c r="BQ13" s="499"/>
      <c r="BR13" s="492"/>
      <c r="BS13" s="486"/>
      <c r="BT13" s="514"/>
      <c r="BU13" s="515"/>
      <c r="BV13" s="514"/>
      <c r="BW13" s="496"/>
      <c r="BX13" s="497"/>
      <c r="BY13" s="498"/>
      <c r="BZ13" s="499"/>
      <c r="CA13" s="500">
        <f t="shared" si="10"/>
        <v>273.58000812450632</v>
      </c>
      <c r="CB13" s="501"/>
      <c r="CC13" s="498"/>
      <c r="CD13" s="498"/>
      <c r="CE13" s="502"/>
      <c r="CF13" s="503">
        <f>(CA13+BU13*BO13)*Hypothèses!$D$23+CE13</f>
        <v>1025.9250304668988</v>
      </c>
      <c r="CG13" s="504">
        <f t="shared" si="11"/>
        <v>-2.2162796373118442E-16</v>
      </c>
      <c r="CH13" s="503">
        <f>(CA13+BU13*BO13)*Hypothèses!$B$23</f>
        <v>861.77702559219483</v>
      </c>
      <c r="CI13" s="503"/>
      <c r="CJ13" s="503"/>
      <c r="CK13" s="503"/>
      <c r="CL13" s="507">
        <f t="shared" si="12"/>
        <v>0</v>
      </c>
    </row>
    <row r="14" spans="1:90" ht="14.25" customHeight="1">
      <c r="A14" s="331"/>
      <c r="B14" s="471">
        <v>2018</v>
      </c>
      <c r="C14" s="654">
        <f>Trajectoires!AA10</f>
        <v>1077.3809523809523</v>
      </c>
      <c r="D14" s="658">
        <f>C14/Hypothèses!$D$23</f>
        <v>287.30158730158729</v>
      </c>
      <c r="E14" s="658">
        <f>D14*Hypothèses!$B$23</f>
        <v>904.99999999999989</v>
      </c>
      <c r="F14" s="658">
        <f>D14*Hypothèses!$B$5</f>
        <v>399.34920634920633</v>
      </c>
      <c r="G14" s="658">
        <f>D14*Hypothèses!$B$6</f>
        <v>9.193650793650793</v>
      </c>
      <c r="H14" s="472"/>
      <c r="I14" s="472"/>
      <c r="J14" s="472"/>
      <c r="K14" s="473">
        <f>Hypothèses!$G$77</f>
        <v>0.01</v>
      </c>
      <c r="L14" s="474">
        <f t="shared" si="13"/>
        <v>9.0499999999999989</v>
      </c>
      <c r="M14" s="509">
        <v>0</v>
      </c>
      <c r="N14" s="510">
        <v>0</v>
      </c>
      <c r="O14" s="511">
        <v>0</v>
      </c>
      <c r="P14" s="478">
        <v>0</v>
      </c>
      <c r="Q14" s="479">
        <f t="shared" si="0"/>
        <v>9.0499999999999989</v>
      </c>
      <c r="R14" s="480">
        <f t="shared" si="14"/>
        <v>0</v>
      </c>
      <c r="S14" s="481">
        <f t="shared" si="15"/>
        <v>0</v>
      </c>
      <c r="T14" s="473">
        <f>Hypothèses!$G$78</f>
        <v>0.03</v>
      </c>
      <c r="U14" s="474">
        <f t="shared" si="16"/>
        <v>27.149999999999995</v>
      </c>
      <c r="V14" s="509">
        <v>0</v>
      </c>
      <c r="W14" s="510">
        <v>0</v>
      </c>
      <c r="X14" s="511">
        <v>0</v>
      </c>
      <c r="Y14" s="478">
        <v>0</v>
      </c>
      <c r="Z14" s="479">
        <f t="shared" si="1"/>
        <v>27.149999999999995</v>
      </c>
      <c r="AA14" s="480">
        <f t="shared" si="17"/>
        <v>0</v>
      </c>
      <c r="AB14" s="481">
        <f t="shared" si="18"/>
        <v>0</v>
      </c>
      <c r="AC14" s="473">
        <f>Hypothèses!$G$79</f>
        <v>0.24</v>
      </c>
      <c r="AD14" s="474">
        <f t="shared" si="19"/>
        <v>217.19999999999996</v>
      </c>
      <c r="AE14" s="509">
        <v>0</v>
      </c>
      <c r="AF14" s="510">
        <v>0</v>
      </c>
      <c r="AG14" s="511">
        <v>0</v>
      </c>
      <c r="AH14" s="478">
        <v>0</v>
      </c>
      <c r="AI14" s="479">
        <f t="shared" si="2"/>
        <v>217.19999999999996</v>
      </c>
      <c r="AJ14" s="480">
        <f t="shared" si="20"/>
        <v>0</v>
      </c>
      <c r="AK14" s="481">
        <f t="shared" si="21"/>
        <v>0</v>
      </c>
      <c r="AL14" s="473">
        <f>Hypothèses!$G$80</f>
        <v>0.42</v>
      </c>
      <c r="AM14" s="474">
        <f t="shared" si="22"/>
        <v>380.09999999999997</v>
      </c>
      <c r="AN14" s="509">
        <v>0</v>
      </c>
      <c r="AO14" s="510">
        <v>0</v>
      </c>
      <c r="AP14" s="511">
        <v>0</v>
      </c>
      <c r="AQ14" s="478"/>
      <c r="AR14" s="479">
        <f t="shared" si="3"/>
        <v>380.09999999999997</v>
      </c>
      <c r="AS14" s="480">
        <f t="shared" si="4"/>
        <v>0</v>
      </c>
      <c r="AT14" s="481">
        <f t="shared" si="5"/>
        <v>0</v>
      </c>
      <c r="AU14" s="478">
        <f>Hypothèses!$G$81</f>
        <v>0.3</v>
      </c>
      <c r="AV14" s="474">
        <f t="shared" si="23"/>
        <v>271.49999999999994</v>
      </c>
      <c r="AW14" s="509">
        <v>0</v>
      </c>
      <c r="AX14" s="510">
        <v>0</v>
      </c>
      <c r="AY14" s="511">
        <v>0</v>
      </c>
      <c r="AZ14" s="478">
        <v>0</v>
      </c>
      <c r="BA14" s="479">
        <f t="shared" si="6"/>
        <v>271.49999999999994</v>
      </c>
      <c r="BB14" s="480">
        <f t="shared" si="24"/>
        <v>0</v>
      </c>
      <c r="BC14" s="480">
        <f t="shared" si="25"/>
        <v>0</v>
      </c>
      <c r="BD14" s="508">
        <f t="shared" si="7"/>
        <v>904.99999999999977</v>
      </c>
      <c r="BE14" s="472">
        <f>BD14*(Hypothèses!$D$23/Hypothèses!$B$23)</f>
        <v>1077.3809523809521</v>
      </c>
      <c r="BF14" s="512">
        <f t="shared" si="8"/>
        <v>0</v>
      </c>
      <c r="BG14" s="472">
        <f>BD14/Hypothèses!$B$23</f>
        <v>287.30158730158723</v>
      </c>
      <c r="BH14" s="512">
        <f t="shared" si="9"/>
        <v>0</v>
      </c>
      <c r="BI14" s="512">
        <f t="shared" si="9"/>
        <v>0</v>
      </c>
      <c r="BJ14" s="472">
        <f t="shared" si="26"/>
        <v>0</v>
      </c>
      <c r="BK14" s="485"/>
      <c r="BL14" s="486"/>
      <c r="BM14" s="487"/>
      <c r="BN14" s="488"/>
      <c r="BO14" s="489"/>
      <c r="BP14" s="513"/>
      <c r="BQ14" s="499"/>
      <c r="BR14" s="492"/>
      <c r="BS14" s="486"/>
      <c r="BT14" s="514"/>
      <c r="BU14" s="515"/>
      <c r="BV14" s="514"/>
      <c r="BW14" s="496"/>
      <c r="BX14" s="497"/>
      <c r="BY14" s="498"/>
      <c r="BZ14" s="499"/>
      <c r="CA14" s="500">
        <f t="shared" si="10"/>
        <v>287.30158730158723</v>
      </c>
      <c r="CB14" s="501"/>
      <c r="CC14" s="498"/>
      <c r="CD14" s="498"/>
      <c r="CE14" s="502"/>
      <c r="CF14" s="503">
        <f>(CA14+BU14*BO14)*Hypothèses!$D$23+CE14</f>
        <v>1077.3809523809521</v>
      </c>
      <c r="CG14" s="504">
        <f t="shared" si="11"/>
        <v>0</v>
      </c>
      <c r="CH14" s="503">
        <f>(CA14+BU14*BO14)*Hypothèses!$B$23</f>
        <v>904.99999999999977</v>
      </c>
      <c r="CI14" s="503"/>
      <c r="CJ14" s="503"/>
      <c r="CK14" s="503"/>
      <c r="CL14" s="507">
        <f t="shared" si="12"/>
        <v>2.110429694721712E-16</v>
      </c>
    </row>
    <row r="15" spans="1:90" ht="14.25" customHeight="1">
      <c r="A15" s="331"/>
      <c r="B15" s="471">
        <v>2019</v>
      </c>
      <c r="C15" s="654">
        <f>Trajectoires!AA11</f>
        <v>1088.0952380952381</v>
      </c>
      <c r="D15" s="658">
        <f>C15/Hypothèses!$D$23</f>
        <v>290.15873015873018</v>
      </c>
      <c r="E15" s="658">
        <f>D15*Hypothèses!$B$23</f>
        <v>914</v>
      </c>
      <c r="F15" s="658">
        <f>D15*Hypothèses!$B$5</f>
        <v>403.32063492063492</v>
      </c>
      <c r="G15" s="658">
        <f>D15*Hypothèses!$B$6</f>
        <v>9.2850793650793655</v>
      </c>
      <c r="H15" s="472"/>
      <c r="I15" s="472"/>
      <c r="J15" s="472"/>
      <c r="K15" s="473">
        <f>Hypothèses!$G$77</f>
        <v>0.01</v>
      </c>
      <c r="L15" s="474">
        <f t="shared" si="13"/>
        <v>9.14</v>
      </c>
      <c r="M15" s="509">
        <v>0</v>
      </c>
      <c r="N15" s="510">
        <v>0</v>
      </c>
      <c r="O15" s="511">
        <v>0</v>
      </c>
      <c r="P15" s="478">
        <v>0</v>
      </c>
      <c r="Q15" s="479">
        <f>(1-P15)*L15</f>
        <v>9.14</v>
      </c>
      <c r="R15" s="480">
        <f t="shared" si="14"/>
        <v>0</v>
      </c>
      <c r="S15" s="481">
        <f t="shared" si="15"/>
        <v>0</v>
      </c>
      <c r="T15" s="473">
        <f>Hypothèses!$G$78</f>
        <v>0.03</v>
      </c>
      <c r="U15" s="474">
        <f t="shared" si="16"/>
        <v>27.419999999999998</v>
      </c>
      <c r="V15" s="509">
        <v>0</v>
      </c>
      <c r="W15" s="510">
        <v>0</v>
      </c>
      <c r="X15" s="511">
        <v>0</v>
      </c>
      <c r="Y15" s="478">
        <v>0</v>
      </c>
      <c r="Z15" s="479">
        <f>(1-Y15)*U15</f>
        <v>27.419999999999998</v>
      </c>
      <c r="AA15" s="480">
        <f t="shared" si="17"/>
        <v>0</v>
      </c>
      <c r="AB15" s="481">
        <f t="shared" si="18"/>
        <v>0</v>
      </c>
      <c r="AC15" s="473">
        <f>Hypothèses!$G$79</f>
        <v>0.24</v>
      </c>
      <c r="AD15" s="474">
        <f t="shared" si="19"/>
        <v>219.35999999999999</v>
      </c>
      <c r="AE15" s="509">
        <v>0</v>
      </c>
      <c r="AF15" s="510">
        <v>0</v>
      </c>
      <c r="AG15" s="511">
        <v>0</v>
      </c>
      <c r="AH15" s="478">
        <v>0</v>
      </c>
      <c r="AI15" s="479">
        <f>(1-AH15)*AD15</f>
        <v>219.35999999999999</v>
      </c>
      <c r="AJ15" s="480">
        <f t="shared" si="20"/>
        <v>0</v>
      </c>
      <c r="AK15" s="481">
        <f t="shared" si="21"/>
        <v>0</v>
      </c>
      <c r="AL15" s="473">
        <f>Hypothèses!$G$80</f>
        <v>0.42</v>
      </c>
      <c r="AM15" s="474">
        <f t="shared" si="22"/>
        <v>383.88</v>
      </c>
      <c r="AN15" s="509">
        <v>0</v>
      </c>
      <c r="AO15" s="510">
        <v>0</v>
      </c>
      <c r="AP15" s="511">
        <v>0</v>
      </c>
      <c r="AQ15" s="478"/>
      <c r="AR15" s="479">
        <f t="shared" si="3"/>
        <v>383.88</v>
      </c>
      <c r="AS15" s="480">
        <f t="shared" si="4"/>
        <v>0</v>
      </c>
      <c r="AT15" s="481">
        <f t="shared" si="5"/>
        <v>0</v>
      </c>
      <c r="AU15" s="478">
        <f>Hypothèses!$G$81</f>
        <v>0.3</v>
      </c>
      <c r="AV15" s="474">
        <f t="shared" si="23"/>
        <v>274.2</v>
      </c>
      <c r="AW15" s="509">
        <v>0</v>
      </c>
      <c r="AX15" s="510">
        <v>0</v>
      </c>
      <c r="AY15" s="511">
        <v>0</v>
      </c>
      <c r="AZ15" s="478">
        <v>0</v>
      </c>
      <c r="BA15" s="479">
        <f>(1-AZ15)*AV15</f>
        <v>274.2</v>
      </c>
      <c r="BB15" s="480">
        <f t="shared" si="24"/>
        <v>0</v>
      </c>
      <c r="BC15" s="480">
        <f t="shared" si="25"/>
        <v>0</v>
      </c>
      <c r="BD15" s="508">
        <f t="shared" si="7"/>
        <v>914</v>
      </c>
      <c r="BE15" s="472">
        <f>BD15*(Hypothèses!$D$23/Hypothèses!$B$23)</f>
        <v>1088.0952380952381</v>
      </c>
      <c r="BF15" s="512">
        <f t="shared" si="8"/>
        <v>0</v>
      </c>
      <c r="BG15" s="472">
        <f>BD15/Hypothèses!$B$23</f>
        <v>290.15873015873018</v>
      </c>
      <c r="BH15" s="512">
        <f t="shared" si="9"/>
        <v>0</v>
      </c>
      <c r="BI15" s="512">
        <f t="shared" si="9"/>
        <v>0</v>
      </c>
      <c r="BJ15" s="472">
        <f t="shared" si="26"/>
        <v>0</v>
      </c>
      <c r="BK15" s="485"/>
      <c r="BL15" s="486"/>
      <c r="BM15" s="487"/>
      <c r="BN15" s="488"/>
      <c r="BO15" s="489"/>
      <c r="BP15" s="513"/>
      <c r="BQ15" s="499"/>
      <c r="BR15" s="492"/>
      <c r="BS15" s="486"/>
      <c r="BT15" s="514"/>
      <c r="BU15" s="515"/>
      <c r="BV15" s="514"/>
      <c r="BW15" s="496"/>
      <c r="BX15" s="497"/>
      <c r="BY15" s="498"/>
      <c r="BZ15" s="499"/>
      <c r="CA15" s="500">
        <f t="shared" si="10"/>
        <v>290.15873015873018</v>
      </c>
      <c r="CB15" s="501"/>
      <c r="CC15" s="498"/>
      <c r="CD15" s="498"/>
      <c r="CE15" s="502"/>
      <c r="CF15" s="503">
        <f>(CA15+BU15*BO15)*Hypothèses!$D$23+CE15</f>
        <v>1088.0952380952381</v>
      </c>
      <c r="CG15" s="504">
        <f t="shared" si="11"/>
        <v>0</v>
      </c>
      <c r="CH15" s="503">
        <f>(CA15+BU15*BO15)*Hypothèses!$B$23</f>
        <v>914</v>
      </c>
      <c r="CI15" s="503"/>
      <c r="CJ15" s="503"/>
      <c r="CK15" s="503"/>
      <c r="CL15" s="507">
        <f t="shared" si="12"/>
        <v>0</v>
      </c>
    </row>
    <row r="16" spans="1:90" ht="14.25" customHeight="1">
      <c r="A16" s="331"/>
      <c r="B16" s="516">
        <v>2020</v>
      </c>
      <c r="C16" s="655">
        <f>Trajectoires!AA12</f>
        <v>368.10261904761899</v>
      </c>
      <c r="D16" s="659">
        <f>C16/Hypothèses!$D$23</f>
        <v>98.160698412698395</v>
      </c>
      <c r="E16" s="659">
        <f>D16*Hypothèses!$B$23</f>
        <v>309.20619999999991</v>
      </c>
      <c r="F16" s="659">
        <f>D16*Hypothèses!$B$5</f>
        <v>136.44337079365076</v>
      </c>
      <c r="G16" s="659">
        <f>D16*Hypothèses!$B$6</f>
        <v>3.1411423492063486</v>
      </c>
      <c r="H16" s="519">
        <f>IF($B16&gt;=$E$2,1/$D$2,1/25)</f>
        <v>0.04</v>
      </c>
      <c r="I16" s="520">
        <f>IF(J16&gt;=1,ROUND(COUNTIFS($B$16:$B16,"&gt;"&amp;MAX($B16-$D$2,2019),H$16:H16,1/25)*(1/$D$2-1/25)*25,0),0)</f>
        <v>0</v>
      </c>
      <c r="J16" s="521">
        <f>H16</f>
        <v>0.04</v>
      </c>
      <c r="K16" s="522">
        <f>Hypothèses!$G$77</f>
        <v>0.01</v>
      </c>
      <c r="L16" s="523">
        <f t="shared" si="13"/>
        <v>3.092061999999999</v>
      </c>
      <c r="M16" s="524">
        <f t="array" ref="M16">1-SUM(IF((Roadmap_Avion!$B$8:$B$38=$B16)*(Roadmap_Avion!$C$4:$Z$4=$B$2)*(Roadmap_Avion!$C$6:$Z$6=M$7)*(Roadmap_Avion!$C$7:$Z$7=M$9),Roadmap_Avion!$C$8:$Z$38,0))</f>
        <v>0</v>
      </c>
      <c r="N16" s="525">
        <f t="array" ref="N16">SUM(IF((Roadmap_Avion!$B$8:$B$38=$B16)*(Roadmap_Avion!$C$4:$Z$4=$B$2)*(Roadmap_Avion!$C$6:$Z$6=N$7)*(Roadmap_Avion!$C$7:$Z$7=N$9),Roadmap_Avion!$C$8:$Z$38,0))</f>
        <v>0.5</v>
      </c>
      <c r="O16" s="526">
        <f t="array" ref="O16">SUM(IF((Roadmap_Avion!$B$8:$B$38=$B16)*(Roadmap_Avion!$C$4:$Z$4=$B$2)*(Roadmap_Avion!$C$6:$Z$6=O$7)*(Roadmap_Avion!$C$7:$Z$7=O$9),Roadmap_Avion!$C$8:$Z$38,0))</f>
        <v>0</v>
      </c>
      <c r="P16" s="527">
        <f t="array" ref="P16">IF($J16&lt;1,P15+$H16*M16,SUMPRODUCT(($B$16:$B$46&lt;=$B16)*($B$16:$B$46&gt;MAX($B16-$D$2-$I16,2019))*$H$16:$H$46*M$16:M$46))</f>
        <v>0</v>
      </c>
      <c r="Q16" s="528">
        <f>(1-P16)*L16</f>
        <v>3.092061999999999</v>
      </c>
      <c r="R16" s="529">
        <f t="shared" si="14"/>
        <v>2.0000000000000001E-4</v>
      </c>
      <c r="S16" s="530">
        <f t="shared" si="15"/>
        <v>0</v>
      </c>
      <c r="T16" s="522">
        <f>Hypothèses!$G$78</f>
        <v>0.03</v>
      </c>
      <c r="U16" s="523">
        <f t="shared" si="16"/>
        <v>9.2761859999999974</v>
      </c>
      <c r="V16" s="524">
        <f t="array" ref="V16">1-SUM(IF((Roadmap_Avion!$B$8:$B$38=$B16)*(Roadmap_Avion!$C$4:$Z$4=$B$2)*(Roadmap_Avion!$C$6:$Z$6=V$7)*(Roadmap_Avion!$C$7:$Z$7=V$9),Roadmap_Avion!$C$8:$Z$38,0))</f>
        <v>0</v>
      </c>
      <c r="W16" s="525">
        <f t="array" ref="W16">SUM(IF((Roadmap_Avion!$B$8:$B$38=$B16)*(Roadmap_Avion!$C$4:$Z$4=$B$2)*(Roadmap_Avion!$C$6:$Z$6=W$7)*(Roadmap_Avion!$C$7:$Z$7=W$9),Roadmap_Avion!$C$8:$Z$38,0))</f>
        <v>0.5</v>
      </c>
      <c r="X16" s="526">
        <f t="array" ref="X16">SUM(IF((Roadmap_Avion!$B$8:$B$38=$B16)*(Roadmap_Avion!$C$4:$Z$4=$B$2)*(Roadmap_Avion!$C$6:$Z$6=X$7)*(Roadmap_Avion!$C$7:$Z$7=X$9),Roadmap_Avion!$C$8:$Z$38,0))</f>
        <v>0</v>
      </c>
      <c r="Y16" s="527">
        <f t="array" ref="Y16">IF($J16&lt;1,Y15+$H16*V16,SUMPRODUCT(($B$16:$B$46&lt;=$B16)*($B$16:$B$46&gt;MAX($B16-$D$2-$I16,2019))*$H$16:$H$46*V$16:V$46))</f>
        <v>0</v>
      </c>
      <c r="Z16" s="528">
        <f>(1-Y16)*U16</f>
        <v>9.2761859999999974</v>
      </c>
      <c r="AA16" s="529">
        <f t="shared" si="17"/>
        <v>5.9999999999999995E-4</v>
      </c>
      <c r="AB16" s="530">
        <f t="shared" si="18"/>
        <v>0</v>
      </c>
      <c r="AC16" s="522">
        <f>Hypothèses!$G$79</f>
        <v>0.24</v>
      </c>
      <c r="AD16" s="523">
        <f t="shared" si="19"/>
        <v>74.209487999999979</v>
      </c>
      <c r="AE16" s="524">
        <f t="array" ref="AE16">1-SUM(IF((Roadmap_Avion!$B$8:$B$38=$B16)*(Roadmap_Avion!$C$4:$Z$4=$B$2)*(Roadmap_Avion!$C$6:$Z$6=AE$7)*(Roadmap_Avion!$C$7:$Z$7=AE$9),Roadmap_Avion!$C$8:$Z$38,0))</f>
        <v>0.19999999999999996</v>
      </c>
      <c r="AF16" s="525">
        <f t="array" ref="AF16">SUM(IF((Roadmap_Avion!$B$8:$B$38=$B16)*(Roadmap_Avion!$C$4:$Z$4=$B$2)*(Roadmap_Avion!$C$6:$Z$6=AF$7)*(Roadmap_Avion!$C$7:$Z$7=AF$9),Roadmap_Avion!$C$8:$Z$38,0))</f>
        <v>0.5</v>
      </c>
      <c r="AG16" s="526">
        <f t="array" ref="AG16">SUM(IF((Roadmap_Avion!$B$8:$B$38=$B16)*(Roadmap_Avion!$C$4:$Z$4=$B$2)*(Roadmap_Avion!$C$6:$Z$6=AG$7)*(Roadmap_Avion!$C$7:$Z$7=AG$9),Roadmap_Avion!$C$8:$Z$38,0))</f>
        <v>0</v>
      </c>
      <c r="AH16" s="527">
        <f t="array" ref="AH16">IF($J16&lt;1,AH15+$H16*AE16,SUMPRODUCT(($B$16:$B$46&lt;=$B16)*($B$16:$B$46&gt;MAX($B16-$D$2-$I16,2019))*$H$16:$H$46*AE$16:AE$46))</f>
        <v>7.9999999999999984E-3</v>
      </c>
      <c r="AI16" s="528">
        <f>(1-AH16)*AD16</f>
        <v>73.615812095999985</v>
      </c>
      <c r="AJ16" s="529">
        <f t="shared" si="20"/>
        <v>4.7999999999999996E-3</v>
      </c>
      <c r="AK16" s="530">
        <f t="shared" si="21"/>
        <v>0</v>
      </c>
      <c r="AL16" s="522">
        <f>Hypothèses!$G$80</f>
        <v>0.42</v>
      </c>
      <c r="AM16" s="523">
        <f t="shared" si="22"/>
        <v>129.86660399999997</v>
      </c>
      <c r="AN16" s="524">
        <f t="array" ref="AN16">1-SUM(IF((Roadmap_Avion!$B$8:$B$38=$B16)*(Roadmap_Avion!$C$4:$Z$4=$B$2)*(Roadmap_Avion!$C$6:$Z$6=AN$7)*(Roadmap_Avion!$C$7:$Z$7=AN$9),Roadmap_Avion!$C$8:$Z$38,0))</f>
        <v>0.19999999999999996</v>
      </c>
      <c r="AO16" s="525">
        <f t="array" ref="AO16">SUM(IF((Roadmap_Avion!$B$8:$B$38=$B16)*(Roadmap_Avion!$C$4:$Z$4=$B$2)*(Roadmap_Avion!$C$6:$Z$6=AO$7)*(Roadmap_Avion!$C$7:$Z$7=AO$9),Roadmap_Avion!$C$8:$Z$38,0))</f>
        <v>0.5</v>
      </c>
      <c r="AP16" s="526">
        <f t="array" ref="AP16">SUM(IF((Roadmap_Avion!$B$8:$B$38=$B16)*(Roadmap_Avion!$C$4:$Z$4=$B$2)*(Roadmap_Avion!$C$6:$Z$6=AP$7)*(Roadmap_Avion!$C$7:$Z$7=AP$9),Roadmap_Avion!$C$8:$Z$38,0))</f>
        <v>0</v>
      </c>
      <c r="AQ16" s="527">
        <f t="array" ref="AQ16">IF($J16&lt;1,AQ15+$H16*AN16,SUMPRODUCT(($B$16:$B$46&lt;=$B16)*($B$16:$B$46&gt;MAX($B16-$D$2-$I16,2019))*$H$16:$H$46*AN$16:AN$46))</f>
        <v>7.9999999999999984E-3</v>
      </c>
      <c r="AR16" s="528">
        <f>(1-AQ16)*AM16</f>
        <v>128.82767116799997</v>
      </c>
      <c r="AS16" s="529">
        <f t="shared" si="4"/>
        <v>8.3999999999999995E-3</v>
      </c>
      <c r="AT16" s="530">
        <f t="shared" si="5"/>
        <v>0</v>
      </c>
      <c r="AU16" s="531">
        <f>Hypothèses!$G$81</f>
        <v>0.3</v>
      </c>
      <c r="AV16" s="523">
        <f t="shared" si="23"/>
        <v>92.76185999999997</v>
      </c>
      <c r="AW16" s="524">
        <f t="array" ref="AW16">1-SUM(IF((Roadmap_Avion!$B$8:$B$38=$B16)*(Roadmap_Avion!$C$4:$Z$4=$B$2)*(Roadmap_Avion!$C$6:$Z$6=AW$7)*(Roadmap_Avion!$C$7:$Z$7=AW$9),Roadmap_Avion!$C$8:$Z$38,0))</f>
        <v>0.25</v>
      </c>
      <c r="AX16" s="525">
        <f t="array" ref="AX16">SUM(IF((Roadmap_Avion!$B$8:$B$38=$B16)*(Roadmap_Avion!$C$4:$Z$4=$B$2)*(Roadmap_Avion!$C$6:$Z$6=AX$7)*(Roadmap_Avion!$C$7:$Z$7=AX$9),Roadmap_Avion!$C$8:$Z$38,0))</f>
        <v>0.5</v>
      </c>
      <c r="AY16" s="526">
        <f t="array" ref="AY16">SUM(IF((Roadmap_Avion!$B$8:$B$38=$B16)*(Roadmap_Avion!$C$4:$Z$4=$B$2)*(Roadmap_Avion!$C$6:$Z$6=AY$7)*(Roadmap_Avion!$C$7:$Z$7=AY$9),Roadmap_Avion!$C$8:$Z$38,0))</f>
        <v>0</v>
      </c>
      <c r="AZ16" s="527">
        <f t="array" ref="AZ16">IF($J16&lt;1,AZ15+$H16*AW16,SUMPRODUCT(($B$16:$B$46&lt;=$B16)*($B$16:$B$46&gt;MAX($B16-$D$2-$I16,2019))*$H$16:$H$46*AW$16:AW$46))</f>
        <v>0.01</v>
      </c>
      <c r="BA16" s="528">
        <f>(1-AZ16)*AV16</f>
        <v>91.834241399999968</v>
      </c>
      <c r="BB16" s="529">
        <f t="shared" si="24"/>
        <v>6.0000000000000001E-3</v>
      </c>
      <c r="BC16" s="529">
        <f t="shared" si="25"/>
        <v>0</v>
      </c>
      <c r="BD16" s="517">
        <f t="shared" si="7"/>
        <v>306.64597266399994</v>
      </c>
      <c r="BE16" s="518">
        <f>BD16*(Hypothèses!$D$23/Hypothèses!$B$23)</f>
        <v>365.05472936190466</v>
      </c>
      <c r="BF16" s="532">
        <f t="shared" si="8"/>
        <v>8.2800000000000651E-3</v>
      </c>
      <c r="BG16" s="518">
        <f>BD16/Hypothèses!$B$23</f>
        <v>97.347927829841254</v>
      </c>
      <c r="BH16" s="532">
        <f t="shared" si="9"/>
        <v>1.9999999999999997E-2</v>
      </c>
      <c r="BI16" s="532">
        <f t="shared" si="9"/>
        <v>0</v>
      </c>
      <c r="BJ16" s="518">
        <f t="shared" si="26"/>
        <v>1.9469585565968248</v>
      </c>
      <c r="BK16" s="533">
        <f>BM16+BP16</f>
        <v>0</v>
      </c>
      <c r="BL16" s="534">
        <f>BK16/BJ16</f>
        <v>0</v>
      </c>
      <c r="BM16" s="535">
        <f t="array" ref="BM16">SUM(IF((Prod_Carburant_Alt!$A$7:$A$37=$B16)*(Prod_Carburant_Alt!$B$3:$AI$3=$C$2)*(Prod_Carburant_Alt!$B$5:$AI$5=BM$7)*(Prod_Carburant_Alt!$B$6:$AI$6=BM$9),Prod_Carburant_Alt!$B$7:$AI$37,0))</f>
        <v>0</v>
      </c>
      <c r="BN16" s="534">
        <f t="shared" ref="BN16:BN46" si="27">BL16/BF16</f>
        <v>0</v>
      </c>
      <c r="BO16" s="536">
        <f t="array" ref="BO16">SUM(IF((Prod_Carburant_Alt!$A$7:$A$37=$B16)*(Prod_Carburant_Alt!$B$3:$AI$3=$C$2)*(Prod_Carburant_Alt!$B$5:$AI$5=BO$7)*(Prod_Carburant_Alt!$B$6:$AI$6=BO$9),Prod_Carburant_Alt!$B$7:$AI$37,0))</f>
        <v>0</v>
      </c>
      <c r="BP16" s="535">
        <f t="array" ref="BP16">SUM(IF((Prod_Carburant_Alt!$A$7:$A$37=$B16)*(Prod_Carburant_Alt!$B$3:$AI$3=$C$2)*(Prod_Carburant_Alt!$B$5:$AI$5=BP$7)*(Prod_Carburant_Alt!$B$6:$AI$6=BP$9),Prod_Carburant_Alt!$B$7:$AI$37,0))</f>
        <v>0</v>
      </c>
      <c r="BQ16" s="536">
        <f>BP16/BJ16</f>
        <v>0</v>
      </c>
      <c r="BR16" s="537">
        <f>BG16-BK16</f>
        <v>97.347927829841254</v>
      </c>
      <c r="BS16" s="538">
        <f>MIN(BJ16,BK16)</f>
        <v>0</v>
      </c>
      <c r="BT16" s="539">
        <f>IF(BK16&gt;0,BS16/BK16,0)</f>
        <v>0</v>
      </c>
      <c r="BU16" s="535">
        <f t="shared" ref="BU16:BU46" si="28">IF(BM16&gt;0,(BM16/BK16)*BS16,0)</f>
        <v>0</v>
      </c>
      <c r="BV16" s="539">
        <f>IF(BM16&gt;0,BU16/BM16,0)</f>
        <v>0</v>
      </c>
      <c r="BW16" s="535">
        <f t="shared" ref="BW16:BW46" si="29">IF(BP16&gt;0,(BP16/BK16)*BS16,0)</f>
        <v>0</v>
      </c>
      <c r="BX16" s="539">
        <f>IF(BP16&gt;0,BW16/BP16,0)</f>
        <v>0</v>
      </c>
      <c r="BY16" s="538">
        <f>BI16*BG16</f>
        <v>0</v>
      </c>
      <c r="BZ16" s="540">
        <f>BY16*Hypothèses!$B$3/Hypothèses!$B$9</f>
        <v>0</v>
      </c>
      <c r="CA16" s="538">
        <f>BG16-BS16-BY16</f>
        <v>97.347927829841254</v>
      </c>
      <c r="CB16" s="533">
        <f>BW16*Prod_Carburant_Alt!$R$61+BZ16*Hypothèses!$B$13</f>
        <v>0</v>
      </c>
      <c r="CC16" s="538">
        <f>CB16*$H$2/$J$2</f>
        <v>0</v>
      </c>
      <c r="CD16" s="541">
        <f>CC16/$H$2</f>
        <v>0</v>
      </c>
      <c r="CE16" s="537">
        <f>$G$2*CB16/1000</f>
        <v>0</v>
      </c>
      <c r="CF16" s="503">
        <f>(CA16+BU16*BO16)*Hypothèses!$D$23+CE16</f>
        <v>365.05472936190472</v>
      </c>
      <c r="CG16" s="504">
        <f t="shared" si="11"/>
        <v>-1.5571204613666324E-16</v>
      </c>
      <c r="CH16" s="503">
        <f>(CA16+BU16*BO16)*Hypothèses!$B$23</f>
        <v>306.64597266399994</v>
      </c>
      <c r="CI16" s="503">
        <f>MAX(0,CH16-CH$15)</f>
        <v>0</v>
      </c>
      <c r="CJ16" s="503">
        <f>(BU16+BW16+CA16)*Hypothèses!$B$6+BZ16*Hypothèses!$B$11</f>
        <v>3.1151336905549201</v>
      </c>
      <c r="CK16" s="503">
        <f>(BU16+BW16+CA16)*Hypothèses!$B$5+BZ16*Hypothèses!$B$10</f>
        <v>135.31361968347935</v>
      </c>
      <c r="CL16" s="542">
        <f t="shared" si="12"/>
        <v>8.2799999999999506E-3</v>
      </c>
    </row>
    <row r="17" spans="1:90" ht="14.25" customHeight="1">
      <c r="A17" s="331"/>
      <c r="B17" s="516">
        <v>2021</v>
      </c>
      <c r="C17" s="655">
        <f>Trajectoires!AA13</f>
        <v>818.68285714285707</v>
      </c>
      <c r="D17" s="659">
        <f>C17/Hypothèses!$D$23</f>
        <v>218.31542857142855</v>
      </c>
      <c r="E17" s="659">
        <f>D17*Hypothèses!$B$23</f>
        <v>687.69359999999995</v>
      </c>
      <c r="F17" s="659">
        <f>D17*Hypothèses!$B$5</f>
        <v>303.45844571428569</v>
      </c>
      <c r="G17" s="659">
        <f>D17*Hypothèses!$B$6</f>
        <v>6.9860937142857136</v>
      </c>
      <c r="H17" s="519">
        <f t="shared" ref="H17:H46" si="30">IF($B17&gt;=$E$2,1/$D$2,1/25)</f>
        <v>0.04</v>
      </c>
      <c r="I17" s="520">
        <f>IF(J17&gt;=1,ROUND(COUNTIFS($B$16:$B17,"&gt;"&amp;MAX($B17-$D$2,2019),H$16:H17,1/25)*(1/$D$2-1/25)*25,0),0)</f>
        <v>0</v>
      </c>
      <c r="J17" s="521">
        <f>J16+H17</f>
        <v>0.08</v>
      </c>
      <c r="K17" s="522">
        <f>Hypothèses!$G$77</f>
        <v>0.01</v>
      </c>
      <c r="L17" s="523">
        <f t="shared" si="13"/>
        <v>6.8769359999999997</v>
      </c>
      <c r="M17" s="524">
        <f t="array" ref="M17">1-SUM(IF((Roadmap_Avion!$B$8:$B$38=$B17)*(Roadmap_Avion!$C$4:$Z$4=$B$2)*(Roadmap_Avion!$C$6:$Z$6=M$7)*(Roadmap_Avion!$C$7:$Z$7=M$9),Roadmap_Avion!$C$8:$Z$38,0))</f>
        <v>0</v>
      </c>
      <c r="N17" s="525">
        <f t="array" ref="N17">SUM(IF((Roadmap_Avion!$B$8:$B$38=$B17)*(Roadmap_Avion!$C$4:$Z$4=$B$2)*(Roadmap_Avion!$C$6:$Z$6=N$7)*(Roadmap_Avion!$C$7:$Z$7=N$9),Roadmap_Avion!$C$8:$Z$38,0))</f>
        <v>0.5</v>
      </c>
      <c r="O17" s="526">
        <f t="array" ref="O17">SUM(IF((Roadmap_Avion!$B$8:$B$38=$B17)*(Roadmap_Avion!$C$4:$Z$4=$B$2)*(Roadmap_Avion!$C$6:$Z$6=O$7)*(Roadmap_Avion!$C$7:$Z$7=O$9),Roadmap_Avion!$C$8:$Z$38,0))</f>
        <v>0</v>
      </c>
      <c r="P17" s="527">
        <f t="array" ref="P17">IF($J17&lt;1,P16+$H17*M17,SUMPRODUCT(($B$16:$B$46&lt;=$B17)*($B$16:$B$46&gt;MAX($B17-$D$2-$I17,2019))*$H$16:$H$46*M$16:M$46))</f>
        <v>0</v>
      </c>
      <c r="Q17" s="528">
        <f t="shared" ref="Q17:Q46" si="31">(1-P17)*L17</f>
        <v>6.8769359999999997</v>
      </c>
      <c r="R17" s="529">
        <f t="shared" si="14"/>
        <v>4.0000000000000002E-4</v>
      </c>
      <c r="S17" s="530">
        <f t="shared" si="15"/>
        <v>0</v>
      </c>
      <c r="T17" s="522">
        <f>Hypothèses!$G$78</f>
        <v>0.03</v>
      </c>
      <c r="U17" s="523">
        <f t="shared" si="16"/>
        <v>20.630807999999998</v>
      </c>
      <c r="V17" s="524">
        <f t="array" ref="V17">1-SUM(IF((Roadmap_Avion!$B$8:$B$38=$B17)*(Roadmap_Avion!$C$4:$Z$4=$B$2)*(Roadmap_Avion!$C$6:$Z$6=V$7)*(Roadmap_Avion!$C$7:$Z$7=V$9),Roadmap_Avion!$C$8:$Z$38,0))</f>
        <v>0</v>
      </c>
      <c r="W17" s="525">
        <f t="array" ref="W17">SUM(IF((Roadmap_Avion!$B$8:$B$38=$B17)*(Roadmap_Avion!$C$4:$Z$4=$B$2)*(Roadmap_Avion!$C$6:$Z$6=W$7)*(Roadmap_Avion!$C$7:$Z$7=W$9),Roadmap_Avion!$C$8:$Z$38,0))</f>
        <v>0.5</v>
      </c>
      <c r="X17" s="526">
        <f t="array" ref="X17">SUM(IF((Roadmap_Avion!$B$8:$B$38=$B17)*(Roadmap_Avion!$C$4:$Z$4=$B$2)*(Roadmap_Avion!$C$6:$Z$6=X$7)*(Roadmap_Avion!$C$7:$Z$7=X$9),Roadmap_Avion!$C$8:$Z$38,0))</f>
        <v>0</v>
      </c>
      <c r="Y17" s="527">
        <f t="array" ref="Y17">IF($J17&lt;1,Y16+$H17*V17,SUMPRODUCT(($B$16:$B$46&lt;=$B17)*($B$16:$B$46&gt;MAX($B17-$D$2-$I17,2019))*$H$16:$H$46*V$16:V$46))</f>
        <v>0</v>
      </c>
      <c r="Z17" s="528">
        <f t="shared" ref="Z17:Z46" si="32">(1-Y17)*U17</f>
        <v>20.630807999999998</v>
      </c>
      <c r="AA17" s="529">
        <f t="shared" si="17"/>
        <v>1.1999999999999999E-3</v>
      </c>
      <c r="AB17" s="530">
        <f t="shared" si="18"/>
        <v>0</v>
      </c>
      <c r="AC17" s="522">
        <f>Hypothèses!$G$79</f>
        <v>0.24</v>
      </c>
      <c r="AD17" s="523">
        <f t="shared" si="19"/>
        <v>165.04646399999999</v>
      </c>
      <c r="AE17" s="524">
        <f t="array" ref="AE17">1-SUM(IF((Roadmap_Avion!$B$8:$B$38=$B17)*(Roadmap_Avion!$C$4:$Z$4=$B$2)*(Roadmap_Avion!$C$6:$Z$6=AE$7)*(Roadmap_Avion!$C$7:$Z$7=AE$9),Roadmap_Avion!$C$8:$Z$38,0))</f>
        <v>0.19999999999999996</v>
      </c>
      <c r="AF17" s="525">
        <f t="array" ref="AF17">SUM(IF((Roadmap_Avion!$B$8:$B$38=$B17)*(Roadmap_Avion!$C$4:$Z$4=$B$2)*(Roadmap_Avion!$C$6:$Z$6=AF$7)*(Roadmap_Avion!$C$7:$Z$7=AF$9),Roadmap_Avion!$C$8:$Z$38,0))</f>
        <v>0.5</v>
      </c>
      <c r="AG17" s="526">
        <f t="array" ref="AG17">SUM(IF((Roadmap_Avion!$B$8:$B$38=$B17)*(Roadmap_Avion!$C$4:$Z$4=$B$2)*(Roadmap_Avion!$C$6:$Z$6=AG$7)*(Roadmap_Avion!$C$7:$Z$7=AG$9),Roadmap_Avion!$C$8:$Z$38,0))</f>
        <v>0</v>
      </c>
      <c r="AH17" s="527">
        <f t="array" ref="AH17">IF($J17&lt;1,AH16+$H17*AE17,SUMPRODUCT(($B$16:$B$46&lt;=$B17)*($B$16:$B$46&gt;MAX($B17-$D$2-$I17,2019))*$H$16:$H$46*AE$16:AE$46))</f>
        <v>1.5999999999999997E-2</v>
      </c>
      <c r="AI17" s="528">
        <f t="shared" ref="AI17:AI46" si="33">(1-AH17)*AD17</f>
        <v>162.40572057599999</v>
      </c>
      <c r="AJ17" s="529">
        <f t="shared" si="20"/>
        <v>9.5999999999999992E-3</v>
      </c>
      <c r="AK17" s="530">
        <f t="shared" si="21"/>
        <v>0</v>
      </c>
      <c r="AL17" s="522">
        <f>Hypothèses!$G$80</f>
        <v>0.42</v>
      </c>
      <c r="AM17" s="523">
        <f t="shared" si="22"/>
        <v>288.83131199999997</v>
      </c>
      <c r="AN17" s="524">
        <f t="array" ref="AN17">1-SUM(IF((Roadmap_Avion!$B$8:$B$38=$B17)*(Roadmap_Avion!$C$4:$Z$4=$B$2)*(Roadmap_Avion!$C$6:$Z$6=AN$7)*(Roadmap_Avion!$C$7:$Z$7=AN$9),Roadmap_Avion!$C$8:$Z$38,0))</f>
        <v>0.19999999999999996</v>
      </c>
      <c r="AO17" s="525">
        <f t="array" ref="AO17">SUM(IF((Roadmap_Avion!$B$8:$B$38=$B17)*(Roadmap_Avion!$C$4:$Z$4=$B$2)*(Roadmap_Avion!$C$6:$Z$6=AO$7)*(Roadmap_Avion!$C$7:$Z$7=AO$9),Roadmap_Avion!$C$8:$Z$38,0))</f>
        <v>0.5</v>
      </c>
      <c r="AP17" s="526">
        <f t="array" ref="AP17">SUM(IF((Roadmap_Avion!$B$8:$B$38=$B17)*(Roadmap_Avion!$C$4:$Z$4=$B$2)*(Roadmap_Avion!$C$6:$Z$6=AP$7)*(Roadmap_Avion!$C$7:$Z$7=AP$9),Roadmap_Avion!$C$8:$Z$38,0))</f>
        <v>0</v>
      </c>
      <c r="AQ17" s="527">
        <f t="array" ref="AQ17">IF($J17&lt;1,AQ16+$H17*AN17,SUMPRODUCT(($B$16:$B$46&lt;=$B17)*($B$16:$B$46&gt;MAX($B17-$D$2-$I17,2019))*$H$16:$H$46*AN$16:AN$46))</f>
        <v>1.5999999999999997E-2</v>
      </c>
      <c r="AR17" s="528">
        <f t="shared" ref="AR17:AR46" si="34">(1-AQ17)*AM17</f>
        <v>284.21001100799998</v>
      </c>
      <c r="AS17" s="529">
        <f t="shared" si="4"/>
        <v>1.6799999999999999E-2</v>
      </c>
      <c r="AT17" s="530">
        <f t="shared" si="5"/>
        <v>0</v>
      </c>
      <c r="AU17" s="531">
        <f>Hypothèses!$G$81</f>
        <v>0.3</v>
      </c>
      <c r="AV17" s="523">
        <f t="shared" si="23"/>
        <v>206.30807999999999</v>
      </c>
      <c r="AW17" s="524">
        <f t="array" ref="AW17">1-SUM(IF((Roadmap_Avion!$B$8:$B$38=$B17)*(Roadmap_Avion!$C$4:$Z$4=$B$2)*(Roadmap_Avion!$C$6:$Z$6=AW$7)*(Roadmap_Avion!$C$7:$Z$7=AW$9),Roadmap_Avion!$C$8:$Z$38,0))</f>
        <v>0.25</v>
      </c>
      <c r="AX17" s="525">
        <f t="array" ref="AX17">SUM(IF((Roadmap_Avion!$B$8:$B$38=$B17)*(Roadmap_Avion!$C$4:$Z$4=$B$2)*(Roadmap_Avion!$C$6:$Z$6=AX$7)*(Roadmap_Avion!$C$7:$Z$7=AX$9),Roadmap_Avion!$C$8:$Z$38,0))</f>
        <v>0.5</v>
      </c>
      <c r="AY17" s="526">
        <f t="array" ref="AY17">SUM(IF((Roadmap_Avion!$B$8:$B$38=$B17)*(Roadmap_Avion!$C$4:$Z$4=$B$2)*(Roadmap_Avion!$C$6:$Z$6=AY$7)*(Roadmap_Avion!$C$7:$Z$7=AY$9),Roadmap_Avion!$C$8:$Z$38,0))</f>
        <v>0</v>
      </c>
      <c r="AZ17" s="527">
        <f t="array" ref="AZ17">IF($J17&lt;1,AZ16+$H17*AW17,SUMPRODUCT(($B$16:$B$46&lt;=$B17)*($B$16:$B$46&gt;MAX($B17-$D$2-$I17,2019))*$H$16:$H$46*AW$16:AW$46))</f>
        <v>0.02</v>
      </c>
      <c r="BA17" s="528">
        <f t="shared" ref="BA17:BA46" si="35">(1-AZ17)*AV17</f>
        <v>202.18191839999997</v>
      </c>
      <c r="BB17" s="529">
        <f t="shared" si="24"/>
        <v>1.2E-2</v>
      </c>
      <c r="BC17" s="529">
        <f t="shared" si="25"/>
        <v>0</v>
      </c>
      <c r="BD17" s="517">
        <f t="shared" si="7"/>
        <v>676.30539398399992</v>
      </c>
      <c r="BE17" s="518">
        <f>BD17*(Hypothèses!$D$23/Hypothèses!$B$23)</f>
        <v>805.12546902857127</v>
      </c>
      <c r="BF17" s="532">
        <f t="shared" si="8"/>
        <v>1.656000000000013E-2</v>
      </c>
      <c r="BG17" s="518">
        <f>BD17/Hypothèses!$B$23</f>
        <v>214.70012507428569</v>
      </c>
      <c r="BH17" s="532">
        <f t="shared" si="9"/>
        <v>3.9999999999999994E-2</v>
      </c>
      <c r="BI17" s="532">
        <f t="shared" si="9"/>
        <v>0</v>
      </c>
      <c r="BJ17" s="518">
        <f t="shared" si="26"/>
        <v>8.5880050029714265</v>
      </c>
      <c r="BK17" s="533">
        <f t="shared" ref="BK17:BK46" si="36">BM17+BP17</f>
        <v>2.0501851548918237</v>
      </c>
      <c r="BL17" s="534">
        <f t="shared" ref="BL17:BL46" si="37">BK17/BJ17</f>
        <v>0.23872659065550908</v>
      </c>
      <c r="BM17" s="535">
        <f t="array" ref="BM17">SUM(IF((Prod_Carburant_Alt!$A$7:$A$37=$B17)*(Prod_Carburant_Alt!$B$3:$AI$3=$C$2)*(Prod_Carburant_Alt!$B$5:$AI$5=BM$7)*(Prod_Carburant_Alt!$B$6:$AI$6=BM$9),Prod_Carburant_Alt!$B$7:$AI$37,0))</f>
        <v>2.0501851548918237</v>
      </c>
      <c r="BN17" s="534">
        <f t="shared" si="27"/>
        <v>14.415856923641739</v>
      </c>
      <c r="BO17" s="536">
        <f t="array" ref="BO17">SUM(IF((Prod_Carburant_Alt!$A$7:$A$37=$B17)*(Prod_Carburant_Alt!$B$3:$AI$3=$C$2)*(Prod_Carburant_Alt!$B$5:$AI$5=BO$7)*(Prod_Carburant_Alt!$B$6:$AI$6=BO$9),Prod_Carburant_Alt!$B$7:$AI$37,0))</f>
        <v>0.20438251753392206</v>
      </c>
      <c r="BP17" s="543">
        <f t="array" ref="BP17">SUM(IF((Prod_Carburant_Alt!$A$7:$A$37=$B17)*(Prod_Carburant_Alt!$B$3:$AI$3=$C$2)*(Prod_Carburant_Alt!$B$5:$AI$5=BP$7)*(Prod_Carburant_Alt!$B$6:$AI$6=BP$9),Prod_Carburant_Alt!$B$7:$AI$37,0))</f>
        <v>0</v>
      </c>
      <c r="BQ17" s="536">
        <f t="shared" ref="BQ17:BQ46" si="38">BP17/BJ17</f>
        <v>0</v>
      </c>
      <c r="BR17" s="537">
        <f t="shared" ref="BR17:BR46" si="39">BG17-BK17</f>
        <v>212.64993991939386</v>
      </c>
      <c r="BS17" s="538">
        <f t="shared" ref="BS17:BS46" si="40">MIN(BJ17,BK17)</f>
        <v>2.0501851548918237</v>
      </c>
      <c r="BT17" s="539">
        <f t="shared" ref="BT17:BT46" si="41">IF(BK17&gt;0,BS17/BK17,0)</f>
        <v>1</v>
      </c>
      <c r="BU17" s="535">
        <f t="shared" si="28"/>
        <v>2.0501851548918237</v>
      </c>
      <c r="BV17" s="539">
        <f t="shared" ref="BV17:BV46" si="42">IF(BM17&gt;0,BU17/BM17,0)</f>
        <v>1</v>
      </c>
      <c r="BW17" s="535">
        <f t="shared" si="29"/>
        <v>0</v>
      </c>
      <c r="BX17" s="539">
        <f t="shared" ref="BX17:BX46" si="43">IF(BP17&gt;0,BW17/BP17,0)</f>
        <v>0</v>
      </c>
      <c r="BY17" s="538">
        <f t="shared" ref="BY17:BY46" si="44">BI17*BG17</f>
        <v>0</v>
      </c>
      <c r="BZ17" s="540">
        <f>BY17*Hypothèses!$B$3/Hypothèses!$B$9</f>
        <v>0</v>
      </c>
      <c r="CA17" s="538">
        <f t="shared" ref="CA17:CA46" si="45">BG17-BS17-BY17</f>
        <v>212.64993991939386</v>
      </c>
      <c r="CB17" s="533">
        <f>BW17*Prod_Carburant_Alt!$R$61+BZ17*Hypothèses!$B$13</f>
        <v>0</v>
      </c>
      <c r="CC17" s="538">
        <f t="shared" ref="CC17:CC46" si="46">CB17*$H$2/$J$2</f>
        <v>0</v>
      </c>
      <c r="CD17" s="541">
        <f t="shared" ref="CD17:CD46" si="47">CC17/$H$2</f>
        <v>0</v>
      </c>
      <c r="CE17" s="537">
        <f t="shared" ref="CE17:CE46" si="48">$G$2*CB17/1000</f>
        <v>0</v>
      </c>
      <c r="CF17" s="503">
        <f>(CA17+BU17*BO17)*Hypothèses!$D$23+CE17</f>
        <v>799.00860721035497</v>
      </c>
      <c r="CG17" s="504">
        <f t="shared" si="11"/>
        <v>7.5974019622017941E-3</v>
      </c>
      <c r="CH17" s="503">
        <f>(CA17+BU17*BO17)*Hypothèses!$B$23</f>
        <v>671.16723005669814</v>
      </c>
      <c r="CI17" s="503">
        <f t="shared" ref="CI17:CI46" si="49">MAX(0,CH17-CH$15)</f>
        <v>0</v>
      </c>
      <c r="CJ17" s="503">
        <f>(BU17+BW17+CA17)*Hypothèses!$B$6+BZ17*Hypothèses!$B$11</f>
        <v>6.8704040023771427</v>
      </c>
      <c r="CK17" s="503">
        <f>(BU17+BW17+CA17)*Hypothèses!$B$5+BZ17*Hypothèses!$B$10</f>
        <v>298.43317385325707</v>
      </c>
      <c r="CL17" s="542">
        <f t="shared" si="12"/>
        <v>2.4031588985707838E-2</v>
      </c>
    </row>
    <row r="18" spans="1:90" ht="14.25" customHeight="1">
      <c r="A18" s="331"/>
      <c r="B18" s="516">
        <v>2022</v>
      </c>
      <c r="C18" s="655">
        <f>Trajectoires!AA14</f>
        <v>896.63172309222375</v>
      </c>
      <c r="D18" s="659">
        <f>C18/Hypothèses!$D$23</f>
        <v>239.10179282459299</v>
      </c>
      <c r="E18" s="659">
        <f>D18*Hypothèses!$B$23</f>
        <v>753.17064739746786</v>
      </c>
      <c r="F18" s="659">
        <f>D18*Hypothèses!$B$5</f>
        <v>332.35149202618425</v>
      </c>
      <c r="G18" s="659">
        <f>D18*Hypothèses!$B$6</f>
        <v>7.6512573703869755</v>
      </c>
      <c r="H18" s="519">
        <f t="shared" si="30"/>
        <v>0.04</v>
      </c>
      <c r="I18" s="520">
        <f>IF(J18&gt;=1,ROUND(COUNTIFS($B$16:$B18,"&gt;"&amp;MAX($B18-$D$2,2019),H$16:H18,1/25)*(1/$D$2-1/25)*25,0),0)</f>
        <v>0</v>
      </c>
      <c r="J18" s="521">
        <f t="shared" ref="J18:J46" si="50">J17+H18</f>
        <v>0.12</v>
      </c>
      <c r="K18" s="522">
        <f>Hypothèses!$G$77</f>
        <v>0.01</v>
      </c>
      <c r="L18" s="523">
        <f t="shared" si="13"/>
        <v>7.5317064739746789</v>
      </c>
      <c r="M18" s="524">
        <f t="array" ref="M18">1-SUM(IF((Roadmap_Avion!$B$8:$B$38=$B18)*(Roadmap_Avion!$C$4:$Z$4=$B$2)*(Roadmap_Avion!$C$6:$Z$6=M$7)*(Roadmap_Avion!$C$7:$Z$7=M$9),Roadmap_Avion!$C$8:$Z$38,0))</f>
        <v>0</v>
      </c>
      <c r="N18" s="525">
        <f t="array" ref="N18">SUM(IF((Roadmap_Avion!$B$8:$B$38=$B18)*(Roadmap_Avion!$C$4:$Z$4=$B$2)*(Roadmap_Avion!$C$6:$Z$6=N$7)*(Roadmap_Avion!$C$7:$Z$7=N$9),Roadmap_Avion!$C$8:$Z$38,0))</f>
        <v>0.5</v>
      </c>
      <c r="O18" s="526">
        <f t="array" ref="O18">SUM(IF((Roadmap_Avion!$B$8:$B$38=$B18)*(Roadmap_Avion!$C$4:$Z$4=$B$2)*(Roadmap_Avion!$C$6:$Z$6=O$7)*(Roadmap_Avion!$C$7:$Z$7=O$9),Roadmap_Avion!$C$8:$Z$38,0))</f>
        <v>0</v>
      </c>
      <c r="P18" s="527">
        <f t="array" ref="P18">IF($J18&lt;1,P17+$H18*M18,SUMPRODUCT(($B$16:$B$46&lt;=$B18)*($B$16:$B$46&gt;MAX($B18-$D$2-$I18,2019))*$H$16:$H$46*M$16:M$46))</f>
        <v>0</v>
      </c>
      <c r="Q18" s="528">
        <f t="shared" si="31"/>
        <v>7.5317064739746789</v>
      </c>
      <c r="R18" s="529">
        <f t="shared" si="14"/>
        <v>5.9999999999999995E-4</v>
      </c>
      <c r="S18" s="530">
        <f t="shared" si="15"/>
        <v>0</v>
      </c>
      <c r="T18" s="522">
        <f>Hypothèses!$G$78</f>
        <v>0.03</v>
      </c>
      <c r="U18" s="523">
        <f t="shared" si="16"/>
        <v>22.595119421924036</v>
      </c>
      <c r="V18" s="524">
        <f t="array" ref="V18">1-SUM(IF((Roadmap_Avion!$B$8:$B$38=$B18)*(Roadmap_Avion!$C$4:$Z$4=$B$2)*(Roadmap_Avion!$C$6:$Z$6=V$7)*(Roadmap_Avion!$C$7:$Z$7=V$9),Roadmap_Avion!$C$8:$Z$38,0))</f>
        <v>0</v>
      </c>
      <c r="W18" s="525">
        <f t="array" ref="W18">SUM(IF((Roadmap_Avion!$B$8:$B$38=$B18)*(Roadmap_Avion!$C$4:$Z$4=$B$2)*(Roadmap_Avion!$C$6:$Z$6=W$7)*(Roadmap_Avion!$C$7:$Z$7=W$9),Roadmap_Avion!$C$8:$Z$38,0))</f>
        <v>0.5</v>
      </c>
      <c r="X18" s="526">
        <f t="array" ref="X18">SUM(IF((Roadmap_Avion!$B$8:$B$38=$B18)*(Roadmap_Avion!$C$4:$Z$4=$B$2)*(Roadmap_Avion!$C$6:$Z$6=X$7)*(Roadmap_Avion!$C$7:$Z$7=X$9),Roadmap_Avion!$C$8:$Z$38,0))</f>
        <v>0</v>
      </c>
      <c r="Y18" s="527">
        <f t="array" ref="Y18">IF($J18&lt;1,Y17+$H18*V18,SUMPRODUCT(($B$16:$B$46&lt;=$B18)*($B$16:$B$46&gt;MAX($B18-$D$2-$I18,2019))*$H$16:$H$46*V$16:V$46))</f>
        <v>0</v>
      </c>
      <c r="Z18" s="528">
        <f t="shared" si="32"/>
        <v>22.595119421924036</v>
      </c>
      <c r="AA18" s="529">
        <f t="shared" si="17"/>
        <v>1.8E-3</v>
      </c>
      <c r="AB18" s="530">
        <f t="shared" si="18"/>
        <v>0</v>
      </c>
      <c r="AC18" s="522">
        <f>Hypothèses!$G$79</f>
        <v>0.24</v>
      </c>
      <c r="AD18" s="523">
        <f t="shared" si="19"/>
        <v>180.76095537539229</v>
      </c>
      <c r="AE18" s="524">
        <f t="array" ref="AE18">1-SUM(IF((Roadmap_Avion!$B$8:$B$38=$B18)*(Roadmap_Avion!$C$4:$Z$4=$B$2)*(Roadmap_Avion!$C$6:$Z$6=AE$7)*(Roadmap_Avion!$C$7:$Z$7=AE$9),Roadmap_Avion!$C$8:$Z$38,0))</f>
        <v>0.19999999999999996</v>
      </c>
      <c r="AF18" s="525">
        <f t="array" ref="AF18">SUM(IF((Roadmap_Avion!$B$8:$B$38=$B18)*(Roadmap_Avion!$C$4:$Z$4=$B$2)*(Roadmap_Avion!$C$6:$Z$6=AF$7)*(Roadmap_Avion!$C$7:$Z$7=AF$9),Roadmap_Avion!$C$8:$Z$38,0))</f>
        <v>0.5</v>
      </c>
      <c r="AG18" s="526">
        <f t="array" ref="AG18">SUM(IF((Roadmap_Avion!$B$8:$B$38=$B18)*(Roadmap_Avion!$C$4:$Z$4=$B$2)*(Roadmap_Avion!$C$6:$Z$6=AG$7)*(Roadmap_Avion!$C$7:$Z$7=AG$9),Roadmap_Avion!$C$8:$Z$38,0))</f>
        <v>0</v>
      </c>
      <c r="AH18" s="527">
        <f t="array" ref="AH18">IF($J18&lt;1,AH17+$H18*AE18,SUMPRODUCT(($B$16:$B$46&lt;=$B18)*($B$16:$B$46&gt;MAX($B18-$D$2-$I18,2019))*$H$16:$H$46*AE$16:AE$46))</f>
        <v>2.3999999999999994E-2</v>
      </c>
      <c r="AI18" s="528">
        <f t="shared" si="33"/>
        <v>176.42269244638285</v>
      </c>
      <c r="AJ18" s="529">
        <f t="shared" si="20"/>
        <v>1.44E-2</v>
      </c>
      <c r="AK18" s="530">
        <f t="shared" si="21"/>
        <v>0</v>
      </c>
      <c r="AL18" s="522">
        <f>Hypothèses!$G$80</f>
        <v>0.42</v>
      </c>
      <c r="AM18" s="523">
        <f t="shared" si="22"/>
        <v>316.33167190693649</v>
      </c>
      <c r="AN18" s="524">
        <f t="array" ref="AN18">1-SUM(IF((Roadmap_Avion!$B$8:$B$38=$B18)*(Roadmap_Avion!$C$4:$Z$4=$B$2)*(Roadmap_Avion!$C$6:$Z$6=AN$7)*(Roadmap_Avion!$C$7:$Z$7=AN$9),Roadmap_Avion!$C$8:$Z$38,0))</f>
        <v>0.19999999999999996</v>
      </c>
      <c r="AO18" s="525">
        <f t="array" ref="AO18">SUM(IF((Roadmap_Avion!$B$8:$B$38=$B18)*(Roadmap_Avion!$C$4:$Z$4=$B$2)*(Roadmap_Avion!$C$6:$Z$6=AO$7)*(Roadmap_Avion!$C$7:$Z$7=AO$9),Roadmap_Avion!$C$8:$Z$38,0))</f>
        <v>0.5</v>
      </c>
      <c r="AP18" s="526">
        <f t="array" ref="AP18">SUM(IF((Roadmap_Avion!$B$8:$B$38=$B18)*(Roadmap_Avion!$C$4:$Z$4=$B$2)*(Roadmap_Avion!$C$6:$Z$6=AP$7)*(Roadmap_Avion!$C$7:$Z$7=AP$9),Roadmap_Avion!$C$8:$Z$38,0))</f>
        <v>0</v>
      </c>
      <c r="AQ18" s="527">
        <f t="array" ref="AQ18">IF($J18&lt;1,AQ17+$H18*AN18,SUMPRODUCT(($B$16:$B$46&lt;=$B18)*($B$16:$B$46&gt;MAX($B18-$D$2-$I18,2019))*$H$16:$H$46*AN$16:AN$46))</f>
        <v>2.3999999999999994E-2</v>
      </c>
      <c r="AR18" s="528">
        <f t="shared" si="34"/>
        <v>308.73971178117</v>
      </c>
      <c r="AS18" s="529">
        <f t="shared" si="4"/>
        <v>2.52E-2</v>
      </c>
      <c r="AT18" s="530">
        <f t="shared" si="5"/>
        <v>0</v>
      </c>
      <c r="AU18" s="531">
        <f>Hypothèses!$G$81</f>
        <v>0.3</v>
      </c>
      <c r="AV18" s="523">
        <f t="shared" si="23"/>
        <v>225.95119421924036</v>
      </c>
      <c r="AW18" s="524">
        <f t="array" ref="AW18">1-SUM(IF((Roadmap_Avion!$B$8:$B$38=$B18)*(Roadmap_Avion!$C$4:$Z$4=$B$2)*(Roadmap_Avion!$C$6:$Z$6=AW$7)*(Roadmap_Avion!$C$7:$Z$7=AW$9),Roadmap_Avion!$C$8:$Z$38,0))</f>
        <v>0.25</v>
      </c>
      <c r="AX18" s="525">
        <f t="array" ref="AX18">SUM(IF((Roadmap_Avion!$B$8:$B$38=$B18)*(Roadmap_Avion!$C$4:$Z$4=$B$2)*(Roadmap_Avion!$C$6:$Z$6=AX$7)*(Roadmap_Avion!$C$7:$Z$7=AX$9),Roadmap_Avion!$C$8:$Z$38,0))</f>
        <v>0.5</v>
      </c>
      <c r="AY18" s="526">
        <f t="array" ref="AY18">SUM(IF((Roadmap_Avion!$B$8:$B$38=$B18)*(Roadmap_Avion!$C$4:$Z$4=$B$2)*(Roadmap_Avion!$C$6:$Z$6=AY$7)*(Roadmap_Avion!$C$7:$Z$7=AY$9),Roadmap_Avion!$C$8:$Z$38,0))</f>
        <v>0</v>
      </c>
      <c r="AZ18" s="527">
        <f t="array" ref="AZ18">IF($J18&lt;1,AZ17+$H18*AW18,SUMPRODUCT(($B$16:$B$46&lt;=$B18)*($B$16:$B$46&gt;MAX($B18-$D$2-$I18,2019))*$H$16:$H$46*AW$16:AW$46))</f>
        <v>0.03</v>
      </c>
      <c r="BA18" s="528">
        <f t="shared" si="35"/>
        <v>219.17265839266315</v>
      </c>
      <c r="BB18" s="529">
        <f t="shared" si="24"/>
        <v>1.7999999999999999E-2</v>
      </c>
      <c r="BC18" s="529">
        <f t="shared" si="25"/>
        <v>0</v>
      </c>
      <c r="BD18" s="517">
        <f t="shared" si="7"/>
        <v>734.46188851611475</v>
      </c>
      <c r="BE18" s="518">
        <f>BD18*(Hypothèses!$D$23/Hypothèses!$B$23)</f>
        <v>874.3593910906128</v>
      </c>
      <c r="BF18" s="532">
        <f t="shared" si="8"/>
        <v>2.4840000000000084E-2</v>
      </c>
      <c r="BG18" s="518">
        <f>BD18/Hypothèses!$B$23</f>
        <v>233.1625042908301</v>
      </c>
      <c r="BH18" s="532">
        <f t="shared" si="9"/>
        <v>0.06</v>
      </c>
      <c r="BI18" s="532">
        <f t="shared" si="9"/>
        <v>0</v>
      </c>
      <c r="BJ18" s="518">
        <f t="shared" si="26"/>
        <v>13.989750257449806</v>
      </c>
      <c r="BK18" s="533">
        <f t="shared" si="36"/>
        <v>2.5627314436147799</v>
      </c>
      <c r="BL18" s="534">
        <f t="shared" si="37"/>
        <v>0.1831863611896915</v>
      </c>
      <c r="BM18" s="535">
        <f t="array" ref="BM18">SUM(IF((Prod_Carburant_Alt!$A$7:$A$37=$B18)*(Prod_Carburant_Alt!$B$3:$AI$3=$C$2)*(Prod_Carburant_Alt!$B$5:$AI$5=BM$7)*(Prod_Carburant_Alt!$B$6:$AI$6=BM$9),Prod_Carburant_Alt!$B$7:$AI$37,0))</f>
        <v>2.5627314436147799</v>
      </c>
      <c r="BN18" s="534">
        <f t="shared" si="27"/>
        <v>7.3746522218072013</v>
      </c>
      <c r="BO18" s="536">
        <f t="array" ref="BO18">SUM(IF((Prod_Carburant_Alt!$A$7:$A$37=$B18)*(Prod_Carburant_Alt!$B$3:$AI$3=$C$2)*(Prod_Carburant_Alt!$B$5:$AI$5=BO$7)*(Prod_Carburant_Alt!$B$6:$AI$6=BO$9),Prod_Carburant_Alt!$B$7:$AI$37,0))</f>
        <v>0.204382517533922</v>
      </c>
      <c r="BP18" s="543">
        <f t="array" ref="BP18">SUM(IF((Prod_Carburant_Alt!$A$7:$A$37=$B18)*(Prod_Carburant_Alt!$B$3:$AI$3=$C$2)*(Prod_Carburant_Alt!$B$5:$AI$5=BP$7)*(Prod_Carburant_Alt!$B$6:$AI$6=BP$9),Prod_Carburant_Alt!$B$7:$AI$37,0))</f>
        <v>0</v>
      </c>
      <c r="BQ18" s="536">
        <f t="shared" si="38"/>
        <v>0</v>
      </c>
      <c r="BR18" s="537">
        <f t="shared" si="39"/>
        <v>230.59977284721532</v>
      </c>
      <c r="BS18" s="538">
        <f t="shared" si="40"/>
        <v>2.5627314436147799</v>
      </c>
      <c r="BT18" s="539">
        <f t="shared" si="41"/>
        <v>1</v>
      </c>
      <c r="BU18" s="535">
        <f t="shared" si="28"/>
        <v>2.5627314436147799</v>
      </c>
      <c r="BV18" s="539">
        <f t="shared" si="42"/>
        <v>1</v>
      </c>
      <c r="BW18" s="535">
        <f t="shared" si="29"/>
        <v>0</v>
      </c>
      <c r="BX18" s="539">
        <f t="shared" si="43"/>
        <v>0</v>
      </c>
      <c r="BY18" s="538">
        <f t="shared" si="44"/>
        <v>0</v>
      </c>
      <c r="BZ18" s="540">
        <f>BY18*Hypothèses!$B$3/Hypothèses!$B$9</f>
        <v>0</v>
      </c>
      <c r="CA18" s="538">
        <f t="shared" si="45"/>
        <v>230.59977284721532</v>
      </c>
      <c r="CB18" s="533">
        <f>BW18*Prod_Carburant_Alt!$R$61+BZ18*Hypothèses!$B$13</f>
        <v>0</v>
      </c>
      <c r="CC18" s="538">
        <f t="shared" si="46"/>
        <v>0</v>
      </c>
      <c r="CD18" s="541">
        <f t="shared" si="47"/>
        <v>0</v>
      </c>
      <c r="CE18" s="537">
        <f t="shared" si="48"/>
        <v>0</v>
      </c>
      <c r="CF18" s="503">
        <f>(CA18+BU18*BO18)*Hypothèses!$D$23+CE18</f>
        <v>866.7133138178425</v>
      </c>
      <c r="CG18" s="504">
        <f t="shared" si="11"/>
        <v>8.7447762907116883E-3</v>
      </c>
      <c r="CH18" s="503">
        <f>(CA18+BU18*BO18)*Hypothèses!$B$23</f>
        <v>728.03918360698765</v>
      </c>
      <c r="CI18" s="503">
        <f t="shared" si="49"/>
        <v>0</v>
      </c>
      <c r="CJ18" s="503">
        <f>(BU18+BW18+CA18)*Hypothèses!$B$6+BZ18*Hypothèses!$B$11</f>
        <v>7.4612001373065633</v>
      </c>
      <c r="CK18" s="503">
        <f>(BU18+BW18+CA18)*Hypothèses!$B$5+BZ18*Hypothèses!$B$10</f>
        <v>324.09588096425381</v>
      </c>
      <c r="CL18" s="542">
        <f t="shared" si="12"/>
        <v>3.3367556047650529E-2</v>
      </c>
    </row>
    <row r="19" spans="1:90" ht="14.25" customHeight="1">
      <c r="A19" s="331"/>
      <c r="B19" s="516">
        <v>2023</v>
      </c>
      <c r="C19" s="655">
        <f>Trajectoires!AA15</f>
        <v>981.94726922353914</v>
      </c>
      <c r="D19" s="659">
        <f>C19/Hypothèses!$D$23</f>
        <v>261.85260512627713</v>
      </c>
      <c r="E19" s="659">
        <f>D19*Hypothèses!$B$23</f>
        <v>824.83570614777295</v>
      </c>
      <c r="F19" s="659">
        <f>D19*Hypothèses!$B$5</f>
        <v>363.97512112552516</v>
      </c>
      <c r="G19" s="659">
        <f>D19*Hypothèses!$B$6</f>
        <v>8.3792833640408677</v>
      </c>
      <c r="H19" s="519">
        <f t="shared" si="30"/>
        <v>0.04</v>
      </c>
      <c r="I19" s="520">
        <f>IF(J19&gt;=1,ROUND(COUNTIFS($B$16:$B19,"&gt;"&amp;MAX($B19-$D$2,2019),H$16:H19,1/25)*(1/$D$2-1/25)*25,0),0)</f>
        <v>0</v>
      </c>
      <c r="J19" s="521">
        <f t="shared" si="50"/>
        <v>0.16</v>
      </c>
      <c r="K19" s="522">
        <f>Hypothèses!$G$77</f>
        <v>0.01</v>
      </c>
      <c r="L19" s="523">
        <f t="shared" si="13"/>
        <v>8.24835706147773</v>
      </c>
      <c r="M19" s="524">
        <f t="array" ref="M19">1-SUM(IF((Roadmap_Avion!$B$8:$B$38=$B19)*(Roadmap_Avion!$C$4:$Z$4=$B$2)*(Roadmap_Avion!$C$6:$Z$6=M$7)*(Roadmap_Avion!$C$7:$Z$7=M$9),Roadmap_Avion!$C$8:$Z$38,0))</f>
        <v>0</v>
      </c>
      <c r="N19" s="525">
        <f t="array" ref="N19">SUM(IF((Roadmap_Avion!$B$8:$B$38=$B19)*(Roadmap_Avion!$C$4:$Z$4=$B$2)*(Roadmap_Avion!$C$6:$Z$6=N$7)*(Roadmap_Avion!$C$7:$Z$7=N$9),Roadmap_Avion!$C$8:$Z$38,0))</f>
        <v>0.5</v>
      </c>
      <c r="O19" s="526">
        <f t="array" ref="O19">SUM(IF((Roadmap_Avion!$B$8:$B$38=$B19)*(Roadmap_Avion!$C$4:$Z$4=$B$2)*(Roadmap_Avion!$C$6:$Z$6=O$7)*(Roadmap_Avion!$C$7:$Z$7=O$9),Roadmap_Avion!$C$8:$Z$38,0))</f>
        <v>0</v>
      </c>
      <c r="P19" s="527">
        <f t="array" ref="P19">IF($J19&lt;1,P18+$H19*M19,SUMPRODUCT(($B$16:$B$46&lt;=$B19)*($B$16:$B$46&gt;MAX($B19-$D$2-$I19,2019))*$H$16:$H$46*M$16:M$46))</f>
        <v>0</v>
      </c>
      <c r="Q19" s="528">
        <f t="shared" si="31"/>
        <v>8.24835706147773</v>
      </c>
      <c r="R19" s="529">
        <f t="shared" si="14"/>
        <v>8.0000000000000004E-4</v>
      </c>
      <c r="S19" s="530">
        <f t="shared" si="15"/>
        <v>0</v>
      </c>
      <c r="T19" s="522">
        <f>Hypothèses!$G$78</f>
        <v>0.03</v>
      </c>
      <c r="U19" s="523">
        <f t="shared" si="16"/>
        <v>24.745071184433186</v>
      </c>
      <c r="V19" s="524">
        <f t="array" ref="V19">1-SUM(IF((Roadmap_Avion!$B$8:$B$38=$B19)*(Roadmap_Avion!$C$4:$Z$4=$B$2)*(Roadmap_Avion!$C$6:$Z$6=V$7)*(Roadmap_Avion!$C$7:$Z$7=V$9),Roadmap_Avion!$C$8:$Z$38,0))</f>
        <v>0</v>
      </c>
      <c r="W19" s="525">
        <f t="array" ref="W19">SUM(IF((Roadmap_Avion!$B$8:$B$38=$B19)*(Roadmap_Avion!$C$4:$Z$4=$B$2)*(Roadmap_Avion!$C$6:$Z$6=W$7)*(Roadmap_Avion!$C$7:$Z$7=W$9),Roadmap_Avion!$C$8:$Z$38,0))</f>
        <v>0.5</v>
      </c>
      <c r="X19" s="526">
        <f t="array" ref="X19">SUM(IF((Roadmap_Avion!$B$8:$B$38=$B19)*(Roadmap_Avion!$C$4:$Z$4=$B$2)*(Roadmap_Avion!$C$6:$Z$6=X$7)*(Roadmap_Avion!$C$7:$Z$7=X$9),Roadmap_Avion!$C$8:$Z$38,0))</f>
        <v>0</v>
      </c>
      <c r="Y19" s="527">
        <f t="array" ref="Y19">IF($J19&lt;1,Y18+$H19*V19,SUMPRODUCT(($B$16:$B$46&lt;=$B19)*($B$16:$B$46&gt;MAX($B19-$D$2-$I19,2019))*$H$16:$H$46*V$16:V$46))</f>
        <v>0</v>
      </c>
      <c r="Z19" s="528">
        <f t="shared" si="32"/>
        <v>24.745071184433186</v>
      </c>
      <c r="AA19" s="529">
        <f t="shared" si="17"/>
        <v>2.3999999999999998E-3</v>
      </c>
      <c r="AB19" s="530">
        <f t="shared" si="18"/>
        <v>0</v>
      </c>
      <c r="AC19" s="522">
        <f>Hypothèses!$G$79</f>
        <v>0.24</v>
      </c>
      <c r="AD19" s="523">
        <f t="shared" si="19"/>
        <v>197.96056947546549</v>
      </c>
      <c r="AE19" s="524">
        <f t="array" ref="AE19">1-SUM(IF((Roadmap_Avion!$B$8:$B$38=$B19)*(Roadmap_Avion!$C$4:$Z$4=$B$2)*(Roadmap_Avion!$C$6:$Z$6=AE$7)*(Roadmap_Avion!$C$7:$Z$7=AE$9),Roadmap_Avion!$C$8:$Z$38,0))</f>
        <v>0.19999999999999996</v>
      </c>
      <c r="AF19" s="525">
        <f t="array" ref="AF19">SUM(IF((Roadmap_Avion!$B$8:$B$38=$B19)*(Roadmap_Avion!$C$4:$Z$4=$B$2)*(Roadmap_Avion!$C$6:$Z$6=AF$7)*(Roadmap_Avion!$C$7:$Z$7=AF$9),Roadmap_Avion!$C$8:$Z$38,0))</f>
        <v>0.5</v>
      </c>
      <c r="AG19" s="526">
        <f t="array" ref="AG19">SUM(IF((Roadmap_Avion!$B$8:$B$38=$B19)*(Roadmap_Avion!$C$4:$Z$4=$B$2)*(Roadmap_Avion!$C$6:$Z$6=AG$7)*(Roadmap_Avion!$C$7:$Z$7=AG$9),Roadmap_Avion!$C$8:$Z$38,0))</f>
        <v>0</v>
      </c>
      <c r="AH19" s="527">
        <f t="array" ref="AH19">IF($J19&lt;1,AH18+$H19*AE19,SUMPRODUCT(($B$16:$B$46&lt;=$B19)*($B$16:$B$46&gt;MAX($B19-$D$2-$I19,2019))*$H$16:$H$46*AE$16:AE$46))</f>
        <v>3.1999999999999994E-2</v>
      </c>
      <c r="AI19" s="528">
        <f t="shared" si="33"/>
        <v>191.62583125225058</v>
      </c>
      <c r="AJ19" s="529">
        <f t="shared" si="20"/>
        <v>1.9199999999999998E-2</v>
      </c>
      <c r="AK19" s="530">
        <f t="shared" si="21"/>
        <v>0</v>
      </c>
      <c r="AL19" s="522">
        <f>Hypothèses!$G$80</f>
        <v>0.42</v>
      </c>
      <c r="AM19" s="523">
        <f t="shared" si="22"/>
        <v>346.43099658206461</v>
      </c>
      <c r="AN19" s="524">
        <f t="array" ref="AN19">1-SUM(IF((Roadmap_Avion!$B$8:$B$38=$B19)*(Roadmap_Avion!$C$4:$Z$4=$B$2)*(Roadmap_Avion!$C$6:$Z$6=AN$7)*(Roadmap_Avion!$C$7:$Z$7=AN$9),Roadmap_Avion!$C$8:$Z$38,0))</f>
        <v>0.19999999999999996</v>
      </c>
      <c r="AO19" s="525">
        <f t="array" ref="AO19">SUM(IF((Roadmap_Avion!$B$8:$B$38=$B19)*(Roadmap_Avion!$C$4:$Z$4=$B$2)*(Roadmap_Avion!$C$6:$Z$6=AO$7)*(Roadmap_Avion!$C$7:$Z$7=AO$9),Roadmap_Avion!$C$8:$Z$38,0))</f>
        <v>0.5</v>
      </c>
      <c r="AP19" s="526">
        <f t="array" ref="AP19">SUM(IF((Roadmap_Avion!$B$8:$B$38=$B19)*(Roadmap_Avion!$C$4:$Z$4=$B$2)*(Roadmap_Avion!$C$6:$Z$6=AP$7)*(Roadmap_Avion!$C$7:$Z$7=AP$9),Roadmap_Avion!$C$8:$Z$38,0))</f>
        <v>0</v>
      </c>
      <c r="AQ19" s="527">
        <f t="array" ref="AQ19">IF($J19&lt;1,AQ18+$H19*AN19,SUMPRODUCT(($B$16:$B$46&lt;=$B19)*($B$16:$B$46&gt;MAX($B19-$D$2-$I19,2019))*$H$16:$H$46*AN$16:AN$46))</f>
        <v>3.1999999999999994E-2</v>
      </c>
      <c r="AR19" s="528">
        <f t="shared" si="34"/>
        <v>335.34520469143854</v>
      </c>
      <c r="AS19" s="529">
        <f t="shared" si="4"/>
        <v>3.3599999999999998E-2</v>
      </c>
      <c r="AT19" s="530">
        <f t="shared" si="5"/>
        <v>0</v>
      </c>
      <c r="AU19" s="531">
        <f>Hypothèses!$G$81</f>
        <v>0.3</v>
      </c>
      <c r="AV19" s="523">
        <f t="shared" si="23"/>
        <v>247.45071184433186</v>
      </c>
      <c r="AW19" s="524">
        <f t="array" ref="AW19">1-SUM(IF((Roadmap_Avion!$B$8:$B$38=$B19)*(Roadmap_Avion!$C$4:$Z$4=$B$2)*(Roadmap_Avion!$C$6:$Z$6=AW$7)*(Roadmap_Avion!$C$7:$Z$7=AW$9),Roadmap_Avion!$C$8:$Z$38,0))</f>
        <v>0.25</v>
      </c>
      <c r="AX19" s="525">
        <f t="array" ref="AX19">SUM(IF((Roadmap_Avion!$B$8:$B$38=$B19)*(Roadmap_Avion!$C$4:$Z$4=$B$2)*(Roadmap_Avion!$C$6:$Z$6=AX$7)*(Roadmap_Avion!$C$7:$Z$7=AX$9),Roadmap_Avion!$C$8:$Z$38,0))</f>
        <v>0.5</v>
      </c>
      <c r="AY19" s="526">
        <f t="array" ref="AY19">SUM(IF((Roadmap_Avion!$B$8:$B$38=$B19)*(Roadmap_Avion!$C$4:$Z$4=$B$2)*(Roadmap_Avion!$C$6:$Z$6=AY$7)*(Roadmap_Avion!$C$7:$Z$7=AY$9),Roadmap_Avion!$C$8:$Z$38,0))</f>
        <v>0</v>
      </c>
      <c r="AZ19" s="527">
        <f t="array" ref="AZ19">IF($J19&lt;1,AZ18+$H19*AW19,SUMPRODUCT(($B$16:$B$46&lt;=$B19)*($B$16:$B$46&gt;MAX($B19-$D$2-$I19,2019))*$H$16:$H$46*AW$16:AW$46))</f>
        <v>0.04</v>
      </c>
      <c r="BA19" s="528">
        <f t="shared" si="35"/>
        <v>237.55268337055858</v>
      </c>
      <c r="BB19" s="529">
        <f t="shared" si="24"/>
        <v>2.4E-2</v>
      </c>
      <c r="BC19" s="529">
        <f t="shared" si="25"/>
        <v>0</v>
      </c>
      <c r="BD19" s="517">
        <f t="shared" si="7"/>
        <v>797.51714756015861</v>
      </c>
      <c r="BE19" s="518">
        <f>BD19*(Hypothèses!$D$23/Hypothèses!$B$23)</f>
        <v>949.42517566685547</v>
      </c>
      <c r="BF19" s="532">
        <f t="shared" si="8"/>
        <v>3.3120000000000038E-2</v>
      </c>
      <c r="BG19" s="518">
        <f>BD19/Hypothèses!$B$23</f>
        <v>253.1800468444948</v>
      </c>
      <c r="BH19" s="532">
        <f t="shared" si="9"/>
        <v>7.9999999999999988E-2</v>
      </c>
      <c r="BI19" s="532">
        <f t="shared" si="9"/>
        <v>0</v>
      </c>
      <c r="BJ19" s="518">
        <f t="shared" si="26"/>
        <v>20.254403747559582</v>
      </c>
      <c r="BK19" s="533">
        <f t="shared" si="36"/>
        <v>3.2034143045184749</v>
      </c>
      <c r="BL19" s="534">
        <f t="shared" si="37"/>
        <v>0.15815890432738355</v>
      </c>
      <c r="BM19" s="535">
        <f t="array" ref="BM19">SUM(IF((Prod_Carburant_Alt!$A$7:$A$37=$B19)*(Prod_Carburant_Alt!$B$3:$AI$3=$C$2)*(Prod_Carburant_Alt!$B$5:$AI$5=BM$7)*(Prod_Carburant_Alt!$B$6:$AI$6=BM$9),Prod_Carburant_Alt!$B$7:$AI$37,0))</f>
        <v>3.2034143045184749</v>
      </c>
      <c r="BN19" s="534">
        <f t="shared" si="27"/>
        <v>4.7753292369379041</v>
      </c>
      <c r="BO19" s="536">
        <f t="array" ref="BO19">SUM(IF((Prod_Carburant_Alt!$A$7:$A$37=$B19)*(Prod_Carburant_Alt!$B$3:$AI$3=$C$2)*(Prod_Carburant_Alt!$B$5:$AI$5=BO$7)*(Prod_Carburant_Alt!$B$6:$AI$6=BO$9),Prod_Carburant_Alt!$B$7:$AI$37,0))</f>
        <v>0.204382517533922</v>
      </c>
      <c r="BP19" s="543">
        <f t="array" ref="BP19">SUM(IF((Prod_Carburant_Alt!$A$7:$A$37=$B19)*(Prod_Carburant_Alt!$B$3:$AI$3=$C$2)*(Prod_Carburant_Alt!$B$5:$AI$5=BP$7)*(Prod_Carburant_Alt!$B$6:$AI$6=BP$9),Prod_Carburant_Alt!$B$7:$AI$37,0))</f>
        <v>0</v>
      </c>
      <c r="BQ19" s="536">
        <f t="shared" si="38"/>
        <v>0</v>
      </c>
      <c r="BR19" s="537">
        <f t="shared" si="39"/>
        <v>249.97663253997632</v>
      </c>
      <c r="BS19" s="538">
        <f t="shared" si="40"/>
        <v>3.2034143045184749</v>
      </c>
      <c r="BT19" s="539">
        <f t="shared" si="41"/>
        <v>1</v>
      </c>
      <c r="BU19" s="535">
        <f t="shared" si="28"/>
        <v>3.2034143045184749</v>
      </c>
      <c r="BV19" s="539">
        <f t="shared" si="42"/>
        <v>1</v>
      </c>
      <c r="BW19" s="535">
        <f t="shared" si="29"/>
        <v>0</v>
      </c>
      <c r="BX19" s="539">
        <f t="shared" si="43"/>
        <v>0</v>
      </c>
      <c r="BY19" s="538">
        <f t="shared" si="44"/>
        <v>0</v>
      </c>
      <c r="BZ19" s="540">
        <f>BY19*Hypothèses!$B$3/Hypothèses!$B$9</f>
        <v>0</v>
      </c>
      <c r="CA19" s="538">
        <f t="shared" si="45"/>
        <v>249.97663253997632</v>
      </c>
      <c r="CB19" s="533">
        <f>BW19*Prod_Carburant_Alt!$R$61+BZ19*Hypothèses!$B$13</f>
        <v>0</v>
      </c>
      <c r="CC19" s="538">
        <f t="shared" si="46"/>
        <v>0</v>
      </c>
      <c r="CD19" s="541">
        <f t="shared" si="47"/>
        <v>0</v>
      </c>
      <c r="CE19" s="537">
        <f t="shared" si="48"/>
        <v>0</v>
      </c>
      <c r="CF19" s="503">
        <f>(CA19+BU19*BO19)*Hypothèses!$D$23+CE19</f>
        <v>939.86757907589242</v>
      </c>
      <c r="CG19" s="504">
        <f t="shared" si="11"/>
        <v>1.0066719143243696E-2</v>
      </c>
      <c r="CH19" s="503">
        <f>(CA19+BU19*BO19)*Hypothèses!$B$23</f>
        <v>789.48876642374967</v>
      </c>
      <c r="CI19" s="503">
        <f t="shared" si="49"/>
        <v>0</v>
      </c>
      <c r="CJ19" s="503">
        <f>(BU19+BW19+CA19)*Hypothèses!$B$6+BZ19*Hypothèses!$B$11</f>
        <v>8.1017614990238336</v>
      </c>
      <c r="CK19" s="503">
        <f>(BU19+BW19+CA19)*Hypothèses!$B$5+BZ19*Hypothèses!$B$10</f>
        <v>351.92026511384773</v>
      </c>
      <c r="CL19" s="542">
        <f t="shared" si="12"/>
        <v>4.2853309405219524E-2</v>
      </c>
    </row>
    <row r="20" spans="1:90" ht="14.25" customHeight="1">
      <c r="A20" s="331"/>
      <c r="B20" s="516">
        <v>2024</v>
      </c>
      <c r="C20" s="655">
        <f>Trajectoires!AA16</f>
        <v>1075.3140206977764</v>
      </c>
      <c r="D20" s="659">
        <f>C20/Hypothèses!$D$23</f>
        <v>286.75040551940702</v>
      </c>
      <c r="E20" s="659">
        <f>D20*Hypothèses!$B$23</f>
        <v>903.26377738613212</v>
      </c>
      <c r="F20" s="659">
        <f>D20*Hypothèses!$B$5</f>
        <v>398.58306367197571</v>
      </c>
      <c r="G20" s="659">
        <f>D20*Hypothèses!$B$6</f>
        <v>9.1760129766210241</v>
      </c>
      <c r="H20" s="519">
        <f t="shared" si="30"/>
        <v>0.04</v>
      </c>
      <c r="I20" s="520">
        <f>IF(J20&gt;=1,ROUND(COUNTIFS($B$16:$B20,"&gt;"&amp;MAX($B20-$D$2,2019),H$16:H20,1/25)*(1/$D$2-1/25)*25,0),0)</f>
        <v>0</v>
      </c>
      <c r="J20" s="521">
        <f t="shared" si="50"/>
        <v>0.2</v>
      </c>
      <c r="K20" s="522">
        <f>Hypothèses!$G$77</f>
        <v>0.01</v>
      </c>
      <c r="L20" s="523">
        <f t="shared" si="13"/>
        <v>9.0326377738613211</v>
      </c>
      <c r="M20" s="524">
        <f t="array" ref="M20">1-SUM(IF((Roadmap_Avion!$B$8:$B$38=$B20)*(Roadmap_Avion!$C$4:$Z$4=$B$2)*(Roadmap_Avion!$C$6:$Z$6=M$7)*(Roadmap_Avion!$C$7:$Z$7=M$9),Roadmap_Avion!$C$8:$Z$38,0))</f>
        <v>0</v>
      </c>
      <c r="N20" s="525">
        <f t="array" ref="N20">SUM(IF((Roadmap_Avion!$B$8:$B$38=$B20)*(Roadmap_Avion!$C$4:$Z$4=$B$2)*(Roadmap_Avion!$C$6:$Z$6=N$7)*(Roadmap_Avion!$C$7:$Z$7=N$9),Roadmap_Avion!$C$8:$Z$38,0))</f>
        <v>0.5</v>
      </c>
      <c r="O20" s="526">
        <f t="array" ref="O20">SUM(IF((Roadmap_Avion!$B$8:$B$38=$B20)*(Roadmap_Avion!$C$4:$Z$4=$B$2)*(Roadmap_Avion!$C$6:$Z$6=O$7)*(Roadmap_Avion!$C$7:$Z$7=O$9),Roadmap_Avion!$C$8:$Z$38,0))</f>
        <v>0</v>
      </c>
      <c r="P20" s="527">
        <f t="array" ref="P20">IF($J20&lt;1,P19+$H20*M20,SUMPRODUCT(($B$16:$B$46&lt;=$B20)*($B$16:$B$46&gt;MAX($B20-$D$2-$I20,2019))*$H$16:$H$46*M$16:M$46))</f>
        <v>0</v>
      </c>
      <c r="Q20" s="528">
        <f t="shared" si="31"/>
        <v>9.0326377738613211</v>
      </c>
      <c r="R20" s="529">
        <f t="shared" si="14"/>
        <v>1E-3</v>
      </c>
      <c r="S20" s="530">
        <f t="shared" si="15"/>
        <v>0</v>
      </c>
      <c r="T20" s="522">
        <f>Hypothèses!$G$78</f>
        <v>0.03</v>
      </c>
      <c r="U20" s="523">
        <f t="shared" si="16"/>
        <v>27.097913321583963</v>
      </c>
      <c r="V20" s="524">
        <f t="array" ref="V20">1-SUM(IF((Roadmap_Avion!$B$8:$B$38=$B20)*(Roadmap_Avion!$C$4:$Z$4=$B$2)*(Roadmap_Avion!$C$6:$Z$6=V$7)*(Roadmap_Avion!$C$7:$Z$7=V$9),Roadmap_Avion!$C$8:$Z$38,0))</f>
        <v>0</v>
      </c>
      <c r="W20" s="525">
        <f t="array" ref="W20">SUM(IF((Roadmap_Avion!$B$8:$B$38=$B20)*(Roadmap_Avion!$C$4:$Z$4=$B$2)*(Roadmap_Avion!$C$6:$Z$6=W$7)*(Roadmap_Avion!$C$7:$Z$7=W$9),Roadmap_Avion!$C$8:$Z$38,0))</f>
        <v>0.5</v>
      </c>
      <c r="X20" s="526">
        <f t="array" ref="X20">SUM(IF((Roadmap_Avion!$B$8:$B$38=$B20)*(Roadmap_Avion!$C$4:$Z$4=$B$2)*(Roadmap_Avion!$C$6:$Z$6=X$7)*(Roadmap_Avion!$C$7:$Z$7=X$9),Roadmap_Avion!$C$8:$Z$38,0))</f>
        <v>0</v>
      </c>
      <c r="Y20" s="527">
        <f t="array" ref="Y20">IF($J20&lt;1,Y19+$H20*V20,SUMPRODUCT(($B$16:$B$46&lt;=$B20)*($B$16:$B$46&gt;MAX($B20-$D$2-$I20,2019))*$H$16:$H$46*V$16:V$46))</f>
        <v>0</v>
      </c>
      <c r="Z20" s="528">
        <f t="shared" si="32"/>
        <v>27.097913321583963</v>
      </c>
      <c r="AA20" s="529">
        <f t="shared" si="17"/>
        <v>3.0000000000000001E-3</v>
      </c>
      <c r="AB20" s="530">
        <f t="shared" si="18"/>
        <v>0</v>
      </c>
      <c r="AC20" s="522">
        <f>Hypothèses!$G$79</f>
        <v>0.24</v>
      </c>
      <c r="AD20" s="523">
        <f t="shared" si="19"/>
        <v>216.78330657267171</v>
      </c>
      <c r="AE20" s="524">
        <f t="array" ref="AE20">1-SUM(IF((Roadmap_Avion!$B$8:$B$38=$B20)*(Roadmap_Avion!$C$4:$Z$4=$B$2)*(Roadmap_Avion!$C$6:$Z$6=AE$7)*(Roadmap_Avion!$C$7:$Z$7=AE$9),Roadmap_Avion!$C$8:$Z$38,0))</f>
        <v>0.19999999999999996</v>
      </c>
      <c r="AF20" s="525">
        <f t="array" ref="AF20">SUM(IF((Roadmap_Avion!$B$8:$B$38=$B20)*(Roadmap_Avion!$C$4:$Z$4=$B$2)*(Roadmap_Avion!$C$6:$Z$6=AF$7)*(Roadmap_Avion!$C$7:$Z$7=AF$9),Roadmap_Avion!$C$8:$Z$38,0))</f>
        <v>0.5</v>
      </c>
      <c r="AG20" s="526">
        <f t="array" ref="AG20">SUM(IF((Roadmap_Avion!$B$8:$B$38=$B20)*(Roadmap_Avion!$C$4:$Z$4=$B$2)*(Roadmap_Avion!$C$6:$Z$6=AG$7)*(Roadmap_Avion!$C$7:$Z$7=AG$9),Roadmap_Avion!$C$8:$Z$38,0))</f>
        <v>0</v>
      </c>
      <c r="AH20" s="527">
        <f t="array" ref="AH20">IF($J20&lt;1,AH19+$H20*AE20,SUMPRODUCT(($B$16:$B$46&lt;=$B20)*($B$16:$B$46&gt;MAX($B20-$D$2-$I20,2019))*$H$16:$H$46*AE$16:AE$46))</f>
        <v>3.9999999999999994E-2</v>
      </c>
      <c r="AI20" s="528">
        <f t="shared" si="33"/>
        <v>208.11197430976483</v>
      </c>
      <c r="AJ20" s="529">
        <f t="shared" si="20"/>
        <v>2.4E-2</v>
      </c>
      <c r="AK20" s="530">
        <f t="shared" si="21"/>
        <v>0</v>
      </c>
      <c r="AL20" s="522">
        <f>Hypothèses!$G$80</f>
        <v>0.42</v>
      </c>
      <c r="AM20" s="523">
        <f t="shared" si="22"/>
        <v>379.37078650217546</v>
      </c>
      <c r="AN20" s="524">
        <f t="array" ref="AN20">1-SUM(IF((Roadmap_Avion!$B$8:$B$38=$B20)*(Roadmap_Avion!$C$4:$Z$4=$B$2)*(Roadmap_Avion!$C$6:$Z$6=AN$7)*(Roadmap_Avion!$C$7:$Z$7=AN$9),Roadmap_Avion!$C$8:$Z$38,0))</f>
        <v>0.19999999999999996</v>
      </c>
      <c r="AO20" s="525">
        <f t="array" ref="AO20">SUM(IF((Roadmap_Avion!$B$8:$B$38=$B20)*(Roadmap_Avion!$C$4:$Z$4=$B$2)*(Roadmap_Avion!$C$6:$Z$6=AO$7)*(Roadmap_Avion!$C$7:$Z$7=AO$9),Roadmap_Avion!$C$8:$Z$38,0))</f>
        <v>0.5</v>
      </c>
      <c r="AP20" s="526">
        <f t="array" ref="AP20">SUM(IF((Roadmap_Avion!$B$8:$B$38=$B20)*(Roadmap_Avion!$C$4:$Z$4=$B$2)*(Roadmap_Avion!$C$6:$Z$6=AP$7)*(Roadmap_Avion!$C$7:$Z$7=AP$9),Roadmap_Avion!$C$8:$Z$38,0))</f>
        <v>0</v>
      </c>
      <c r="AQ20" s="527">
        <f t="array" ref="AQ20">IF($J20&lt;1,AQ19+$H20*AN20,SUMPRODUCT(($B$16:$B$46&lt;=$B20)*($B$16:$B$46&gt;MAX($B20-$D$2-$I20,2019))*$H$16:$H$46*AN$16:AN$46))</f>
        <v>3.9999999999999994E-2</v>
      </c>
      <c r="AR20" s="528">
        <f t="shared" si="34"/>
        <v>364.19595504208843</v>
      </c>
      <c r="AS20" s="529">
        <f t="shared" si="4"/>
        <v>4.2000000000000003E-2</v>
      </c>
      <c r="AT20" s="530">
        <f t="shared" si="5"/>
        <v>0</v>
      </c>
      <c r="AU20" s="531">
        <f>Hypothèses!$G$81</f>
        <v>0.3</v>
      </c>
      <c r="AV20" s="523">
        <f t="shared" si="23"/>
        <v>270.97913321583962</v>
      </c>
      <c r="AW20" s="524">
        <f t="array" ref="AW20">1-SUM(IF((Roadmap_Avion!$B$8:$B$38=$B20)*(Roadmap_Avion!$C$4:$Z$4=$B$2)*(Roadmap_Avion!$C$6:$Z$6=AW$7)*(Roadmap_Avion!$C$7:$Z$7=AW$9),Roadmap_Avion!$C$8:$Z$38,0))</f>
        <v>0.25</v>
      </c>
      <c r="AX20" s="525">
        <f t="array" ref="AX20">SUM(IF((Roadmap_Avion!$B$8:$B$38=$B20)*(Roadmap_Avion!$C$4:$Z$4=$B$2)*(Roadmap_Avion!$C$6:$Z$6=AX$7)*(Roadmap_Avion!$C$7:$Z$7=AX$9),Roadmap_Avion!$C$8:$Z$38,0))</f>
        <v>0.5</v>
      </c>
      <c r="AY20" s="526">
        <f t="array" ref="AY20">SUM(IF((Roadmap_Avion!$B$8:$B$38=$B20)*(Roadmap_Avion!$C$4:$Z$4=$B$2)*(Roadmap_Avion!$C$6:$Z$6=AY$7)*(Roadmap_Avion!$C$7:$Z$7=AY$9),Roadmap_Avion!$C$8:$Z$38,0))</f>
        <v>0</v>
      </c>
      <c r="AZ20" s="527">
        <f t="array" ref="AZ20">IF($J20&lt;1,AZ19+$H20*AW20,SUMPRODUCT(($B$16:$B$46&lt;=$B20)*($B$16:$B$46&gt;MAX($B20-$D$2-$I20,2019))*$H$16:$H$46*AW$16:AW$46))</f>
        <v>0.05</v>
      </c>
      <c r="BA20" s="528">
        <f t="shared" si="35"/>
        <v>257.43017655504764</v>
      </c>
      <c r="BB20" s="529">
        <f t="shared" si="24"/>
        <v>0.03</v>
      </c>
      <c r="BC20" s="529">
        <f t="shared" si="25"/>
        <v>0</v>
      </c>
      <c r="BD20" s="517">
        <f t="shared" si="7"/>
        <v>865.86865700234625</v>
      </c>
      <c r="BE20" s="518">
        <f>BD20*(Hypothèses!$D$23/Hypothèses!$B$23)</f>
        <v>1030.7960202408883</v>
      </c>
      <c r="BF20" s="532">
        <f t="shared" si="8"/>
        <v>4.1400000000000103E-2</v>
      </c>
      <c r="BG20" s="518">
        <f>BD20/Hypothèses!$B$23</f>
        <v>274.8789387309036</v>
      </c>
      <c r="BH20" s="532">
        <f t="shared" si="9"/>
        <v>0.1</v>
      </c>
      <c r="BI20" s="532">
        <f t="shared" si="9"/>
        <v>0</v>
      </c>
      <c r="BJ20" s="518">
        <f t="shared" si="26"/>
        <v>27.487893873090361</v>
      </c>
      <c r="BK20" s="533">
        <f t="shared" si="36"/>
        <v>4.0042678806480936</v>
      </c>
      <c r="BL20" s="534">
        <f t="shared" si="37"/>
        <v>0.14567387007296784</v>
      </c>
      <c r="BM20" s="535">
        <f t="array" ref="BM20">SUM(IF((Prod_Carburant_Alt!$A$7:$A$37=$B20)*(Prod_Carburant_Alt!$B$3:$AI$3=$C$2)*(Prod_Carburant_Alt!$B$5:$AI$5=BM$7)*(Prod_Carburant_Alt!$B$6:$AI$6=BM$9),Prod_Carburant_Alt!$B$7:$AI$37,0))</f>
        <v>4.0042678806480936</v>
      </c>
      <c r="BN20" s="534">
        <f t="shared" si="27"/>
        <v>3.518692513839794</v>
      </c>
      <c r="BO20" s="536">
        <f t="array" ref="BO20">SUM(IF((Prod_Carburant_Alt!$A$7:$A$37=$B20)*(Prod_Carburant_Alt!$B$3:$AI$3=$C$2)*(Prod_Carburant_Alt!$B$5:$AI$5=BO$7)*(Prod_Carburant_Alt!$B$6:$AI$6=BO$9),Prod_Carburant_Alt!$B$7:$AI$37,0))</f>
        <v>0.204382517533922</v>
      </c>
      <c r="BP20" s="543">
        <f t="array" ref="BP20">SUM(IF((Prod_Carburant_Alt!$A$7:$A$37=$B20)*(Prod_Carburant_Alt!$B$3:$AI$3=$C$2)*(Prod_Carburant_Alt!$B$5:$AI$5=BP$7)*(Prod_Carburant_Alt!$B$6:$AI$6=BP$9),Prod_Carburant_Alt!$B$7:$AI$37,0))</f>
        <v>0</v>
      </c>
      <c r="BQ20" s="536">
        <f t="shared" si="38"/>
        <v>0</v>
      </c>
      <c r="BR20" s="537">
        <f t="shared" si="39"/>
        <v>270.87467085025548</v>
      </c>
      <c r="BS20" s="538">
        <f t="shared" si="40"/>
        <v>4.0042678806480936</v>
      </c>
      <c r="BT20" s="539">
        <f t="shared" si="41"/>
        <v>1</v>
      </c>
      <c r="BU20" s="535">
        <f t="shared" si="28"/>
        <v>4.0042678806480936</v>
      </c>
      <c r="BV20" s="539">
        <f t="shared" si="42"/>
        <v>1</v>
      </c>
      <c r="BW20" s="535">
        <f t="shared" si="29"/>
        <v>0</v>
      </c>
      <c r="BX20" s="539">
        <f t="shared" si="43"/>
        <v>0</v>
      </c>
      <c r="BY20" s="538">
        <f t="shared" si="44"/>
        <v>0</v>
      </c>
      <c r="BZ20" s="540">
        <f>BY20*Hypothèses!$B$3/Hypothèses!$B$9</f>
        <v>0</v>
      </c>
      <c r="CA20" s="538">
        <f t="shared" si="45"/>
        <v>270.87467085025548</v>
      </c>
      <c r="CB20" s="533">
        <f>BW20*Prod_Carburant_Alt!$R$61+BZ20*Hypothèses!$B$13</f>
        <v>0</v>
      </c>
      <c r="CC20" s="538">
        <f t="shared" si="46"/>
        <v>0</v>
      </c>
      <c r="CD20" s="541">
        <f t="shared" si="47"/>
        <v>0</v>
      </c>
      <c r="CE20" s="537">
        <f t="shared" si="48"/>
        <v>0</v>
      </c>
      <c r="CF20" s="503">
        <f>(CA20+BU20*BO20)*Hypothèses!$D$23+CE20</f>
        <v>1018.8490245021845</v>
      </c>
      <c r="CG20" s="504">
        <f t="shared" si="11"/>
        <v>1.1590067776854498E-2</v>
      </c>
      <c r="CH20" s="503">
        <f>(CA20+BU20*BO20)*Hypothèses!$B$23</f>
        <v>855.83318058183499</v>
      </c>
      <c r="CI20" s="503">
        <f t="shared" si="49"/>
        <v>0</v>
      </c>
      <c r="CJ20" s="503">
        <f>(BU20+BW20+CA20)*Hypothèses!$B$6+BZ20*Hypothèses!$B$11</f>
        <v>8.7961260393889145</v>
      </c>
      <c r="CK20" s="503">
        <f>(BU20+BW20+CA20)*Hypothèses!$B$5+BZ20*Hypothèses!$B$10</f>
        <v>382.08172483595598</v>
      </c>
      <c r="CL20" s="542">
        <f t="shared" si="12"/>
        <v>5.2510238970892867E-2</v>
      </c>
    </row>
    <row r="21" spans="1:90" ht="14.25" customHeight="1">
      <c r="A21" s="331"/>
      <c r="B21" s="516">
        <v>2025</v>
      </c>
      <c r="C21" s="655">
        <f>Trajectoires!AA17</f>
        <v>1117.5248679159672</v>
      </c>
      <c r="D21" s="659">
        <f>C21/Hypothèses!$D$23</f>
        <v>298.00663144425795</v>
      </c>
      <c r="E21" s="659">
        <f>D21*Hypothèses!$B$23</f>
        <v>938.72088904941256</v>
      </c>
      <c r="F21" s="659">
        <f>D21*Hypothèses!$B$5</f>
        <v>414.2292177075185</v>
      </c>
      <c r="G21" s="659">
        <f>D21*Hypothèses!$B$6</f>
        <v>9.5362122062162538</v>
      </c>
      <c r="H21" s="519">
        <f t="shared" si="30"/>
        <v>0.04</v>
      </c>
      <c r="I21" s="520">
        <f>IF(J21&gt;=1,ROUND(COUNTIFS($B$16:$B21,"&gt;"&amp;MAX($B21-$D$2,2019),H$16:H21,1/25)*(1/$D$2-1/25)*25,0),0)</f>
        <v>0</v>
      </c>
      <c r="J21" s="521">
        <f t="shared" si="50"/>
        <v>0.24000000000000002</v>
      </c>
      <c r="K21" s="522">
        <f>Hypothèses!$G$77</f>
        <v>0.01</v>
      </c>
      <c r="L21" s="523">
        <f t="shared" si="13"/>
        <v>9.3872088904941258</v>
      </c>
      <c r="M21" s="524">
        <f t="array" ref="M21">1-SUM(IF((Roadmap_Avion!$B$8:$B$38=$B21)*(Roadmap_Avion!$C$4:$Z$4=$B$2)*(Roadmap_Avion!$C$6:$Z$6=M$7)*(Roadmap_Avion!$C$7:$Z$7=M$9),Roadmap_Avion!$C$8:$Z$38,0))</f>
        <v>0</v>
      </c>
      <c r="N21" s="525">
        <f t="array" ref="N21">SUM(IF((Roadmap_Avion!$B$8:$B$38=$B21)*(Roadmap_Avion!$C$4:$Z$4=$B$2)*(Roadmap_Avion!$C$6:$Z$6=N$7)*(Roadmap_Avion!$C$7:$Z$7=N$9),Roadmap_Avion!$C$8:$Z$38,0))</f>
        <v>0.5</v>
      </c>
      <c r="O21" s="526">
        <f t="array" ref="O21">SUM(IF((Roadmap_Avion!$B$8:$B$38=$B21)*(Roadmap_Avion!$C$4:$Z$4=$B$2)*(Roadmap_Avion!$C$6:$Z$6=O$7)*(Roadmap_Avion!$C$7:$Z$7=O$9),Roadmap_Avion!$C$8:$Z$38,0))</f>
        <v>0</v>
      </c>
      <c r="P21" s="527">
        <f t="array" ref="P21">IF($J21&lt;1,P20+$H21*M21,SUMPRODUCT(($B$16:$B$46&lt;=$B21)*($B$16:$B$46&gt;MAX($B21-$D$2-$I21,2019))*$H$16:$H$46*M$16:M$46))</f>
        <v>0</v>
      </c>
      <c r="Q21" s="528">
        <f t="shared" si="31"/>
        <v>9.3872088904941258</v>
      </c>
      <c r="R21" s="529">
        <f t="shared" si="14"/>
        <v>1.1999999999999999E-3</v>
      </c>
      <c r="S21" s="530">
        <f t="shared" si="15"/>
        <v>0</v>
      </c>
      <c r="T21" s="522">
        <f>Hypothèses!$G$78</f>
        <v>0.03</v>
      </c>
      <c r="U21" s="523">
        <f t="shared" si="16"/>
        <v>28.161626671482377</v>
      </c>
      <c r="V21" s="524">
        <f t="array" ref="V21">1-SUM(IF((Roadmap_Avion!$B$8:$B$38=$B21)*(Roadmap_Avion!$C$4:$Z$4=$B$2)*(Roadmap_Avion!$C$6:$Z$6=V$7)*(Roadmap_Avion!$C$7:$Z$7=V$9),Roadmap_Avion!$C$8:$Z$38,0))</f>
        <v>0</v>
      </c>
      <c r="W21" s="525">
        <f t="array" ref="W21">SUM(IF((Roadmap_Avion!$B$8:$B$38=$B21)*(Roadmap_Avion!$C$4:$Z$4=$B$2)*(Roadmap_Avion!$C$6:$Z$6=W$7)*(Roadmap_Avion!$C$7:$Z$7=W$9),Roadmap_Avion!$C$8:$Z$38,0))</f>
        <v>0.5</v>
      </c>
      <c r="X21" s="526">
        <f t="array" ref="X21">SUM(IF((Roadmap_Avion!$B$8:$B$38=$B21)*(Roadmap_Avion!$C$4:$Z$4=$B$2)*(Roadmap_Avion!$C$6:$Z$6=X$7)*(Roadmap_Avion!$C$7:$Z$7=X$9),Roadmap_Avion!$C$8:$Z$38,0))</f>
        <v>0</v>
      </c>
      <c r="Y21" s="527">
        <f t="array" ref="Y21">IF($J21&lt;1,Y20+$H21*V21,SUMPRODUCT(($B$16:$B$46&lt;=$B21)*($B$16:$B$46&gt;MAX($B21-$D$2-$I21,2019))*$H$16:$H$46*V$16:V$46))</f>
        <v>0</v>
      </c>
      <c r="Z21" s="528">
        <f t="shared" si="32"/>
        <v>28.161626671482377</v>
      </c>
      <c r="AA21" s="529">
        <f t="shared" si="17"/>
        <v>3.5999999999999999E-3</v>
      </c>
      <c r="AB21" s="530">
        <f t="shared" si="18"/>
        <v>0</v>
      </c>
      <c r="AC21" s="522">
        <f>Hypothèses!$G$79</f>
        <v>0.24</v>
      </c>
      <c r="AD21" s="523">
        <f t="shared" si="19"/>
        <v>225.29301337185902</v>
      </c>
      <c r="AE21" s="524">
        <f t="array" ref="AE21">1-SUM(IF((Roadmap_Avion!$B$8:$B$38=$B21)*(Roadmap_Avion!$C$4:$Z$4=$B$2)*(Roadmap_Avion!$C$6:$Z$6=AE$7)*(Roadmap_Avion!$C$7:$Z$7=AE$9),Roadmap_Avion!$C$8:$Z$38,0))</f>
        <v>0.19999999999999996</v>
      </c>
      <c r="AF21" s="525">
        <f t="array" ref="AF21">SUM(IF((Roadmap_Avion!$B$8:$B$38=$B21)*(Roadmap_Avion!$C$4:$Z$4=$B$2)*(Roadmap_Avion!$C$6:$Z$6=AF$7)*(Roadmap_Avion!$C$7:$Z$7=AF$9),Roadmap_Avion!$C$8:$Z$38,0))</f>
        <v>0.5</v>
      </c>
      <c r="AG21" s="526">
        <f t="array" ref="AG21">SUM(IF((Roadmap_Avion!$B$8:$B$38=$B21)*(Roadmap_Avion!$C$4:$Z$4=$B$2)*(Roadmap_Avion!$C$6:$Z$6=AG$7)*(Roadmap_Avion!$C$7:$Z$7=AG$9),Roadmap_Avion!$C$8:$Z$38,0))</f>
        <v>0</v>
      </c>
      <c r="AH21" s="527">
        <f t="array" ref="AH21">IF($J21&lt;1,AH20+$H21*AE21,SUMPRODUCT(($B$16:$B$46&lt;=$B21)*($B$16:$B$46&gt;MAX($B21-$D$2-$I21,2019))*$H$16:$H$46*AE$16:AE$46))</f>
        <v>4.7999999999999994E-2</v>
      </c>
      <c r="AI21" s="528">
        <f t="shared" si="33"/>
        <v>214.47894873000976</v>
      </c>
      <c r="AJ21" s="529">
        <f t="shared" si="20"/>
        <v>2.8799999999999999E-2</v>
      </c>
      <c r="AK21" s="530">
        <f t="shared" si="21"/>
        <v>0</v>
      </c>
      <c r="AL21" s="522">
        <f>Hypothèses!$G$80</f>
        <v>0.42</v>
      </c>
      <c r="AM21" s="523">
        <f t="shared" si="22"/>
        <v>394.26277340075325</v>
      </c>
      <c r="AN21" s="524">
        <f t="array" ref="AN21">1-SUM(IF((Roadmap_Avion!$B$8:$B$38=$B21)*(Roadmap_Avion!$C$4:$Z$4=$B$2)*(Roadmap_Avion!$C$6:$Z$6=AN$7)*(Roadmap_Avion!$C$7:$Z$7=AN$9),Roadmap_Avion!$C$8:$Z$38,0))</f>
        <v>0.19999999999999996</v>
      </c>
      <c r="AO21" s="525">
        <f t="array" ref="AO21">SUM(IF((Roadmap_Avion!$B$8:$B$38=$B21)*(Roadmap_Avion!$C$4:$Z$4=$B$2)*(Roadmap_Avion!$C$6:$Z$6=AO$7)*(Roadmap_Avion!$C$7:$Z$7=AO$9),Roadmap_Avion!$C$8:$Z$38,0))</f>
        <v>0.5</v>
      </c>
      <c r="AP21" s="526">
        <f t="array" ref="AP21">SUM(IF((Roadmap_Avion!$B$8:$B$38=$B21)*(Roadmap_Avion!$C$4:$Z$4=$B$2)*(Roadmap_Avion!$C$6:$Z$6=AP$7)*(Roadmap_Avion!$C$7:$Z$7=AP$9),Roadmap_Avion!$C$8:$Z$38,0))</f>
        <v>0</v>
      </c>
      <c r="AQ21" s="527">
        <f t="array" ref="AQ21">IF($J21&lt;1,AQ20+$H21*AN21,SUMPRODUCT(($B$16:$B$46&lt;=$B21)*($B$16:$B$46&gt;MAX($B21-$D$2-$I21,2019))*$H$16:$H$46*AN$16:AN$46))</f>
        <v>4.7999999999999994E-2</v>
      </c>
      <c r="AR21" s="528">
        <f t="shared" si="34"/>
        <v>375.33816027751709</v>
      </c>
      <c r="AS21" s="529">
        <f t="shared" si="4"/>
        <v>5.04E-2</v>
      </c>
      <c r="AT21" s="530">
        <f t="shared" si="5"/>
        <v>0</v>
      </c>
      <c r="AU21" s="531">
        <f>Hypothèses!$G$81</f>
        <v>0.3</v>
      </c>
      <c r="AV21" s="523">
        <f t="shared" si="23"/>
        <v>281.61626671482378</v>
      </c>
      <c r="AW21" s="524">
        <f t="array" ref="AW21">1-SUM(IF((Roadmap_Avion!$B$8:$B$38=$B21)*(Roadmap_Avion!$C$4:$Z$4=$B$2)*(Roadmap_Avion!$C$6:$Z$6=AW$7)*(Roadmap_Avion!$C$7:$Z$7=AW$9),Roadmap_Avion!$C$8:$Z$38,0))</f>
        <v>0.25</v>
      </c>
      <c r="AX21" s="525">
        <f t="array" ref="AX21">SUM(IF((Roadmap_Avion!$B$8:$B$38=$B21)*(Roadmap_Avion!$C$4:$Z$4=$B$2)*(Roadmap_Avion!$C$6:$Z$6=AX$7)*(Roadmap_Avion!$C$7:$Z$7=AX$9),Roadmap_Avion!$C$8:$Z$38,0))</f>
        <v>0.5</v>
      </c>
      <c r="AY21" s="526">
        <f t="array" ref="AY21">SUM(IF((Roadmap_Avion!$B$8:$B$38=$B21)*(Roadmap_Avion!$C$4:$Z$4=$B$2)*(Roadmap_Avion!$C$6:$Z$6=AY$7)*(Roadmap_Avion!$C$7:$Z$7=AY$9),Roadmap_Avion!$C$8:$Z$38,0))</f>
        <v>0</v>
      </c>
      <c r="AZ21" s="527">
        <f t="array" ref="AZ21">IF($J21&lt;1,AZ20+$H21*AW21,SUMPRODUCT(($B$16:$B$46&lt;=$B21)*($B$16:$B$46&gt;MAX($B21-$D$2-$I21,2019))*$H$16:$H$46*AW$16:AW$46))</f>
        <v>6.0000000000000005E-2</v>
      </c>
      <c r="BA21" s="528">
        <f t="shared" si="35"/>
        <v>264.71929071193432</v>
      </c>
      <c r="BB21" s="529">
        <f t="shared" si="24"/>
        <v>3.5999999999999997E-2</v>
      </c>
      <c r="BC21" s="529">
        <f t="shared" si="25"/>
        <v>0</v>
      </c>
      <c r="BD21" s="517">
        <f t="shared" si="7"/>
        <v>892.08523528143769</v>
      </c>
      <c r="BE21" s="518">
        <f>BD21*(Hypothèses!$D$23/Hypothèses!$B$23)</f>
        <v>1062.0062324779019</v>
      </c>
      <c r="BF21" s="532">
        <f t="shared" si="8"/>
        <v>4.9680000000000057E-2</v>
      </c>
      <c r="BG21" s="518">
        <f>BD21/Hypothèses!$B$23</f>
        <v>283.20166199410721</v>
      </c>
      <c r="BH21" s="532">
        <f t="shared" si="9"/>
        <v>0.12</v>
      </c>
      <c r="BI21" s="532">
        <f t="shared" si="9"/>
        <v>0</v>
      </c>
      <c r="BJ21" s="518">
        <f t="shared" si="26"/>
        <v>33.984199439292865</v>
      </c>
      <c r="BK21" s="533">
        <f t="shared" si="36"/>
        <v>5.005334850810117</v>
      </c>
      <c r="BL21" s="534">
        <f t="shared" si="37"/>
        <v>0.14728417715860329</v>
      </c>
      <c r="BM21" s="535">
        <f t="array" ref="BM21">SUM(IF((Prod_Carburant_Alt!$A$7:$A$37=$B21)*(Prod_Carburant_Alt!$B$3:$AI$3=$C$2)*(Prod_Carburant_Alt!$B$5:$AI$5=BM$7)*(Prod_Carburant_Alt!$B$6:$AI$6=BM$9),Prod_Carburant_Alt!$B$7:$AI$37,0))</f>
        <v>5.005334850810117</v>
      </c>
      <c r="BN21" s="534">
        <f t="shared" si="27"/>
        <v>2.9646573502134284</v>
      </c>
      <c r="BO21" s="536">
        <f t="array" ref="BO21">SUM(IF((Prod_Carburant_Alt!$A$7:$A$37=$B21)*(Prod_Carburant_Alt!$B$3:$AI$3=$C$2)*(Prod_Carburant_Alt!$B$5:$AI$5=BO$7)*(Prod_Carburant_Alt!$B$6:$AI$6=BO$9),Prod_Carburant_Alt!$B$7:$AI$37,0))</f>
        <v>0.204382517533922</v>
      </c>
      <c r="BP21" s="543">
        <f t="array" ref="BP21">SUM(IF((Prod_Carburant_Alt!$A$7:$A$37=$B21)*(Prod_Carburant_Alt!$B$3:$AI$3=$C$2)*(Prod_Carburant_Alt!$B$5:$AI$5=BP$7)*(Prod_Carburant_Alt!$B$6:$AI$6=BP$9),Prod_Carburant_Alt!$B$7:$AI$37,0))</f>
        <v>0</v>
      </c>
      <c r="BQ21" s="536">
        <f t="shared" si="38"/>
        <v>0</v>
      </c>
      <c r="BR21" s="537">
        <f t="shared" si="39"/>
        <v>278.19632714329708</v>
      </c>
      <c r="BS21" s="538">
        <f t="shared" si="40"/>
        <v>5.005334850810117</v>
      </c>
      <c r="BT21" s="539">
        <f t="shared" si="41"/>
        <v>1</v>
      </c>
      <c r="BU21" s="535">
        <f t="shared" si="28"/>
        <v>5.005334850810117</v>
      </c>
      <c r="BV21" s="539">
        <f t="shared" si="42"/>
        <v>1</v>
      </c>
      <c r="BW21" s="535">
        <f t="shared" si="29"/>
        <v>0</v>
      </c>
      <c r="BX21" s="539">
        <f t="shared" si="43"/>
        <v>0</v>
      </c>
      <c r="BY21" s="538">
        <f t="shared" si="44"/>
        <v>0</v>
      </c>
      <c r="BZ21" s="540">
        <f>BY21*Hypothèses!$B$3/Hypothèses!$B$9</f>
        <v>0</v>
      </c>
      <c r="CA21" s="538">
        <f t="shared" si="45"/>
        <v>278.19632714329708</v>
      </c>
      <c r="CB21" s="533">
        <f>BW21*Prod_Carburant_Alt!$R$61+BZ21*Hypothèses!$B$13</f>
        <v>0</v>
      </c>
      <c r="CC21" s="538">
        <f t="shared" si="46"/>
        <v>0</v>
      </c>
      <c r="CD21" s="541">
        <f t="shared" si="47"/>
        <v>0</v>
      </c>
      <c r="CE21" s="537">
        <f t="shared" si="48"/>
        <v>0</v>
      </c>
      <c r="CF21" s="503">
        <f>(CA21+BU21*BO21)*Hypothèses!$D$23+CE21</f>
        <v>1047.0724878045223</v>
      </c>
      <c r="CG21" s="504">
        <f t="shared" si="11"/>
        <v>1.4061823948561732E-2</v>
      </c>
      <c r="CH21" s="503">
        <f>(CA21+BU21*BO21)*Hypothèses!$B$23</f>
        <v>879.54088975579873</v>
      </c>
      <c r="CI21" s="503">
        <f t="shared" si="49"/>
        <v>0</v>
      </c>
      <c r="CJ21" s="503">
        <f>(BU21+BW21+CA21)*Hypothèses!$B$6+BZ21*Hypothèses!$B$11</f>
        <v>9.0624531838114315</v>
      </c>
      <c r="CK21" s="503">
        <f>(BU21+BW21+CA21)*Hypothèses!$B$5+BZ21*Hypothèses!$B$10</f>
        <v>393.650310171809</v>
      </c>
      <c r="CL21" s="542">
        <f t="shared" si="12"/>
        <v>6.3043232534797225E-2</v>
      </c>
    </row>
    <row r="22" spans="1:90" ht="14.25" customHeight="1">
      <c r="A22" s="331"/>
      <c r="B22" s="516">
        <v>2026</v>
      </c>
      <c r="C22" s="655">
        <f>Trajectoires!AA18</f>
        <v>1161.304521920868</v>
      </c>
      <c r="D22" s="659">
        <f>C22/Hypothèses!$D$23</f>
        <v>309.68120584556476</v>
      </c>
      <c r="E22" s="659">
        <f>D22*Hypothèses!$B$23</f>
        <v>975.49579841352897</v>
      </c>
      <c r="F22" s="659">
        <f>D22*Hypothèses!$B$5</f>
        <v>430.45687612533499</v>
      </c>
      <c r="G22" s="659">
        <f>D22*Hypothèses!$B$6</f>
        <v>9.9097985870580718</v>
      </c>
      <c r="H22" s="519">
        <f t="shared" si="30"/>
        <v>0.04</v>
      </c>
      <c r="I22" s="520">
        <f>IF(J22&gt;=1,ROUND(COUNTIFS($B$16:$B22,"&gt;"&amp;MAX($B22-$D$2,2019),H$16:H22,1/25)*(1/$D$2-1/25)*25,0),0)</f>
        <v>0</v>
      </c>
      <c r="J22" s="521">
        <f t="shared" si="50"/>
        <v>0.28000000000000003</v>
      </c>
      <c r="K22" s="522">
        <f>Hypothèses!$G$77</f>
        <v>0.01</v>
      </c>
      <c r="L22" s="523">
        <f t="shared" si="13"/>
        <v>9.7549579841352898</v>
      </c>
      <c r="M22" s="524">
        <f t="array" ref="M22">1-SUM(IF((Roadmap_Avion!$B$8:$B$38=$B22)*(Roadmap_Avion!$C$4:$Z$4=$B$2)*(Roadmap_Avion!$C$6:$Z$6=M$7)*(Roadmap_Avion!$C$7:$Z$7=M$9),Roadmap_Avion!$C$8:$Z$38,0))</f>
        <v>0</v>
      </c>
      <c r="N22" s="525">
        <f t="array" ref="N22">SUM(IF((Roadmap_Avion!$B$8:$B$38=$B22)*(Roadmap_Avion!$C$4:$Z$4=$B$2)*(Roadmap_Avion!$C$6:$Z$6=N$7)*(Roadmap_Avion!$C$7:$Z$7=N$9),Roadmap_Avion!$C$8:$Z$38,0))</f>
        <v>0.5</v>
      </c>
      <c r="O22" s="526">
        <f t="array" ref="O22">SUM(IF((Roadmap_Avion!$B$8:$B$38=$B22)*(Roadmap_Avion!$C$4:$Z$4=$B$2)*(Roadmap_Avion!$C$6:$Z$6=O$7)*(Roadmap_Avion!$C$7:$Z$7=O$9),Roadmap_Avion!$C$8:$Z$38,0))</f>
        <v>0</v>
      </c>
      <c r="P22" s="527">
        <f t="array" ref="P22">IF($J22&lt;1,P21+$H22*M22,SUMPRODUCT(($B$16:$B$46&lt;=$B22)*($B$16:$B$46&gt;MAX($B22-$D$2-$I22,2019))*$H$16:$H$46*M$16:M$46))</f>
        <v>0</v>
      </c>
      <c r="Q22" s="528">
        <f t="shared" si="31"/>
        <v>9.7549579841352898</v>
      </c>
      <c r="R22" s="529">
        <f t="shared" si="14"/>
        <v>1.4000000000000002E-3</v>
      </c>
      <c r="S22" s="530">
        <f t="shared" si="15"/>
        <v>0</v>
      </c>
      <c r="T22" s="522">
        <f>Hypothèses!$G$78</f>
        <v>0.03</v>
      </c>
      <c r="U22" s="523">
        <f t="shared" si="16"/>
        <v>29.264873952405868</v>
      </c>
      <c r="V22" s="524">
        <f t="array" ref="V22">1-SUM(IF((Roadmap_Avion!$B$8:$B$38=$B22)*(Roadmap_Avion!$C$4:$Z$4=$B$2)*(Roadmap_Avion!$C$6:$Z$6=V$7)*(Roadmap_Avion!$C$7:$Z$7=V$9),Roadmap_Avion!$C$8:$Z$38,0))</f>
        <v>0</v>
      </c>
      <c r="W22" s="525">
        <f t="array" ref="W22">SUM(IF((Roadmap_Avion!$B$8:$B$38=$B22)*(Roadmap_Avion!$C$4:$Z$4=$B$2)*(Roadmap_Avion!$C$6:$Z$6=W$7)*(Roadmap_Avion!$C$7:$Z$7=W$9),Roadmap_Avion!$C$8:$Z$38,0))</f>
        <v>0.5</v>
      </c>
      <c r="X22" s="526">
        <f t="array" ref="X22">SUM(IF((Roadmap_Avion!$B$8:$B$38=$B22)*(Roadmap_Avion!$C$4:$Z$4=$B$2)*(Roadmap_Avion!$C$6:$Z$6=X$7)*(Roadmap_Avion!$C$7:$Z$7=X$9),Roadmap_Avion!$C$8:$Z$38,0))</f>
        <v>0</v>
      </c>
      <c r="Y22" s="527">
        <f t="array" ref="Y22">IF($J22&lt;1,Y21+$H22*V22,SUMPRODUCT(($B$16:$B$46&lt;=$B22)*($B$16:$B$46&gt;MAX($B22-$D$2-$I22,2019))*$H$16:$H$46*V$16:V$46))</f>
        <v>0</v>
      </c>
      <c r="Z22" s="528">
        <f t="shared" si="32"/>
        <v>29.264873952405868</v>
      </c>
      <c r="AA22" s="529">
        <f t="shared" si="17"/>
        <v>4.1999999999999997E-3</v>
      </c>
      <c r="AB22" s="530">
        <f t="shared" si="18"/>
        <v>0</v>
      </c>
      <c r="AC22" s="522">
        <f>Hypothèses!$G$79</f>
        <v>0.24</v>
      </c>
      <c r="AD22" s="523">
        <f t="shared" si="19"/>
        <v>234.11899161924694</v>
      </c>
      <c r="AE22" s="524">
        <f t="array" ref="AE22">1-SUM(IF((Roadmap_Avion!$B$8:$B$38=$B22)*(Roadmap_Avion!$C$4:$Z$4=$B$2)*(Roadmap_Avion!$C$6:$Z$6=AE$7)*(Roadmap_Avion!$C$7:$Z$7=AE$9),Roadmap_Avion!$C$8:$Z$38,0))</f>
        <v>0.19999999999999996</v>
      </c>
      <c r="AF22" s="525">
        <f t="array" ref="AF22">SUM(IF((Roadmap_Avion!$B$8:$B$38=$B22)*(Roadmap_Avion!$C$4:$Z$4=$B$2)*(Roadmap_Avion!$C$6:$Z$6=AF$7)*(Roadmap_Avion!$C$7:$Z$7=AF$9),Roadmap_Avion!$C$8:$Z$38,0))</f>
        <v>0.5</v>
      </c>
      <c r="AG22" s="526">
        <f t="array" ref="AG22">SUM(IF((Roadmap_Avion!$B$8:$B$38=$B22)*(Roadmap_Avion!$C$4:$Z$4=$B$2)*(Roadmap_Avion!$C$6:$Z$6=AG$7)*(Roadmap_Avion!$C$7:$Z$7=AG$9),Roadmap_Avion!$C$8:$Z$38,0))</f>
        <v>0</v>
      </c>
      <c r="AH22" s="527">
        <f t="array" ref="AH22">IF($J22&lt;1,AH21+$H22*AE22,SUMPRODUCT(($B$16:$B$46&lt;=$B22)*($B$16:$B$46&gt;MAX($B22-$D$2-$I22,2019))*$H$16:$H$46*AE$16:AE$46))</f>
        <v>5.5999999999999994E-2</v>
      </c>
      <c r="AI22" s="528">
        <f t="shared" si="33"/>
        <v>221.0083280885691</v>
      </c>
      <c r="AJ22" s="529">
        <f t="shared" si="20"/>
        <v>3.3599999999999998E-2</v>
      </c>
      <c r="AK22" s="530">
        <f t="shared" si="21"/>
        <v>0</v>
      </c>
      <c r="AL22" s="522">
        <f>Hypothèses!$G$80</f>
        <v>0.42</v>
      </c>
      <c r="AM22" s="523">
        <f t="shared" si="22"/>
        <v>409.70823533368213</v>
      </c>
      <c r="AN22" s="524">
        <f t="array" ref="AN22">1-SUM(IF((Roadmap_Avion!$B$8:$B$38=$B22)*(Roadmap_Avion!$C$4:$Z$4=$B$2)*(Roadmap_Avion!$C$6:$Z$6=AN$7)*(Roadmap_Avion!$C$7:$Z$7=AN$9),Roadmap_Avion!$C$8:$Z$38,0))</f>
        <v>0.19999999999999996</v>
      </c>
      <c r="AO22" s="525">
        <f t="array" ref="AO22">SUM(IF((Roadmap_Avion!$B$8:$B$38=$B22)*(Roadmap_Avion!$C$4:$Z$4=$B$2)*(Roadmap_Avion!$C$6:$Z$6=AO$7)*(Roadmap_Avion!$C$7:$Z$7=AO$9),Roadmap_Avion!$C$8:$Z$38,0))</f>
        <v>0.5</v>
      </c>
      <c r="AP22" s="526">
        <f t="array" ref="AP22">SUM(IF((Roadmap_Avion!$B$8:$B$38=$B22)*(Roadmap_Avion!$C$4:$Z$4=$B$2)*(Roadmap_Avion!$C$6:$Z$6=AP$7)*(Roadmap_Avion!$C$7:$Z$7=AP$9),Roadmap_Avion!$C$8:$Z$38,0))</f>
        <v>0</v>
      </c>
      <c r="AQ22" s="527">
        <f t="array" ref="AQ22">IF($J22&lt;1,AQ21+$H22*AN22,SUMPRODUCT(($B$16:$B$46&lt;=$B22)*($B$16:$B$46&gt;MAX($B22-$D$2-$I22,2019))*$H$16:$H$46*AN$16:AN$46))</f>
        <v>5.5999999999999994E-2</v>
      </c>
      <c r="AR22" s="528">
        <f t="shared" si="34"/>
        <v>386.7645741549959</v>
      </c>
      <c r="AS22" s="529">
        <f t="shared" si="4"/>
        <v>5.8799999999999998E-2</v>
      </c>
      <c r="AT22" s="530">
        <f t="shared" si="5"/>
        <v>0</v>
      </c>
      <c r="AU22" s="531">
        <f>Hypothèses!$G$81</f>
        <v>0.3</v>
      </c>
      <c r="AV22" s="523">
        <f t="shared" si="23"/>
        <v>292.64873952405867</v>
      </c>
      <c r="AW22" s="524">
        <f t="array" ref="AW22">1-SUM(IF((Roadmap_Avion!$B$8:$B$38=$B22)*(Roadmap_Avion!$C$4:$Z$4=$B$2)*(Roadmap_Avion!$C$6:$Z$6=AW$7)*(Roadmap_Avion!$C$7:$Z$7=AW$9),Roadmap_Avion!$C$8:$Z$38,0))</f>
        <v>0.25</v>
      </c>
      <c r="AX22" s="525">
        <f t="array" ref="AX22">SUM(IF((Roadmap_Avion!$B$8:$B$38=$B22)*(Roadmap_Avion!$C$4:$Z$4=$B$2)*(Roadmap_Avion!$C$6:$Z$6=AX$7)*(Roadmap_Avion!$C$7:$Z$7=AX$9),Roadmap_Avion!$C$8:$Z$38,0))</f>
        <v>0.5</v>
      </c>
      <c r="AY22" s="526">
        <f t="array" ref="AY22">SUM(IF((Roadmap_Avion!$B$8:$B$38=$B22)*(Roadmap_Avion!$C$4:$Z$4=$B$2)*(Roadmap_Avion!$C$6:$Z$6=AY$7)*(Roadmap_Avion!$C$7:$Z$7=AY$9),Roadmap_Avion!$C$8:$Z$38,0))</f>
        <v>0</v>
      </c>
      <c r="AZ22" s="527">
        <f t="array" ref="AZ22">IF($J22&lt;1,AZ21+$H22*AW22,SUMPRODUCT(($B$16:$B$46&lt;=$B22)*($B$16:$B$46&gt;MAX($B22-$D$2-$I22,2019))*$H$16:$H$46*AW$16:AW$46))</f>
        <v>7.0000000000000007E-2</v>
      </c>
      <c r="BA22" s="528">
        <f t="shared" si="35"/>
        <v>272.16332775737453</v>
      </c>
      <c r="BB22" s="529">
        <f t="shared" si="24"/>
        <v>4.2000000000000003E-2</v>
      </c>
      <c r="BC22" s="529">
        <f t="shared" si="25"/>
        <v>0</v>
      </c>
      <c r="BD22" s="517">
        <f t="shared" si="7"/>
        <v>918.95606193748074</v>
      </c>
      <c r="BE22" s="518">
        <f>BD22*(Hypothèses!$D$23/Hypothèses!$B$23)</f>
        <v>1093.9953118303342</v>
      </c>
      <c r="BF22" s="532">
        <f t="shared" si="8"/>
        <v>5.7960000000000234E-2</v>
      </c>
      <c r="BG22" s="518">
        <f>BD22/Hypothèses!$B$23</f>
        <v>291.7320831547558</v>
      </c>
      <c r="BH22" s="532">
        <f t="shared" si="9"/>
        <v>0.14000000000000001</v>
      </c>
      <c r="BI22" s="532">
        <f t="shared" si="9"/>
        <v>0</v>
      </c>
      <c r="BJ22" s="518">
        <f t="shared" si="26"/>
        <v>40.842491641665816</v>
      </c>
      <c r="BK22" s="533">
        <f t="shared" si="36"/>
        <v>6.2566685635126458</v>
      </c>
      <c r="BL22" s="534">
        <f t="shared" si="37"/>
        <v>0.15319017797459381</v>
      </c>
      <c r="BM22" s="535">
        <f t="array" ref="BM22">SUM(IF((Prod_Carburant_Alt!$A$7:$A$37=$B22)*(Prod_Carburant_Alt!$B$3:$AI$3=$C$2)*(Prod_Carburant_Alt!$B$5:$AI$5=BM$7)*(Prod_Carburant_Alt!$B$6:$AI$6=BM$9),Prod_Carburant_Alt!$B$7:$AI$37,0))</f>
        <v>6.2566685635126458</v>
      </c>
      <c r="BN22" s="534">
        <f t="shared" si="27"/>
        <v>2.6430327462835264</v>
      </c>
      <c r="BO22" s="536">
        <f t="array" ref="BO22">SUM(IF((Prod_Carburant_Alt!$A$7:$A$37=$B22)*(Prod_Carburant_Alt!$B$3:$AI$3=$C$2)*(Prod_Carburant_Alt!$B$5:$AI$5=BO$7)*(Prod_Carburant_Alt!$B$6:$AI$6=BO$9),Prod_Carburant_Alt!$B$7:$AI$37,0))</f>
        <v>0.204382517533922</v>
      </c>
      <c r="BP22" s="543">
        <f t="array" ref="BP22">SUM(IF((Prod_Carburant_Alt!$A$7:$A$37=$B22)*(Prod_Carburant_Alt!$B$3:$AI$3=$C$2)*(Prod_Carburant_Alt!$B$5:$AI$5=BP$7)*(Prod_Carburant_Alt!$B$6:$AI$6=BP$9),Prod_Carburant_Alt!$B$7:$AI$37,0))</f>
        <v>0</v>
      </c>
      <c r="BQ22" s="536">
        <f t="shared" si="38"/>
        <v>0</v>
      </c>
      <c r="BR22" s="537">
        <f t="shared" si="39"/>
        <v>285.47541459124318</v>
      </c>
      <c r="BS22" s="538">
        <f t="shared" si="40"/>
        <v>6.2566685635126458</v>
      </c>
      <c r="BT22" s="539">
        <f t="shared" si="41"/>
        <v>1</v>
      </c>
      <c r="BU22" s="535">
        <f t="shared" si="28"/>
        <v>6.2566685635126458</v>
      </c>
      <c r="BV22" s="539">
        <f t="shared" si="42"/>
        <v>1</v>
      </c>
      <c r="BW22" s="535">
        <f t="shared" si="29"/>
        <v>0</v>
      </c>
      <c r="BX22" s="539">
        <f t="shared" si="43"/>
        <v>0</v>
      </c>
      <c r="BY22" s="538">
        <f t="shared" si="44"/>
        <v>0</v>
      </c>
      <c r="BZ22" s="540">
        <f>BY22*Hypothèses!$B$3/Hypothèses!$B$9</f>
        <v>0</v>
      </c>
      <c r="CA22" s="538">
        <f t="shared" si="45"/>
        <v>285.47541459124318</v>
      </c>
      <c r="CB22" s="533">
        <f>BW22*Prod_Carburant_Alt!$R$61+BZ22*Hypothèses!$B$13</f>
        <v>0</v>
      </c>
      <c r="CC22" s="538">
        <f t="shared" si="46"/>
        <v>0</v>
      </c>
      <c r="CD22" s="541">
        <f t="shared" si="47"/>
        <v>0</v>
      </c>
      <c r="CE22" s="537">
        <f t="shared" si="48"/>
        <v>0</v>
      </c>
      <c r="CF22" s="503">
        <f>(CA22+BU22*BO22)*Hypothèses!$D$23+CE22</f>
        <v>1075.3281309886097</v>
      </c>
      <c r="CG22" s="504">
        <f t="shared" si="11"/>
        <v>1.7063309723414601E-2</v>
      </c>
      <c r="CH22" s="503">
        <f>(CA22+BU22*BO22)*Hypothèses!$B$23</f>
        <v>903.27563003043213</v>
      </c>
      <c r="CI22" s="503">
        <f t="shared" si="49"/>
        <v>0</v>
      </c>
      <c r="CJ22" s="503">
        <f>(BU22+BW22+CA22)*Hypothèses!$B$6+BZ22*Hypothèses!$B$11</f>
        <v>9.3354266609521854</v>
      </c>
      <c r="CK22" s="503">
        <f>(BU22+BW22+CA22)*Hypothèses!$B$5+BZ22*Hypothèses!$B$10</f>
        <v>405.50759558511055</v>
      </c>
      <c r="CL22" s="542">
        <f t="shared" si="12"/>
        <v>7.4034320291845673E-2</v>
      </c>
    </row>
    <row r="23" spans="1:90" ht="14.25" customHeight="1">
      <c r="A23" s="331"/>
      <c r="B23" s="516">
        <v>2027</v>
      </c>
      <c r="C23" s="655">
        <f>Trajectoires!AA19</f>
        <v>1206.6978849145908</v>
      </c>
      <c r="D23" s="659">
        <f>C23/Hypothèses!$D$23</f>
        <v>321.78610264389084</v>
      </c>
      <c r="E23" s="659">
        <f>D23*Hypothèses!$B$23</f>
        <v>1013.6262233282562</v>
      </c>
      <c r="F23" s="659">
        <f>D23*Hypothèses!$B$5</f>
        <v>447.28268267500823</v>
      </c>
      <c r="G23" s="659">
        <f>D23*Hypothèses!$B$6</f>
        <v>10.297155284604507</v>
      </c>
      <c r="H23" s="519">
        <f t="shared" si="30"/>
        <v>0.04</v>
      </c>
      <c r="I23" s="520">
        <f>IF(J23&gt;=1,ROUND(COUNTIFS($B$16:$B23,"&gt;"&amp;MAX($B23-$D$2,2019),H$16:H23,1/25)*(1/$D$2-1/25)*25,0),0)</f>
        <v>0</v>
      </c>
      <c r="J23" s="521">
        <f t="shared" si="50"/>
        <v>0.32</v>
      </c>
      <c r="K23" s="522">
        <f>Hypothèses!$G$77</f>
        <v>0.01</v>
      </c>
      <c r="L23" s="523">
        <f t="shared" si="13"/>
        <v>10.136262233282562</v>
      </c>
      <c r="M23" s="524">
        <f t="array" ref="M23">1-SUM(IF((Roadmap_Avion!$B$8:$B$38=$B23)*(Roadmap_Avion!$C$4:$Z$4=$B$2)*(Roadmap_Avion!$C$6:$Z$6=M$7)*(Roadmap_Avion!$C$7:$Z$7=M$9),Roadmap_Avion!$C$8:$Z$38,0))</f>
        <v>0</v>
      </c>
      <c r="N23" s="525">
        <f t="array" ref="N23">SUM(IF((Roadmap_Avion!$B$8:$B$38=$B23)*(Roadmap_Avion!$C$4:$Z$4=$B$2)*(Roadmap_Avion!$C$6:$Z$6=N$7)*(Roadmap_Avion!$C$7:$Z$7=N$9),Roadmap_Avion!$C$8:$Z$38,0))</f>
        <v>0.5</v>
      </c>
      <c r="O23" s="526">
        <f t="array" ref="O23">SUM(IF((Roadmap_Avion!$B$8:$B$38=$B23)*(Roadmap_Avion!$C$4:$Z$4=$B$2)*(Roadmap_Avion!$C$6:$Z$6=O$7)*(Roadmap_Avion!$C$7:$Z$7=O$9),Roadmap_Avion!$C$8:$Z$38,0))</f>
        <v>0</v>
      </c>
      <c r="P23" s="527">
        <f t="array" ref="P23">IF($J23&lt;1,P22+$H23*M23,SUMPRODUCT(($B$16:$B$46&lt;=$B23)*($B$16:$B$46&gt;MAX($B23-$D$2-$I23,2019))*$H$16:$H$46*M$16:M$46))</f>
        <v>0</v>
      </c>
      <c r="Q23" s="528">
        <f t="shared" si="31"/>
        <v>10.136262233282562</v>
      </c>
      <c r="R23" s="529">
        <f t="shared" si="14"/>
        <v>1.6000000000000001E-3</v>
      </c>
      <c r="S23" s="530">
        <f t="shared" si="15"/>
        <v>0</v>
      </c>
      <c r="T23" s="522">
        <f>Hypothèses!$G$78</f>
        <v>0.03</v>
      </c>
      <c r="U23" s="523">
        <f t="shared" si="16"/>
        <v>30.408786699847685</v>
      </c>
      <c r="V23" s="524">
        <f t="array" ref="V23">1-SUM(IF((Roadmap_Avion!$B$8:$B$38=$B23)*(Roadmap_Avion!$C$4:$Z$4=$B$2)*(Roadmap_Avion!$C$6:$Z$6=V$7)*(Roadmap_Avion!$C$7:$Z$7=V$9),Roadmap_Avion!$C$8:$Z$38,0))</f>
        <v>0</v>
      </c>
      <c r="W23" s="525">
        <f t="array" ref="W23">SUM(IF((Roadmap_Avion!$B$8:$B$38=$B23)*(Roadmap_Avion!$C$4:$Z$4=$B$2)*(Roadmap_Avion!$C$6:$Z$6=W$7)*(Roadmap_Avion!$C$7:$Z$7=W$9),Roadmap_Avion!$C$8:$Z$38,0))</f>
        <v>0.5</v>
      </c>
      <c r="X23" s="526">
        <f t="array" ref="X23">SUM(IF((Roadmap_Avion!$B$8:$B$38=$B23)*(Roadmap_Avion!$C$4:$Z$4=$B$2)*(Roadmap_Avion!$C$6:$Z$6=X$7)*(Roadmap_Avion!$C$7:$Z$7=X$9),Roadmap_Avion!$C$8:$Z$38,0))</f>
        <v>0</v>
      </c>
      <c r="Y23" s="527">
        <f t="array" ref="Y23">IF($J23&lt;1,Y22+$H23*V23,SUMPRODUCT(($B$16:$B$46&lt;=$B23)*($B$16:$B$46&gt;MAX($B23-$D$2-$I23,2019))*$H$16:$H$46*V$16:V$46))</f>
        <v>0</v>
      </c>
      <c r="Z23" s="528">
        <f t="shared" si="32"/>
        <v>30.408786699847685</v>
      </c>
      <c r="AA23" s="529">
        <f t="shared" si="17"/>
        <v>4.7999999999999996E-3</v>
      </c>
      <c r="AB23" s="530">
        <f t="shared" si="18"/>
        <v>0</v>
      </c>
      <c r="AC23" s="522">
        <f>Hypothèses!$G$79</f>
        <v>0.24</v>
      </c>
      <c r="AD23" s="523">
        <f t="shared" si="19"/>
        <v>243.27029359878148</v>
      </c>
      <c r="AE23" s="524">
        <f t="array" ref="AE23">1-SUM(IF((Roadmap_Avion!$B$8:$B$38=$B23)*(Roadmap_Avion!$C$4:$Z$4=$B$2)*(Roadmap_Avion!$C$6:$Z$6=AE$7)*(Roadmap_Avion!$C$7:$Z$7=AE$9),Roadmap_Avion!$C$8:$Z$38,0))</f>
        <v>0.19999999999999996</v>
      </c>
      <c r="AF23" s="525">
        <f t="array" ref="AF23">SUM(IF((Roadmap_Avion!$B$8:$B$38=$B23)*(Roadmap_Avion!$C$4:$Z$4=$B$2)*(Roadmap_Avion!$C$6:$Z$6=AF$7)*(Roadmap_Avion!$C$7:$Z$7=AF$9),Roadmap_Avion!$C$8:$Z$38,0))</f>
        <v>0.5</v>
      </c>
      <c r="AG23" s="526">
        <f t="array" ref="AG23">SUM(IF((Roadmap_Avion!$B$8:$B$38=$B23)*(Roadmap_Avion!$C$4:$Z$4=$B$2)*(Roadmap_Avion!$C$6:$Z$6=AG$7)*(Roadmap_Avion!$C$7:$Z$7=AG$9),Roadmap_Avion!$C$8:$Z$38,0))</f>
        <v>0</v>
      </c>
      <c r="AH23" s="527">
        <f t="array" ref="AH23">IF($J23&lt;1,AH22+$H23*AE23,SUMPRODUCT(($B$16:$B$46&lt;=$B23)*($B$16:$B$46&gt;MAX($B23-$D$2-$I23,2019))*$H$16:$H$46*AE$16:AE$46))</f>
        <v>6.3999999999999987E-2</v>
      </c>
      <c r="AI23" s="528">
        <f t="shared" si="33"/>
        <v>227.70099480845948</v>
      </c>
      <c r="AJ23" s="529">
        <f t="shared" si="20"/>
        <v>3.8399999999999997E-2</v>
      </c>
      <c r="AK23" s="530">
        <f t="shared" si="21"/>
        <v>0</v>
      </c>
      <c r="AL23" s="522">
        <f>Hypothèses!$G$80</f>
        <v>0.42</v>
      </c>
      <c r="AM23" s="523">
        <f t="shared" si="22"/>
        <v>425.72301379786757</v>
      </c>
      <c r="AN23" s="524">
        <f t="array" ref="AN23">1-SUM(IF((Roadmap_Avion!$B$8:$B$38=$B23)*(Roadmap_Avion!$C$4:$Z$4=$B$2)*(Roadmap_Avion!$C$6:$Z$6=AN$7)*(Roadmap_Avion!$C$7:$Z$7=AN$9),Roadmap_Avion!$C$8:$Z$38,0))</f>
        <v>0.19999999999999996</v>
      </c>
      <c r="AO23" s="525">
        <f t="array" ref="AO23">SUM(IF((Roadmap_Avion!$B$8:$B$38=$B23)*(Roadmap_Avion!$C$4:$Z$4=$B$2)*(Roadmap_Avion!$C$6:$Z$6=AO$7)*(Roadmap_Avion!$C$7:$Z$7=AO$9),Roadmap_Avion!$C$8:$Z$38,0))</f>
        <v>0.5</v>
      </c>
      <c r="AP23" s="526">
        <f t="array" ref="AP23">SUM(IF((Roadmap_Avion!$B$8:$B$38=$B23)*(Roadmap_Avion!$C$4:$Z$4=$B$2)*(Roadmap_Avion!$C$6:$Z$6=AP$7)*(Roadmap_Avion!$C$7:$Z$7=AP$9),Roadmap_Avion!$C$8:$Z$38,0))</f>
        <v>0</v>
      </c>
      <c r="AQ23" s="527">
        <f t="array" ref="AQ23">IF($J23&lt;1,AQ22+$H23*AN23,SUMPRODUCT(($B$16:$B$46&lt;=$B23)*($B$16:$B$46&gt;MAX($B23-$D$2-$I23,2019))*$H$16:$H$46*AN$16:AN$46))</f>
        <v>6.3999999999999987E-2</v>
      </c>
      <c r="AR23" s="528">
        <f t="shared" si="34"/>
        <v>398.47674091480405</v>
      </c>
      <c r="AS23" s="529">
        <f t="shared" si="4"/>
        <v>6.7199999999999996E-2</v>
      </c>
      <c r="AT23" s="530">
        <f t="shared" si="5"/>
        <v>0</v>
      </c>
      <c r="AU23" s="531">
        <f>Hypothèses!$G$81</f>
        <v>0.3</v>
      </c>
      <c r="AV23" s="523">
        <f t="shared" si="23"/>
        <v>304.08786699847684</v>
      </c>
      <c r="AW23" s="524">
        <f t="array" ref="AW23">1-SUM(IF((Roadmap_Avion!$B$8:$B$38=$B23)*(Roadmap_Avion!$C$4:$Z$4=$B$2)*(Roadmap_Avion!$C$6:$Z$6=AW$7)*(Roadmap_Avion!$C$7:$Z$7=AW$9),Roadmap_Avion!$C$8:$Z$38,0))</f>
        <v>0.25</v>
      </c>
      <c r="AX23" s="525">
        <f t="array" ref="AX23">SUM(IF((Roadmap_Avion!$B$8:$B$38=$B23)*(Roadmap_Avion!$C$4:$Z$4=$B$2)*(Roadmap_Avion!$C$6:$Z$6=AX$7)*(Roadmap_Avion!$C$7:$Z$7=AX$9),Roadmap_Avion!$C$8:$Z$38,0))</f>
        <v>0.5</v>
      </c>
      <c r="AY23" s="526">
        <f t="array" ref="AY23">SUM(IF((Roadmap_Avion!$B$8:$B$38=$B23)*(Roadmap_Avion!$C$4:$Z$4=$B$2)*(Roadmap_Avion!$C$6:$Z$6=AY$7)*(Roadmap_Avion!$C$7:$Z$7=AY$9),Roadmap_Avion!$C$8:$Z$38,0))</f>
        <v>0</v>
      </c>
      <c r="AZ23" s="527">
        <f t="array" ref="AZ23">IF($J23&lt;1,AZ22+$H23*AW23,SUMPRODUCT(($B$16:$B$46&lt;=$B23)*($B$16:$B$46&gt;MAX($B23-$D$2-$I23,2019))*$H$16:$H$46*AW$16:AW$46))</f>
        <v>0.08</v>
      </c>
      <c r="BA23" s="528">
        <f t="shared" si="35"/>
        <v>279.76083763859873</v>
      </c>
      <c r="BB23" s="529">
        <f t="shared" si="24"/>
        <v>4.8000000000000001E-2</v>
      </c>
      <c r="BC23" s="529">
        <f t="shared" si="25"/>
        <v>0</v>
      </c>
      <c r="BD23" s="517">
        <f t="shared" si="7"/>
        <v>946.48362229499253</v>
      </c>
      <c r="BE23" s="518">
        <f>BD23*(Hypothèses!$D$23/Hypothèses!$B$23)</f>
        <v>1126.7662170178482</v>
      </c>
      <c r="BF23" s="532">
        <f t="shared" si="8"/>
        <v>6.6239999999999966E-2</v>
      </c>
      <c r="BG23" s="518">
        <f>BD23/Hypothèses!$B$23</f>
        <v>300.47099120475951</v>
      </c>
      <c r="BH23" s="532">
        <f t="shared" si="9"/>
        <v>0.15999999999999998</v>
      </c>
      <c r="BI23" s="532">
        <f t="shared" si="9"/>
        <v>0</v>
      </c>
      <c r="BJ23" s="518">
        <f t="shared" si="26"/>
        <v>48.075358592761518</v>
      </c>
      <c r="BK23" s="533">
        <f t="shared" si="36"/>
        <v>7.8208357043908077</v>
      </c>
      <c r="BL23" s="534">
        <f t="shared" si="37"/>
        <v>0.16267867642215267</v>
      </c>
      <c r="BM23" s="535">
        <f t="array" ref="BM23">SUM(IF((Prod_Carburant_Alt!$A$7:$A$37=$B23)*(Prod_Carburant_Alt!$B$3:$AI$3=$C$2)*(Prod_Carburant_Alt!$B$5:$AI$5=BM$7)*(Prod_Carburant_Alt!$B$6:$AI$6=BM$9),Prod_Carburant_Alt!$B$7:$AI$37,0))</f>
        <v>7.8208357043908077</v>
      </c>
      <c r="BN23" s="534">
        <f t="shared" si="27"/>
        <v>2.4558978928465089</v>
      </c>
      <c r="BO23" s="536">
        <f t="array" ref="BO23">SUM(IF((Prod_Carburant_Alt!$A$7:$A$37=$B23)*(Prod_Carburant_Alt!$B$3:$AI$3=$C$2)*(Prod_Carburant_Alt!$B$5:$AI$5=BO$7)*(Prod_Carburant_Alt!$B$6:$AI$6=BO$9),Prod_Carburant_Alt!$B$7:$AI$37,0))</f>
        <v>0.20438251753392203</v>
      </c>
      <c r="BP23" s="543">
        <f t="array" ref="BP23">SUM(IF((Prod_Carburant_Alt!$A$7:$A$37=$B23)*(Prod_Carburant_Alt!$B$3:$AI$3=$C$2)*(Prod_Carburant_Alt!$B$5:$AI$5=BP$7)*(Prod_Carburant_Alt!$B$6:$AI$6=BP$9),Prod_Carburant_Alt!$B$7:$AI$37,0))</f>
        <v>0</v>
      </c>
      <c r="BQ23" s="536">
        <f t="shared" si="38"/>
        <v>0</v>
      </c>
      <c r="BR23" s="537">
        <f t="shared" si="39"/>
        <v>292.65015550036873</v>
      </c>
      <c r="BS23" s="538">
        <f t="shared" si="40"/>
        <v>7.8208357043908077</v>
      </c>
      <c r="BT23" s="539">
        <f t="shared" si="41"/>
        <v>1</v>
      </c>
      <c r="BU23" s="535">
        <f t="shared" si="28"/>
        <v>7.8208357043908077</v>
      </c>
      <c r="BV23" s="539">
        <f t="shared" si="42"/>
        <v>1</v>
      </c>
      <c r="BW23" s="535">
        <f t="shared" si="29"/>
        <v>0</v>
      </c>
      <c r="BX23" s="539">
        <f t="shared" si="43"/>
        <v>0</v>
      </c>
      <c r="BY23" s="538">
        <f t="shared" si="44"/>
        <v>0</v>
      </c>
      <c r="BZ23" s="540">
        <f>BY23*Hypothèses!$B$3/Hypothèses!$B$9</f>
        <v>0</v>
      </c>
      <c r="CA23" s="538">
        <f t="shared" si="45"/>
        <v>292.65015550036873</v>
      </c>
      <c r="CB23" s="533">
        <f>BW23*Prod_Carburant_Alt!$R$61+BZ23*Hypothèses!$B$13</f>
        <v>0</v>
      </c>
      <c r="CC23" s="538">
        <f t="shared" si="46"/>
        <v>0</v>
      </c>
      <c r="CD23" s="541">
        <f t="shared" si="47"/>
        <v>0</v>
      </c>
      <c r="CE23" s="537">
        <f t="shared" si="48"/>
        <v>0</v>
      </c>
      <c r="CF23" s="503">
        <f>(CA23+BU23*BO23)*Hypothèses!$D$23+CE23</f>
        <v>1103.4322409656925</v>
      </c>
      <c r="CG23" s="504">
        <f t="shared" si="11"/>
        <v>2.0708799837745012E-2</v>
      </c>
      <c r="CH23" s="503">
        <f>(CA23+BU23*BO23)*Hypothèses!$B$23</f>
        <v>926.88308241118159</v>
      </c>
      <c r="CI23" s="503">
        <f t="shared" si="49"/>
        <v>12.88308241118159</v>
      </c>
      <c r="CJ23" s="503">
        <f>(BU23+BW23+CA23)*Hypothèses!$B$6+BZ23*Hypothèses!$B$11</f>
        <v>9.6150717185523042</v>
      </c>
      <c r="CK23" s="503">
        <f>(BU23+BW23+CA23)*Hypothèses!$B$5+BZ23*Hypothèses!$B$10</f>
        <v>417.65467777461572</v>
      </c>
      <c r="CL23" s="542">
        <f t="shared" si="12"/>
        <v>8.5577048936492803E-2</v>
      </c>
    </row>
    <row r="24" spans="1:90" ht="14.25" customHeight="1">
      <c r="A24" s="331"/>
      <c r="B24" s="516">
        <v>2028</v>
      </c>
      <c r="C24" s="655">
        <f>Trajectoires!AA20</f>
        <v>1253.748991702465</v>
      </c>
      <c r="D24" s="659">
        <f>C24/Hypothèses!$D$23</f>
        <v>334.33306445399069</v>
      </c>
      <c r="E24" s="659">
        <f>D24*Hypothèses!$B$23</f>
        <v>1053.1491530300707</v>
      </c>
      <c r="F24" s="659">
        <f>D24*Hypothèses!$B$5</f>
        <v>464.72295959104702</v>
      </c>
      <c r="G24" s="659">
        <f>D24*Hypothèses!$B$6</f>
        <v>10.698658062527702</v>
      </c>
      <c r="H24" s="519">
        <f t="shared" si="30"/>
        <v>0.04</v>
      </c>
      <c r="I24" s="520">
        <f>IF(J24&gt;=1,ROUND(COUNTIFS($B$16:$B24,"&gt;"&amp;MAX($B24-$D$2,2019),H$16:H24,1/25)*(1/$D$2-1/25)*25,0),0)</f>
        <v>0</v>
      </c>
      <c r="J24" s="521">
        <f t="shared" si="50"/>
        <v>0.36</v>
      </c>
      <c r="K24" s="522">
        <f>Hypothèses!$G$77</f>
        <v>0.01</v>
      </c>
      <c r="L24" s="523">
        <f t="shared" si="13"/>
        <v>10.531491530300707</v>
      </c>
      <c r="M24" s="524">
        <f t="array" ref="M24">1-SUM(IF((Roadmap_Avion!$B$8:$B$38=$B24)*(Roadmap_Avion!$C$4:$Z$4=$B$2)*(Roadmap_Avion!$C$6:$Z$6=M$7)*(Roadmap_Avion!$C$7:$Z$7=M$9),Roadmap_Avion!$C$8:$Z$38,0))</f>
        <v>0</v>
      </c>
      <c r="N24" s="525">
        <f t="array" ref="N24">SUM(IF((Roadmap_Avion!$B$8:$B$38=$B24)*(Roadmap_Avion!$C$4:$Z$4=$B$2)*(Roadmap_Avion!$C$6:$Z$6=N$7)*(Roadmap_Avion!$C$7:$Z$7=N$9),Roadmap_Avion!$C$8:$Z$38,0))</f>
        <v>0.5</v>
      </c>
      <c r="O24" s="526">
        <f t="array" ref="O24">SUM(IF((Roadmap_Avion!$B$8:$B$38=$B24)*(Roadmap_Avion!$C$4:$Z$4=$B$2)*(Roadmap_Avion!$C$6:$Z$6=O$7)*(Roadmap_Avion!$C$7:$Z$7=O$9),Roadmap_Avion!$C$8:$Z$38,0))</f>
        <v>0</v>
      </c>
      <c r="P24" s="527">
        <f t="array" ref="P24">IF($J24&lt;1,P23+$H24*M24,SUMPRODUCT(($B$16:$B$46&lt;=$B24)*($B$16:$B$46&gt;MAX($B24-$D$2-$I24,2019))*$H$16:$H$46*M$16:M$46))</f>
        <v>0</v>
      </c>
      <c r="Q24" s="528">
        <f t="shared" si="31"/>
        <v>10.531491530300707</v>
      </c>
      <c r="R24" s="529">
        <f t="shared" si="14"/>
        <v>1.8E-3</v>
      </c>
      <c r="S24" s="530">
        <f t="shared" si="15"/>
        <v>0</v>
      </c>
      <c r="T24" s="522">
        <f>Hypothèses!$G$78</f>
        <v>0.03</v>
      </c>
      <c r="U24" s="523">
        <f t="shared" si="16"/>
        <v>31.59447459090212</v>
      </c>
      <c r="V24" s="524">
        <f t="array" ref="V24">1-SUM(IF((Roadmap_Avion!$B$8:$B$38=$B24)*(Roadmap_Avion!$C$4:$Z$4=$B$2)*(Roadmap_Avion!$C$6:$Z$6=V$7)*(Roadmap_Avion!$C$7:$Z$7=V$9),Roadmap_Avion!$C$8:$Z$38,0))</f>
        <v>0</v>
      </c>
      <c r="W24" s="525">
        <f t="array" ref="W24">SUM(IF((Roadmap_Avion!$B$8:$B$38=$B24)*(Roadmap_Avion!$C$4:$Z$4=$B$2)*(Roadmap_Avion!$C$6:$Z$6=W$7)*(Roadmap_Avion!$C$7:$Z$7=W$9),Roadmap_Avion!$C$8:$Z$38,0))</f>
        <v>0.5</v>
      </c>
      <c r="X24" s="526">
        <f t="array" ref="X24">SUM(IF((Roadmap_Avion!$B$8:$B$38=$B24)*(Roadmap_Avion!$C$4:$Z$4=$B$2)*(Roadmap_Avion!$C$6:$Z$6=X$7)*(Roadmap_Avion!$C$7:$Z$7=X$9),Roadmap_Avion!$C$8:$Z$38,0))</f>
        <v>0</v>
      </c>
      <c r="Y24" s="527">
        <f t="array" ref="Y24">IF($J24&lt;1,Y23+$H24*V24,SUMPRODUCT(($B$16:$B$46&lt;=$B24)*($B$16:$B$46&gt;MAX($B24-$D$2-$I24,2019))*$H$16:$H$46*V$16:V$46))</f>
        <v>0</v>
      </c>
      <c r="Z24" s="528">
        <f t="shared" si="32"/>
        <v>31.59447459090212</v>
      </c>
      <c r="AA24" s="529">
        <f t="shared" si="17"/>
        <v>5.4000000000000003E-3</v>
      </c>
      <c r="AB24" s="530">
        <f t="shared" si="18"/>
        <v>0</v>
      </c>
      <c r="AC24" s="522">
        <f>Hypothèses!$G$79</f>
        <v>0.24</v>
      </c>
      <c r="AD24" s="523">
        <f t="shared" si="19"/>
        <v>252.75579672721696</v>
      </c>
      <c r="AE24" s="524">
        <f t="array" ref="AE24">1-SUM(IF((Roadmap_Avion!$B$8:$B$38=$B24)*(Roadmap_Avion!$C$4:$Z$4=$B$2)*(Roadmap_Avion!$C$6:$Z$6=AE$7)*(Roadmap_Avion!$C$7:$Z$7=AE$9),Roadmap_Avion!$C$8:$Z$38,0))</f>
        <v>0.19999999999999996</v>
      </c>
      <c r="AF24" s="525">
        <f t="array" ref="AF24">SUM(IF((Roadmap_Avion!$B$8:$B$38=$B24)*(Roadmap_Avion!$C$4:$Z$4=$B$2)*(Roadmap_Avion!$C$6:$Z$6=AF$7)*(Roadmap_Avion!$C$7:$Z$7=AF$9),Roadmap_Avion!$C$8:$Z$38,0))</f>
        <v>0.5</v>
      </c>
      <c r="AG24" s="526">
        <f t="array" ref="AG24">SUM(IF((Roadmap_Avion!$B$8:$B$38=$B24)*(Roadmap_Avion!$C$4:$Z$4=$B$2)*(Roadmap_Avion!$C$6:$Z$6=AG$7)*(Roadmap_Avion!$C$7:$Z$7=AG$9),Roadmap_Avion!$C$8:$Z$38,0))</f>
        <v>0</v>
      </c>
      <c r="AH24" s="527">
        <f t="array" ref="AH24">IF($J24&lt;1,AH23+$H24*AE24,SUMPRODUCT(($B$16:$B$46&lt;=$B24)*($B$16:$B$46&gt;MAX($B24-$D$2-$I24,2019))*$H$16:$H$46*AE$16:AE$46))</f>
        <v>7.1999999999999981E-2</v>
      </c>
      <c r="AI24" s="528">
        <f t="shared" si="33"/>
        <v>234.55737936285735</v>
      </c>
      <c r="AJ24" s="529">
        <f t="shared" si="20"/>
        <v>4.3200000000000002E-2</v>
      </c>
      <c r="AK24" s="530">
        <f t="shared" si="21"/>
        <v>0</v>
      </c>
      <c r="AL24" s="522">
        <f>Hypothèses!$G$80</f>
        <v>0.42</v>
      </c>
      <c r="AM24" s="523">
        <f t="shared" si="22"/>
        <v>442.3226442726297</v>
      </c>
      <c r="AN24" s="524">
        <f t="array" ref="AN24">1-SUM(IF((Roadmap_Avion!$B$8:$B$38=$B24)*(Roadmap_Avion!$C$4:$Z$4=$B$2)*(Roadmap_Avion!$C$6:$Z$6=AN$7)*(Roadmap_Avion!$C$7:$Z$7=AN$9),Roadmap_Avion!$C$8:$Z$38,0))</f>
        <v>0.19999999999999996</v>
      </c>
      <c r="AO24" s="525">
        <f t="array" ref="AO24">SUM(IF((Roadmap_Avion!$B$8:$B$38=$B24)*(Roadmap_Avion!$C$4:$Z$4=$B$2)*(Roadmap_Avion!$C$6:$Z$6=AO$7)*(Roadmap_Avion!$C$7:$Z$7=AO$9),Roadmap_Avion!$C$8:$Z$38,0))</f>
        <v>0.5</v>
      </c>
      <c r="AP24" s="526">
        <f t="array" ref="AP24">SUM(IF((Roadmap_Avion!$B$8:$B$38=$B24)*(Roadmap_Avion!$C$4:$Z$4=$B$2)*(Roadmap_Avion!$C$6:$Z$6=AP$7)*(Roadmap_Avion!$C$7:$Z$7=AP$9),Roadmap_Avion!$C$8:$Z$38,0))</f>
        <v>0</v>
      </c>
      <c r="AQ24" s="527">
        <f t="array" ref="AQ24">IF($J24&lt;1,AQ23+$H24*AN24,SUMPRODUCT(($B$16:$B$46&lt;=$B24)*($B$16:$B$46&gt;MAX($B24-$D$2-$I24,2019))*$H$16:$H$46*AN$16:AN$46))</f>
        <v>7.1999999999999981E-2</v>
      </c>
      <c r="AR24" s="528">
        <f t="shared" si="34"/>
        <v>410.47541388500036</v>
      </c>
      <c r="AS24" s="529">
        <f t="shared" si="4"/>
        <v>7.5600000000000001E-2</v>
      </c>
      <c r="AT24" s="530">
        <f t="shared" si="5"/>
        <v>0</v>
      </c>
      <c r="AU24" s="531">
        <f>Hypothèses!$G$81</f>
        <v>0.3</v>
      </c>
      <c r="AV24" s="523">
        <f t="shared" si="23"/>
        <v>315.94474590902121</v>
      </c>
      <c r="AW24" s="524">
        <f t="array" ref="AW24">1-SUM(IF((Roadmap_Avion!$B$8:$B$38=$B24)*(Roadmap_Avion!$C$4:$Z$4=$B$2)*(Roadmap_Avion!$C$6:$Z$6=AW$7)*(Roadmap_Avion!$C$7:$Z$7=AW$9),Roadmap_Avion!$C$8:$Z$38,0))</f>
        <v>0.25</v>
      </c>
      <c r="AX24" s="525">
        <f t="array" ref="AX24">SUM(IF((Roadmap_Avion!$B$8:$B$38=$B24)*(Roadmap_Avion!$C$4:$Z$4=$B$2)*(Roadmap_Avion!$C$6:$Z$6=AX$7)*(Roadmap_Avion!$C$7:$Z$7=AX$9),Roadmap_Avion!$C$8:$Z$38,0))</f>
        <v>0.5</v>
      </c>
      <c r="AY24" s="526">
        <f t="array" ref="AY24">SUM(IF((Roadmap_Avion!$B$8:$B$38=$B24)*(Roadmap_Avion!$C$4:$Z$4=$B$2)*(Roadmap_Avion!$C$6:$Z$6=AY$7)*(Roadmap_Avion!$C$7:$Z$7=AY$9),Roadmap_Avion!$C$8:$Z$38,0))</f>
        <v>0</v>
      </c>
      <c r="AZ24" s="527">
        <f t="array" ref="AZ24">IF($J24&lt;1,AZ23+$H24*AW24,SUMPRODUCT(($B$16:$B$46&lt;=$B24)*($B$16:$B$46&gt;MAX($B24-$D$2-$I24,2019))*$H$16:$H$46*AW$16:AW$46))</f>
        <v>0.09</v>
      </c>
      <c r="BA24" s="528">
        <f t="shared" si="35"/>
        <v>287.50971877720929</v>
      </c>
      <c r="BB24" s="529">
        <f t="shared" si="24"/>
        <v>5.3999999999999992E-2</v>
      </c>
      <c r="BC24" s="529">
        <f t="shared" si="25"/>
        <v>0</v>
      </c>
      <c r="BD24" s="517">
        <f t="shared" si="7"/>
        <v>974.66847814626988</v>
      </c>
      <c r="BE24" s="518">
        <f>BD24*(Hypothèses!$D$23/Hypothèses!$B$23)</f>
        <v>1160.3196168407974</v>
      </c>
      <c r="BF24" s="532">
        <f t="shared" si="8"/>
        <v>7.451999999999992E-2</v>
      </c>
      <c r="BG24" s="518">
        <f>BD24/Hypothèses!$B$23</f>
        <v>309.41856449087936</v>
      </c>
      <c r="BH24" s="532">
        <f t="shared" si="9"/>
        <v>0.18</v>
      </c>
      <c r="BI24" s="532">
        <f t="shared" si="9"/>
        <v>0</v>
      </c>
      <c r="BJ24" s="518">
        <f t="shared" si="26"/>
        <v>55.695341608358284</v>
      </c>
      <c r="BK24" s="533">
        <f t="shared" si="36"/>
        <v>9.77604463048851</v>
      </c>
      <c r="BL24" s="534">
        <f t="shared" si="37"/>
        <v>0.1755271508923002</v>
      </c>
      <c r="BM24" s="535">
        <f t="array" ref="BM24">SUM(IF((Prod_Carburant_Alt!$A$7:$A$37=$B24)*(Prod_Carburant_Alt!$B$3:$AI$3=$C$2)*(Prod_Carburant_Alt!$B$5:$AI$5=BM$7)*(Prod_Carburant_Alt!$B$6:$AI$6=BM$9),Prod_Carburant_Alt!$B$7:$AI$37,0))</f>
        <v>9.77604463048851</v>
      </c>
      <c r="BN24" s="534">
        <f t="shared" si="27"/>
        <v>2.3554368074651153</v>
      </c>
      <c r="BO24" s="536">
        <f t="array" ref="BO24">SUM(IF((Prod_Carburant_Alt!$A$7:$A$37=$B24)*(Prod_Carburant_Alt!$B$3:$AI$3=$C$2)*(Prod_Carburant_Alt!$B$5:$AI$5=BO$7)*(Prod_Carburant_Alt!$B$6:$AI$6=BO$9),Prod_Carburant_Alt!$B$7:$AI$37,0))</f>
        <v>0.20438251753392203</v>
      </c>
      <c r="BP24" s="543">
        <f t="array" ref="BP24">SUM(IF((Prod_Carburant_Alt!$A$7:$A$37=$B24)*(Prod_Carburant_Alt!$B$3:$AI$3=$C$2)*(Prod_Carburant_Alt!$B$5:$AI$5=BP$7)*(Prod_Carburant_Alt!$B$6:$AI$6=BP$9),Prod_Carburant_Alt!$B$7:$AI$37,0))</f>
        <v>0</v>
      </c>
      <c r="BQ24" s="536">
        <f t="shared" si="38"/>
        <v>0</v>
      </c>
      <c r="BR24" s="537">
        <f t="shared" si="39"/>
        <v>299.64251986039085</v>
      </c>
      <c r="BS24" s="538">
        <f t="shared" si="40"/>
        <v>9.77604463048851</v>
      </c>
      <c r="BT24" s="539">
        <f t="shared" si="41"/>
        <v>1</v>
      </c>
      <c r="BU24" s="535">
        <f t="shared" si="28"/>
        <v>9.77604463048851</v>
      </c>
      <c r="BV24" s="539">
        <f t="shared" si="42"/>
        <v>1</v>
      </c>
      <c r="BW24" s="535">
        <f t="shared" si="29"/>
        <v>0</v>
      </c>
      <c r="BX24" s="539">
        <f t="shared" si="43"/>
        <v>0</v>
      </c>
      <c r="BY24" s="538">
        <f t="shared" si="44"/>
        <v>0</v>
      </c>
      <c r="BZ24" s="540">
        <f>BY24*Hypothèses!$B$3/Hypothèses!$B$9</f>
        <v>0</v>
      </c>
      <c r="CA24" s="538">
        <f t="shared" si="45"/>
        <v>299.64251986039085</v>
      </c>
      <c r="CB24" s="533">
        <f>BW24*Prod_Carburant_Alt!$R$61+BZ24*Hypothèses!$B$13</f>
        <v>0</v>
      </c>
      <c r="CC24" s="538">
        <f t="shared" si="46"/>
        <v>0</v>
      </c>
      <c r="CD24" s="541">
        <f t="shared" si="47"/>
        <v>0</v>
      </c>
      <c r="CE24" s="537">
        <f t="shared" si="48"/>
        <v>0</v>
      </c>
      <c r="CF24" s="503">
        <f>(CA24+BU24*BO24)*Hypothèses!$D$23+CE24</f>
        <v>1131.1521467756027</v>
      </c>
      <c r="CG24" s="504">
        <f t="shared" si="11"/>
        <v>2.513744458152746E-2</v>
      </c>
      <c r="CH24" s="503">
        <f>(CA24+BU24*BO24)*Hypothèses!$B$23</f>
        <v>950.16780329150617</v>
      </c>
      <c r="CI24" s="503">
        <f t="shared" si="49"/>
        <v>36.167803291506175</v>
      </c>
      <c r="CJ24" s="503">
        <f>(BU24+BW24+CA24)*Hypothèses!$B$6+BZ24*Hypothèses!$B$11</f>
        <v>9.901394063708139</v>
      </c>
      <c r="CK24" s="503">
        <f>(BU24+BW24+CA24)*Hypothèses!$B$5+BZ24*Hypothèses!$B$10</f>
        <v>430.0918046423223</v>
      </c>
      <c r="CL24" s="542">
        <f t="shared" si="12"/>
        <v>9.7784202211311969E-2</v>
      </c>
    </row>
    <row r="25" spans="1:90" ht="14.25" customHeight="1">
      <c r="A25" s="331"/>
      <c r="B25" s="516">
        <v>2029</v>
      </c>
      <c r="C25" s="655">
        <f>Trajectoires!AA21</f>
        <v>1302.5005775672441</v>
      </c>
      <c r="D25" s="659">
        <f>C25/Hypothèses!$D$23</f>
        <v>347.33348735126509</v>
      </c>
      <c r="E25" s="659">
        <f>D25*Hypothèses!$B$23</f>
        <v>1094.1004851564851</v>
      </c>
      <c r="F25" s="659">
        <f>D25*Hypothèses!$B$5</f>
        <v>482.79354741825847</v>
      </c>
      <c r="G25" s="659">
        <f>D25*Hypothèses!$B$6</f>
        <v>11.114671595240484</v>
      </c>
      <c r="H25" s="519">
        <f t="shared" si="30"/>
        <v>0.04</v>
      </c>
      <c r="I25" s="520">
        <f>IF(J25&gt;=1,ROUND(COUNTIFS($B$16:$B25,"&gt;"&amp;MAX($B25-$D$2,2019),H$16:H25,1/25)*(1/$D$2-1/25)*25,0),0)</f>
        <v>0</v>
      </c>
      <c r="J25" s="521">
        <f t="shared" si="50"/>
        <v>0.39999999999999997</v>
      </c>
      <c r="K25" s="522">
        <f>Hypothèses!$G$77</f>
        <v>0.01</v>
      </c>
      <c r="L25" s="523">
        <f t="shared" si="13"/>
        <v>10.941004851564852</v>
      </c>
      <c r="M25" s="524">
        <f t="array" ref="M25">1-SUM(IF((Roadmap_Avion!$B$8:$B$38=$B25)*(Roadmap_Avion!$C$4:$Z$4=$B$2)*(Roadmap_Avion!$C$6:$Z$6=M$7)*(Roadmap_Avion!$C$7:$Z$7=M$9),Roadmap_Avion!$C$8:$Z$38,0))</f>
        <v>0</v>
      </c>
      <c r="N25" s="525">
        <f t="array" ref="N25">SUM(IF((Roadmap_Avion!$B$8:$B$38=$B25)*(Roadmap_Avion!$C$4:$Z$4=$B$2)*(Roadmap_Avion!$C$6:$Z$6=N$7)*(Roadmap_Avion!$C$7:$Z$7=N$9),Roadmap_Avion!$C$8:$Z$38,0))</f>
        <v>0.5</v>
      </c>
      <c r="O25" s="526">
        <f t="array" ref="O25">SUM(IF((Roadmap_Avion!$B$8:$B$38=$B25)*(Roadmap_Avion!$C$4:$Z$4=$B$2)*(Roadmap_Avion!$C$6:$Z$6=O$7)*(Roadmap_Avion!$C$7:$Z$7=O$9),Roadmap_Avion!$C$8:$Z$38,0))</f>
        <v>0</v>
      </c>
      <c r="P25" s="527">
        <f t="array" ref="P25">IF($J25&lt;1,P24+$H25*M25,SUMPRODUCT(($B$16:$B$46&lt;=$B25)*($B$16:$B$46&gt;MAX($B25-$D$2-$I25,2019))*$H$16:$H$46*M$16:M$46))</f>
        <v>0</v>
      </c>
      <c r="Q25" s="528">
        <f t="shared" si="31"/>
        <v>10.941004851564852</v>
      </c>
      <c r="R25" s="529">
        <f t="shared" si="14"/>
        <v>2E-3</v>
      </c>
      <c r="S25" s="530">
        <f t="shared" si="15"/>
        <v>0</v>
      </c>
      <c r="T25" s="522">
        <f>Hypothèses!$G$78</f>
        <v>0.03</v>
      </c>
      <c r="U25" s="523">
        <f t="shared" si="16"/>
        <v>32.823014554694552</v>
      </c>
      <c r="V25" s="524">
        <f t="array" ref="V25">1-SUM(IF((Roadmap_Avion!$B$8:$B$38=$B25)*(Roadmap_Avion!$C$4:$Z$4=$B$2)*(Roadmap_Avion!$C$6:$Z$6=V$7)*(Roadmap_Avion!$C$7:$Z$7=V$9),Roadmap_Avion!$C$8:$Z$38,0))</f>
        <v>0</v>
      </c>
      <c r="W25" s="525">
        <f t="array" ref="W25">SUM(IF((Roadmap_Avion!$B$8:$B$38=$B25)*(Roadmap_Avion!$C$4:$Z$4=$B$2)*(Roadmap_Avion!$C$6:$Z$6=W$7)*(Roadmap_Avion!$C$7:$Z$7=W$9),Roadmap_Avion!$C$8:$Z$38,0))</f>
        <v>0.5</v>
      </c>
      <c r="X25" s="526">
        <f t="array" ref="X25">SUM(IF((Roadmap_Avion!$B$8:$B$38=$B25)*(Roadmap_Avion!$C$4:$Z$4=$B$2)*(Roadmap_Avion!$C$6:$Z$6=X$7)*(Roadmap_Avion!$C$7:$Z$7=X$9),Roadmap_Avion!$C$8:$Z$38,0))</f>
        <v>0</v>
      </c>
      <c r="Y25" s="527">
        <f t="array" ref="Y25">IF($J25&lt;1,Y24+$H25*V25,SUMPRODUCT(($B$16:$B$46&lt;=$B25)*($B$16:$B$46&gt;MAX($B25-$D$2-$I25,2019))*$H$16:$H$46*V$16:V$46))</f>
        <v>0</v>
      </c>
      <c r="Z25" s="528">
        <f t="shared" si="32"/>
        <v>32.823014554694552</v>
      </c>
      <c r="AA25" s="529">
        <f t="shared" si="17"/>
        <v>6.0000000000000001E-3</v>
      </c>
      <c r="AB25" s="530">
        <f t="shared" si="18"/>
        <v>0</v>
      </c>
      <c r="AC25" s="522">
        <f>Hypothèses!$G$79</f>
        <v>0.24</v>
      </c>
      <c r="AD25" s="523">
        <f t="shared" si="19"/>
        <v>262.58411643755642</v>
      </c>
      <c r="AE25" s="524">
        <f t="array" ref="AE25">1-SUM(IF((Roadmap_Avion!$B$8:$B$38=$B25)*(Roadmap_Avion!$C$4:$Z$4=$B$2)*(Roadmap_Avion!$C$6:$Z$6=AE$7)*(Roadmap_Avion!$C$7:$Z$7=AE$9),Roadmap_Avion!$C$8:$Z$38,0))</f>
        <v>0.19999999999999996</v>
      </c>
      <c r="AF25" s="525">
        <f t="array" ref="AF25">SUM(IF((Roadmap_Avion!$B$8:$B$38=$B25)*(Roadmap_Avion!$C$4:$Z$4=$B$2)*(Roadmap_Avion!$C$6:$Z$6=AF$7)*(Roadmap_Avion!$C$7:$Z$7=AF$9),Roadmap_Avion!$C$8:$Z$38,0))</f>
        <v>0.5</v>
      </c>
      <c r="AG25" s="526">
        <f t="array" ref="AG25">SUM(IF((Roadmap_Avion!$B$8:$B$38=$B25)*(Roadmap_Avion!$C$4:$Z$4=$B$2)*(Roadmap_Avion!$C$6:$Z$6=AG$7)*(Roadmap_Avion!$C$7:$Z$7=AG$9),Roadmap_Avion!$C$8:$Z$38,0))</f>
        <v>0</v>
      </c>
      <c r="AH25" s="527">
        <f t="array" ref="AH25">IF($J25&lt;1,AH24+$H25*AE25,SUMPRODUCT(($B$16:$B$46&lt;=$B25)*($B$16:$B$46&gt;MAX($B25-$D$2-$I25,2019))*$H$16:$H$46*AE$16:AE$46))</f>
        <v>7.9999999999999974E-2</v>
      </c>
      <c r="AI25" s="528">
        <f t="shared" si="33"/>
        <v>241.57738712255193</v>
      </c>
      <c r="AJ25" s="529">
        <f t="shared" si="20"/>
        <v>4.8000000000000001E-2</v>
      </c>
      <c r="AK25" s="530">
        <f t="shared" si="21"/>
        <v>0</v>
      </c>
      <c r="AL25" s="522">
        <f>Hypothèses!$G$80</f>
        <v>0.42</v>
      </c>
      <c r="AM25" s="523">
        <f t="shared" si="22"/>
        <v>459.5222037657237</v>
      </c>
      <c r="AN25" s="524">
        <f t="array" ref="AN25">1-SUM(IF((Roadmap_Avion!$B$8:$B$38=$B25)*(Roadmap_Avion!$C$4:$Z$4=$B$2)*(Roadmap_Avion!$C$6:$Z$6=AN$7)*(Roadmap_Avion!$C$7:$Z$7=AN$9),Roadmap_Avion!$C$8:$Z$38,0))</f>
        <v>0.19999999999999996</v>
      </c>
      <c r="AO25" s="525">
        <f t="array" ref="AO25">SUM(IF((Roadmap_Avion!$B$8:$B$38=$B25)*(Roadmap_Avion!$C$4:$Z$4=$B$2)*(Roadmap_Avion!$C$6:$Z$6=AO$7)*(Roadmap_Avion!$C$7:$Z$7=AO$9),Roadmap_Avion!$C$8:$Z$38,0))</f>
        <v>0.5</v>
      </c>
      <c r="AP25" s="526">
        <f t="array" ref="AP25">SUM(IF((Roadmap_Avion!$B$8:$B$38=$B25)*(Roadmap_Avion!$C$4:$Z$4=$B$2)*(Roadmap_Avion!$C$6:$Z$6=AP$7)*(Roadmap_Avion!$C$7:$Z$7=AP$9),Roadmap_Avion!$C$8:$Z$38,0))</f>
        <v>0</v>
      </c>
      <c r="AQ25" s="527">
        <f t="array" ref="AQ25">IF($J25&lt;1,AQ24+$H25*AN25,SUMPRODUCT(($B$16:$B$46&lt;=$B25)*($B$16:$B$46&gt;MAX($B25-$D$2-$I25,2019))*$H$16:$H$46*AN$16:AN$46))</f>
        <v>7.9999999999999974E-2</v>
      </c>
      <c r="AR25" s="528">
        <f t="shared" si="34"/>
        <v>422.76042746446581</v>
      </c>
      <c r="AS25" s="529">
        <f t="shared" si="4"/>
        <v>8.4000000000000005E-2</v>
      </c>
      <c r="AT25" s="530">
        <f t="shared" si="5"/>
        <v>0</v>
      </c>
      <c r="AU25" s="531">
        <f>Hypothèses!$G$81</f>
        <v>0.3</v>
      </c>
      <c r="AV25" s="523">
        <f t="shared" si="23"/>
        <v>328.23014554694549</v>
      </c>
      <c r="AW25" s="524">
        <f t="array" ref="AW25">1-SUM(IF((Roadmap_Avion!$B$8:$B$38=$B25)*(Roadmap_Avion!$C$4:$Z$4=$B$2)*(Roadmap_Avion!$C$6:$Z$6=AW$7)*(Roadmap_Avion!$C$7:$Z$7=AW$9),Roadmap_Avion!$C$8:$Z$38,0))</f>
        <v>0.25</v>
      </c>
      <c r="AX25" s="525">
        <f t="array" ref="AX25">SUM(IF((Roadmap_Avion!$B$8:$B$38=$B25)*(Roadmap_Avion!$C$4:$Z$4=$B$2)*(Roadmap_Avion!$C$6:$Z$6=AX$7)*(Roadmap_Avion!$C$7:$Z$7=AX$9),Roadmap_Avion!$C$8:$Z$38,0))</f>
        <v>0.5</v>
      </c>
      <c r="AY25" s="526">
        <f t="array" ref="AY25">SUM(IF((Roadmap_Avion!$B$8:$B$38=$B25)*(Roadmap_Avion!$C$4:$Z$4=$B$2)*(Roadmap_Avion!$C$6:$Z$6=AY$7)*(Roadmap_Avion!$C$7:$Z$7=AY$9),Roadmap_Avion!$C$8:$Z$38,0))</f>
        <v>0</v>
      </c>
      <c r="AZ25" s="527">
        <f t="array" ref="AZ25">IF($J25&lt;1,AZ24+$H25*AW25,SUMPRODUCT(($B$16:$B$46&lt;=$B25)*($B$16:$B$46&gt;MAX($B25-$D$2-$I25,2019))*$H$16:$H$46*AW$16:AW$46))</f>
        <v>9.9999999999999992E-2</v>
      </c>
      <c r="BA25" s="528">
        <f t="shared" si="35"/>
        <v>295.40713099225093</v>
      </c>
      <c r="BB25" s="529">
        <f t="shared" si="24"/>
        <v>0.06</v>
      </c>
      <c r="BC25" s="529">
        <f t="shared" si="25"/>
        <v>0</v>
      </c>
      <c r="BD25" s="517">
        <f t="shared" si="7"/>
        <v>1003.508964985528</v>
      </c>
      <c r="BE25" s="518">
        <f>BD25*(Hypothèses!$D$23/Hypothèses!$B$23)</f>
        <v>1194.6535297446762</v>
      </c>
      <c r="BF25" s="532">
        <f t="shared" si="8"/>
        <v>8.2800000000000096E-2</v>
      </c>
      <c r="BG25" s="518">
        <f>BD25/Hypothèses!$B$23</f>
        <v>318.5742745985803</v>
      </c>
      <c r="BH25" s="532">
        <f t="shared" si="9"/>
        <v>0.2</v>
      </c>
      <c r="BI25" s="532">
        <f t="shared" si="9"/>
        <v>0</v>
      </c>
      <c r="BJ25" s="518">
        <f t="shared" si="26"/>
        <v>63.714854919716061</v>
      </c>
      <c r="BK25" s="533">
        <f t="shared" si="36"/>
        <v>12.220055788110637</v>
      </c>
      <c r="BL25" s="534">
        <f t="shared" si="37"/>
        <v>0.1917928841477945</v>
      </c>
      <c r="BM25" s="535">
        <f t="array" ref="BM25">SUM(IF((Prod_Carburant_Alt!$A$7:$A$37=$B25)*(Prod_Carburant_Alt!$B$3:$AI$3=$C$2)*(Prod_Carburant_Alt!$B$5:$AI$5=BM$7)*(Prod_Carburant_Alt!$B$6:$AI$6=BM$9),Prod_Carburant_Alt!$B$7:$AI$37,0))</f>
        <v>12.220055788110637</v>
      </c>
      <c r="BN25" s="534">
        <f t="shared" si="27"/>
        <v>2.3163391805289164</v>
      </c>
      <c r="BO25" s="536">
        <f t="array" ref="BO25">SUM(IF((Prod_Carburant_Alt!$A$7:$A$37=$B25)*(Prod_Carburant_Alt!$B$3:$AI$3=$C$2)*(Prod_Carburant_Alt!$B$5:$AI$5=BO$7)*(Prod_Carburant_Alt!$B$6:$AI$6=BO$9),Prod_Carburant_Alt!$B$7:$AI$37,0))</f>
        <v>0.20438251753392203</v>
      </c>
      <c r="BP25" s="543">
        <f t="array" ref="BP25">SUM(IF((Prod_Carburant_Alt!$A$7:$A$37=$B25)*(Prod_Carburant_Alt!$B$3:$AI$3=$C$2)*(Prod_Carburant_Alt!$B$5:$AI$5=BP$7)*(Prod_Carburant_Alt!$B$6:$AI$6=BP$9),Prod_Carburant_Alt!$B$7:$AI$37,0))</f>
        <v>0</v>
      </c>
      <c r="BQ25" s="536">
        <f t="shared" si="38"/>
        <v>0</v>
      </c>
      <c r="BR25" s="537">
        <f t="shared" si="39"/>
        <v>306.35421881046966</v>
      </c>
      <c r="BS25" s="538">
        <f t="shared" si="40"/>
        <v>12.220055788110637</v>
      </c>
      <c r="BT25" s="539">
        <f t="shared" si="41"/>
        <v>1</v>
      </c>
      <c r="BU25" s="535">
        <f t="shared" si="28"/>
        <v>12.220055788110637</v>
      </c>
      <c r="BV25" s="539">
        <f t="shared" si="42"/>
        <v>1</v>
      </c>
      <c r="BW25" s="535">
        <f t="shared" si="29"/>
        <v>0</v>
      </c>
      <c r="BX25" s="539">
        <f t="shared" si="43"/>
        <v>0</v>
      </c>
      <c r="BY25" s="538">
        <f t="shared" si="44"/>
        <v>0</v>
      </c>
      <c r="BZ25" s="540">
        <f>BY25*Hypothèses!$B$3/Hypothèses!$B$9</f>
        <v>0</v>
      </c>
      <c r="CA25" s="538">
        <f t="shared" si="45"/>
        <v>306.35421881046966</v>
      </c>
      <c r="CB25" s="533">
        <f>BW25*Prod_Carburant_Alt!$R$61+BZ25*Hypothèses!$B$13</f>
        <v>0</v>
      </c>
      <c r="CC25" s="538">
        <f t="shared" si="46"/>
        <v>0</v>
      </c>
      <c r="CD25" s="541">
        <f t="shared" si="47"/>
        <v>0</v>
      </c>
      <c r="CE25" s="537">
        <f t="shared" si="48"/>
        <v>0</v>
      </c>
      <c r="CF25" s="503">
        <f>(CA25+BU25*BO25)*Hypothèses!$D$23+CE25</f>
        <v>1158.1941921631826</v>
      </c>
      <c r="CG25" s="504">
        <f t="shared" si="11"/>
        <v>3.051875432811536E-2</v>
      </c>
      <c r="CH25" s="503">
        <f>(CA25+BU25*BO25)*Hypothèses!$B$23</f>
        <v>972.88312141707331</v>
      </c>
      <c r="CI25" s="503">
        <f t="shared" si="49"/>
        <v>58.883121417073312</v>
      </c>
      <c r="CJ25" s="503">
        <f>(BU25+BW25+CA25)*Hypothèses!$B$6+BZ25*Hypothèses!$B$11</f>
        <v>10.194376787154569</v>
      </c>
      <c r="CK25" s="503">
        <f>(BU25+BW25+CA25)*Hypothèses!$B$5+BZ25*Hypothèses!$B$10</f>
        <v>442.81824169202662</v>
      </c>
      <c r="CL25" s="542">
        <f t="shared" si="12"/>
        <v>0.11079180146974747</v>
      </c>
    </row>
    <row r="26" spans="1:90" ht="14.25" customHeight="1">
      <c r="A26" s="331"/>
      <c r="B26" s="516">
        <v>2030</v>
      </c>
      <c r="C26" s="655">
        <f>Trajectoires!AA22</f>
        <v>1352.9935695560737</v>
      </c>
      <c r="D26" s="659">
        <f>C26/Hypothèses!$D$23</f>
        <v>360.79828521495295</v>
      </c>
      <c r="E26" s="659">
        <f>D26*Hypothèses!$B$23</f>
        <v>1136.5145984271019</v>
      </c>
      <c r="F26" s="659">
        <f>D26*Hypothèses!$B$5</f>
        <v>501.50961644878458</v>
      </c>
      <c r="G26" s="659">
        <f>D26*Hypothèses!$B$6</f>
        <v>11.545545126878494</v>
      </c>
      <c r="H26" s="519">
        <f t="shared" si="30"/>
        <v>0.04</v>
      </c>
      <c r="I26" s="520">
        <f>IF(J26&gt;=1,ROUND(COUNTIFS($B$16:$B26,"&gt;"&amp;MAX($B26-$D$2,2019),H$16:H26,1/25)*(1/$D$2-1/25)*25,0),0)</f>
        <v>0</v>
      </c>
      <c r="J26" s="521">
        <f t="shared" si="50"/>
        <v>0.43999999999999995</v>
      </c>
      <c r="K26" s="522">
        <f>Hypothèses!$G$77</f>
        <v>0.01</v>
      </c>
      <c r="L26" s="523">
        <f t="shared" si="13"/>
        <v>11.365145984271019</v>
      </c>
      <c r="M26" s="524">
        <f t="array" ref="M26">1-SUM(IF((Roadmap_Avion!$B$8:$B$38=$B26)*(Roadmap_Avion!$C$4:$Z$4=$B$2)*(Roadmap_Avion!$C$6:$Z$6=M$7)*(Roadmap_Avion!$C$7:$Z$7=M$9),Roadmap_Avion!$C$8:$Z$38,0))</f>
        <v>0.5</v>
      </c>
      <c r="N26" s="525">
        <f t="array" ref="N26">SUM(IF((Roadmap_Avion!$B$8:$B$38=$B26)*(Roadmap_Avion!$C$4:$Z$4=$B$2)*(Roadmap_Avion!$C$6:$Z$6=N$7)*(Roadmap_Avion!$C$7:$Z$7=N$9),Roadmap_Avion!$C$8:$Z$38,0))</f>
        <v>0.25</v>
      </c>
      <c r="O26" s="526">
        <f t="array" ref="O26">SUM(IF((Roadmap_Avion!$B$8:$B$38=$B26)*(Roadmap_Avion!$C$4:$Z$4=$B$2)*(Roadmap_Avion!$C$6:$Z$6=O$7)*(Roadmap_Avion!$C$7:$Z$7=O$9),Roadmap_Avion!$C$8:$Z$38,0))</f>
        <v>0</v>
      </c>
      <c r="P26" s="527">
        <f t="array" ref="P26">IF($J26&lt;1,P25+$H26*M26,SUMPRODUCT(($B$16:$B$46&lt;=$B26)*($B$16:$B$46&gt;MAX($B26-$D$2-$I26,2019))*$H$16:$H$46*M$16:M$46))</f>
        <v>0.02</v>
      </c>
      <c r="Q26" s="528">
        <f t="shared" si="31"/>
        <v>11.137843064585597</v>
      </c>
      <c r="R26" s="529">
        <f t="shared" si="14"/>
        <v>2.0999999999999999E-3</v>
      </c>
      <c r="S26" s="530">
        <f t="shared" si="15"/>
        <v>0</v>
      </c>
      <c r="T26" s="522">
        <f>Hypothèses!$G$78</f>
        <v>0.03</v>
      </c>
      <c r="U26" s="523">
        <f t="shared" si="16"/>
        <v>34.095437952813057</v>
      </c>
      <c r="V26" s="524">
        <f t="array" ref="V26">1-SUM(IF((Roadmap_Avion!$B$8:$B$38=$B26)*(Roadmap_Avion!$C$4:$Z$4=$B$2)*(Roadmap_Avion!$C$6:$Z$6=V$7)*(Roadmap_Avion!$C$7:$Z$7=V$9),Roadmap_Avion!$C$8:$Z$38,0))</f>
        <v>9.9999999999999978E-2</v>
      </c>
      <c r="W26" s="525">
        <f t="array" ref="W26">SUM(IF((Roadmap_Avion!$B$8:$B$38=$B26)*(Roadmap_Avion!$C$4:$Z$4=$B$2)*(Roadmap_Avion!$C$6:$Z$6=W$7)*(Roadmap_Avion!$C$7:$Z$7=W$9),Roadmap_Avion!$C$8:$Z$38,0))</f>
        <v>0.5</v>
      </c>
      <c r="X26" s="526">
        <f t="array" ref="X26">SUM(IF((Roadmap_Avion!$B$8:$B$38=$B26)*(Roadmap_Avion!$C$4:$Z$4=$B$2)*(Roadmap_Avion!$C$6:$Z$6=X$7)*(Roadmap_Avion!$C$7:$Z$7=X$9),Roadmap_Avion!$C$8:$Z$38,0))</f>
        <v>0</v>
      </c>
      <c r="Y26" s="527">
        <f t="array" ref="Y26">IF($J26&lt;1,Y25+$H26*V26,SUMPRODUCT(($B$16:$B$46&lt;=$B26)*($B$16:$B$46&gt;MAX($B26-$D$2-$I26,2019))*$H$16:$H$46*V$16:V$46))</f>
        <v>3.9999999999999992E-3</v>
      </c>
      <c r="Z26" s="528">
        <f t="shared" si="32"/>
        <v>33.959056201001808</v>
      </c>
      <c r="AA26" s="529">
        <f t="shared" si="17"/>
        <v>6.5999999999999991E-3</v>
      </c>
      <c r="AB26" s="530">
        <f t="shared" si="18"/>
        <v>0</v>
      </c>
      <c r="AC26" s="522">
        <f>Hypothèses!$G$79</f>
        <v>0.24</v>
      </c>
      <c r="AD26" s="523">
        <f t="shared" si="19"/>
        <v>272.76350362250446</v>
      </c>
      <c r="AE26" s="524">
        <f t="array" ref="AE26">1-SUM(IF((Roadmap_Avion!$B$8:$B$38=$B26)*(Roadmap_Avion!$C$4:$Z$4=$B$2)*(Roadmap_Avion!$C$6:$Z$6=AE$7)*(Roadmap_Avion!$C$7:$Z$7=AE$9),Roadmap_Avion!$C$8:$Z$38,0))</f>
        <v>0.19999999999999996</v>
      </c>
      <c r="AF26" s="525">
        <f t="array" ref="AF26">SUM(IF((Roadmap_Avion!$B$8:$B$38=$B26)*(Roadmap_Avion!$C$4:$Z$4=$B$2)*(Roadmap_Avion!$C$6:$Z$6=AF$7)*(Roadmap_Avion!$C$7:$Z$7=AF$9),Roadmap_Avion!$C$8:$Z$38,0))</f>
        <v>0.5</v>
      </c>
      <c r="AG26" s="526">
        <f t="array" ref="AG26">SUM(IF((Roadmap_Avion!$B$8:$B$38=$B26)*(Roadmap_Avion!$C$4:$Z$4=$B$2)*(Roadmap_Avion!$C$6:$Z$6=AG$7)*(Roadmap_Avion!$C$7:$Z$7=AG$9),Roadmap_Avion!$C$8:$Z$38,0))</f>
        <v>0</v>
      </c>
      <c r="AH26" s="527">
        <f t="array" ref="AH26">IF($J26&lt;1,AH25+$H26*AE26,SUMPRODUCT(($B$16:$B$46&lt;=$B26)*($B$16:$B$46&gt;MAX($B26-$D$2-$I26,2019))*$H$16:$H$46*AE$16:AE$46))</f>
        <v>8.7999999999999967E-2</v>
      </c>
      <c r="AI26" s="528">
        <f t="shared" si="33"/>
        <v>248.76031530372407</v>
      </c>
      <c r="AJ26" s="529">
        <f t="shared" si="20"/>
        <v>5.2799999999999993E-2</v>
      </c>
      <c r="AK26" s="530">
        <f t="shared" si="21"/>
        <v>0</v>
      </c>
      <c r="AL26" s="522">
        <f>Hypothèses!$G$80</f>
        <v>0.42</v>
      </c>
      <c r="AM26" s="523">
        <f t="shared" si="22"/>
        <v>477.33613133938275</v>
      </c>
      <c r="AN26" s="524">
        <f t="array" ref="AN26">1-SUM(IF((Roadmap_Avion!$B$8:$B$38=$B26)*(Roadmap_Avion!$C$4:$Z$4=$B$2)*(Roadmap_Avion!$C$6:$Z$6=AN$7)*(Roadmap_Avion!$C$7:$Z$7=AN$9),Roadmap_Avion!$C$8:$Z$38,0))</f>
        <v>0.19999999999999996</v>
      </c>
      <c r="AO26" s="525">
        <f t="array" ref="AO26">SUM(IF((Roadmap_Avion!$B$8:$B$38=$B26)*(Roadmap_Avion!$C$4:$Z$4=$B$2)*(Roadmap_Avion!$C$6:$Z$6=AO$7)*(Roadmap_Avion!$C$7:$Z$7=AO$9),Roadmap_Avion!$C$8:$Z$38,0))</f>
        <v>0.5</v>
      </c>
      <c r="AP26" s="526">
        <f t="array" ref="AP26">SUM(IF((Roadmap_Avion!$B$8:$B$38=$B26)*(Roadmap_Avion!$C$4:$Z$4=$B$2)*(Roadmap_Avion!$C$6:$Z$6=AP$7)*(Roadmap_Avion!$C$7:$Z$7=AP$9),Roadmap_Avion!$C$8:$Z$38,0))</f>
        <v>0</v>
      </c>
      <c r="AQ26" s="527">
        <f t="array" ref="AQ26">IF($J26&lt;1,AQ25+$H26*AN26,SUMPRODUCT(($B$16:$B$46&lt;=$B26)*($B$16:$B$46&gt;MAX($B26-$D$2-$I26,2019))*$H$16:$H$46*AN$16:AN$46))</f>
        <v>8.7999999999999967E-2</v>
      </c>
      <c r="AR26" s="528">
        <f t="shared" si="34"/>
        <v>435.3305517815171</v>
      </c>
      <c r="AS26" s="529">
        <f t="shared" si="4"/>
        <v>9.2399999999999996E-2</v>
      </c>
      <c r="AT26" s="530">
        <f t="shared" si="5"/>
        <v>0</v>
      </c>
      <c r="AU26" s="531">
        <f>Hypothèses!$G$81</f>
        <v>0.3</v>
      </c>
      <c r="AV26" s="523">
        <f t="shared" si="23"/>
        <v>340.95437952813057</v>
      </c>
      <c r="AW26" s="524">
        <f t="array" ref="AW26">1-SUM(IF((Roadmap_Avion!$B$8:$B$38=$B26)*(Roadmap_Avion!$C$4:$Z$4=$B$2)*(Roadmap_Avion!$C$6:$Z$6=AW$7)*(Roadmap_Avion!$C$7:$Z$7=AW$9),Roadmap_Avion!$C$8:$Z$38,0))</f>
        <v>0.25</v>
      </c>
      <c r="AX26" s="525">
        <f t="array" ref="AX26">SUM(IF((Roadmap_Avion!$B$8:$B$38=$B26)*(Roadmap_Avion!$C$4:$Z$4=$B$2)*(Roadmap_Avion!$C$6:$Z$6=AX$7)*(Roadmap_Avion!$C$7:$Z$7=AX$9),Roadmap_Avion!$C$8:$Z$38,0))</f>
        <v>0.5</v>
      </c>
      <c r="AY26" s="526">
        <f t="array" ref="AY26">SUM(IF((Roadmap_Avion!$B$8:$B$38=$B26)*(Roadmap_Avion!$C$4:$Z$4=$B$2)*(Roadmap_Avion!$C$6:$Z$6=AY$7)*(Roadmap_Avion!$C$7:$Z$7=AY$9),Roadmap_Avion!$C$8:$Z$38,0))</f>
        <v>0</v>
      </c>
      <c r="AZ26" s="527">
        <f t="array" ref="AZ26">IF($J26&lt;1,AZ25+$H26*AW26,SUMPRODUCT(($B$16:$B$46&lt;=$B26)*($B$16:$B$46&gt;MAX($B26-$D$2-$I26,2019))*$H$16:$H$46*AW$16:AW$46))</f>
        <v>0.10999999999999999</v>
      </c>
      <c r="BA26" s="528">
        <f t="shared" si="35"/>
        <v>303.44939778003624</v>
      </c>
      <c r="BB26" s="529">
        <f t="shared" si="24"/>
        <v>6.6000000000000003E-2</v>
      </c>
      <c r="BC26" s="529">
        <f t="shared" si="25"/>
        <v>0</v>
      </c>
      <c r="BD26" s="517">
        <f t="shared" si="7"/>
        <v>1032.6371641308647</v>
      </c>
      <c r="BE26" s="518">
        <f>BD26*(Hypothèses!$D$23/Hypothèses!$B$23)</f>
        <v>1229.3299572986484</v>
      </c>
      <c r="BF26" s="532">
        <f t="shared" si="8"/>
        <v>9.1400000000000037E-2</v>
      </c>
      <c r="BG26" s="518">
        <f>BD26/Hypothèses!$B$23</f>
        <v>327.82132194630623</v>
      </c>
      <c r="BH26" s="532">
        <f t="shared" si="9"/>
        <v>0.21989999999999998</v>
      </c>
      <c r="BI26" s="532">
        <f t="shared" si="9"/>
        <v>0</v>
      </c>
      <c r="BJ26" s="518">
        <f t="shared" si="26"/>
        <v>72.087908695992738</v>
      </c>
      <c r="BK26" s="533">
        <f t="shared" si="36"/>
        <v>18.32731414312455</v>
      </c>
      <c r="BL26" s="534">
        <f t="shared" si="37"/>
        <v>0.25423561974053133</v>
      </c>
      <c r="BM26" s="535">
        <f t="array" ref="BM26">SUM(IF((Prod_Carburant_Alt!$A$7:$A$37=$B26)*(Prod_Carburant_Alt!$B$3:$AI$3=$C$2)*(Prod_Carburant_Alt!$B$5:$AI$5=BM$7)*(Prod_Carburant_Alt!$B$6:$AI$6=BM$9),Prod_Carburant_Alt!$B$7:$AI$37,0))</f>
        <v>15.275069735138295</v>
      </c>
      <c r="BN26" s="534">
        <f t="shared" si="27"/>
        <v>2.7815713319532955</v>
      </c>
      <c r="BO26" s="536">
        <f t="array" ref="BO26">SUM(IF((Prod_Carburant_Alt!$A$7:$A$37=$B26)*(Prod_Carburant_Alt!$B$3:$AI$3=$C$2)*(Prod_Carburant_Alt!$B$5:$AI$5=BO$7)*(Prod_Carburant_Alt!$B$6:$AI$6=BO$9),Prod_Carburant_Alt!$B$7:$AI$37,0))</f>
        <v>0.204382517533922</v>
      </c>
      <c r="BP26" s="543">
        <f t="array" ref="BP26">SUM(IF((Prod_Carburant_Alt!$A$7:$A$37=$B26)*(Prod_Carburant_Alt!$B$3:$AI$3=$C$2)*(Prod_Carburant_Alt!$B$5:$AI$5=BP$7)*(Prod_Carburant_Alt!$B$6:$AI$6=BP$9),Prod_Carburant_Alt!$B$7:$AI$37,0))</f>
        <v>3.0522444079862554</v>
      </c>
      <c r="BQ26" s="536">
        <f t="shared" si="38"/>
        <v>4.2340587529846395E-2</v>
      </c>
      <c r="BR26" s="537">
        <f t="shared" si="39"/>
        <v>309.49400780318166</v>
      </c>
      <c r="BS26" s="538">
        <f t="shared" si="40"/>
        <v>18.32731414312455</v>
      </c>
      <c r="BT26" s="539">
        <f t="shared" si="41"/>
        <v>1</v>
      </c>
      <c r="BU26" s="535">
        <f t="shared" si="28"/>
        <v>15.275069735138295</v>
      </c>
      <c r="BV26" s="539">
        <f t="shared" si="42"/>
        <v>1</v>
      </c>
      <c r="BW26" s="535">
        <f t="shared" si="29"/>
        <v>3.0522444079862554</v>
      </c>
      <c r="BX26" s="539">
        <f t="shared" si="43"/>
        <v>1</v>
      </c>
      <c r="BY26" s="538">
        <f t="shared" si="44"/>
        <v>0</v>
      </c>
      <c r="BZ26" s="540">
        <f>BY26*Hypothèses!$B$3/Hypothèses!$B$9</f>
        <v>0</v>
      </c>
      <c r="CA26" s="538">
        <f t="shared" si="45"/>
        <v>309.49400780318166</v>
      </c>
      <c r="CB26" s="533">
        <f>BW26*Prod_Carburant_Alt!$R$61+BZ26*Hypothèses!$B$13</f>
        <v>138.21749663298201</v>
      </c>
      <c r="CC26" s="538">
        <f t="shared" si="46"/>
        <v>64.042413030655723</v>
      </c>
      <c r="CD26" s="541">
        <f t="shared" si="47"/>
        <v>9.8375442443403571E-2</v>
      </c>
      <c r="CE26" s="537">
        <f t="shared" si="48"/>
        <v>1.5203924629628021</v>
      </c>
      <c r="CF26" s="503">
        <f>(CA26+BU26*BO26)*Hypothèses!$D$23+CE26</f>
        <v>1173.8302612547955</v>
      </c>
      <c r="CG26" s="504">
        <f t="shared" si="11"/>
        <v>4.5146297553676301E-2</v>
      </c>
      <c r="CH26" s="503">
        <f>(CA26+BU26*BO26)*Hypothèses!$B$23</f>
        <v>984.74028978513957</v>
      </c>
      <c r="CI26" s="503">
        <f t="shared" si="49"/>
        <v>70.740289785139566</v>
      </c>
      <c r="CJ26" s="503">
        <f>(BU26+BW26+CA26)*Hypothèses!$B$6+BZ26*Hypothèses!$B$11</f>
        <v>10.4902823022818</v>
      </c>
      <c r="CK26" s="503">
        <f>(BU26+BW26+CA26)*Hypothèses!$B$5+BZ26*Hypothèses!$B$10</f>
        <v>455.67163750536565</v>
      </c>
      <c r="CL26" s="542">
        <f t="shared" si="12"/>
        <v>0.13241992595727037</v>
      </c>
    </row>
    <row r="27" spans="1:90" ht="14.25" customHeight="1">
      <c r="A27" s="331"/>
      <c r="B27" s="516">
        <v>2031</v>
      </c>
      <c r="C27" s="655">
        <f>Trajectoires!AA23</f>
        <v>1405.2664892679863</v>
      </c>
      <c r="D27" s="659">
        <f>C27/Hypothèses!$D$23</f>
        <v>374.73773047146301</v>
      </c>
      <c r="E27" s="659">
        <f>D27*Hypothèses!$B$23</f>
        <v>1180.4238509851084</v>
      </c>
      <c r="F27" s="659">
        <f>D27*Hypothèses!$B$5</f>
        <v>520.88544535533356</v>
      </c>
      <c r="G27" s="659">
        <f>D27*Hypothèses!$B$6</f>
        <v>11.991607375086817</v>
      </c>
      <c r="H27" s="519">
        <f t="shared" si="30"/>
        <v>0.04</v>
      </c>
      <c r="I27" s="544">
        <f>IF(J27&gt;=1,ROUND(COUNTIFS($B$16:$B27,"&gt;"&amp;MAX($B27-$D$2,2019),H$16:H27,1/25)*(1/$D$2-1/25)*25,0),0)</f>
        <v>0</v>
      </c>
      <c r="J27" s="521">
        <f t="shared" si="50"/>
        <v>0.47999999999999993</v>
      </c>
      <c r="K27" s="522">
        <f>Hypothèses!$G$77</f>
        <v>0.01</v>
      </c>
      <c r="L27" s="523">
        <f t="shared" si="13"/>
        <v>11.804238509851084</v>
      </c>
      <c r="M27" s="524">
        <f t="array" ref="M27">1-SUM(IF((Roadmap_Avion!$B$8:$B$38=$B27)*(Roadmap_Avion!$C$4:$Z$4=$B$2)*(Roadmap_Avion!$C$6:$Z$6=M$7)*(Roadmap_Avion!$C$7:$Z$7=M$9),Roadmap_Avion!$C$8:$Z$38,0))</f>
        <v>0.5</v>
      </c>
      <c r="N27" s="525">
        <f t="array" ref="N27">SUM(IF((Roadmap_Avion!$B$8:$B$38=$B27)*(Roadmap_Avion!$C$4:$Z$4=$B$2)*(Roadmap_Avion!$C$6:$Z$6=N$7)*(Roadmap_Avion!$C$7:$Z$7=N$9),Roadmap_Avion!$C$8:$Z$38,0))</f>
        <v>0.25</v>
      </c>
      <c r="O27" s="526">
        <f t="array" ref="O27">SUM(IF((Roadmap_Avion!$B$8:$B$38=$B27)*(Roadmap_Avion!$C$4:$Z$4=$B$2)*(Roadmap_Avion!$C$6:$Z$6=O$7)*(Roadmap_Avion!$C$7:$Z$7=O$9),Roadmap_Avion!$C$8:$Z$38,0))</f>
        <v>0</v>
      </c>
      <c r="P27" s="527">
        <f t="array" ref="P27">IF($J27&lt;1,P26+$H27*M27,SUMPRODUCT(($B$16:$B$46&lt;=$B27)*($B$16:$B$46&gt;MAX($B27-$D$2-$I27,2019))*$H$16:$H$46*M$16:M$46))</f>
        <v>0.04</v>
      </c>
      <c r="Q27" s="528">
        <f t="shared" si="31"/>
        <v>11.33206896945704</v>
      </c>
      <c r="R27" s="529">
        <f t="shared" si="14"/>
        <v>2.2000000000000001E-3</v>
      </c>
      <c r="S27" s="530">
        <f t="shared" si="15"/>
        <v>0</v>
      </c>
      <c r="T27" s="522">
        <f>Hypothèses!$G$78</f>
        <v>0.03</v>
      </c>
      <c r="U27" s="523">
        <f t="shared" si="16"/>
        <v>35.412715529553253</v>
      </c>
      <c r="V27" s="524">
        <f t="array" ref="V27">1-SUM(IF((Roadmap_Avion!$B$8:$B$38=$B27)*(Roadmap_Avion!$C$4:$Z$4=$B$2)*(Roadmap_Avion!$C$6:$Z$6=V$7)*(Roadmap_Avion!$C$7:$Z$7=V$9),Roadmap_Avion!$C$8:$Z$38,0))</f>
        <v>9.9999999999999978E-2</v>
      </c>
      <c r="W27" s="525">
        <f t="array" ref="W27">SUM(IF((Roadmap_Avion!$B$8:$B$38=$B27)*(Roadmap_Avion!$C$4:$Z$4=$B$2)*(Roadmap_Avion!$C$6:$Z$6=W$7)*(Roadmap_Avion!$C$7:$Z$7=W$9),Roadmap_Avion!$C$8:$Z$38,0))</f>
        <v>0.5</v>
      </c>
      <c r="X27" s="526">
        <f t="array" ref="X27">SUM(IF((Roadmap_Avion!$B$8:$B$38=$B27)*(Roadmap_Avion!$C$4:$Z$4=$B$2)*(Roadmap_Avion!$C$6:$Z$6=X$7)*(Roadmap_Avion!$C$7:$Z$7=X$9),Roadmap_Avion!$C$8:$Z$38,0))</f>
        <v>0</v>
      </c>
      <c r="Y27" s="527">
        <f t="array" ref="Y27">IF($J27&lt;1,Y26+$H27*V27,SUMPRODUCT(($B$16:$B$46&lt;=$B27)*($B$16:$B$46&gt;MAX($B27-$D$2-$I27,2019))*$H$16:$H$46*V$16:V$46))</f>
        <v>7.9999999999999984E-3</v>
      </c>
      <c r="Z27" s="528">
        <f t="shared" si="32"/>
        <v>35.12941380531683</v>
      </c>
      <c r="AA27" s="529">
        <f t="shared" si="17"/>
        <v>7.1999999999999998E-3</v>
      </c>
      <c r="AB27" s="530">
        <f t="shared" si="18"/>
        <v>0</v>
      </c>
      <c r="AC27" s="522">
        <f>Hypothèses!$G$79</f>
        <v>0.24</v>
      </c>
      <c r="AD27" s="523">
        <f t="shared" si="19"/>
        <v>283.30172423642603</v>
      </c>
      <c r="AE27" s="524">
        <f t="array" ref="AE27">1-SUM(IF((Roadmap_Avion!$B$8:$B$38=$B27)*(Roadmap_Avion!$C$4:$Z$4=$B$2)*(Roadmap_Avion!$C$6:$Z$6=AE$7)*(Roadmap_Avion!$C$7:$Z$7=AE$9),Roadmap_Avion!$C$8:$Z$38,0))</f>
        <v>0.19999999999999996</v>
      </c>
      <c r="AF27" s="525">
        <f t="array" ref="AF27">SUM(IF((Roadmap_Avion!$B$8:$B$38=$B27)*(Roadmap_Avion!$C$4:$Z$4=$B$2)*(Roadmap_Avion!$C$6:$Z$6=AF$7)*(Roadmap_Avion!$C$7:$Z$7=AF$9),Roadmap_Avion!$C$8:$Z$38,0))</f>
        <v>0.5</v>
      </c>
      <c r="AG27" s="526">
        <f t="array" ref="AG27">SUM(IF((Roadmap_Avion!$B$8:$B$38=$B27)*(Roadmap_Avion!$C$4:$Z$4=$B$2)*(Roadmap_Avion!$C$6:$Z$6=AG$7)*(Roadmap_Avion!$C$7:$Z$7=AG$9),Roadmap_Avion!$C$8:$Z$38,0))</f>
        <v>0</v>
      </c>
      <c r="AH27" s="527">
        <f t="array" ref="AH27">IF($J27&lt;1,AH26+$H27*AE27,SUMPRODUCT(($B$16:$B$46&lt;=$B27)*($B$16:$B$46&gt;MAX($B27-$D$2-$I27,2019))*$H$16:$H$46*AE$16:AE$46))</f>
        <v>9.599999999999996E-2</v>
      </c>
      <c r="AI27" s="528">
        <f t="shared" si="33"/>
        <v>256.10475870972914</v>
      </c>
      <c r="AJ27" s="529">
        <f t="shared" si="20"/>
        <v>5.7599999999999998E-2</v>
      </c>
      <c r="AK27" s="530">
        <f t="shared" si="21"/>
        <v>0</v>
      </c>
      <c r="AL27" s="522">
        <f>Hypothèses!$G$80</f>
        <v>0.42</v>
      </c>
      <c r="AM27" s="523">
        <f t="shared" si="22"/>
        <v>495.77801741374549</v>
      </c>
      <c r="AN27" s="524">
        <f t="array" ref="AN27">1-SUM(IF((Roadmap_Avion!$B$8:$B$38=$B27)*(Roadmap_Avion!$C$4:$Z$4=$B$2)*(Roadmap_Avion!$C$6:$Z$6=AN$7)*(Roadmap_Avion!$C$7:$Z$7=AN$9),Roadmap_Avion!$C$8:$Z$38,0))</f>
        <v>0.19999999999999996</v>
      </c>
      <c r="AO27" s="525">
        <f t="array" ref="AO27">SUM(IF((Roadmap_Avion!$B$8:$B$38=$B27)*(Roadmap_Avion!$C$4:$Z$4=$B$2)*(Roadmap_Avion!$C$6:$Z$6=AO$7)*(Roadmap_Avion!$C$7:$Z$7=AO$9),Roadmap_Avion!$C$8:$Z$38,0))</f>
        <v>0.5</v>
      </c>
      <c r="AP27" s="526">
        <f t="array" ref="AP27">SUM(IF((Roadmap_Avion!$B$8:$B$38=$B27)*(Roadmap_Avion!$C$4:$Z$4=$B$2)*(Roadmap_Avion!$C$6:$Z$6=AP$7)*(Roadmap_Avion!$C$7:$Z$7=AP$9),Roadmap_Avion!$C$8:$Z$38,0))</f>
        <v>0</v>
      </c>
      <c r="AQ27" s="527">
        <f t="array" ref="AQ27">IF($J27&lt;1,AQ26+$H27*AN27,SUMPRODUCT(($B$16:$B$46&lt;=$B27)*($B$16:$B$46&gt;MAX($B27-$D$2-$I27,2019))*$H$16:$H$46*AN$16:AN$46))</f>
        <v>9.599999999999996E-2</v>
      </c>
      <c r="AR27" s="528">
        <f t="shared" si="34"/>
        <v>448.18332774202594</v>
      </c>
      <c r="AS27" s="529">
        <f t="shared" si="4"/>
        <v>0.1008</v>
      </c>
      <c r="AT27" s="530">
        <f t="shared" si="5"/>
        <v>0</v>
      </c>
      <c r="AU27" s="531">
        <f>Hypothèses!$G$81</f>
        <v>0.3</v>
      </c>
      <c r="AV27" s="523">
        <f t="shared" si="23"/>
        <v>354.12715529553253</v>
      </c>
      <c r="AW27" s="524">
        <f t="array" ref="AW27">1-SUM(IF((Roadmap_Avion!$B$8:$B$38=$B27)*(Roadmap_Avion!$C$4:$Z$4=$B$2)*(Roadmap_Avion!$C$6:$Z$6=AW$7)*(Roadmap_Avion!$C$7:$Z$7=AW$9),Roadmap_Avion!$C$8:$Z$38,0))</f>
        <v>0.25</v>
      </c>
      <c r="AX27" s="525">
        <f t="array" ref="AX27">SUM(IF((Roadmap_Avion!$B$8:$B$38=$B27)*(Roadmap_Avion!$C$4:$Z$4=$B$2)*(Roadmap_Avion!$C$6:$Z$6=AX$7)*(Roadmap_Avion!$C$7:$Z$7=AX$9),Roadmap_Avion!$C$8:$Z$38,0))</f>
        <v>0.5</v>
      </c>
      <c r="AY27" s="526">
        <f t="array" ref="AY27">SUM(IF((Roadmap_Avion!$B$8:$B$38=$B27)*(Roadmap_Avion!$C$4:$Z$4=$B$2)*(Roadmap_Avion!$C$6:$Z$6=AY$7)*(Roadmap_Avion!$C$7:$Z$7=AY$9),Roadmap_Avion!$C$8:$Z$38,0))</f>
        <v>0</v>
      </c>
      <c r="AZ27" s="527">
        <f t="array" ref="AZ27">IF($J27&lt;1,AZ26+$H27*AW27,SUMPRODUCT(($B$16:$B$46&lt;=$B27)*($B$16:$B$46&gt;MAX($B27-$D$2-$I27,2019))*$H$16:$H$46*AW$16:AW$46))</f>
        <v>0.11999999999999998</v>
      </c>
      <c r="BA27" s="528">
        <f t="shared" si="35"/>
        <v>311.63189666006861</v>
      </c>
      <c r="BB27" s="529">
        <f t="shared" si="24"/>
        <v>7.1999999999999995E-2</v>
      </c>
      <c r="BC27" s="529">
        <f t="shared" si="25"/>
        <v>0</v>
      </c>
      <c r="BD27" s="517">
        <f t="shared" si="7"/>
        <v>1062.3814658865977</v>
      </c>
      <c r="BE27" s="518">
        <f>BD27*(Hypothèses!$D$23/Hypothèses!$B$23)</f>
        <v>1264.7398403411876</v>
      </c>
      <c r="BF27" s="532">
        <f t="shared" si="8"/>
        <v>0.10000000000000009</v>
      </c>
      <c r="BG27" s="518">
        <f>BD27/Hypothèses!$B$23</f>
        <v>337.26395742431674</v>
      </c>
      <c r="BH27" s="532">
        <f t="shared" si="9"/>
        <v>0.23980000000000001</v>
      </c>
      <c r="BI27" s="532">
        <f t="shared" si="9"/>
        <v>0</v>
      </c>
      <c r="BJ27" s="518">
        <f t="shared" si="26"/>
        <v>80.875896990351166</v>
      </c>
      <c r="BK27" s="533">
        <f t="shared" si="36"/>
        <v>21.381635705391858</v>
      </c>
      <c r="BL27" s="534">
        <f t="shared" si="37"/>
        <v>0.26437587094635595</v>
      </c>
      <c r="BM27" s="535">
        <f t="array" ref="BM27">SUM(IF((Prod_Carburant_Alt!$A$7:$A$37=$B27)*(Prod_Carburant_Alt!$B$3:$AI$3=$C$2)*(Prod_Carburant_Alt!$B$5:$AI$5=BM$7)*(Prod_Carburant_Alt!$B$6:$AI$6=BM$9),Prod_Carburant_Alt!$B$7:$AI$37,0))</f>
        <v>17.566330195409037</v>
      </c>
      <c r="BN27" s="534">
        <f t="shared" si="27"/>
        <v>2.6437587094635573</v>
      </c>
      <c r="BO27" s="536">
        <f t="array" ref="BO27">SUM(IF((Prod_Carburant_Alt!$A$7:$A$37=$B27)*(Prod_Carburant_Alt!$B$3:$AI$3=$C$2)*(Prod_Carburant_Alt!$B$5:$AI$5=BO$7)*(Prod_Carburant_Alt!$B$6:$AI$6=BO$9),Prod_Carburant_Alt!$B$7:$AI$37,0))</f>
        <v>0.20438251753392203</v>
      </c>
      <c r="BP27" s="543">
        <f t="array" ref="BP27">SUM(IF((Prod_Carburant_Alt!$A$7:$A$37=$B27)*(Prod_Carburant_Alt!$B$3:$AI$3=$C$2)*(Prod_Carburant_Alt!$B$5:$AI$5=BP$7)*(Prod_Carburant_Alt!$B$6:$AI$6=BP$9),Prod_Carburant_Alt!$B$7:$AI$37,0))</f>
        <v>3.815305509982819</v>
      </c>
      <c r="BQ27" s="536">
        <f t="shared" si="38"/>
        <v>4.7174815389534427E-2</v>
      </c>
      <c r="BR27" s="537">
        <f t="shared" si="39"/>
        <v>315.88232171892491</v>
      </c>
      <c r="BS27" s="538">
        <f t="shared" si="40"/>
        <v>21.381635705391858</v>
      </c>
      <c r="BT27" s="539">
        <f t="shared" si="41"/>
        <v>1</v>
      </c>
      <c r="BU27" s="535">
        <f t="shared" si="28"/>
        <v>17.566330195409037</v>
      </c>
      <c r="BV27" s="539">
        <f t="shared" si="42"/>
        <v>1</v>
      </c>
      <c r="BW27" s="535">
        <f t="shared" si="29"/>
        <v>3.8153055099828195</v>
      </c>
      <c r="BX27" s="539">
        <f t="shared" si="43"/>
        <v>1.0000000000000002</v>
      </c>
      <c r="BY27" s="538">
        <f t="shared" si="44"/>
        <v>0</v>
      </c>
      <c r="BZ27" s="540">
        <f>BY27*Hypothèses!$B$3/Hypothèses!$B$9</f>
        <v>0</v>
      </c>
      <c r="CA27" s="538">
        <f t="shared" si="45"/>
        <v>315.88232171892491</v>
      </c>
      <c r="CB27" s="533">
        <f>BW27*Prod_Carburant_Alt!$R$61+BZ27*Hypothèses!$B$13</f>
        <v>172.77187079122751</v>
      </c>
      <c r="CC27" s="538">
        <f t="shared" si="46"/>
        <v>80.053016288319654</v>
      </c>
      <c r="CD27" s="541">
        <f t="shared" si="47"/>
        <v>0.12296930305425446</v>
      </c>
      <c r="CE27" s="537">
        <f t="shared" si="48"/>
        <v>1.9004905787035027</v>
      </c>
      <c r="CF27" s="503">
        <f>(CA27+BU27*BO27)*Hypothèses!$D$23+CE27</f>
        <v>1199.9226374840589</v>
      </c>
      <c r="CG27" s="504">
        <f t="shared" si="11"/>
        <v>5.1249435488363367E-2</v>
      </c>
      <c r="CH27" s="503">
        <f>(CA27+BU27*BO27)*Hypothèses!$B$23</f>
        <v>1006.3386034004984</v>
      </c>
      <c r="CI27" s="503">
        <f t="shared" si="49"/>
        <v>92.338603400498414</v>
      </c>
      <c r="CJ27" s="503">
        <f>(BU27+BW27+CA27)*Hypothèses!$B$6+BZ27*Hypothèses!$B$11</f>
        <v>10.792446637578138</v>
      </c>
      <c r="CK27" s="503">
        <f>(BU27+BW27+CA27)*Hypothèses!$B$5+BZ27*Hypothèses!$B$10</f>
        <v>468.79690081980033</v>
      </c>
      <c r="CL27" s="542">
        <f t="shared" si="12"/>
        <v>0.14612449193952712</v>
      </c>
    </row>
    <row r="28" spans="1:90" ht="14.25" customHeight="1">
      <c r="A28" s="331"/>
      <c r="B28" s="516">
        <v>2032</v>
      </c>
      <c r="C28" s="655">
        <f>Trajectoires!AA24</f>
        <v>1459.3547534328625</v>
      </c>
      <c r="D28" s="659">
        <f>C28/Hypothèses!$D$23</f>
        <v>389.16126758209668</v>
      </c>
      <c r="E28" s="659">
        <f>D28*Hypothèses!$B$23</f>
        <v>1225.8579928836045</v>
      </c>
      <c r="F28" s="659">
        <f>D28*Hypothèses!$B$5</f>
        <v>540.93416193911435</v>
      </c>
      <c r="G28" s="659">
        <f>D28*Hypothèses!$B$6</f>
        <v>12.453160562627094</v>
      </c>
      <c r="H28" s="519">
        <f t="shared" si="30"/>
        <v>0.04</v>
      </c>
      <c r="I28" s="520">
        <f>IF(J28&gt;=1,ROUND(COUNTIFS($B$16:$B28,"&gt;"&amp;MAX($B28-$D$2,2019),H$16:H28,1/25)*(1/$D$2-1/25)*25,0),0)</f>
        <v>0</v>
      </c>
      <c r="J28" s="521">
        <f t="shared" si="50"/>
        <v>0.51999999999999991</v>
      </c>
      <c r="K28" s="522">
        <f>Hypothèses!$G$77</f>
        <v>0.01</v>
      </c>
      <c r="L28" s="523">
        <f t="shared" si="13"/>
        <v>12.258579928836046</v>
      </c>
      <c r="M28" s="524">
        <f t="array" ref="M28">1-SUM(IF((Roadmap_Avion!$B$8:$B$38=$B28)*(Roadmap_Avion!$C$4:$Z$4=$B$2)*(Roadmap_Avion!$C$6:$Z$6=M$7)*(Roadmap_Avion!$C$7:$Z$7=M$9),Roadmap_Avion!$C$8:$Z$38,0))</f>
        <v>0.5</v>
      </c>
      <c r="N28" s="525">
        <f t="array" ref="N28">SUM(IF((Roadmap_Avion!$B$8:$B$38=$B28)*(Roadmap_Avion!$C$4:$Z$4=$B$2)*(Roadmap_Avion!$C$6:$Z$6=N$7)*(Roadmap_Avion!$C$7:$Z$7=N$9),Roadmap_Avion!$C$8:$Z$38,0))</f>
        <v>0.25</v>
      </c>
      <c r="O28" s="526">
        <f t="array" ref="O28">SUM(IF((Roadmap_Avion!$B$8:$B$38=$B28)*(Roadmap_Avion!$C$4:$Z$4=$B$2)*(Roadmap_Avion!$C$6:$Z$6=O$7)*(Roadmap_Avion!$C$7:$Z$7=O$9),Roadmap_Avion!$C$8:$Z$38,0))</f>
        <v>0</v>
      </c>
      <c r="P28" s="527">
        <f t="array" ref="P28">IF($J28&lt;1,P27+$H28*M28,SUMPRODUCT(($B$16:$B$46&lt;=$B28)*($B$16:$B$46&gt;MAX($B28-$D$2-$I28,2019))*$H$16:$H$46*M$16:M$46))</f>
        <v>0.06</v>
      </c>
      <c r="Q28" s="528">
        <f t="shared" si="31"/>
        <v>11.523065133105883</v>
      </c>
      <c r="R28" s="529">
        <f t="shared" si="14"/>
        <v>2.3E-3</v>
      </c>
      <c r="S28" s="530">
        <f t="shared" si="15"/>
        <v>0</v>
      </c>
      <c r="T28" s="522">
        <f>Hypothèses!$G$78</f>
        <v>0.03</v>
      </c>
      <c r="U28" s="523">
        <f t="shared" si="16"/>
        <v>36.775739786508133</v>
      </c>
      <c r="V28" s="524">
        <f t="array" ref="V28">1-SUM(IF((Roadmap_Avion!$B$8:$B$38=$B28)*(Roadmap_Avion!$C$4:$Z$4=$B$2)*(Roadmap_Avion!$C$6:$Z$6=V$7)*(Roadmap_Avion!$C$7:$Z$7=V$9),Roadmap_Avion!$C$8:$Z$38,0))</f>
        <v>9.9999999999999978E-2</v>
      </c>
      <c r="W28" s="525">
        <f t="array" ref="W28">SUM(IF((Roadmap_Avion!$B$8:$B$38=$B28)*(Roadmap_Avion!$C$4:$Z$4=$B$2)*(Roadmap_Avion!$C$6:$Z$6=W$7)*(Roadmap_Avion!$C$7:$Z$7=W$9),Roadmap_Avion!$C$8:$Z$38,0))</f>
        <v>0.5</v>
      </c>
      <c r="X28" s="526">
        <f t="array" ref="X28">SUM(IF((Roadmap_Avion!$B$8:$B$38=$B28)*(Roadmap_Avion!$C$4:$Z$4=$B$2)*(Roadmap_Avion!$C$6:$Z$6=X$7)*(Roadmap_Avion!$C$7:$Z$7=X$9),Roadmap_Avion!$C$8:$Z$38,0))</f>
        <v>0</v>
      </c>
      <c r="Y28" s="527">
        <f t="array" ref="Y28">IF($J28&lt;1,Y27+$H28*V28,SUMPRODUCT(($B$16:$B$46&lt;=$B28)*($B$16:$B$46&gt;MAX($B28-$D$2-$I28,2019))*$H$16:$H$46*V$16:V$46))</f>
        <v>1.1999999999999997E-2</v>
      </c>
      <c r="Z28" s="528">
        <f t="shared" si="32"/>
        <v>36.334430909070036</v>
      </c>
      <c r="AA28" s="529">
        <f t="shared" si="17"/>
        <v>7.8000000000000005E-3</v>
      </c>
      <c r="AB28" s="530">
        <f t="shared" si="18"/>
        <v>0</v>
      </c>
      <c r="AC28" s="522">
        <f>Hypothèses!$G$79</f>
        <v>0.24</v>
      </c>
      <c r="AD28" s="523">
        <f t="shared" si="19"/>
        <v>294.20591829206506</v>
      </c>
      <c r="AE28" s="524">
        <f t="array" ref="AE28">1-SUM(IF((Roadmap_Avion!$B$8:$B$38=$B28)*(Roadmap_Avion!$C$4:$Z$4=$B$2)*(Roadmap_Avion!$C$6:$Z$6=AE$7)*(Roadmap_Avion!$C$7:$Z$7=AE$9),Roadmap_Avion!$C$8:$Z$38,0))</f>
        <v>0.25</v>
      </c>
      <c r="AF28" s="525">
        <f t="array" ref="AF28">SUM(IF((Roadmap_Avion!$B$8:$B$38=$B28)*(Roadmap_Avion!$C$4:$Z$4=$B$2)*(Roadmap_Avion!$C$6:$Z$6=AF$7)*(Roadmap_Avion!$C$7:$Z$7=AF$9),Roadmap_Avion!$C$8:$Z$38,0))</f>
        <v>0.5</v>
      </c>
      <c r="AG28" s="526">
        <f t="array" ref="AG28">SUM(IF((Roadmap_Avion!$B$8:$B$38=$B28)*(Roadmap_Avion!$C$4:$Z$4=$B$2)*(Roadmap_Avion!$C$6:$Z$6=AG$7)*(Roadmap_Avion!$C$7:$Z$7=AG$9),Roadmap_Avion!$C$8:$Z$38,0))</f>
        <v>0</v>
      </c>
      <c r="AH28" s="527">
        <f t="array" ref="AH28">IF($J28&lt;1,AH27+$H28*AE28,SUMPRODUCT(($B$16:$B$46&lt;=$B28)*($B$16:$B$46&gt;MAX($B28-$D$2-$I28,2019))*$H$16:$H$46*AE$16:AE$46))</f>
        <v>0.10599999999999996</v>
      </c>
      <c r="AI28" s="528">
        <f t="shared" si="33"/>
        <v>263.02009095310615</v>
      </c>
      <c r="AJ28" s="529">
        <f t="shared" si="20"/>
        <v>6.2400000000000004E-2</v>
      </c>
      <c r="AK28" s="530">
        <f t="shared" si="21"/>
        <v>0</v>
      </c>
      <c r="AL28" s="522">
        <f>Hypothèses!$G$80</f>
        <v>0.42</v>
      </c>
      <c r="AM28" s="523">
        <f t="shared" si="22"/>
        <v>514.86035701111393</v>
      </c>
      <c r="AN28" s="524">
        <f t="array" ref="AN28">1-SUM(IF((Roadmap_Avion!$B$8:$B$38=$B28)*(Roadmap_Avion!$C$4:$Z$4=$B$2)*(Roadmap_Avion!$C$6:$Z$6=AN$7)*(Roadmap_Avion!$C$7:$Z$7=AN$9),Roadmap_Avion!$C$8:$Z$38,0))</f>
        <v>0.25</v>
      </c>
      <c r="AO28" s="525">
        <f t="array" ref="AO28">SUM(IF((Roadmap_Avion!$B$8:$B$38=$B28)*(Roadmap_Avion!$C$4:$Z$4=$B$2)*(Roadmap_Avion!$C$6:$Z$6=AO$7)*(Roadmap_Avion!$C$7:$Z$7=AO$9),Roadmap_Avion!$C$8:$Z$38,0))</f>
        <v>0.5</v>
      </c>
      <c r="AP28" s="526">
        <f t="array" ref="AP28">SUM(IF((Roadmap_Avion!$B$8:$B$38=$B28)*(Roadmap_Avion!$C$4:$Z$4=$B$2)*(Roadmap_Avion!$C$6:$Z$6=AP$7)*(Roadmap_Avion!$C$7:$Z$7=AP$9),Roadmap_Avion!$C$8:$Z$38,0))</f>
        <v>0</v>
      </c>
      <c r="AQ28" s="527">
        <f t="array" ref="AQ28">IF($J28&lt;1,AQ27+$H28*AN28,SUMPRODUCT(($B$16:$B$46&lt;=$B28)*($B$16:$B$46&gt;MAX($B28-$D$2-$I28,2019))*$H$16:$H$46*AN$16:AN$46))</f>
        <v>0.10599999999999996</v>
      </c>
      <c r="AR28" s="528">
        <f t="shared" si="34"/>
        <v>460.28515916793589</v>
      </c>
      <c r="AS28" s="529">
        <f t="shared" si="4"/>
        <v>0.10920000000000001</v>
      </c>
      <c r="AT28" s="530">
        <f t="shared" si="5"/>
        <v>0</v>
      </c>
      <c r="AU28" s="531">
        <f>Hypothèses!$G$81</f>
        <v>0.3</v>
      </c>
      <c r="AV28" s="523">
        <f t="shared" si="23"/>
        <v>367.75739786508137</v>
      </c>
      <c r="AW28" s="524">
        <f t="array" ref="AW28">1-SUM(IF((Roadmap_Avion!$B$8:$B$38=$B28)*(Roadmap_Avion!$C$4:$Z$4=$B$2)*(Roadmap_Avion!$C$6:$Z$6=AW$7)*(Roadmap_Avion!$C$7:$Z$7=AW$9),Roadmap_Avion!$C$8:$Z$38,0))</f>
        <v>0.25</v>
      </c>
      <c r="AX28" s="525">
        <f t="array" ref="AX28">SUM(IF((Roadmap_Avion!$B$8:$B$38=$B28)*(Roadmap_Avion!$C$4:$Z$4=$B$2)*(Roadmap_Avion!$C$6:$Z$6=AX$7)*(Roadmap_Avion!$C$7:$Z$7=AX$9),Roadmap_Avion!$C$8:$Z$38,0))</f>
        <v>0.5</v>
      </c>
      <c r="AY28" s="526">
        <f t="array" ref="AY28">SUM(IF((Roadmap_Avion!$B$8:$B$38=$B28)*(Roadmap_Avion!$C$4:$Z$4=$B$2)*(Roadmap_Avion!$C$6:$Z$6=AY$7)*(Roadmap_Avion!$C$7:$Z$7=AY$9),Roadmap_Avion!$C$8:$Z$38,0))</f>
        <v>0</v>
      </c>
      <c r="AZ28" s="527">
        <f t="array" ref="AZ28">IF($J28&lt;1,AZ27+$H28*AW28,SUMPRODUCT(($B$16:$B$46&lt;=$B28)*($B$16:$B$46&gt;MAX($B28-$D$2-$I28,2019))*$H$16:$H$46*AW$16:AW$46))</f>
        <v>0.12999999999999998</v>
      </c>
      <c r="BA28" s="528">
        <f t="shared" si="35"/>
        <v>319.94893614262077</v>
      </c>
      <c r="BB28" s="529">
        <f t="shared" si="24"/>
        <v>7.8E-2</v>
      </c>
      <c r="BC28" s="529">
        <f t="shared" si="25"/>
        <v>0</v>
      </c>
      <c r="BD28" s="517">
        <f t="shared" si="7"/>
        <v>1091.1116823058387</v>
      </c>
      <c r="BE28" s="518">
        <f>BD28*(Hypothèses!$D$23/Hypothèses!$B$23)</f>
        <v>1298.9424789355223</v>
      </c>
      <c r="BF28" s="532">
        <f t="shared" si="8"/>
        <v>0.10991999999999991</v>
      </c>
      <c r="BG28" s="518">
        <f>BD28/Hypothèses!$B$23</f>
        <v>346.38466104947264</v>
      </c>
      <c r="BH28" s="532">
        <f t="shared" si="9"/>
        <v>0.25970000000000004</v>
      </c>
      <c r="BI28" s="532">
        <f t="shared" si="9"/>
        <v>0</v>
      </c>
      <c r="BJ28" s="518">
        <f t="shared" si="26"/>
        <v>89.956096474548062</v>
      </c>
      <c r="BK28" s="533">
        <f t="shared" si="36"/>
        <v>24.970411612198916</v>
      </c>
      <c r="BL28" s="534">
        <f t="shared" si="37"/>
        <v>0.27758442830235502</v>
      </c>
      <c r="BM28" s="535">
        <f t="array" ref="BM28">SUM(IF((Prod_Carburant_Alt!$A$7:$A$37=$B28)*(Prod_Carburant_Alt!$B$3:$AI$3=$C$2)*(Prod_Carburant_Alt!$B$5:$AI$5=BM$7)*(Prod_Carburant_Alt!$B$6:$AI$6=BM$9),Prod_Carburant_Alt!$B$7:$AI$37,0))</f>
        <v>20.201279724720393</v>
      </c>
      <c r="BN28" s="534">
        <f t="shared" si="27"/>
        <v>2.5253314074086175</v>
      </c>
      <c r="BO28" s="536">
        <f t="array" ref="BO28">SUM(IF((Prod_Carburant_Alt!$A$7:$A$37=$B28)*(Prod_Carburant_Alt!$B$3:$AI$3=$C$2)*(Prod_Carburant_Alt!$B$5:$AI$5=BO$7)*(Prod_Carburant_Alt!$B$6:$AI$6=BO$9),Prod_Carburant_Alt!$B$7:$AI$37,0))</f>
        <v>0.20438251753392198</v>
      </c>
      <c r="BP28" s="543">
        <f t="array" ref="BP28">SUM(IF((Prod_Carburant_Alt!$A$7:$A$37=$B28)*(Prod_Carburant_Alt!$B$3:$AI$3=$C$2)*(Prod_Carburant_Alt!$B$5:$AI$5=BP$7)*(Prod_Carburant_Alt!$B$6:$AI$6=BP$9),Prod_Carburant_Alt!$B$7:$AI$37,0))</f>
        <v>4.7691318874785242</v>
      </c>
      <c r="BQ28" s="536">
        <f t="shared" si="38"/>
        <v>5.3016216514329181E-2</v>
      </c>
      <c r="BR28" s="537">
        <f t="shared" si="39"/>
        <v>321.41424943727372</v>
      </c>
      <c r="BS28" s="538">
        <f t="shared" si="40"/>
        <v>24.970411612198916</v>
      </c>
      <c r="BT28" s="539">
        <f t="shared" si="41"/>
        <v>1</v>
      </c>
      <c r="BU28" s="535">
        <f t="shared" si="28"/>
        <v>20.201279724720393</v>
      </c>
      <c r="BV28" s="539">
        <f t="shared" si="42"/>
        <v>1</v>
      </c>
      <c r="BW28" s="535">
        <f t="shared" si="29"/>
        <v>4.7691318874785242</v>
      </c>
      <c r="BX28" s="539">
        <f t="shared" si="43"/>
        <v>1</v>
      </c>
      <c r="BY28" s="538">
        <f t="shared" si="44"/>
        <v>0</v>
      </c>
      <c r="BZ28" s="540">
        <f>BY28*Hypothèses!$B$3/Hypothèses!$B$9</f>
        <v>0</v>
      </c>
      <c r="CA28" s="538">
        <f t="shared" si="45"/>
        <v>321.41424943727372</v>
      </c>
      <c r="CB28" s="533">
        <f>BW28*Prod_Carburant_Alt!$R$61+BZ28*Hypothèses!$B$13</f>
        <v>215.96483848903441</v>
      </c>
      <c r="CC28" s="538">
        <f t="shared" si="46"/>
        <v>100.06627036039957</v>
      </c>
      <c r="CD28" s="541">
        <f t="shared" si="47"/>
        <v>0.15371162881781808</v>
      </c>
      <c r="CE28" s="537">
        <f t="shared" si="48"/>
        <v>2.3756132233793781</v>
      </c>
      <c r="CF28" s="503">
        <f>(CA28+BU28*BO28)*Hypothèses!$D$23+CE28</f>
        <v>1223.1620051414507</v>
      </c>
      <c r="CG28" s="504">
        <f t="shared" si="11"/>
        <v>5.8340130546945722E-2</v>
      </c>
      <c r="CH28" s="503">
        <f>(CA28+BU28*BO28)*Hypothèses!$B$23</f>
        <v>1025.46056921118</v>
      </c>
      <c r="CI28" s="503">
        <f t="shared" si="49"/>
        <v>111.46056921117997</v>
      </c>
      <c r="CJ28" s="503">
        <f>(BU28+BW28+CA28)*Hypothèses!$B$6+BZ28*Hypothèses!$B$11</f>
        <v>11.084309153583124</v>
      </c>
      <c r="CK28" s="503">
        <f>(BU28+BW28+CA28)*Hypothèses!$B$5+BZ28*Hypothèses!$B$10</f>
        <v>481.47467885876694</v>
      </c>
      <c r="CL28" s="542">
        <f t="shared" si="12"/>
        <v>0.16184738339722538</v>
      </c>
    </row>
    <row r="29" spans="1:90" ht="14.25" customHeight="1">
      <c r="A29" s="331"/>
      <c r="B29" s="516">
        <v>2033</v>
      </c>
      <c r="C29" s="655">
        <f>Trajectoires!AA25</f>
        <v>1515.2898565070404</v>
      </c>
      <c r="D29" s="659">
        <f>C29/Hypothèses!$D$23</f>
        <v>404.07729506854412</v>
      </c>
      <c r="E29" s="659">
        <f>D29*Hypothèses!$B$23</f>
        <v>1272.843479465914</v>
      </c>
      <c r="F29" s="659">
        <f>D29*Hypothèses!$B$5</f>
        <v>561.66744014527626</v>
      </c>
      <c r="G29" s="659">
        <f>D29*Hypothèses!$B$6</f>
        <v>12.930473442193412</v>
      </c>
      <c r="H29" s="519">
        <f t="shared" si="30"/>
        <v>0.04</v>
      </c>
      <c r="I29" s="520">
        <f>IF(J29&gt;=1,ROUND(COUNTIFS($B$16:$B29,"&gt;"&amp;MAX($B29-$D$2,2019),H$16:H29,1/25)*(1/$D$2-1/25)*25,0),0)</f>
        <v>0</v>
      </c>
      <c r="J29" s="521">
        <f t="shared" si="50"/>
        <v>0.55999999999999994</v>
      </c>
      <c r="K29" s="522">
        <f>Hypothèses!$G$77</f>
        <v>0.01</v>
      </c>
      <c r="L29" s="523">
        <f t="shared" si="13"/>
        <v>12.72843479465914</v>
      </c>
      <c r="M29" s="524">
        <f t="array" ref="M29">1-SUM(IF((Roadmap_Avion!$B$8:$B$38=$B29)*(Roadmap_Avion!$C$4:$Z$4=$B$2)*(Roadmap_Avion!$C$6:$Z$6=M$7)*(Roadmap_Avion!$C$7:$Z$7=M$9),Roadmap_Avion!$C$8:$Z$38,0))</f>
        <v>0.5</v>
      </c>
      <c r="N29" s="525">
        <f t="array" ref="N29">SUM(IF((Roadmap_Avion!$B$8:$B$38=$B29)*(Roadmap_Avion!$C$4:$Z$4=$B$2)*(Roadmap_Avion!$C$6:$Z$6=N$7)*(Roadmap_Avion!$C$7:$Z$7=N$9),Roadmap_Avion!$C$8:$Z$38,0))</f>
        <v>0.25</v>
      </c>
      <c r="O29" s="526">
        <f t="array" ref="O29">SUM(IF((Roadmap_Avion!$B$8:$B$38=$B29)*(Roadmap_Avion!$C$4:$Z$4=$B$2)*(Roadmap_Avion!$C$6:$Z$6=O$7)*(Roadmap_Avion!$C$7:$Z$7=O$9),Roadmap_Avion!$C$8:$Z$38,0))</f>
        <v>0</v>
      </c>
      <c r="P29" s="527">
        <f t="array" ref="P29">IF($J29&lt;1,P28+$H29*M29,SUMPRODUCT(($B$16:$B$46&lt;=$B29)*($B$16:$B$46&gt;MAX($B29-$D$2-$I29,2019))*$H$16:$H$46*M$16:M$46))</f>
        <v>0.08</v>
      </c>
      <c r="Q29" s="528">
        <f t="shared" si="31"/>
        <v>11.71016001108641</v>
      </c>
      <c r="R29" s="529">
        <f t="shared" si="14"/>
        <v>2.3999999999999998E-3</v>
      </c>
      <c r="S29" s="530">
        <f t="shared" si="15"/>
        <v>0</v>
      </c>
      <c r="T29" s="522">
        <f>Hypothèses!$G$78</f>
        <v>0.03</v>
      </c>
      <c r="U29" s="523">
        <f t="shared" si="16"/>
        <v>38.185304383977417</v>
      </c>
      <c r="V29" s="524">
        <f t="array" ref="V29">1-SUM(IF((Roadmap_Avion!$B$8:$B$38=$B29)*(Roadmap_Avion!$C$4:$Z$4=$B$2)*(Roadmap_Avion!$C$6:$Z$6=V$7)*(Roadmap_Avion!$C$7:$Z$7=V$9),Roadmap_Avion!$C$8:$Z$38,0))</f>
        <v>9.9999999999999978E-2</v>
      </c>
      <c r="W29" s="525">
        <f t="array" ref="W29">SUM(IF((Roadmap_Avion!$B$8:$B$38=$B29)*(Roadmap_Avion!$C$4:$Z$4=$B$2)*(Roadmap_Avion!$C$6:$Z$6=W$7)*(Roadmap_Avion!$C$7:$Z$7=W$9),Roadmap_Avion!$C$8:$Z$38,0))</f>
        <v>0.5</v>
      </c>
      <c r="X29" s="526">
        <f t="array" ref="X29">SUM(IF((Roadmap_Avion!$B$8:$B$38=$B29)*(Roadmap_Avion!$C$4:$Z$4=$B$2)*(Roadmap_Avion!$C$6:$Z$6=X$7)*(Roadmap_Avion!$C$7:$Z$7=X$9),Roadmap_Avion!$C$8:$Z$38,0))</f>
        <v>0</v>
      </c>
      <c r="Y29" s="527">
        <f t="array" ref="Y29">IF($J29&lt;1,Y28+$H29*V29,SUMPRODUCT(($B$16:$B$46&lt;=$B29)*($B$16:$B$46&gt;MAX($B29-$D$2-$I29,2019))*$H$16:$H$46*V$16:V$46))</f>
        <v>1.5999999999999997E-2</v>
      </c>
      <c r="Z29" s="528">
        <f t="shared" si="32"/>
        <v>37.574339513833777</v>
      </c>
      <c r="AA29" s="529">
        <f t="shared" si="17"/>
        <v>8.3999999999999995E-3</v>
      </c>
      <c r="AB29" s="530">
        <f t="shared" si="18"/>
        <v>0</v>
      </c>
      <c r="AC29" s="522">
        <f>Hypothèses!$G$79</f>
        <v>0.24</v>
      </c>
      <c r="AD29" s="523">
        <f t="shared" si="19"/>
        <v>305.48243507181934</v>
      </c>
      <c r="AE29" s="524">
        <f t="array" ref="AE29">1-SUM(IF((Roadmap_Avion!$B$8:$B$38=$B29)*(Roadmap_Avion!$C$4:$Z$4=$B$2)*(Roadmap_Avion!$C$6:$Z$6=AE$7)*(Roadmap_Avion!$C$7:$Z$7=AE$9),Roadmap_Avion!$C$8:$Z$38,0))</f>
        <v>0.25</v>
      </c>
      <c r="AF29" s="525">
        <f t="array" ref="AF29">SUM(IF((Roadmap_Avion!$B$8:$B$38=$B29)*(Roadmap_Avion!$C$4:$Z$4=$B$2)*(Roadmap_Avion!$C$6:$Z$6=AF$7)*(Roadmap_Avion!$C$7:$Z$7=AF$9),Roadmap_Avion!$C$8:$Z$38,0))</f>
        <v>0.5</v>
      </c>
      <c r="AG29" s="526">
        <f t="array" ref="AG29">SUM(IF((Roadmap_Avion!$B$8:$B$38=$B29)*(Roadmap_Avion!$C$4:$Z$4=$B$2)*(Roadmap_Avion!$C$6:$Z$6=AG$7)*(Roadmap_Avion!$C$7:$Z$7=AG$9),Roadmap_Avion!$C$8:$Z$38,0))</f>
        <v>0</v>
      </c>
      <c r="AH29" s="527">
        <f t="array" ref="AH29">IF($J29&lt;1,AH28+$H29*AE29,SUMPRODUCT(($B$16:$B$46&lt;=$B29)*($B$16:$B$46&gt;MAX($B29-$D$2-$I29,2019))*$H$16:$H$46*AE$16:AE$46))</f>
        <v>0.11599999999999995</v>
      </c>
      <c r="AI29" s="528">
        <f t="shared" si="33"/>
        <v>270.04647260348833</v>
      </c>
      <c r="AJ29" s="529">
        <f t="shared" si="20"/>
        <v>6.7199999999999996E-2</v>
      </c>
      <c r="AK29" s="530">
        <f t="shared" si="21"/>
        <v>0</v>
      </c>
      <c r="AL29" s="522">
        <f>Hypothèses!$G$80</f>
        <v>0.42</v>
      </c>
      <c r="AM29" s="523">
        <f t="shared" si="22"/>
        <v>534.59426137568391</v>
      </c>
      <c r="AN29" s="524">
        <f t="array" ref="AN29">1-SUM(IF((Roadmap_Avion!$B$8:$B$38=$B29)*(Roadmap_Avion!$C$4:$Z$4=$B$2)*(Roadmap_Avion!$C$6:$Z$6=AN$7)*(Roadmap_Avion!$C$7:$Z$7=AN$9),Roadmap_Avion!$C$8:$Z$38,0))</f>
        <v>0.25</v>
      </c>
      <c r="AO29" s="525">
        <f t="array" ref="AO29">SUM(IF((Roadmap_Avion!$B$8:$B$38=$B29)*(Roadmap_Avion!$C$4:$Z$4=$B$2)*(Roadmap_Avion!$C$6:$Z$6=AO$7)*(Roadmap_Avion!$C$7:$Z$7=AO$9),Roadmap_Avion!$C$8:$Z$38,0))</f>
        <v>0.5</v>
      </c>
      <c r="AP29" s="526">
        <f t="array" ref="AP29">SUM(IF((Roadmap_Avion!$B$8:$B$38=$B29)*(Roadmap_Avion!$C$4:$Z$4=$B$2)*(Roadmap_Avion!$C$6:$Z$6=AP$7)*(Roadmap_Avion!$C$7:$Z$7=AP$9),Roadmap_Avion!$C$8:$Z$38,0))</f>
        <v>0</v>
      </c>
      <c r="AQ29" s="527">
        <f t="array" ref="AQ29">IF($J29&lt;1,AQ28+$H29*AN29,SUMPRODUCT(($B$16:$B$46&lt;=$B29)*($B$16:$B$46&gt;MAX($B29-$D$2-$I29,2019))*$H$16:$H$46*AN$16:AN$46))</f>
        <v>0.11599999999999995</v>
      </c>
      <c r="AR29" s="528">
        <f t="shared" si="34"/>
        <v>472.58132705610456</v>
      </c>
      <c r="AS29" s="529">
        <f t="shared" si="4"/>
        <v>0.1176</v>
      </c>
      <c r="AT29" s="530">
        <f t="shared" si="5"/>
        <v>0</v>
      </c>
      <c r="AU29" s="531">
        <f>Hypothèses!$G$81</f>
        <v>0.3</v>
      </c>
      <c r="AV29" s="523">
        <f t="shared" si="23"/>
        <v>381.85304383977422</v>
      </c>
      <c r="AW29" s="524">
        <f t="array" ref="AW29">1-SUM(IF((Roadmap_Avion!$B$8:$B$38=$B29)*(Roadmap_Avion!$C$4:$Z$4=$B$2)*(Roadmap_Avion!$C$6:$Z$6=AW$7)*(Roadmap_Avion!$C$7:$Z$7=AW$9),Roadmap_Avion!$C$8:$Z$38,0))</f>
        <v>0.25</v>
      </c>
      <c r="AX29" s="525">
        <f t="array" ref="AX29">SUM(IF((Roadmap_Avion!$B$8:$B$38=$B29)*(Roadmap_Avion!$C$4:$Z$4=$B$2)*(Roadmap_Avion!$C$6:$Z$6=AX$7)*(Roadmap_Avion!$C$7:$Z$7=AX$9),Roadmap_Avion!$C$8:$Z$38,0))</f>
        <v>0.5</v>
      </c>
      <c r="AY29" s="526">
        <f t="array" ref="AY29">SUM(IF((Roadmap_Avion!$B$8:$B$38=$B29)*(Roadmap_Avion!$C$4:$Z$4=$B$2)*(Roadmap_Avion!$C$6:$Z$6=AY$7)*(Roadmap_Avion!$C$7:$Z$7=AY$9),Roadmap_Avion!$C$8:$Z$38,0))</f>
        <v>0</v>
      </c>
      <c r="AZ29" s="527">
        <f t="array" ref="AZ29">IF($J29&lt;1,AZ28+$H29*AW29,SUMPRODUCT(($B$16:$B$46&lt;=$B29)*($B$16:$B$46&gt;MAX($B29-$D$2-$I29,2019))*$H$16:$H$46*AW$16:AW$46))</f>
        <v>0.13999999999999999</v>
      </c>
      <c r="BA29" s="528">
        <f t="shared" si="35"/>
        <v>328.3936177022058</v>
      </c>
      <c r="BB29" s="529">
        <f t="shared" si="24"/>
        <v>8.4000000000000005E-2</v>
      </c>
      <c r="BC29" s="529">
        <f t="shared" si="25"/>
        <v>0</v>
      </c>
      <c r="BD29" s="517">
        <f t="shared" si="7"/>
        <v>1120.3059168867189</v>
      </c>
      <c r="BE29" s="518">
        <f>BD29*(Hypothèses!$D$23/Hypothèses!$B$23)</f>
        <v>1333.6975201032369</v>
      </c>
      <c r="BF29" s="532">
        <f t="shared" si="8"/>
        <v>0.11983999999999984</v>
      </c>
      <c r="BG29" s="518">
        <f>BD29/Hypothèses!$B$23</f>
        <v>355.65267202752983</v>
      </c>
      <c r="BH29" s="532">
        <f t="shared" si="9"/>
        <v>0.27960000000000002</v>
      </c>
      <c r="BI29" s="532">
        <f t="shared" si="9"/>
        <v>0</v>
      </c>
      <c r="BJ29" s="518">
        <f t="shared" si="26"/>
        <v>99.44048709889735</v>
      </c>
      <c r="BK29" s="533">
        <f t="shared" si="36"/>
        <v>29.192886542776598</v>
      </c>
      <c r="BL29" s="534">
        <f t="shared" si="37"/>
        <v>0.29357143548324699</v>
      </c>
      <c r="BM29" s="535">
        <f t="array" ref="BM29">SUM(IF((Prod_Carburant_Alt!$A$7:$A$37=$B29)*(Prod_Carburant_Alt!$B$3:$AI$3=$C$2)*(Prod_Carburant_Alt!$B$5:$AI$5=BM$7)*(Prod_Carburant_Alt!$B$6:$AI$6=BM$9),Prod_Carburant_Alt!$B$7:$AI$37,0))</f>
        <v>23.231471683428445</v>
      </c>
      <c r="BN29" s="534">
        <f t="shared" si="27"/>
        <v>2.4496948888789003</v>
      </c>
      <c r="BO29" s="536">
        <f t="array" ref="BO29">SUM(IF((Prod_Carburant_Alt!$A$7:$A$37=$B29)*(Prod_Carburant_Alt!$B$3:$AI$3=$C$2)*(Prod_Carburant_Alt!$B$5:$AI$5=BO$7)*(Prod_Carburant_Alt!$B$6:$AI$6=BO$9),Prod_Carburant_Alt!$B$7:$AI$37,0))</f>
        <v>0.20438251753392206</v>
      </c>
      <c r="BP29" s="543">
        <f t="array" ref="BP29">SUM(IF((Prod_Carburant_Alt!$A$7:$A$37=$B29)*(Prod_Carburant_Alt!$B$3:$AI$3=$C$2)*(Prod_Carburant_Alt!$B$5:$AI$5=BP$7)*(Prod_Carburant_Alt!$B$6:$AI$6=BP$9),Prod_Carburant_Alt!$B$7:$AI$37,0))</f>
        <v>5.9614148593481548</v>
      </c>
      <c r="BQ29" s="536">
        <f t="shared" si="38"/>
        <v>5.9949574195260133E-2</v>
      </c>
      <c r="BR29" s="537">
        <f t="shared" si="39"/>
        <v>326.45978548475324</v>
      </c>
      <c r="BS29" s="538">
        <f t="shared" si="40"/>
        <v>29.192886542776598</v>
      </c>
      <c r="BT29" s="539">
        <f t="shared" si="41"/>
        <v>1</v>
      </c>
      <c r="BU29" s="535">
        <f t="shared" si="28"/>
        <v>23.231471683428445</v>
      </c>
      <c r="BV29" s="539">
        <f t="shared" si="42"/>
        <v>1</v>
      </c>
      <c r="BW29" s="535">
        <f t="shared" si="29"/>
        <v>5.9614148593481548</v>
      </c>
      <c r="BX29" s="539">
        <f t="shared" si="43"/>
        <v>1</v>
      </c>
      <c r="BY29" s="538">
        <f t="shared" si="44"/>
        <v>0</v>
      </c>
      <c r="BZ29" s="540">
        <f>BY29*Hypothèses!$B$3/Hypothèses!$B$9</f>
        <v>0</v>
      </c>
      <c r="CA29" s="538">
        <f t="shared" si="45"/>
        <v>326.45978548475324</v>
      </c>
      <c r="CB29" s="533">
        <f>BW29*Prod_Carburant_Alt!$R$61+BZ29*Hypothèses!$B$13</f>
        <v>269.956048111293</v>
      </c>
      <c r="CC29" s="538">
        <f t="shared" si="46"/>
        <v>125.08283795049945</v>
      </c>
      <c r="CD29" s="541">
        <f t="shared" si="47"/>
        <v>0.19213953602227257</v>
      </c>
      <c r="CE29" s="537">
        <f t="shared" si="48"/>
        <v>2.9695165292242232</v>
      </c>
      <c r="CF29" s="503">
        <f>(CA29+BU29*BO29)*Hypothèses!$D$23+CE29</f>
        <v>1244.999112104588</v>
      </c>
      <c r="CG29" s="504">
        <f t="shared" si="11"/>
        <v>6.6505640643152036E-2</v>
      </c>
      <c r="CH29" s="503">
        <f>(CA29+BU29*BO29)*Hypothèses!$B$23</f>
        <v>1043.3048602833055</v>
      </c>
      <c r="CI29" s="503">
        <f t="shared" si="49"/>
        <v>129.30486028330552</v>
      </c>
      <c r="CJ29" s="503">
        <f>(BU29+BW29+CA29)*Hypothèses!$B$6+BZ29*Hypothèses!$B$11</f>
        <v>11.380885504880954</v>
      </c>
      <c r="CK29" s="503">
        <f>(BU29+BW29+CA29)*Hypothèses!$B$5+BZ29*Hypothèses!$B$10</f>
        <v>494.35721411826643</v>
      </c>
      <c r="CL29" s="542">
        <f t="shared" si="12"/>
        <v>0.17837560466847657</v>
      </c>
    </row>
    <row r="30" spans="1:90" ht="14.25" customHeight="1">
      <c r="A30" s="331"/>
      <c r="B30" s="516">
        <v>2034</v>
      </c>
      <c r="C30" s="655">
        <f>Trajectoires!AA26</f>
        <v>1573.0984171359921</v>
      </c>
      <c r="D30" s="659">
        <f>C30/Hypothèses!$D$23</f>
        <v>419.49291123626455</v>
      </c>
      <c r="E30" s="659">
        <f>D30*Hypothèses!$B$23</f>
        <v>1321.4026703942334</v>
      </c>
      <c r="F30" s="659">
        <f>D30*Hypothèses!$B$5</f>
        <v>583.09514661840763</v>
      </c>
      <c r="G30" s="659">
        <f>D30*Hypothèses!$B$6</f>
        <v>13.423773159560465</v>
      </c>
      <c r="H30" s="519">
        <f t="shared" si="30"/>
        <v>0.04</v>
      </c>
      <c r="I30" s="520">
        <f>IF(J30&gt;=1,ROUND(COUNTIFS($B$16:$B30,"&gt;"&amp;MAX($B30-$D$2,2019),H$16:H30,1/25)*(1/$D$2-1/25)*25,0),0)</f>
        <v>0</v>
      </c>
      <c r="J30" s="521">
        <f t="shared" si="50"/>
        <v>0.6</v>
      </c>
      <c r="K30" s="522">
        <f>Hypothèses!$G$77</f>
        <v>0.01</v>
      </c>
      <c r="L30" s="523">
        <f t="shared" si="13"/>
        <v>13.214026703942334</v>
      </c>
      <c r="M30" s="524">
        <f t="array" ref="M30">1-SUM(IF((Roadmap_Avion!$B$8:$B$38=$B30)*(Roadmap_Avion!$C$4:$Z$4=$B$2)*(Roadmap_Avion!$C$6:$Z$6=M$7)*(Roadmap_Avion!$C$7:$Z$7=M$9),Roadmap_Avion!$C$8:$Z$38,0))</f>
        <v>0.5</v>
      </c>
      <c r="N30" s="525">
        <f t="array" ref="N30">SUM(IF((Roadmap_Avion!$B$8:$B$38=$B30)*(Roadmap_Avion!$C$4:$Z$4=$B$2)*(Roadmap_Avion!$C$6:$Z$6=N$7)*(Roadmap_Avion!$C$7:$Z$7=N$9),Roadmap_Avion!$C$8:$Z$38,0))</f>
        <v>0.25</v>
      </c>
      <c r="O30" s="526">
        <f t="array" ref="O30">SUM(IF((Roadmap_Avion!$B$8:$B$38=$B30)*(Roadmap_Avion!$C$4:$Z$4=$B$2)*(Roadmap_Avion!$C$6:$Z$6=O$7)*(Roadmap_Avion!$C$7:$Z$7=O$9),Roadmap_Avion!$C$8:$Z$38,0))</f>
        <v>0</v>
      </c>
      <c r="P30" s="527">
        <f t="array" ref="P30">IF($J30&lt;1,P29+$H30*M30,SUMPRODUCT(($B$16:$B$46&lt;=$B30)*($B$16:$B$46&gt;MAX($B30-$D$2-$I30,2019))*$H$16:$H$46*M$16:M$46))</f>
        <v>0.1</v>
      </c>
      <c r="Q30" s="528">
        <f t="shared" si="31"/>
        <v>11.892624033548101</v>
      </c>
      <c r="R30" s="529">
        <f t="shared" si="14"/>
        <v>2.5000000000000001E-3</v>
      </c>
      <c r="S30" s="530">
        <f t="shared" si="15"/>
        <v>0</v>
      </c>
      <c r="T30" s="522">
        <f>Hypothèses!$G$78</f>
        <v>0.03</v>
      </c>
      <c r="U30" s="523">
        <f t="shared" si="16"/>
        <v>39.642080111826999</v>
      </c>
      <c r="V30" s="524">
        <f t="array" ref="V30">1-SUM(IF((Roadmap_Avion!$B$8:$B$38=$B30)*(Roadmap_Avion!$C$4:$Z$4=$B$2)*(Roadmap_Avion!$C$6:$Z$6=V$7)*(Roadmap_Avion!$C$7:$Z$7=V$9),Roadmap_Avion!$C$8:$Z$38,0))</f>
        <v>9.9999999999999978E-2</v>
      </c>
      <c r="W30" s="525">
        <f t="array" ref="W30">SUM(IF((Roadmap_Avion!$B$8:$B$38=$B30)*(Roadmap_Avion!$C$4:$Z$4=$B$2)*(Roadmap_Avion!$C$6:$Z$6=W$7)*(Roadmap_Avion!$C$7:$Z$7=W$9),Roadmap_Avion!$C$8:$Z$38,0))</f>
        <v>0.5</v>
      </c>
      <c r="X30" s="526">
        <f t="array" ref="X30">SUM(IF((Roadmap_Avion!$B$8:$B$38=$B30)*(Roadmap_Avion!$C$4:$Z$4=$B$2)*(Roadmap_Avion!$C$6:$Z$6=X$7)*(Roadmap_Avion!$C$7:$Z$7=X$9),Roadmap_Avion!$C$8:$Z$38,0))</f>
        <v>0</v>
      </c>
      <c r="Y30" s="527">
        <f t="array" ref="Y30">IF($J30&lt;1,Y29+$H30*V30,SUMPRODUCT(($B$16:$B$46&lt;=$B30)*($B$16:$B$46&gt;MAX($B30-$D$2-$I30,2019))*$H$16:$H$46*V$16:V$46))</f>
        <v>1.9999999999999997E-2</v>
      </c>
      <c r="Z30" s="528">
        <f t="shared" si="32"/>
        <v>38.849238509590457</v>
      </c>
      <c r="AA30" s="529">
        <f t="shared" si="17"/>
        <v>8.9999999999999993E-3</v>
      </c>
      <c r="AB30" s="530">
        <f t="shared" si="18"/>
        <v>0</v>
      </c>
      <c r="AC30" s="522">
        <f>Hypothèses!$G$79</f>
        <v>0.24</v>
      </c>
      <c r="AD30" s="523">
        <f t="shared" si="19"/>
        <v>317.13664089461599</v>
      </c>
      <c r="AE30" s="524">
        <f t="array" ref="AE30">1-SUM(IF((Roadmap_Avion!$B$8:$B$38=$B30)*(Roadmap_Avion!$C$4:$Z$4=$B$2)*(Roadmap_Avion!$C$6:$Z$6=AE$7)*(Roadmap_Avion!$C$7:$Z$7=AE$9),Roadmap_Avion!$C$8:$Z$38,0))</f>
        <v>0.25</v>
      </c>
      <c r="AF30" s="525">
        <f t="array" ref="AF30">SUM(IF((Roadmap_Avion!$B$8:$B$38=$B30)*(Roadmap_Avion!$C$4:$Z$4=$B$2)*(Roadmap_Avion!$C$6:$Z$6=AF$7)*(Roadmap_Avion!$C$7:$Z$7=AF$9),Roadmap_Avion!$C$8:$Z$38,0))</f>
        <v>0.5</v>
      </c>
      <c r="AG30" s="526">
        <f t="array" ref="AG30">SUM(IF((Roadmap_Avion!$B$8:$B$38=$B30)*(Roadmap_Avion!$C$4:$Z$4=$B$2)*(Roadmap_Avion!$C$6:$Z$6=AG$7)*(Roadmap_Avion!$C$7:$Z$7=AG$9),Roadmap_Avion!$C$8:$Z$38,0))</f>
        <v>0</v>
      </c>
      <c r="AH30" s="527">
        <f t="array" ref="AH30">IF($J30&lt;1,AH29+$H30*AE30,SUMPRODUCT(($B$16:$B$46&lt;=$B30)*($B$16:$B$46&gt;MAX($B30-$D$2-$I30,2019))*$H$16:$H$46*AE$16:AE$46))</f>
        <v>0.12599999999999995</v>
      </c>
      <c r="AI30" s="528">
        <f t="shared" si="33"/>
        <v>277.17742414189439</v>
      </c>
      <c r="AJ30" s="529">
        <f t="shared" si="20"/>
        <v>7.1999999999999995E-2</v>
      </c>
      <c r="AK30" s="530">
        <f t="shared" si="21"/>
        <v>0</v>
      </c>
      <c r="AL30" s="522">
        <f>Hypothèses!$G$80</f>
        <v>0.42</v>
      </c>
      <c r="AM30" s="523">
        <f t="shared" si="22"/>
        <v>554.98912156557799</v>
      </c>
      <c r="AN30" s="524">
        <f t="array" ref="AN30">1-SUM(IF((Roadmap_Avion!$B$8:$B$38=$B30)*(Roadmap_Avion!$C$4:$Z$4=$B$2)*(Roadmap_Avion!$C$6:$Z$6=AN$7)*(Roadmap_Avion!$C$7:$Z$7=AN$9),Roadmap_Avion!$C$8:$Z$38,0))</f>
        <v>0.25</v>
      </c>
      <c r="AO30" s="525">
        <f t="array" ref="AO30">SUM(IF((Roadmap_Avion!$B$8:$B$38=$B30)*(Roadmap_Avion!$C$4:$Z$4=$B$2)*(Roadmap_Avion!$C$6:$Z$6=AO$7)*(Roadmap_Avion!$C$7:$Z$7=AO$9),Roadmap_Avion!$C$8:$Z$38,0))</f>
        <v>0.5</v>
      </c>
      <c r="AP30" s="526">
        <f t="array" ref="AP30">SUM(IF((Roadmap_Avion!$B$8:$B$38=$B30)*(Roadmap_Avion!$C$4:$Z$4=$B$2)*(Roadmap_Avion!$C$6:$Z$6=AP$7)*(Roadmap_Avion!$C$7:$Z$7=AP$9),Roadmap_Avion!$C$8:$Z$38,0))</f>
        <v>0</v>
      </c>
      <c r="AQ30" s="527">
        <f t="array" ref="AQ30">IF($J30&lt;1,AQ29+$H30*AN30,SUMPRODUCT(($B$16:$B$46&lt;=$B30)*($B$16:$B$46&gt;MAX($B30-$D$2-$I30,2019))*$H$16:$H$46*AN$16:AN$46))</f>
        <v>0.12599999999999995</v>
      </c>
      <c r="AR30" s="528">
        <f t="shared" si="34"/>
        <v>485.0604922483152</v>
      </c>
      <c r="AS30" s="529">
        <f t="shared" si="4"/>
        <v>0.126</v>
      </c>
      <c r="AT30" s="530">
        <f t="shared" si="5"/>
        <v>0</v>
      </c>
      <c r="AU30" s="531">
        <f>Hypothèses!$G$81</f>
        <v>0.3</v>
      </c>
      <c r="AV30" s="523">
        <f t="shared" si="23"/>
        <v>396.42080111826999</v>
      </c>
      <c r="AW30" s="524">
        <f t="array" ref="AW30">1-SUM(IF((Roadmap_Avion!$B$8:$B$38=$B30)*(Roadmap_Avion!$C$4:$Z$4=$B$2)*(Roadmap_Avion!$C$6:$Z$6=AW$7)*(Roadmap_Avion!$C$7:$Z$7=AW$9),Roadmap_Avion!$C$8:$Z$38,0))</f>
        <v>0.25</v>
      </c>
      <c r="AX30" s="525">
        <f t="array" ref="AX30">SUM(IF((Roadmap_Avion!$B$8:$B$38=$B30)*(Roadmap_Avion!$C$4:$Z$4=$B$2)*(Roadmap_Avion!$C$6:$Z$6=AX$7)*(Roadmap_Avion!$C$7:$Z$7=AX$9),Roadmap_Avion!$C$8:$Z$38,0))</f>
        <v>0.5</v>
      </c>
      <c r="AY30" s="526">
        <f t="array" ref="AY30">SUM(IF((Roadmap_Avion!$B$8:$B$38=$B30)*(Roadmap_Avion!$C$4:$Z$4=$B$2)*(Roadmap_Avion!$C$6:$Z$6=AY$7)*(Roadmap_Avion!$C$7:$Z$7=AY$9),Roadmap_Avion!$C$8:$Z$38,0))</f>
        <v>0</v>
      </c>
      <c r="AZ30" s="527">
        <f t="array" ref="AZ30">IF($J30&lt;1,AZ29+$H30*AW30,SUMPRODUCT(($B$16:$B$46&lt;=$B30)*($B$16:$B$46&gt;MAX($B30-$D$2-$I30,2019))*$H$16:$H$46*AW$16:AW$46))</f>
        <v>0.15</v>
      </c>
      <c r="BA30" s="528">
        <f t="shared" si="35"/>
        <v>336.95768095052949</v>
      </c>
      <c r="BB30" s="529">
        <f t="shared" si="24"/>
        <v>0.09</v>
      </c>
      <c r="BC30" s="529">
        <f t="shared" si="25"/>
        <v>0</v>
      </c>
      <c r="BD30" s="517">
        <f t="shared" si="7"/>
        <v>1149.9374598838776</v>
      </c>
      <c r="BE30" s="518">
        <f>BD30*(Hypothèses!$D$23/Hypothèses!$B$23)</f>
        <v>1368.9731665284257</v>
      </c>
      <c r="BF30" s="532">
        <f t="shared" si="8"/>
        <v>0.12975999999999999</v>
      </c>
      <c r="BG30" s="518">
        <f>BD30/Hypothèses!$B$23</f>
        <v>365.05951107424687</v>
      </c>
      <c r="BH30" s="532">
        <f t="shared" si="9"/>
        <v>0.29949999999999999</v>
      </c>
      <c r="BI30" s="532">
        <f t="shared" si="9"/>
        <v>0</v>
      </c>
      <c r="BJ30" s="518">
        <f t="shared" si="26"/>
        <v>109.33532356673693</v>
      </c>
      <c r="BK30" s="533">
        <f t="shared" si="36"/>
        <v>34.167961010127904</v>
      </c>
      <c r="BL30" s="534">
        <f t="shared" si="37"/>
        <v>0.31250614984710046</v>
      </c>
      <c r="BM30" s="535">
        <f t="array" ref="BM30">SUM(IF((Prod_Carburant_Alt!$A$7:$A$37=$B30)*(Prod_Carburant_Alt!$B$3:$AI$3=$C$2)*(Prod_Carburant_Alt!$B$5:$AI$5=BM$7)*(Prod_Carburant_Alt!$B$6:$AI$6=BM$9),Prod_Carburant_Alt!$B$7:$AI$37,0))</f>
        <v>26.716192435942713</v>
      </c>
      <c r="BN30" s="534">
        <f t="shared" si="27"/>
        <v>2.4083396258253735</v>
      </c>
      <c r="BO30" s="536">
        <f t="array" ref="BO30">SUM(IF((Prod_Carburant_Alt!$A$7:$A$37=$B30)*(Prod_Carburant_Alt!$B$3:$AI$3=$C$2)*(Prod_Carburant_Alt!$B$5:$AI$5=BO$7)*(Prod_Carburant_Alt!$B$6:$AI$6=BO$9),Prod_Carburant_Alt!$B$7:$AI$37,0))</f>
        <v>0.204382517533922</v>
      </c>
      <c r="BP30" s="543">
        <f t="array" ref="BP30">SUM(IF((Prod_Carburant_Alt!$A$7:$A$37=$B30)*(Prod_Carburant_Alt!$B$3:$AI$3=$C$2)*(Prod_Carburant_Alt!$B$5:$AI$5=BP$7)*(Prod_Carburant_Alt!$B$6:$AI$6=BP$9),Prod_Carburant_Alt!$B$7:$AI$37,0))</f>
        <v>7.4517685741851931</v>
      </c>
      <c r="BQ30" s="536">
        <f t="shared" si="38"/>
        <v>6.8155179232965143E-2</v>
      </c>
      <c r="BR30" s="537">
        <f t="shared" si="39"/>
        <v>330.89155006411897</v>
      </c>
      <c r="BS30" s="538">
        <f t="shared" si="40"/>
        <v>34.167961010127904</v>
      </c>
      <c r="BT30" s="539">
        <f t="shared" si="41"/>
        <v>1</v>
      </c>
      <c r="BU30" s="535">
        <f t="shared" si="28"/>
        <v>26.716192435942713</v>
      </c>
      <c r="BV30" s="539">
        <f t="shared" si="42"/>
        <v>1</v>
      </c>
      <c r="BW30" s="535">
        <f t="shared" si="29"/>
        <v>7.4517685741851931</v>
      </c>
      <c r="BX30" s="539">
        <f t="shared" si="43"/>
        <v>1</v>
      </c>
      <c r="BY30" s="538">
        <f t="shared" si="44"/>
        <v>0</v>
      </c>
      <c r="BZ30" s="540">
        <f>BY30*Hypothèses!$B$3/Hypothèses!$B$9</f>
        <v>0</v>
      </c>
      <c r="CA30" s="538">
        <f t="shared" si="45"/>
        <v>330.89155006411897</v>
      </c>
      <c r="CB30" s="533">
        <f>BW30*Prod_Carburant_Alt!$R$61+BZ30*Hypothèses!$B$13</f>
        <v>337.44506013911621</v>
      </c>
      <c r="CC30" s="538">
        <f t="shared" si="46"/>
        <v>156.35354743812431</v>
      </c>
      <c r="CD30" s="541">
        <f t="shared" si="47"/>
        <v>0.24017442002784073</v>
      </c>
      <c r="CE30" s="537">
        <f t="shared" si="48"/>
        <v>3.7118956615302783</v>
      </c>
      <c r="CF30" s="503">
        <f>(CA30+BU30*BO30)*Hypothèses!$D$23+CE30</f>
        <v>1265.0314184106464</v>
      </c>
      <c r="CG30" s="504">
        <f t="shared" si="11"/>
        <v>7.5926797295351539E-2</v>
      </c>
      <c r="CH30" s="503">
        <f>(CA30+BU30*BO30)*Hypothèses!$B$23</f>
        <v>1059.5083991092577</v>
      </c>
      <c r="CI30" s="503">
        <f t="shared" si="49"/>
        <v>145.50839910925765</v>
      </c>
      <c r="CJ30" s="503">
        <f>(BU30+BW30+CA30)*Hypothèses!$B$6+BZ30*Hypothèses!$B$11</f>
        <v>11.6819043543759</v>
      </c>
      <c r="CK30" s="503">
        <f>(BU30+BW30+CA30)*Hypothèses!$B$5+BZ30*Hypothèses!$B$10</f>
        <v>507.43272039320311</v>
      </c>
      <c r="CL30" s="542">
        <f t="shared" si="12"/>
        <v>0.19583453607830675</v>
      </c>
    </row>
    <row r="31" spans="1:90" ht="14.25" customHeight="1">
      <c r="A31" s="331"/>
      <c r="B31" s="516">
        <v>2035</v>
      </c>
      <c r="C31" s="655">
        <f>Trajectoires!AA27</f>
        <v>1632.8010676045039</v>
      </c>
      <c r="D31" s="659">
        <f>C31/Hypothèses!$D$23</f>
        <v>435.4136180278677</v>
      </c>
      <c r="E31" s="659">
        <f>D31*Hypothèses!$B$23</f>
        <v>1371.5528967877833</v>
      </c>
      <c r="F31" s="659">
        <f>D31*Hypothèses!$B$5</f>
        <v>605.22492905873605</v>
      </c>
      <c r="G31" s="659">
        <f>D31*Hypothèses!$B$6</f>
        <v>13.933235776891767</v>
      </c>
      <c r="H31" s="519">
        <f t="shared" si="30"/>
        <v>0.04</v>
      </c>
      <c r="I31" s="520">
        <f>IF(J31&gt;=1,ROUND(COUNTIFS($B$16:$B31,"&gt;"&amp;MAX($B31-$D$2,2019),H$16:H31,1/25)*(1/$D$2-1/25)*25,0),0)</f>
        <v>0</v>
      </c>
      <c r="J31" s="521">
        <f t="shared" si="50"/>
        <v>0.64</v>
      </c>
      <c r="K31" s="522">
        <f>Hypothèses!$G$77</f>
        <v>0.01</v>
      </c>
      <c r="L31" s="523">
        <f t="shared" si="13"/>
        <v>13.715528967877834</v>
      </c>
      <c r="M31" s="524">
        <f t="array" ref="M31">1-SUM(IF((Roadmap_Avion!$B$8:$B$38=$B31)*(Roadmap_Avion!$C$4:$Z$4=$B$2)*(Roadmap_Avion!$C$6:$Z$6=M$7)*(Roadmap_Avion!$C$7:$Z$7=M$9),Roadmap_Avion!$C$8:$Z$38,0))</f>
        <v>0.15000000000000002</v>
      </c>
      <c r="N31" s="525">
        <f t="array" ref="N31">SUM(IF((Roadmap_Avion!$B$8:$B$38=$B31)*(Roadmap_Avion!$C$4:$Z$4=$B$2)*(Roadmap_Avion!$C$6:$Z$6=N$7)*(Roadmap_Avion!$C$7:$Z$7=N$9),Roadmap_Avion!$C$8:$Z$38,0))</f>
        <v>0</v>
      </c>
      <c r="O31" s="526">
        <f t="array" ref="O31">SUM(IF((Roadmap_Avion!$B$8:$B$38=$B31)*(Roadmap_Avion!$C$4:$Z$4=$B$2)*(Roadmap_Avion!$C$6:$Z$6=O$7)*(Roadmap_Avion!$C$7:$Z$7=O$9),Roadmap_Avion!$C$8:$Z$38,0))</f>
        <v>1</v>
      </c>
      <c r="P31" s="527">
        <f t="array" ref="P31">IF($J31&lt;1,P30+$H31*M31,SUMPRODUCT(($B$16:$B$46&lt;=$B31)*($B$16:$B$46&gt;MAX($B31-$D$2-$I31,2019))*$H$16:$H$46*M$16:M$46))</f>
        <v>0.10600000000000001</v>
      </c>
      <c r="Q31" s="528">
        <f t="shared" si="31"/>
        <v>12.261682897282784</v>
      </c>
      <c r="R31" s="529">
        <f t="shared" si="14"/>
        <v>2.5000000000000001E-3</v>
      </c>
      <c r="S31" s="530">
        <f t="shared" si="15"/>
        <v>4.0000000000000002E-4</v>
      </c>
      <c r="T31" s="522">
        <f>Hypothèses!$G$78</f>
        <v>0.03</v>
      </c>
      <c r="U31" s="523">
        <f t="shared" si="16"/>
        <v>41.146586903633498</v>
      </c>
      <c r="V31" s="524">
        <f t="array" ref="V31">1-SUM(IF((Roadmap_Avion!$B$8:$B$38=$B31)*(Roadmap_Avion!$C$4:$Z$4=$B$2)*(Roadmap_Avion!$C$6:$Z$6=V$7)*(Roadmap_Avion!$C$7:$Z$7=V$9),Roadmap_Avion!$C$8:$Z$38,0))</f>
        <v>0.5</v>
      </c>
      <c r="W31" s="525">
        <f t="array" ref="W31">SUM(IF((Roadmap_Avion!$B$8:$B$38=$B31)*(Roadmap_Avion!$C$4:$Z$4=$B$2)*(Roadmap_Avion!$C$6:$Z$6=W$7)*(Roadmap_Avion!$C$7:$Z$7=W$9),Roadmap_Avion!$C$8:$Z$38,0))</f>
        <v>0.25</v>
      </c>
      <c r="X31" s="526">
        <f t="array" ref="X31">SUM(IF((Roadmap_Avion!$B$8:$B$38=$B31)*(Roadmap_Avion!$C$4:$Z$4=$B$2)*(Roadmap_Avion!$C$6:$Z$6=X$7)*(Roadmap_Avion!$C$7:$Z$7=X$9),Roadmap_Avion!$C$8:$Z$38,0))</f>
        <v>0</v>
      </c>
      <c r="Y31" s="527">
        <f t="array" ref="Y31">IF($J31&lt;1,Y30+$H31*V31,SUMPRODUCT(($B$16:$B$46&lt;=$B31)*($B$16:$B$46&gt;MAX($B31-$D$2-$I31,2019))*$H$16:$H$46*V$16:V$46))</f>
        <v>3.9999999999999994E-2</v>
      </c>
      <c r="Z31" s="528">
        <f t="shared" si="32"/>
        <v>39.500723427488154</v>
      </c>
      <c r="AA31" s="529">
        <f t="shared" si="17"/>
        <v>9.2999999999999992E-3</v>
      </c>
      <c r="AB31" s="530">
        <f t="shared" si="18"/>
        <v>0</v>
      </c>
      <c r="AC31" s="522">
        <f>Hypothèses!$G$79</f>
        <v>0.24</v>
      </c>
      <c r="AD31" s="523">
        <f t="shared" si="19"/>
        <v>329.17269522906798</v>
      </c>
      <c r="AE31" s="524">
        <f t="array" ref="AE31">1-SUM(IF((Roadmap_Avion!$B$8:$B$38=$B31)*(Roadmap_Avion!$C$4:$Z$4=$B$2)*(Roadmap_Avion!$C$6:$Z$6=AE$7)*(Roadmap_Avion!$C$7:$Z$7=AE$9),Roadmap_Avion!$C$8:$Z$38,0))</f>
        <v>0.25</v>
      </c>
      <c r="AF31" s="525">
        <f t="array" ref="AF31">SUM(IF((Roadmap_Avion!$B$8:$B$38=$B31)*(Roadmap_Avion!$C$4:$Z$4=$B$2)*(Roadmap_Avion!$C$6:$Z$6=AF$7)*(Roadmap_Avion!$C$7:$Z$7=AF$9),Roadmap_Avion!$C$8:$Z$38,0))</f>
        <v>0.5</v>
      </c>
      <c r="AG31" s="526">
        <f t="array" ref="AG31">SUM(IF((Roadmap_Avion!$B$8:$B$38=$B31)*(Roadmap_Avion!$C$4:$Z$4=$B$2)*(Roadmap_Avion!$C$6:$Z$6=AG$7)*(Roadmap_Avion!$C$7:$Z$7=AG$9),Roadmap_Avion!$C$8:$Z$38,0))</f>
        <v>0</v>
      </c>
      <c r="AH31" s="527">
        <f t="array" ref="AH31">IF($J31&lt;1,AH30+$H31*AE31,SUMPRODUCT(($B$16:$B$46&lt;=$B31)*($B$16:$B$46&gt;MAX($B31-$D$2-$I31,2019))*$H$16:$H$46*AE$16:AE$46))</f>
        <v>0.13599999999999995</v>
      </c>
      <c r="AI31" s="528">
        <f t="shared" si="33"/>
        <v>284.40520867791474</v>
      </c>
      <c r="AJ31" s="529">
        <f t="shared" si="20"/>
        <v>7.6799999999999993E-2</v>
      </c>
      <c r="AK31" s="530">
        <f t="shared" si="21"/>
        <v>0</v>
      </c>
      <c r="AL31" s="522">
        <f>Hypothèses!$G$80</f>
        <v>0.42</v>
      </c>
      <c r="AM31" s="523">
        <f t="shared" si="22"/>
        <v>576.05221665086901</v>
      </c>
      <c r="AN31" s="524">
        <f t="array" ref="AN31">1-SUM(IF((Roadmap_Avion!$B$8:$B$38=$B31)*(Roadmap_Avion!$C$4:$Z$4=$B$2)*(Roadmap_Avion!$C$6:$Z$6=AN$7)*(Roadmap_Avion!$C$7:$Z$7=AN$9),Roadmap_Avion!$C$8:$Z$38,0))</f>
        <v>0.25</v>
      </c>
      <c r="AO31" s="525">
        <f t="array" ref="AO31">SUM(IF((Roadmap_Avion!$B$8:$B$38=$B31)*(Roadmap_Avion!$C$4:$Z$4=$B$2)*(Roadmap_Avion!$C$6:$Z$6=AO$7)*(Roadmap_Avion!$C$7:$Z$7=AO$9),Roadmap_Avion!$C$8:$Z$38,0))</f>
        <v>0.5</v>
      </c>
      <c r="AP31" s="526">
        <f t="array" ref="AP31">SUM(IF((Roadmap_Avion!$B$8:$B$38=$B31)*(Roadmap_Avion!$C$4:$Z$4=$B$2)*(Roadmap_Avion!$C$6:$Z$6=AP$7)*(Roadmap_Avion!$C$7:$Z$7=AP$9),Roadmap_Avion!$C$8:$Z$38,0))</f>
        <v>0</v>
      </c>
      <c r="AQ31" s="527">
        <f t="array" ref="AQ31">IF($J31&lt;1,AQ30+$H31*AN31,SUMPRODUCT(($B$16:$B$46&lt;=$B31)*($B$16:$B$46&gt;MAX($B31-$D$2-$I31,2019))*$H$16:$H$46*AN$16:AN$46))</f>
        <v>0.13599999999999995</v>
      </c>
      <c r="AR31" s="528">
        <f t="shared" si="34"/>
        <v>497.70911518635091</v>
      </c>
      <c r="AS31" s="529">
        <f t="shared" si="4"/>
        <v>0.13439999999999999</v>
      </c>
      <c r="AT31" s="530">
        <f t="shared" si="5"/>
        <v>0</v>
      </c>
      <c r="AU31" s="531">
        <f>Hypothèses!$G$81</f>
        <v>0.3</v>
      </c>
      <c r="AV31" s="523">
        <f t="shared" si="23"/>
        <v>411.46586903633499</v>
      </c>
      <c r="AW31" s="524">
        <f t="array" ref="AW31">1-SUM(IF((Roadmap_Avion!$B$8:$B$38=$B31)*(Roadmap_Avion!$C$4:$Z$4=$B$2)*(Roadmap_Avion!$C$6:$Z$6=AW$7)*(Roadmap_Avion!$C$7:$Z$7=AW$9),Roadmap_Avion!$C$8:$Z$38,0))</f>
        <v>0.25</v>
      </c>
      <c r="AX31" s="525">
        <f t="array" ref="AX31">SUM(IF((Roadmap_Avion!$B$8:$B$38=$B31)*(Roadmap_Avion!$C$4:$Z$4=$B$2)*(Roadmap_Avion!$C$6:$Z$6=AX$7)*(Roadmap_Avion!$C$7:$Z$7=AX$9),Roadmap_Avion!$C$8:$Z$38,0))</f>
        <v>0.5</v>
      </c>
      <c r="AY31" s="526">
        <f t="array" ref="AY31">SUM(IF((Roadmap_Avion!$B$8:$B$38=$B31)*(Roadmap_Avion!$C$4:$Z$4=$B$2)*(Roadmap_Avion!$C$6:$Z$6=AY$7)*(Roadmap_Avion!$C$7:$Z$7=AY$9),Roadmap_Avion!$C$8:$Z$38,0))</f>
        <v>0</v>
      </c>
      <c r="AZ31" s="527">
        <f t="array" ref="AZ31">IF($J31&lt;1,AZ30+$H31*AW31,SUMPRODUCT(($B$16:$B$46&lt;=$B31)*($B$16:$B$46&gt;MAX($B31-$D$2-$I31,2019))*$H$16:$H$46*AW$16:AW$46))</f>
        <v>0.16</v>
      </c>
      <c r="BA31" s="528">
        <f t="shared" si="35"/>
        <v>345.63132999052141</v>
      </c>
      <c r="BB31" s="529">
        <f t="shared" si="24"/>
        <v>9.6000000000000002E-2</v>
      </c>
      <c r="BC31" s="529">
        <f t="shared" si="25"/>
        <v>0</v>
      </c>
      <c r="BD31" s="517">
        <f t="shared" si="7"/>
        <v>1179.508060179558</v>
      </c>
      <c r="BE31" s="518">
        <f>BD31*(Hypothèses!$D$23/Hypothèses!$B$23)</f>
        <v>1404.1762621185214</v>
      </c>
      <c r="BF31" s="532">
        <f t="shared" si="8"/>
        <v>0.14001999999999992</v>
      </c>
      <c r="BG31" s="518">
        <f>BD31/Hypothèses!$B$23</f>
        <v>374.44700323160572</v>
      </c>
      <c r="BH31" s="532">
        <f t="shared" si="9"/>
        <v>0.31899999999999995</v>
      </c>
      <c r="BI31" s="532">
        <f t="shared" si="9"/>
        <v>4.0000000000000002E-4</v>
      </c>
      <c r="BJ31" s="518">
        <f t="shared" si="26"/>
        <v>119.44859403088221</v>
      </c>
      <c r="BK31" s="533">
        <f t="shared" si="36"/>
        <v>40.038332019065614</v>
      </c>
      <c r="BL31" s="534">
        <f t="shared" si="37"/>
        <v>0.33519299531239449</v>
      </c>
      <c r="BM31" s="535">
        <f t="array" ref="BM31">SUM(IF((Prod_Carburant_Alt!$A$7:$A$37=$B31)*(Prod_Carburant_Alt!$B$3:$AI$3=$C$2)*(Prod_Carburant_Alt!$B$5:$AI$5=BM$7)*(Prod_Carburant_Alt!$B$6:$AI$6=BM$9),Prod_Carburant_Alt!$B$7:$AI$37,0))</f>
        <v>30.72362130133412</v>
      </c>
      <c r="BN31" s="534">
        <f t="shared" si="27"/>
        <v>2.3938936959891066</v>
      </c>
      <c r="BO31" s="536">
        <f t="array" ref="BO31">SUM(IF((Prod_Carburant_Alt!$A$7:$A$37=$B31)*(Prod_Carburant_Alt!$B$3:$AI$3=$C$2)*(Prod_Carburant_Alt!$B$5:$AI$5=BO$7)*(Prod_Carburant_Alt!$B$6:$AI$6=BO$9),Prod_Carburant_Alt!$B$7:$AI$37,0))</f>
        <v>0.204382517533922</v>
      </c>
      <c r="BP31" s="543">
        <f t="array" ref="BP31">SUM(IF((Prod_Carburant_Alt!$A$7:$A$37=$B31)*(Prod_Carburant_Alt!$B$3:$AI$3=$C$2)*(Prod_Carburant_Alt!$B$5:$AI$5=BP$7)*(Prod_Carburant_Alt!$B$6:$AI$6=BP$9),Prod_Carburant_Alt!$B$7:$AI$37,0))</f>
        <v>9.3147107177314918</v>
      </c>
      <c r="BQ31" s="536">
        <f t="shared" si="38"/>
        <v>7.798091550012945E-2</v>
      </c>
      <c r="BR31" s="537">
        <f t="shared" si="39"/>
        <v>334.40867121254013</v>
      </c>
      <c r="BS31" s="538">
        <f t="shared" si="40"/>
        <v>40.038332019065614</v>
      </c>
      <c r="BT31" s="539">
        <f t="shared" si="41"/>
        <v>1</v>
      </c>
      <c r="BU31" s="535">
        <f t="shared" si="28"/>
        <v>30.723621301334116</v>
      </c>
      <c r="BV31" s="539">
        <f t="shared" si="42"/>
        <v>0.99999999999999989</v>
      </c>
      <c r="BW31" s="535">
        <f t="shared" si="29"/>
        <v>9.3147107177314918</v>
      </c>
      <c r="BX31" s="539">
        <f t="shared" si="43"/>
        <v>1</v>
      </c>
      <c r="BY31" s="538">
        <f t="shared" si="44"/>
        <v>0.14977880129264229</v>
      </c>
      <c r="BZ31" s="540">
        <f>BY31*Hypothèses!$B$3/Hypothèses!$B$9</f>
        <v>5.5025881638904525E-2</v>
      </c>
      <c r="CA31" s="538">
        <f t="shared" si="45"/>
        <v>334.25889241124747</v>
      </c>
      <c r="CB31" s="533">
        <f>BW31*Prod_Carburant_Alt!$R$61+BZ31*Hypothèses!$B$13</f>
        <v>424.92263955567904</v>
      </c>
      <c r="CC31" s="538">
        <f t="shared" si="46"/>
        <v>196.88586359483776</v>
      </c>
      <c r="CD31" s="541">
        <f t="shared" si="47"/>
        <v>0.30243604238838367</v>
      </c>
      <c r="CE31" s="537">
        <f t="shared" si="48"/>
        <v>4.6741490351124693</v>
      </c>
      <c r="CF31" s="503">
        <f>(CA31+BU31*BO31)*Hypothèses!$D$23+CE31</f>
        <v>1281.6926370872613</v>
      </c>
      <c r="CG31" s="504">
        <f t="shared" si="11"/>
        <v>8.7228098306166707E-2</v>
      </c>
      <c r="CH31" s="503">
        <f>(CA31+BU31*BO31)*Hypothèses!$B$23</f>
        <v>1072.6955299638048</v>
      </c>
      <c r="CI31" s="503">
        <f t="shared" si="49"/>
        <v>158.6955299638048</v>
      </c>
      <c r="CJ31" s="503">
        <f>(BU31+BW31+CA31)*Hypothèses!$B$6+BZ31*Hypothèses!$B$11</f>
        <v>11.978941854692629</v>
      </c>
      <c r="CK31" s="503">
        <f>(BU31+BW31+CA31)*Hypothèses!$B$5+BZ31*Hypothèses!$B$10</f>
        <v>520.76837489288528</v>
      </c>
      <c r="CL31" s="542">
        <f t="shared" si="12"/>
        <v>0.21503441998133715</v>
      </c>
    </row>
    <row r="32" spans="1:90" ht="14.25" customHeight="1">
      <c r="A32" s="331"/>
      <c r="B32" s="516">
        <v>2036</v>
      </c>
      <c r="C32" s="655">
        <f>Trajectoires!AA28</f>
        <v>1694.4111622566213</v>
      </c>
      <c r="D32" s="659">
        <f>C32/Hypothèses!$D$23</f>
        <v>451.84297660176566</v>
      </c>
      <c r="E32" s="659">
        <f>D32*Hypothèses!$B$23</f>
        <v>1423.3053762955617</v>
      </c>
      <c r="F32" s="659">
        <f>D32*Hypothèses!$B$5</f>
        <v>628.06173747645425</v>
      </c>
      <c r="G32" s="659">
        <f>D32*Hypothèses!$B$6</f>
        <v>14.458975251256501</v>
      </c>
      <c r="H32" s="519">
        <f t="shared" si="30"/>
        <v>0.04</v>
      </c>
      <c r="I32" s="520">
        <f>IF(J32&gt;=1,ROUND(COUNTIFS($B$16:$B32,"&gt;"&amp;MAX($B32-$D$2,2019),H$16:H32,1/25)*(1/$D$2-1/25)*25,0),0)</f>
        <v>0</v>
      </c>
      <c r="J32" s="521">
        <f t="shared" si="50"/>
        <v>0.68</v>
      </c>
      <c r="K32" s="522">
        <f>Hypothèses!$G$77</f>
        <v>0.01</v>
      </c>
      <c r="L32" s="523">
        <f t="shared" si="13"/>
        <v>14.233053762955617</v>
      </c>
      <c r="M32" s="524">
        <f t="array" ref="M32">1-SUM(IF((Roadmap_Avion!$B$8:$B$38=$B32)*(Roadmap_Avion!$C$4:$Z$4=$B$2)*(Roadmap_Avion!$C$6:$Z$6=M$7)*(Roadmap_Avion!$C$7:$Z$7=M$9),Roadmap_Avion!$C$8:$Z$38,0))</f>
        <v>0.15000000000000002</v>
      </c>
      <c r="N32" s="525">
        <f t="array" ref="N32">SUM(IF((Roadmap_Avion!$B$8:$B$38=$B32)*(Roadmap_Avion!$C$4:$Z$4=$B$2)*(Roadmap_Avion!$C$6:$Z$6=N$7)*(Roadmap_Avion!$C$7:$Z$7=N$9),Roadmap_Avion!$C$8:$Z$38,0))</f>
        <v>0</v>
      </c>
      <c r="O32" s="526">
        <f t="array" ref="O32">SUM(IF((Roadmap_Avion!$B$8:$B$38=$B32)*(Roadmap_Avion!$C$4:$Z$4=$B$2)*(Roadmap_Avion!$C$6:$Z$6=O$7)*(Roadmap_Avion!$C$7:$Z$7=O$9),Roadmap_Avion!$C$8:$Z$38,0))</f>
        <v>1</v>
      </c>
      <c r="P32" s="527">
        <f t="array" ref="P32">IF($J32&lt;1,P31+$H32*M32,SUMPRODUCT(($B$16:$B$46&lt;=$B32)*($B$16:$B$46&gt;MAX($B32-$D$2-$I32,2019))*$H$16:$H$46*M$16:M$46))</f>
        <v>0.11200000000000002</v>
      </c>
      <c r="Q32" s="528">
        <f t="shared" si="31"/>
        <v>12.638951741504588</v>
      </c>
      <c r="R32" s="529">
        <f t="shared" si="14"/>
        <v>2.5000000000000001E-3</v>
      </c>
      <c r="S32" s="530">
        <f t="shared" si="15"/>
        <v>8.0000000000000004E-4</v>
      </c>
      <c r="T32" s="522">
        <f>Hypothèses!$G$78</f>
        <v>0.03</v>
      </c>
      <c r="U32" s="523">
        <f t="shared" si="16"/>
        <v>42.699161288866847</v>
      </c>
      <c r="V32" s="524">
        <f t="array" ref="V32">1-SUM(IF((Roadmap_Avion!$B$8:$B$38=$B32)*(Roadmap_Avion!$C$4:$Z$4=$B$2)*(Roadmap_Avion!$C$6:$Z$6=V$7)*(Roadmap_Avion!$C$7:$Z$7=V$9),Roadmap_Avion!$C$8:$Z$38,0))</f>
        <v>0.5</v>
      </c>
      <c r="W32" s="525">
        <f t="array" ref="W32">SUM(IF((Roadmap_Avion!$B$8:$B$38=$B32)*(Roadmap_Avion!$C$4:$Z$4=$B$2)*(Roadmap_Avion!$C$6:$Z$6=W$7)*(Roadmap_Avion!$C$7:$Z$7=W$9),Roadmap_Avion!$C$8:$Z$38,0))</f>
        <v>0.25</v>
      </c>
      <c r="X32" s="526">
        <f t="array" ref="X32">SUM(IF((Roadmap_Avion!$B$8:$B$38=$B32)*(Roadmap_Avion!$C$4:$Z$4=$B$2)*(Roadmap_Avion!$C$6:$Z$6=X$7)*(Roadmap_Avion!$C$7:$Z$7=X$9),Roadmap_Avion!$C$8:$Z$38,0))</f>
        <v>0</v>
      </c>
      <c r="Y32" s="527">
        <f t="array" ref="Y32">IF($J32&lt;1,Y31+$H32*V32,SUMPRODUCT(($B$16:$B$46&lt;=$B32)*($B$16:$B$46&gt;MAX($B32-$D$2-$I32,2019))*$H$16:$H$46*V$16:V$46))</f>
        <v>0.06</v>
      </c>
      <c r="Z32" s="528">
        <f t="shared" si="32"/>
        <v>40.137211611534831</v>
      </c>
      <c r="AA32" s="529">
        <f t="shared" si="17"/>
        <v>9.5999999999999992E-3</v>
      </c>
      <c r="AB32" s="530">
        <f t="shared" si="18"/>
        <v>0</v>
      </c>
      <c r="AC32" s="522">
        <f>Hypothèses!$G$79</f>
        <v>0.24</v>
      </c>
      <c r="AD32" s="523">
        <f t="shared" si="19"/>
        <v>341.59329031093478</v>
      </c>
      <c r="AE32" s="524">
        <f t="array" ref="AE32">1-SUM(IF((Roadmap_Avion!$B$8:$B$38=$B32)*(Roadmap_Avion!$C$4:$Z$4=$B$2)*(Roadmap_Avion!$C$6:$Z$6=AE$7)*(Roadmap_Avion!$C$7:$Z$7=AE$9),Roadmap_Avion!$C$8:$Z$38,0))</f>
        <v>0.25</v>
      </c>
      <c r="AF32" s="525">
        <f t="array" ref="AF32">SUM(IF((Roadmap_Avion!$B$8:$B$38=$B32)*(Roadmap_Avion!$C$4:$Z$4=$B$2)*(Roadmap_Avion!$C$6:$Z$6=AF$7)*(Roadmap_Avion!$C$7:$Z$7=AF$9),Roadmap_Avion!$C$8:$Z$38,0))</f>
        <v>0.5</v>
      </c>
      <c r="AG32" s="526">
        <f t="array" ref="AG32">SUM(IF((Roadmap_Avion!$B$8:$B$38=$B32)*(Roadmap_Avion!$C$4:$Z$4=$B$2)*(Roadmap_Avion!$C$6:$Z$6=AG$7)*(Roadmap_Avion!$C$7:$Z$7=AG$9),Roadmap_Avion!$C$8:$Z$38,0))</f>
        <v>0</v>
      </c>
      <c r="AH32" s="527">
        <f t="array" ref="AH32">IF($J32&lt;1,AH31+$H32*AE32,SUMPRODUCT(($B$16:$B$46&lt;=$B32)*($B$16:$B$46&gt;MAX($B32-$D$2-$I32,2019))*$H$16:$H$46*AE$16:AE$46))</f>
        <v>0.14599999999999996</v>
      </c>
      <c r="AI32" s="528">
        <f t="shared" si="33"/>
        <v>291.72066992553835</v>
      </c>
      <c r="AJ32" s="529">
        <f t="shared" si="20"/>
        <v>8.1600000000000006E-2</v>
      </c>
      <c r="AK32" s="530">
        <f t="shared" si="21"/>
        <v>0</v>
      </c>
      <c r="AL32" s="522">
        <f>Hypothèses!$G$80</f>
        <v>0.42</v>
      </c>
      <c r="AM32" s="523">
        <f t="shared" si="22"/>
        <v>597.78825804413589</v>
      </c>
      <c r="AN32" s="524">
        <f t="array" ref="AN32">1-SUM(IF((Roadmap_Avion!$B$8:$B$38=$B32)*(Roadmap_Avion!$C$4:$Z$4=$B$2)*(Roadmap_Avion!$C$6:$Z$6=AN$7)*(Roadmap_Avion!$C$7:$Z$7=AN$9),Roadmap_Avion!$C$8:$Z$38,0))</f>
        <v>0.25</v>
      </c>
      <c r="AO32" s="525">
        <f t="array" ref="AO32">SUM(IF((Roadmap_Avion!$B$8:$B$38=$B32)*(Roadmap_Avion!$C$4:$Z$4=$B$2)*(Roadmap_Avion!$C$6:$Z$6=AO$7)*(Roadmap_Avion!$C$7:$Z$7=AO$9),Roadmap_Avion!$C$8:$Z$38,0))</f>
        <v>0.5</v>
      </c>
      <c r="AP32" s="526">
        <f t="array" ref="AP32">SUM(IF((Roadmap_Avion!$B$8:$B$38=$B32)*(Roadmap_Avion!$C$4:$Z$4=$B$2)*(Roadmap_Avion!$C$6:$Z$6=AP$7)*(Roadmap_Avion!$C$7:$Z$7=AP$9),Roadmap_Avion!$C$8:$Z$38,0))</f>
        <v>0</v>
      </c>
      <c r="AQ32" s="527">
        <f t="array" ref="AQ32">IF($J32&lt;1,AQ31+$H32*AN32,SUMPRODUCT(($B$16:$B$46&lt;=$B32)*($B$16:$B$46&gt;MAX($B32-$D$2-$I32,2019))*$H$16:$H$46*AN$16:AN$46))</f>
        <v>0.14599999999999996</v>
      </c>
      <c r="AR32" s="528">
        <f t="shared" si="34"/>
        <v>510.51117236969208</v>
      </c>
      <c r="AS32" s="529">
        <f t="shared" si="4"/>
        <v>0.14279999999999998</v>
      </c>
      <c r="AT32" s="530">
        <f t="shared" si="5"/>
        <v>0</v>
      </c>
      <c r="AU32" s="531">
        <f>Hypothèses!$G$81</f>
        <v>0.3</v>
      </c>
      <c r="AV32" s="523">
        <f t="shared" si="23"/>
        <v>426.9916128886685</v>
      </c>
      <c r="AW32" s="524">
        <f t="array" ref="AW32">1-SUM(IF((Roadmap_Avion!$B$8:$B$38=$B32)*(Roadmap_Avion!$C$4:$Z$4=$B$2)*(Roadmap_Avion!$C$6:$Z$6=AW$7)*(Roadmap_Avion!$C$7:$Z$7=AW$9),Roadmap_Avion!$C$8:$Z$38,0))</f>
        <v>0.25</v>
      </c>
      <c r="AX32" s="525">
        <f t="array" ref="AX32">SUM(IF((Roadmap_Avion!$B$8:$B$38=$B32)*(Roadmap_Avion!$C$4:$Z$4=$B$2)*(Roadmap_Avion!$C$6:$Z$6=AX$7)*(Roadmap_Avion!$C$7:$Z$7=AX$9),Roadmap_Avion!$C$8:$Z$38,0))</f>
        <v>0.5</v>
      </c>
      <c r="AY32" s="526">
        <f t="array" ref="AY32">SUM(IF((Roadmap_Avion!$B$8:$B$38=$B32)*(Roadmap_Avion!$C$4:$Z$4=$B$2)*(Roadmap_Avion!$C$6:$Z$6=AY$7)*(Roadmap_Avion!$C$7:$Z$7=AY$9),Roadmap_Avion!$C$8:$Z$38,0))</f>
        <v>0</v>
      </c>
      <c r="AZ32" s="527">
        <f t="array" ref="AZ32">IF($J32&lt;1,AZ31+$H32*AW32,SUMPRODUCT(($B$16:$B$46&lt;=$B32)*($B$16:$B$46&gt;MAX($B32-$D$2-$I32,2019))*$H$16:$H$46*AW$16:AW$46))</f>
        <v>0.17</v>
      </c>
      <c r="BA32" s="528">
        <f t="shared" si="35"/>
        <v>354.40303869759481</v>
      </c>
      <c r="BB32" s="529">
        <f t="shared" si="24"/>
        <v>0.10199999999999999</v>
      </c>
      <c r="BC32" s="529">
        <f t="shared" si="25"/>
        <v>0</v>
      </c>
      <c r="BD32" s="517">
        <f t="shared" si="7"/>
        <v>1209.4110443458646</v>
      </c>
      <c r="BE32" s="518">
        <f>BD32*(Hypothèses!$D$23/Hypothèses!$B$23)</f>
        <v>1439.775052792696</v>
      </c>
      <c r="BF32" s="532">
        <f t="shared" si="8"/>
        <v>0.15028000000000019</v>
      </c>
      <c r="BG32" s="518">
        <f>BD32/Hypothèses!$B$23</f>
        <v>383.94001407805229</v>
      </c>
      <c r="BH32" s="532">
        <f t="shared" si="9"/>
        <v>0.33849999999999997</v>
      </c>
      <c r="BI32" s="532">
        <f t="shared" si="9"/>
        <v>8.0000000000000004E-4</v>
      </c>
      <c r="BJ32" s="518">
        <f t="shared" si="26"/>
        <v>129.96369476542068</v>
      </c>
      <c r="BK32" s="533">
        <f t="shared" si="36"/>
        <v>46.975552893698598</v>
      </c>
      <c r="BL32" s="534">
        <f t="shared" si="37"/>
        <v>0.36145134976723775</v>
      </c>
      <c r="BM32" s="535">
        <f t="array" ref="BM32">SUM(IF((Prod_Carburant_Alt!$A$7:$A$37=$B32)*(Prod_Carburant_Alt!$B$3:$AI$3=$C$2)*(Prod_Carburant_Alt!$B$5:$AI$5=BM$7)*(Prod_Carburant_Alt!$B$6:$AI$6=BM$9),Prod_Carburant_Alt!$B$7:$AI$37,0))</f>
        <v>35.332164496534233</v>
      </c>
      <c r="BN32" s="534">
        <f t="shared" si="27"/>
        <v>2.4051859846103092</v>
      </c>
      <c r="BO32" s="536">
        <f t="array" ref="BO32">SUM(IF((Prod_Carburant_Alt!$A$7:$A$37=$B32)*(Prod_Carburant_Alt!$B$3:$AI$3=$C$2)*(Prod_Carburant_Alt!$B$5:$AI$5=BO$7)*(Prod_Carburant_Alt!$B$6:$AI$6=BO$9),Prod_Carburant_Alt!$B$7:$AI$37,0))</f>
        <v>0.204382517533922</v>
      </c>
      <c r="BP32" s="543">
        <f t="array" ref="BP32">SUM(IF((Prod_Carburant_Alt!$A$7:$A$37=$B32)*(Prod_Carburant_Alt!$B$3:$AI$3=$C$2)*(Prod_Carburant_Alt!$B$5:$AI$5=BP$7)*(Prod_Carburant_Alt!$B$6:$AI$6=BP$9),Prod_Carburant_Alt!$B$7:$AI$37,0))</f>
        <v>11.643388397164365</v>
      </c>
      <c r="BQ32" s="536">
        <f t="shared" si="38"/>
        <v>8.9589545897261688E-2</v>
      </c>
      <c r="BR32" s="537">
        <f t="shared" si="39"/>
        <v>336.96446118435369</v>
      </c>
      <c r="BS32" s="538">
        <f t="shared" si="40"/>
        <v>46.975552893698598</v>
      </c>
      <c r="BT32" s="539">
        <f t="shared" si="41"/>
        <v>1</v>
      </c>
      <c r="BU32" s="535">
        <f t="shared" si="28"/>
        <v>35.332164496534233</v>
      </c>
      <c r="BV32" s="539">
        <f t="shared" si="42"/>
        <v>1</v>
      </c>
      <c r="BW32" s="535">
        <f t="shared" si="29"/>
        <v>11.643388397164365</v>
      </c>
      <c r="BX32" s="539">
        <f t="shared" si="43"/>
        <v>1</v>
      </c>
      <c r="BY32" s="538">
        <f t="shared" si="44"/>
        <v>0.30715201126244185</v>
      </c>
      <c r="BZ32" s="540">
        <f>BY32*Hypothèses!$B$3/Hypothèses!$B$9</f>
        <v>0.11284180452116391</v>
      </c>
      <c r="CA32" s="538">
        <f t="shared" si="45"/>
        <v>336.65730917309128</v>
      </c>
      <c r="CB32" s="533">
        <f>BW32*Prod_Carburant_Alt!$R$61+BZ32*Hypothèses!$B$13</f>
        <v>533.64854534169672</v>
      </c>
      <c r="CC32" s="538">
        <f t="shared" si="46"/>
        <v>247.26348969213137</v>
      </c>
      <c r="CD32" s="541">
        <f t="shared" si="47"/>
        <v>0.37982102871295143</v>
      </c>
      <c r="CE32" s="537">
        <f t="shared" si="48"/>
        <v>5.8701339987586634</v>
      </c>
      <c r="CF32" s="503">
        <f>(CA32+BU32*BO32)*Hypothèses!$D$23+CE32</f>
        <v>1295.4148311343172</v>
      </c>
      <c r="CG32" s="504">
        <f t="shared" si="11"/>
        <v>0.10026581678739804</v>
      </c>
      <c r="CH32" s="503">
        <f>(CA32+BU32*BO32)*Hypothèses!$B$23</f>
        <v>1083.2175455938691</v>
      </c>
      <c r="CI32" s="503">
        <f t="shared" si="49"/>
        <v>169.21754559386909</v>
      </c>
      <c r="CJ32" s="503">
        <f>(BU32+BW32+CA32)*Hypothèses!$B$6+BZ32*Hypothèses!$B$11</f>
        <v>12.279185473054826</v>
      </c>
      <c r="CK32" s="503">
        <f>(BU32+BW32+CA32)*Hypothèses!$B$5+BZ32*Hypothèses!$B$10</f>
        <v>534.26525451352836</v>
      </c>
      <c r="CL32" s="542">
        <f t="shared" si="12"/>
        <v>0.23547786984058802</v>
      </c>
    </row>
    <row r="33" spans="1:90" ht="14.25" customHeight="1">
      <c r="A33" s="331"/>
      <c r="B33" s="516">
        <v>2037</v>
      </c>
      <c r="C33" s="655">
        <f>Trajectoires!AA29</f>
        <v>1757.9332772602418</v>
      </c>
      <c r="D33" s="659">
        <f>C33/Hypothèses!$D$23</f>
        <v>468.78220726939782</v>
      </c>
      <c r="E33" s="659">
        <f>D33*Hypothèses!$B$23</f>
        <v>1476.6639528986032</v>
      </c>
      <c r="F33" s="659">
        <f>D33*Hypothèses!$B$5</f>
        <v>651.60726810446295</v>
      </c>
      <c r="G33" s="659">
        <f>D33*Hypothèses!$B$6</f>
        <v>15.001030632620731</v>
      </c>
      <c r="H33" s="519">
        <f t="shared" si="30"/>
        <v>0.04</v>
      </c>
      <c r="I33" s="520">
        <f>IF(J33&gt;=1,ROUND(COUNTIFS($B$16:$B33,"&gt;"&amp;MAX($B33-$D$2,2019),H$16:H33,1/25)*(1/$D$2-1/25)*25,0),0)</f>
        <v>0</v>
      </c>
      <c r="J33" s="521">
        <f t="shared" si="50"/>
        <v>0.72000000000000008</v>
      </c>
      <c r="K33" s="522">
        <f>Hypothèses!$G$77</f>
        <v>0.01</v>
      </c>
      <c r="L33" s="523">
        <f t="shared" si="13"/>
        <v>14.766639528986031</v>
      </c>
      <c r="M33" s="524">
        <f t="array" ref="M33">1-SUM(IF((Roadmap_Avion!$B$8:$B$38=$B33)*(Roadmap_Avion!$C$4:$Z$4=$B$2)*(Roadmap_Avion!$C$6:$Z$6=M$7)*(Roadmap_Avion!$C$7:$Z$7=M$9),Roadmap_Avion!$C$8:$Z$38,0))</f>
        <v>0.15000000000000002</v>
      </c>
      <c r="N33" s="525">
        <f t="array" ref="N33">SUM(IF((Roadmap_Avion!$B$8:$B$38=$B33)*(Roadmap_Avion!$C$4:$Z$4=$B$2)*(Roadmap_Avion!$C$6:$Z$6=N$7)*(Roadmap_Avion!$C$7:$Z$7=N$9),Roadmap_Avion!$C$8:$Z$38,0))</f>
        <v>0</v>
      </c>
      <c r="O33" s="526">
        <f t="array" ref="O33">SUM(IF((Roadmap_Avion!$B$8:$B$38=$B33)*(Roadmap_Avion!$C$4:$Z$4=$B$2)*(Roadmap_Avion!$C$6:$Z$6=O$7)*(Roadmap_Avion!$C$7:$Z$7=O$9),Roadmap_Avion!$C$8:$Z$38,0))</f>
        <v>1</v>
      </c>
      <c r="P33" s="527">
        <f t="array" ref="P33">IF($J33&lt;1,P32+$H33*M33,SUMPRODUCT(($B$16:$B$46&lt;=$B33)*($B$16:$B$46&gt;MAX($B33-$D$2-$I33,2019))*$H$16:$H$46*M$16:M$46))</f>
        <v>0.11800000000000002</v>
      </c>
      <c r="Q33" s="528">
        <f t="shared" si="31"/>
        <v>13.02417606456568</v>
      </c>
      <c r="R33" s="529">
        <f t="shared" si="14"/>
        <v>2.5000000000000001E-3</v>
      </c>
      <c r="S33" s="530">
        <f t="shared" si="15"/>
        <v>1.1999999999999999E-3</v>
      </c>
      <c r="T33" s="522">
        <f>Hypothèses!$G$78</f>
        <v>0.03</v>
      </c>
      <c r="U33" s="523">
        <f t="shared" si="16"/>
        <v>44.299918586958093</v>
      </c>
      <c r="V33" s="524">
        <f t="array" ref="V33">1-SUM(IF((Roadmap_Avion!$B$8:$B$38=$B33)*(Roadmap_Avion!$C$4:$Z$4=$B$2)*(Roadmap_Avion!$C$6:$Z$6=V$7)*(Roadmap_Avion!$C$7:$Z$7=V$9),Roadmap_Avion!$C$8:$Z$38,0))</f>
        <v>0.5</v>
      </c>
      <c r="W33" s="525">
        <f t="array" ref="W33">SUM(IF((Roadmap_Avion!$B$8:$B$38=$B33)*(Roadmap_Avion!$C$4:$Z$4=$B$2)*(Roadmap_Avion!$C$6:$Z$6=W$7)*(Roadmap_Avion!$C$7:$Z$7=W$9),Roadmap_Avion!$C$8:$Z$38,0))</f>
        <v>0.25</v>
      </c>
      <c r="X33" s="526">
        <f t="array" ref="X33">SUM(IF((Roadmap_Avion!$B$8:$B$38=$B33)*(Roadmap_Avion!$C$4:$Z$4=$B$2)*(Roadmap_Avion!$C$6:$Z$6=X$7)*(Roadmap_Avion!$C$7:$Z$7=X$9),Roadmap_Avion!$C$8:$Z$38,0))</f>
        <v>0</v>
      </c>
      <c r="Y33" s="527">
        <f t="array" ref="Y33">IF($J33&lt;1,Y32+$H33*V33,SUMPRODUCT(($B$16:$B$46&lt;=$B33)*($B$16:$B$46&gt;MAX($B33-$D$2-$I33,2019))*$H$16:$H$46*V$16:V$46))</f>
        <v>0.08</v>
      </c>
      <c r="Z33" s="528">
        <f t="shared" si="32"/>
        <v>40.755925100001448</v>
      </c>
      <c r="AA33" s="529">
        <f t="shared" si="17"/>
        <v>9.8999999999999991E-3</v>
      </c>
      <c r="AB33" s="530">
        <f t="shared" si="18"/>
        <v>0</v>
      </c>
      <c r="AC33" s="522">
        <f>Hypothèses!$G$79</f>
        <v>0.24</v>
      </c>
      <c r="AD33" s="523">
        <f t="shared" si="19"/>
        <v>354.39934869566474</v>
      </c>
      <c r="AE33" s="524">
        <f t="array" ref="AE33">1-SUM(IF((Roadmap_Avion!$B$8:$B$38=$B33)*(Roadmap_Avion!$C$4:$Z$4=$B$2)*(Roadmap_Avion!$C$6:$Z$6=AE$7)*(Roadmap_Avion!$C$7:$Z$7=AE$9),Roadmap_Avion!$C$8:$Z$38,0))</f>
        <v>0.25</v>
      </c>
      <c r="AF33" s="525">
        <f t="array" ref="AF33">SUM(IF((Roadmap_Avion!$B$8:$B$38=$B33)*(Roadmap_Avion!$C$4:$Z$4=$B$2)*(Roadmap_Avion!$C$6:$Z$6=AF$7)*(Roadmap_Avion!$C$7:$Z$7=AF$9),Roadmap_Avion!$C$8:$Z$38,0))</f>
        <v>0.5</v>
      </c>
      <c r="AG33" s="526">
        <f t="array" ref="AG33">SUM(IF((Roadmap_Avion!$B$8:$B$38=$B33)*(Roadmap_Avion!$C$4:$Z$4=$B$2)*(Roadmap_Avion!$C$6:$Z$6=AG$7)*(Roadmap_Avion!$C$7:$Z$7=AG$9),Roadmap_Avion!$C$8:$Z$38,0))</f>
        <v>0</v>
      </c>
      <c r="AH33" s="527">
        <f t="array" ref="AH33">IF($J33&lt;1,AH32+$H33*AE33,SUMPRODUCT(($B$16:$B$46&lt;=$B33)*($B$16:$B$46&gt;MAX($B33-$D$2-$I33,2019))*$H$16:$H$46*AE$16:AE$46))</f>
        <v>0.15599999999999997</v>
      </c>
      <c r="AI33" s="528">
        <f t="shared" si="33"/>
        <v>299.11305029914109</v>
      </c>
      <c r="AJ33" s="529">
        <f t="shared" si="20"/>
        <v>8.6400000000000005E-2</v>
      </c>
      <c r="AK33" s="530">
        <f t="shared" si="21"/>
        <v>0</v>
      </c>
      <c r="AL33" s="522">
        <f>Hypothèses!$G$80</f>
        <v>0.42</v>
      </c>
      <c r="AM33" s="523">
        <f t="shared" si="22"/>
        <v>620.19886021741331</v>
      </c>
      <c r="AN33" s="524">
        <f t="array" ref="AN33">1-SUM(IF((Roadmap_Avion!$B$8:$B$38=$B33)*(Roadmap_Avion!$C$4:$Z$4=$B$2)*(Roadmap_Avion!$C$6:$Z$6=AN$7)*(Roadmap_Avion!$C$7:$Z$7=AN$9),Roadmap_Avion!$C$8:$Z$38,0))</f>
        <v>0.25</v>
      </c>
      <c r="AO33" s="525">
        <f t="array" ref="AO33">SUM(IF((Roadmap_Avion!$B$8:$B$38=$B33)*(Roadmap_Avion!$C$4:$Z$4=$B$2)*(Roadmap_Avion!$C$6:$Z$6=AO$7)*(Roadmap_Avion!$C$7:$Z$7=AO$9),Roadmap_Avion!$C$8:$Z$38,0))</f>
        <v>0.5</v>
      </c>
      <c r="AP33" s="526">
        <f t="array" ref="AP33">SUM(IF((Roadmap_Avion!$B$8:$B$38=$B33)*(Roadmap_Avion!$C$4:$Z$4=$B$2)*(Roadmap_Avion!$C$6:$Z$6=AP$7)*(Roadmap_Avion!$C$7:$Z$7=AP$9),Roadmap_Avion!$C$8:$Z$38,0))</f>
        <v>0</v>
      </c>
      <c r="AQ33" s="527">
        <f t="array" ref="AQ33">IF($J33&lt;1,AQ32+$H33*AN33,SUMPRODUCT(($B$16:$B$46&lt;=$B33)*($B$16:$B$46&gt;MAX($B33-$D$2-$I33,2019))*$H$16:$H$46*AN$16:AN$46))</f>
        <v>0.15599999999999997</v>
      </c>
      <c r="AR33" s="528">
        <f t="shared" si="34"/>
        <v>523.44783802349684</v>
      </c>
      <c r="AS33" s="529">
        <f t="shared" si="4"/>
        <v>0.1512</v>
      </c>
      <c r="AT33" s="530">
        <f t="shared" si="5"/>
        <v>0</v>
      </c>
      <c r="AU33" s="531">
        <f>Hypothèses!$G$81</f>
        <v>0.3</v>
      </c>
      <c r="AV33" s="523">
        <f t="shared" si="23"/>
        <v>442.99918586958091</v>
      </c>
      <c r="AW33" s="524">
        <f t="array" ref="AW33">1-SUM(IF((Roadmap_Avion!$B$8:$B$38=$B33)*(Roadmap_Avion!$C$4:$Z$4=$B$2)*(Roadmap_Avion!$C$6:$Z$6=AW$7)*(Roadmap_Avion!$C$7:$Z$7=AW$9),Roadmap_Avion!$C$8:$Z$38,0))</f>
        <v>0.25</v>
      </c>
      <c r="AX33" s="525">
        <f t="array" ref="AX33">SUM(IF((Roadmap_Avion!$B$8:$B$38=$B33)*(Roadmap_Avion!$C$4:$Z$4=$B$2)*(Roadmap_Avion!$C$6:$Z$6=AX$7)*(Roadmap_Avion!$C$7:$Z$7=AX$9),Roadmap_Avion!$C$8:$Z$38,0))</f>
        <v>0.5</v>
      </c>
      <c r="AY33" s="526">
        <f t="array" ref="AY33">SUM(IF((Roadmap_Avion!$B$8:$B$38=$B33)*(Roadmap_Avion!$C$4:$Z$4=$B$2)*(Roadmap_Avion!$C$6:$Z$6=AY$7)*(Roadmap_Avion!$C$7:$Z$7=AY$9),Roadmap_Avion!$C$8:$Z$38,0))</f>
        <v>0</v>
      </c>
      <c r="AZ33" s="527">
        <f t="array" ref="AZ33">IF($J33&lt;1,AZ32+$H33*AW33,SUMPRODUCT(($B$16:$B$46&lt;=$B33)*($B$16:$B$46&gt;MAX($B33-$D$2-$I33,2019))*$H$16:$H$46*AW$16:AW$46))</f>
        <v>0.18000000000000002</v>
      </c>
      <c r="BA33" s="528">
        <f t="shared" si="35"/>
        <v>363.25933241305631</v>
      </c>
      <c r="BB33" s="529">
        <f t="shared" si="24"/>
        <v>0.10799999999999998</v>
      </c>
      <c r="BC33" s="529">
        <f t="shared" si="25"/>
        <v>0</v>
      </c>
      <c r="BD33" s="517">
        <f t="shared" si="7"/>
        <v>1239.6003219002614</v>
      </c>
      <c r="BE33" s="518">
        <f>BD33*(Hypothèses!$D$23/Hypothèses!$B$23)</f>
        <v>1475.7146689288827</v>
      </c>
      <c r="BF33" s="532">
        <f t="shared" si="8"/>
        <v>0.16053999999999991</v>
      </c>
      <c r="BG33" s="518">
        <f>BD33/Hypothèses!$B$23</f>
        <v>393.52391171436869</v>
      </c>
      <c r="BH33" s="532">
        <f t="shared" si="9"/>
        <v>0.35799999999999998</v>
      </c>
      <c r="BI33" s="532">
        <f t="shared" si="9"/>
        <v>1.1999999999999999E-3</v>
      </c>
      <c r="BJ33" s="518">
        <f t="shared" si="26"/>
        <v>140.881560393744</v>
      </c>
      <c r="BK33" s="533">
        <f t="shared" si="36"/>
        <v>55.186224667469823</v>
      </c>
      <c r="BL33" s="534">
        <f t="shared" si="37"/>
        <v>0.39172070860964447</v>
      </c>
      <c r="BM33" s="535">
        <f t="array" ref="BM33">SUM(IF((Prod_Carburant_Alt!$A$7:$A$37=$B33)*(Prod_Carburant_Alt!$B$3:$AI$3=$C$2)*(Prod_Carburant_Alt!$B$5:$AI$5=BM$7)*(Prod_Carburant_Alt!$B$6:$AI$6=BM$9),Prod_Carburant_Alt!$B$7:$AI$37,0))</f>
        <v>40.631989171014368</v>
      </c>
      <c r="BN33" s="534">
        <f t="shared" si="27"/>
        <v>2.4400193634586067</v>
      </c>
      <c r="BO33" s="536">
        <f t="array" ref="BO33">SUM(IF((Prod_Carburant_Alt!$A$7:$A$37=$B33)*(Prod_Carburant_Alt!$B$3:$AI$3=$C$2)*(Prod_Carburant_Alt!$B$5:$AI$5=BO$7)*(Prod_Carburant_Alt!$B$6:$AI$6=BO$9),Prod_Carburant_Alt!$B$7:$AI$37,0))</f>
        <v>0.20438251753392203</v>
      </c>
      <c r="BP33" s="543">
        <f t="array" ref="BP33">SUM(IF((Prod_Carburant_Alt!$A$7:$A$37=$B33)*(Prod_Carburant_Alt!$B$3:$AI$3=$C$2)*(Prod_Carburant_Alt!$B$5:$AI$5=BP$7)*(Prod_Carburant_Alt!$B$6:$AI$6=BP$9),Prod_Carburant_Alt!$B$7:$AI$37,0))</f>
        <v>14.554235496455457</v>
      </c>
      <c r="BQ33" s="536">
        <f t="shared" si="38"/>
        <v>0.10330830703307396</v>
      </c>
      <c r="BR33" s="537">
        <f t="shared" si="39"/>
        <v>338.33768704689885</v>
      </c>
      <c r="BS33" s="538">
        <f t="shared" si="40"/>
        <v>55.186224667469823</v>
      </c>
      <c r="BT33" s="539">
        <f t="shared" si="41"/>
        <v>1</v>
      </c>
      <c r="BU33" s="535">
        <f t="shared" si="28"/>
        <v>40.631989171014368</v>
      </c>
      <c r="BV33" s="539">
        <f t="shared" si="42"/>
        <v>1</v>
      </c>
      <c r="BW33" s="535">
        <f t="shared" si="29"/>
        <v>14.554235496455455</v>
      </c>
      <c r="BX33" s="539">
        <f t="shared" si="43"/>
        <v>0.99999999999999989</v>
      </c>
      <c r="BY33" s="538">
        <f t="shared" si="44"/>
        <v>0.47222869405724238</v>
      </c>
      <c r="BZ33" s="540">
        <f>BY33*Hypothèses!$B$3/Hypothèses!$B$9</f>
        <v>0.17348783673944884</v>
      </c>
      <c r="CA33" s="538">
        <f t="shared" si="45"/>
        <v>337.86545835284159</v>
      </c>
      <c r="CB33" s="533">
        <f>BW33*Prod_Carburant_Alt!$R$61+BZ33*Hypothèses!$B$13</f>
        <v>668.89762576262115</v>
      </c>
      <c r="CC33" s="538">
        <f t="shared" si="46"/>
        <v>309.93050133200455</v>
      </c>
      <c r="CD33" s="541">
        <f t="shared" si="47"/>
        <v>0.47608371940400085</v>
      </c>
      <c r="CE33" s="537">
        <f t="shared" si="48"/>
        <v>7.3578738833888329</v>
      </c>
      <c r="CF33" s="503">
        <f>(CA33+BU33*BO33)*Hypothèses!$D$23+CE33</f>
        <v>1305.495098603481</v>
      </c>
      <c r="CG33" s="504">
        <f t="shared" si="11"/>
        <v>0.11534721034449845</v>
      </c>
      <c r="CH33" s="503">
        <f>(CA33+BU33*BO33)*Hypothèses!$B$23</f>
        <v>1090.4352687648775</v>
      </c>
      <c r="CI33" s="503">
        <f t="shared" si="49"/>
        <v>176.43526876487749</v>
      </c>
      <c r="CJ33" s="503">
        <f>(BU33+BW33+CA33)*Hypothèses!$B$6+BZ33*Hypothèses!$B$11</f>
        <v>12.582164540405193</v>
      </c>
      <c r="CK33" s="503">
        <f>(BU33+BW33+CA33)*Hypothèses!$B$5+BZ33*Hypothèses!$B$10</f>
        <v>547.90322992888787</v>
      </c>
      <c r="CL33" s="542">
        <f t="shared" si="12"/>
        <v>0.25736936919579256</v>
      </c>
    </row>
    <row r="34" spans="1:90" ht="14.25" customHeight="1">
      <c r="A34" s="331"/>
      <c r="B34" s="516">
        <v>2038</v>
      </c>
      <c r="C34" s="655">
        <f>Trajectoires!AA30</f>
        <v>1823.3614699446784</v>
      </c>
      <c r="D34" s="659">
        <f>C34/Hypothèses!$D$23</f>
        <v>486.2297253185809</v>
      </c>
      <c r="E34" s="659">
        <f>D34*Hypothèses!$B$23</f>
        <v>1531.6236347535298</v>
      </c>
      <c r="F34" s="659">
        <f>D34*Hypothèses!$B$5</f>
        <v>675.85931819282746</v>
      </c>
      <c r="G34" s="659">
        <f>D34*Hypothèses!$B$6</f>
        <v>15.55935121019459</v>
      </c>
      <c r="H34" s="519">
        <f t="shared" si="30"/>
        <v>0.04</v>
      </c>
      <c r="I34" s="520">
        <f>IF(J34&gt;=1,ROUND(COUNTIFS($B$16:$B34,"&gt;"&amp;MAX($B34-$D$2,2019),H$16:H34,1/25)*(1/$D$2-1/25)*25,0),0)</f>
        <v>0</v>
      </c>
      <c r="J34" s="521">
        <f t="shared" si="50"/>
        <v>0.76000000000000012</v>
      </c>
      <c r="K34" s="522">
        <f>Hypothèses!$G$77</f>
        <v>0.01</v>
      </c>
      <c r="L34" s="523">
        <f t="shared" si="13"/>
        <v>15.316236347535298</v>
      </c>
      <c r="M34" s="524">
        <f t="array" ref="M34">1-SUM(IF((Roadmap_Avion!$B$8:$B$38=$B34)*(Roadmap_Avion!$C$4:$Z$4=$B$2)*(Roadmap_Avion!$C$6:$Z$6=M$7)*(Roadmap_Avion!$C$7:$Z$7=M$9),Roadmap_Avion!$C$8:$Z$38,0))</f>
        <v>0.15000000000000002</v>
      </c>
      <c r="N34" s="525">
        <f t="array" ref="N34">SUM(IF((Roadmap_Avion!$B$8:$B$38=$B34)*(Roadmap_Avion!$C$4:$Z$4=$B$2)*(Roadmap_Avion!$C$6:$Z$6=N$7)*(Roadmap_Avion!$C$7:$Z$7=N$9),Roadmap_Avion!$C$8:$Z$38,0))</f>
        <v>0</v>
      </c>
      <c r="O34" s="526">
        <f t="array" ref="O34">SUM(IF((Roadmap_Avion!$B$8:$B$38=$B34)*(Roadmap_Avion!$C$4:$Z$4=$B$2)*(Roadmap_Avion!$C$6:$Z$6=O$7)*(Roadmap_Avion!$C$7:$Z$7=O$9),Roadmap_Avion!$C$8:$Z$38,0))</f>
        <v>1</v>
      </c>
      <c r="P34" s="527">
        <f t="array" ref="P34">IF($J34&lt;1,P33+$H34*M34,SUMPRODUCT(($B$16:$B$46&lt;=$B34)*($B$16:$B$46&gt;MAX($B34-$D$2-$I34,2019))*$H$16:$H$46*M$16:M$46))</f>
        <v>0.12400000000000003</v>
      </c>
      <c r="Q34" s="528">
        <f t="shared" si="31"/>
        <v>13.417023040440922</v>
      </c>
      <c r="R34" s="529">
        <f t="shared" si="14"/>
        <v>2.5000000000000001E-3</v>
      </c>
      <c r="S34" s="530">
        <f t="shared" si="15"/>
        <v>1.6000000000000001E-3</v>
      </c>
      <c r="T34" s="522">
        <f>Hypothèses!$G$78</f>
        <v>0.03</v>
      </c>
      <c r="U34" s="523">
        <f t="shared" si="16"/>
        <v>45.948709042605891</v>
      </c>
      <c r="V34" s="524">
        <f t="array" ref="V34">1-SUM(IF((Roadmap_Avion!$B$8:$B$38=$B34)*(Roadmap_Avion!$C$4:$Z$4=$B$2)*(Roadmap_Avion!$C$6:$Z$6=V$7)*(Roadmap_Avion!$C$7:$Z$7=V$9),Roadmap_Avion!$C$8:$Z$38,0))</f>
        <v>0.5</v>
      </c>
      <c r="W34" s="525">
        <f t="array" ref="W34">SUM(IF((Roadmap_Avion!$B$8:$B$38=$B34)*(Roadmap_Avion!$C$4:$Z$4=$B$2)*(Roadmap_Avion!$C$6:$Z$6=W$7)*(Roadmap_Avion!$C$7:$Z$7=W$9),Roadmap_Avion!$C$8:$Z$38,0))</f>
        <v>0.25</v>
      </c>
      <c r="X34" s="526">
        <f t="array" ref="X34">SUM(IF((Roadmap_Avion!$B$8:$B$38=$B34)*(Roadmap_Avion!$C$4:$Z$4=$B$2)*(Roadmap_Avion!$C$6:$Z$6=X$7)*(Roadmap_Avion!$C$7:$Z$7=X$9),Roadmap_Avion!$C$8:$Z$38,0))</f>
        <v>0</v>
      </c>
      <c r="Y34" s="527">
        <f t="array" ref="Y34">IF($J34&lt;1,Y33+$H34*V34,SUMPRODUCT(($B$16:$B$46&lt;=$B34)*($B$16:$B$46&gt;MAX($B34-$D$2-$I34,2019))*$H$16:$H$46*V$16:V$46))</f>
        <v>0.1</v>
      </c>
      <c r="Z34" s="528">
        <f t="shared" si="32"/>
        <v>41.353838138345303</v>
      </c>
      <c r="AA34" s="529">
        <f t="shared" si="17"/>
        <v>1.0200000000000001E-2</v>
      </c>
      <c r="AB34" s="530">
        <f t="shared" si="18"/>
        <v>0</v>
      </c>
      <c r="AC34" s="522">
        <f>Hypothèses!$G$79</f>
        <v>0.24</v>
      </c>
      <c r="AD34" s="523">
        <f t="shared" si="19"/>
        <v>367.58967234084713</v>
      </c>
      <c r="AE34" s="524">
        <f t="array" ref="AE34">1-SUM(IF((Roadmap_Avion!$B$8:$B$38=$B34)*(Roadmap_Avion!$C$4:$Z$4=$B$2)*(Roadmap_Avion!$C$6:$Z$6=AE$7)*(Roadmap_Avion!$C$7:$Z$7=AE$9),Roadmap_Avion!$C$8:$Z$38,0))</f>
        <v>0.25</v>
      </c>
      <c r="AF34" s="525">
        <f t="array" ref="AF34">SUM(IF((Roadmap_Avion!$B$8:$B$38=$B34)*(Roadmap_Avion!$C$4:$Z$4=$B$2)*(Roadmap_Avion!$C$6:$Z$6=AF$7)*(Roadmap_Avion!$C$7:$Z$7=AF$9),Roadmap_Avion!$C$8:$Z$38,0))</f>
        <v>0.5</v>
      </c>
      <c r="AG34" s="526">
        <f t="array" ref="AG34">SUM(IF((Roadmap_Avion!$B$8:$B$38=$B34)*(Roadmap_Avion!$C$4:$Z$4=$B$2)*(Roadmap_Avion!$C$6:$Z$6=AG$7)*(Roadmap_Avion!$C$7:$Z$7=AG$9),Roadmap_Avion!$C$8:$Z$38,0))</f>
        <v>0</v>
      </c>
      <c r="AH34" s="527">
        <f t="array" ref="AH34">IF($J34&lt;1,AH33+$H34*AE34,SUMPRODUCT(($B$16:$B$46&lt;=$B34)*($B$16:$B$46&gt;MAX($B34-$D$2-$I34,2019))*$H$16:$H$46*AE$16:AE$46))</f>
        <v>0.16599999999999998</v>
      </c>
      <c r="AI34" s="528">
        <f t="shared" si="33"/>
        <v>306.56978673226655</v>
      </c>
      <c r="AJ34" s="529">
        <f t="shared" si="20"/>
        <v>9.1199999999999989E-2</v>
      </c>
      <c r="AK34" s="530">
        <f t="shared" si="21"/>
        <v>0</v>
      </c>
      <c r="AL34" s="522">
        <f>Hypothèses!$G$80</f>
        <v>0.42</v>
      </c>
      <c r="AM34" s="523">
        <f t="shared" si="22"/>
        <v>643.28192659648255</v>
      </c>
      <c r="AN34" s="524">
        <f t="array" ref="AN34">1-SUM(IF((Roadmap_Avion!$B$8:$B$38=$B34)*(Roadmap_Avion!$C$4:$Z$4=$B$2)*(Roadmap_Avion!$C$6:$Z$6=AN$7)*(Roadmap_Avion!$C$7:$Z$7=AN$9),Roadmap_Avion!$C$8:$Z$38,0))</f>
        <v>0.25</v>
      </c>
      <c r="AO34" s="525">
        <f t="array" ref="AO34">SUM(IF((Roadmap_Avion!$B$8:$B$38=$B34)*(Roadmap_Avion!$C$4:$Z$4=$B$2)*(Roadmap_Avion!$C$6:$Z$6=AO$7)*(Roadmap_Avion!$C$7:$Z$7=AO$9),Roadmap_Avion!$C$8:$Z$38,0))</f>
        <v>0.5</v>
      </c>
      <c r="AP34" s="526">
        <f t="array" ref="AP34">SUM(IF((Roadmap_Avion!$B$8:$B$38=$B34)*(Roadmap_Avion!$C$4:$Z$4=$B$2)*(Roadmap_Avion!$C$6:$Z$6=AP$7)*(Roadmap_Avion!$C$7:$Z$7=AP$9),Roadmap_Avion!$C$8:$Z$38,0))</f>
        <v>0</v>
      </c>
      <c r="AQ34" s="527">
        <f t="array" ref="AQ34">IF($J34&lt;1,AQ33+$H34*AN34,SUMPRODUCT(($B$16:$B$46&lt;=$B34)*($B$16:$B$46&gt;MAX($B34-$D$2-$I34,2019))*$H$16:$H$46*AN$16:AN$46))</f>
        <v>0.16599999999999998</v>
      </c>
      <c r="AR34" s="528">
        <f t="shared" si="34"/>
        <v>536.49712678146648</v>
      </c>
      <c r="AS34" s="529">
        <f t="shared" si="4"/>
        <v>0.15959999999999999</v>
      </c>
      <c r="AT34" s="530">
        <f t="shared" si="5"/>
        <v>0</v>
      </c>
      <c r="AU34" s="531">
        <f>Hypothèses!$G$81</f>
        <v>0.3</v>
      </c>
      <c r="AV34" s="523">
        <f t="shared" si="23"/>
        <v>459.48709042605896</v>
      </c>
      <c r="AW34" s="524">
        <f t="array" ref="AW34">1-SUM(IF((Roadmap_Avion!$B$8:$B$38=$B34)*(Roadmap_Avion!$C$4:$Z$4=$B$2)*(Roadmap_Avion!$C$6:$Z$6=AW$7)*(Roadmap_Avion!$C$7:$Z$7=AW$9),Roadmap_Avion!$C$8:$Z$38,0))</f>
        <v>0.25</v>
      </c>
      <c r="AX34" s="525">
        <f t="array" ref="AX34">SUM(IF((Roadmap_Avion!$B$8:$B$38=$B34)*(Roadmap_Avion!$C$4:$Z$4=$B$2)*(Roadmap_Avion!$C$6:$Z$6=AX$7)*(Roadmap_Avion!$C$7:$Z$7=AX$9),Roadmap_Avion!$C$8:$Z$38,0))</f>
        <v>0.5</v>
      </c>
      <c r="AY34" s="526">
        <f t="array" ref="AY34">SUM(IF((Roadmap_Avion!$B$8:$B$38=$B34)*(Roadmap_Avion!$C$4:$Z$4=$B$2)*(Roadmap_Avion!$C$6:$Z$6=AY$7)*(Roadmap_Avion!$C$7:$Z$7=AY$9),Roadmap_Avion!$C$8:$Z$38,0))</f>
        <v>0</v>
      </c>
      <c r="AZ34" s="527">
        <f t="array" ref="AZ34">IF($J34&lt;1,AZ33+$H34*AW34,SUMPRODUCT(($B$16:$B$46&lt;=$B34)*($B$16:$B$46&gt;MAX($B34-$D$2-$I34,2019))*$H$16:$H$46*AW$16:AW$46))</f>
        <v>0.19000000000000003</v>
      </c>
      <c r="BA34" s="528">
        <f t="shared" si="35"/>
        <v>372.1845432451077</v>
      </c>
      <c r="BB34" s="529">
        <f t="shared" si="24"/>
        <v>0.114</v>
      </c>
      <c r="BC34" s="529">
        <f t="shared" si="25"/>
        <v>0</v>
      </c>
      <c r="BD34" s="517">
        <f t="shared" si="7"/>
        <v>1270.0223179376269</v>
      </c>
      <c r="BE34" s="518">
        <f>BD34*(Hypothèses!$D$23/Hypothèses!$B$23)</f>
        <v>1511.9313308781273</v>
      </c>
      <c r="BF34" s="532">
        <f t="shared" si="8"/>
        <v>0.17080000000000006</v>
      </c>
      <c r="BG34" s="518">
        <f>BD34/Hypothèses!$B$23</f>
        <v>403.18168823416727</v>
      </c>
      <c r="BH34" s="532">
        <f t="shared" si="9"/>
        <v>0.37749999999999995</v>
      </c>
      <c r="BI34" s="532">
        <f t="shared" si="9"/>
        <v>1.6000000000000001E-3</v>
      </c>
      <c r="BJ34" s="518">
        <f t="shared" si="26"/>
        <v>152.20108730839812</v>
      </c>
      <c r="BK34" s="533">
        <f t="shared" si="36"/>
        <v>64.919581917235831</v>
      </c>
      <c r="BL34" s="534">
        <f t="shared" si="37"/>
        <v>0.42653822692930077</v>
      </c>
      <c r="BM34" s="535">
        <f t="array" ref="BM34">SUM(IF((Prod_Carburant_Alt!$A$7:$A$37=$B34)*(Prod_Carburant_Alt!$B$3:$AI$3=$C$2)*(Prod_Carburant_Alt!$B$5:$AI$5=BM$7)*(Prod_Carburant_Alt!$B$6:$AI$6=BM$9),Prod_Carburant_Alt!$B$7:$AI$37,0))</f>
        <v>46.726787546666515</v>
      </c>
      <c r="BN34" s="534">
        <f t="shared" si="27"/>
        <v>2.497296410593095</v>
      </c>
      <c r="BO34" s="536">
        <f t="array" ref="BO34">SUM(IF((Prod_Carburant_Alt!$A$7:$A$37=$B34)*(Prod_Carburant_Alt!$B$3:$AI$3=$C$2)*(Prod_Carburant_Alt!$B$5:$AI$5=BO$7)*(Prod_Carburant_Alt!$B$6:$AI$6=BO$9),Prod_Carburant_Alt!$B$7:$AI$37,0))</f>
        <v>0.20438251753392203</v>
      </c>
      <c r="BP34" s="543">
        <f t="array" ref="BP34">SUM(IF((Prod_Carburant_Alt!$A$7:$A$37=$B34)*(Prod_Carburant_Alt!$B$3:$AI$3=$C$2)*(Prod_Carburant_Alt!$B$5:$AI$5=BP$7)*(Prod_Carburant_Alt!$B$6:$AI$6=BP$9),Prod_Carburant_Alt!$B$7:$AI$37,0))</f>
        <v>18.19279437056932</v>
      </c>
      <c r="BQ34" s="536">
        <f t="shared" si="38"/>
        <v>0.11953130356885093</v>
      </c>
      <c r="BR34" s="537">
        <f t="shared" si="39"/>
        <v>338.26210631693141</v>
      </c>
      <c r="BS34" s="538">
        <f t="shared" si="40"/>
        <v>64.919581917235831</v>
      </c>
      <c r="BT34" s="539">
        <f t="shared" si="41"/>
        <v>1</v>
      </c>
      <c r="BU34" s="535">
        <f t="shared" si="28"/>
        <v>46.726787546666515</v>
      </c>
      <c r="BV34" s="539">
        <f t="shared" si="42"/>
        <v>1</v>
      </c>
      <c r="BW34" s="535">
        <f t="shared" si="29"/>
        <v>18.19279437056932</v>
      </c>
      <c r="BX34" s="539">
        <f t="shared" si="43"/>
        <v>1</v>
      </c>
      <c r="BY34" s="538">
        <f t="shared" si="44"/>
        <v>0.64509070117466771</v>
      </c>
      <c r="BZ34" s="540">
        <f>BY34*Hypothèses!$B$3/Hypothèses!$B$9</f>
        <v>0.23699404897653514</v>
      </c>
      <c r="CA34" s="538">
        <f t="shared" si="45"/>
        <v>337.61701561575671</v>
      </c>
      <c r="CB34" s="533">
        <f>BW34*Prod_Carburant_Alt!$R$61+BZ34*Hypothèses!$B$13</f>
        <v>837.26230766064896</v>
      </c>
      <c r="CC34" s="538">
        <f t="shared" si="46"/>
        <v>387.94146781998757</v>
      </c>
      <c r="CD34" s="541">
        <f t="shared" si="47"/>
        <v>0.59591623321042642</v>
      </c>
      <c r="CE34" s="537">
        <f t="shared" si="48"/>
        <v>9.2098853842671371</v>
      </c>
      <c r="CF34" s="503">
        <f>(CA34+BU34*BO34)*Hypothèses!$D$23+CE34</f>
        <v>1311.0867132248313</v>
      </c>
      <c r="CG34" s="504">
        <f t="shared" si="11"/>
        <v>0.13283977489681736</v>
      </c>
      <c r="CH34" s="503">
        <f>(CA34+BU34*BO34)*Hypothèses!$B$23</f>
        <v>1093.5765353860738</v>
      </c>
      <c r="CI34" s="503">
        <f t="shared" si="49"/>
        <v>179.57653538607383</v>
      </c>
      <c r="CJ34" s="503">
        <f>(BU34+BW34+CA34)*Hypothèses!$B$6+BZ34*Hypothèses!$B$11</f>
        <v>12.887332966329152</v>
      </c>
      <c r="CK34" s="503">
        <f>(BU34+BW34+CA34)*Hypothèses!$B$5+BZ34*Hypothèses!$B$10</f>
        <v>561.65881701164847</v>
      </c>
      <c r="CL34" s="542">
        <f t="shared" si="12"/>
        <v>0.28095074134444104</v>
      </c>
    </row>
    <row r="35" spans="1:90" ht="14.25" customHeight="1">
      <c r="A35" s="331"/>
      <c r="B35" s="516">
        <v>2039</v>
      </c>
      <c r="C35" s="655">
        <f>Trajectoires!AA31</f>
        <v>1890.677261173237</v>
      </c>
      <c r="D35" s="659">
        <f>C35/Hypothèses!$D$23</f>
        <v>504.18060297952985</v>
      </c>
      <c r="E35" s="659">
        <f>D35*Hypothèses!$B$23</f>
        <v>1588.1688993855189</v>
      </c>
      <c r="F35" s="659">
        <f>D35*Hypothèses!$B$5</f>
        <v>700.81103814154642</v>
      </c>
      <c r="G35" s="659">
        <f>D35*Hypothèses!$B$6</f>
        <v>16.133779295344954</v>
      </c>
      <c r="H35" s="519">
        <f t="shared" si="30"/>
        <v>0.04</v>
      </c>
      <c r="I35" s="520">
        <f>IF(J35&gt;=1,ROUND(COUNTIFS($B$16:$B35,"&gt;"&amp;MAX($B35-$D$2,2019),H$16:H35,1/25)*(1/$D$2-1/25)*25,0),0)</f>
        <v>0</v>
      </c>
      <c r="J35" s="521">
        <f t="shared" si="50"/>
        <v>0.80000000000000016</v>
      </c>
      <c r="K35" s="522">
        <f>Hypothèses!$G$77</f>
        <v>0.01</v>
      </c>
      <c r="L35" s="523">
        <f t="shared" si="13"/>
        <v>15.881688993855189</v>
      </c>
      <c r="M35" s="524">
        <f t="array" ref="M35">1-SUM(IF((Roadmap_Avion!$B$8:$B$38=$B35)*(Roadmap_Avion!$C$4:$Z$4=$B$2)*(Roadmap_Avion!$C$6:$Z$6=M$7)*(Roadmap_Avion!$C$7:$Z$7=M$9),Roadmap_Avion!$C$8:$Z$38,0))</f>
        <v>0.15000000000000002</v>
      </c>
      <c r="N35" s="525">
        <f t="array" ref="N35">SUM(IF((Roadmap_Avion!$B$8:$B$38=$B35)*(Roadmap_Avion!$C$4:$Z$4=$B$2)*(Roadmap_Avion!$C$6:$Z$6=N$7)*(Roadmap_Avion!$C$7:$Z$7=N$9),Roadmap_Avion!$C$8:$Z$38,0))</f>
        <v>0</v>
      </c>
      <c r="O35" s="526">
        <f t="array" ref="O35">SUM(IF((Roadmap_Avion!$B$8:$B$38=$B35)*(Roadmap_Avion!$C$4:$Z$4=$B$2)*(Roadmap_Avion!$C$6:$Z$6=O$7)*(Roadmap_Avion!$C$7:$Z$7=O$9),Roadmap_Avion!$C$8:$Z$38,0))</f>
        <v>1</v>
      </c>
      <c r="P35" s="527">
        <f t="array" ref="P35">IF($J35&lt;1,P34+$H35*M35,SUMPRODUCT(($B$16:$B$46&lt;=$B35)*($B$16:$B$46&gt;MAX($B35-$D$2-$I35,2019))*$H$16:$H$46*M$16:M$46))</f>
        <v>0.13000000000000003</v>
      </c>
      <c r="Q35" s="528">
        <f t="shared" si="31"/>
        <v>13.817069424654015</v>
      </c>
      <c r="R35" s="529">
        <f t="shared" si="14"/>
        <v>2.5000000000000001E-3</v>
      </c>
      <c r="S35" s="530">
        <f t="shared" si="15"/>
        <v>2E-3</v>
      </c>
      <c r="T35" s="522">
        <f>Hypothèses!$G$78</f>
        <v>0.03</v>
      </c>
      <c r="U35" s="523">
        <f t="shared" si="16"/>
        <v>47.645066981565563</v>
      </c>
      <c r="V35" s="524">
        <f t="array" ref="V35">1-SUM(IF((Roadmap_Avion!$B$8:$B$38=$B35)*(Roadmap_Avion!$C$4:$Z$4=$B$2)*(Roadmap_Avion!$C$6:$Z$6=V$7)*(Roadmap_Avion!$C$7:$Z$7=V$9),Roadmap_Avion!$C$8:$Z$38,0))</f>
        <v>0.5</v>
      </c>
      <c r="W35" s="525">
        <f t="array" ref="W35">SUM(IF((Roadmap_Avion!$B$8:$B$38=$B35)*(Roadmap_Avion!$C$4:$Z$4=$B$2)*(Roadmap_Avion!$C$6:$Z$6=W$7)*(Roadmap_Avion!$C$7:$Z$7=W$9),Roadmap_Avion!$C$8:$Z$38,0))</f>
        <v>0.25</v>
      </c>
      <c r="X35" s="526">
        <f t="array" ref="X35">SUM(IF((Roadmap_Avion!$B$8:$B$38=$B35)*(Roadmap_Avion!$C$4:$Z$4=$B$2)*(Roadmap_Avion!$C$6:$Z$6=X$7)*(Roadmap_Avion!$C$7:$Z$7=X$9),Roadmap_Avion!$C$8:$Z$38,0))</f>
        <v>0</v>
      </c>
      <c r="Y35" s="527">
        <f t="array" ref="Y35">IF($J35&lt;1,Y34+$H35*V35,SUMPRODUCT(($B$16:$B$46&lt;=$B35)*($B$16:$B$46&gt;MAX($B35-$D$2-$I35,2019))*$H$16:$H$46*V$16:V$46))</f>
        <v>0.12000000000000001</v>
      </c>
      <c r="Z35" s="528">
        <f t="shared" si="32"/>
        <v>41.927658943777693</v>
      </c>
      <c r="AA35" s="529">
        <f t="shared" si="17"/>
        <v>1.0500000000000001E-2</v>
      </c>
      <c r="AB35" s="530">
        <f t="shared" si="18"/>
        <v>0</v>
      </c>
      <c r="AC35" s="522">
        <f>Hypothèses!$G$79</f>
        <v>0.24</v>
      </c>
      <c r="AD35" s="523">
        <f t="shared" si="19"/>
        <v>381.1605358525245</v>
      </c>
      <c r="AE35" s="524">
        <f t="array" ref="AE35">1-SUM(IF((Roadmap_Avion!$B$8:$B$38=$B35)*(Roadmap_Avion!$C$4:$Z$4=$B$2)*(Roadmap_Avion!$C$6:$Z$6=AE$7)*(Roadmap_Avion!$C$7:$Z$7=AE$9),Roadmap_Avion!$C$8:$Z$38,0))</f>
        <v>0.25</v>
      </c>
      <c r="AF35" s="525">
        <f t="array" ref="AF35">SUM(IF((Roadmap_Avion!$B$8:$B$38=$B35)*(Roadmap_Avion!$C$4:$Z$4=$B$2)*(Roadmap_Avion!$C$6:$Z$6=AF$7)*(Roadmap_Avion!$C$7:$Z$7=AF$9),Roadmap_Avion!$C$8:$Z$38,0))</f>
        <v>0.5</v>
      </c>
      <c r="AG35" s="526">
        <f t="array" ref="AG35">SUM(IF((Roadmap_Avion!$B$8:$B$38=$B35)*(Roadmap_Avion!$C$4:$Z$4=$B$2)*(Roadmap_Avion!$C$6:$Z$6=AG$7)*(Roadmap_Avion!$C$7:$Z$7=AG$9),Roadmap_Avion!$C$8:$Z$38,0))</f>
        <v>0</v>
      </c>
      <c r="AH35" s="527">
        <f t="array" ref="AH35">IF($J35&lt;1,AH34+$H35*AE35,SUMPRODUCT(($B$16:$B$46&lt;=$B35)*($B$16:$B$46&gt;MAX($B35-$D$2-$I35,2019))*$H$16:$H$46*AE$16:AE$46))</f>
        <v>0.17599999999999999</v>
      </c>
      <c r="AI35" s="528">
        <f t="shared" si="33"/>
        <v>314.07628154248022</v>
      </c>
      <c r="AJ35" s="529">
        <f t="shared" si="20"/>
        <v>9.6000000000000002E-2</v>
      </c>
      <c r="AK35" s="530">
        <f t="shared" si="21"/>
        <v>0</v>
      </c>
      <c r="AL35" s="522">
        <f>Hypothèses!$G$80</f>
        <v>0.42</v>
      </c>
      <c r="AM35" s="523">
        <f t="shared" si="22"/>
        <v>667.03093774191791</v>
      </c>
      <c r="AN35" s="524">
        <f t="array" ref="AN35">1-SUM(IF((Roadmap_Avion!$B$8:$B$38=$B35)*(Roadmap_Avion!$C$4:$Z$4=$B$2)*(Roadmap_Avion!$C$6:$Z$6=AN$7)*(Roadmap_Avion!$C$7:$Z$7=AN$9),Roadmap_Avion!$C$8:$Z$38,0))</f>
        <v>0.25</v>
      </c>
      <c r="AO35" s="525">
        <f t="array" ref="AO35">SUM(IF((Roadmap_Avion!$B$8:$B$38=$B35)*(Roadmap_Avion!$C$4:$Z$4=$B$2)*(Roadmap_Avion!$C$6:$Z$6=AO$7)*(Roadmap_Avion!$C$7:$Z$7=AO$9),Roadmap_Avion!$C$8:$Z$38,0))</f>
        <v>0.5</v>
      </c>
      <c r="AP35" s="526">
        <f t="array" ref="AP35">SUM(IF((Roadmap_Avion!$B$8:$B$38=$B35)*(Roadmap_Avion!$C$4:$Z$4=$B$2)*(Roadmap_Avion!$C$6:$Z$6=AP$7)*(Roadmap_Avion!$C$7:$Z$7=AP$9),Roadmap_Avion!$C$8:$Z$38,0))</f>
        <v>0</v>
      </c>
      <c r="AQ35" s="527">
        <f t="array" ref="AQ35">IF($J35&lt;1,AQ34+$H35*AN35,SUMPRODUCT(($B$16:$B$46&lt;=$B35)*($B$16:$B$46&gt;MAX($B35-$D$2-$I35,2019))*$H$16:$H$46*AN$16:AN$46))</f>
        <v>0.17599999999999999</v>
      </c>
      <c r="AR35" s="528">
        <f t="shared" si="34"/>
        <v>549.63349269934042</v>
      </c>
      <c r="AS35" s="529">
        <f t="shared" si="4"/>
        <v>0.16800000000000001</v>
      </c>
      <c r="AT35" s="530">
        <f t="shared" si="5"/>
        <v>0</v>
      </c>
      <c r="AU35" s="531">
        <f>Hypothèses!$G$81</f>
        <v>0.3</v>
      </c>
      <c r="AV35" s="523">
        <f t="shared" si="23"/>
        <v>476.45066981565566</v>
      </c>
      <c r="AW35" s="524">
        <f t="array" ref="AW35">1-SUM(IF((Roadmap_Avion!$B$8:$B$38=$B35)*(Roadmap_Avion!$C$4:$Z$4=$B$2)*(Roadmap_Avion!$C$6:$Z$6=AW$7)*(Roadmap_Avion!$C$7:$Z$7=AW$9),Roadmap_Avion!$C$8:$Z$38,0))</f>
        <v>0.25</v>
      </c>
      <c r="AX35" s="525">
        <f t="array" ref="AX35">SUM(IF((Roadmap_Avion!$B$8:$B$38=$B35)*(Roadmap_Avion!$C$4:$Z$4=$B$2)*(Roadmap_Avion!$C$6:$Z$6=AX$7)*(Roadmap_Avion!$C$7:$Z$7=AX$9),Roadmap_Avion!$C$8:$Z$38,0))</f>
        <v>0.5</v>
      </c>
      <c r="AY35" s="526">
        <f t="array" ref="AY35">SUM(IF((Roadmap_Avion!$B$8:$B$38=$B35)*(Roadmap_Avion!$C$4:$Z$4=$B$2)*(Roadmap_Avion!$C$6:$Z$6=AY$7)*(Roadmap_Avion!$C$7:$Z$7=AY$9),Roadmap_Avion!$C$8:$Z$38,0))</f>
        <v>0</v>
      </c>
      <c r="AZ35" s="527">
        <f t="array" ref="AZ35">IF($J35&lt;1,AZ34+$H35*AW35,SUMPRODUCT(($B$16:$B$46&lt;=$B35)*($B$16:$B$46&gt;MAX($B35-$D$2-$I35,2019))*$H$16:$H$46*AW$16:AW$46))</f>
        <v>0.20000000000000004</v>
      </c>
      <c r="BA35" s="528">
        <f t="shared" si="35"/>
        <v>381.1605358525245</v>
      </c>
      <c r="BB35" s="529">
        <f t="shared" si="24"/>
        <v>0.12</v>
      </c>
      <c r="BC35" s="529">
        <f t="shared" si="25"/>
        <v>0</v>
      </c>
      <c r="BD35" s="517">
        <f t="shared" si="7"/>
        <v>1300.6150384627767</v>
      </c>
      <c r="BE35" s="518">
        <f>BD35*(Hypothèses!$D$23/Hypothèses!$B$23)</f>
        <v>1548.3512362652104</v>
      </c>
      <c r="BF35" s="532">
        <f t="shared" si="8"/>
        <v>0.18106000000000011</v>
      </c>
      <c r="BG35" s="518">
        <f>BD35/Hypothèses!$B$23</f>
        <v>412.89366300405612</v>
      </c>
      <c r="BH35" s="532">
        <f t="shared" si="9"/>
        <v>0.39700000000000002</v>
      </c>
      <c r="BI35" s="532">
        <f t="shared" si="9"/>
        <v>2E-3</v>
      </c>
      <c r="BJ35" s="518">
        <f t="shared" si="26"/>
        <v>163.91878421261029</v>
      </c>
      <c r="BK35" s="533">
        <f t="shared" si="36"/>
        <v>76.476798641878148</v>
      </c>
      <c r="BL35" s="534">
        <f t="shared" si="37"/>
        <v>0.46655298847680676</v>
      </c>
      <c r="BM35" s="535">
        <f t="array" ref="BM35">SUM(IF((Prod_Carburant_Alt!$A$7:$A$37=$B35)*(Prod_Carburant_Alt!$B$3:$AI$3=$C$2)*(Prod_Carburant_Alt!$B$5:$AI$5=BM$7)*(Prod_Carburant_Alt!$B$6:$AI$6=BM$9),Prod_Carburant_Alt!$B$7:$AI$37,0))</f>
        <v>53.735805678666495</v>
      </c>
      <c r="BN35" s="534">
        <f t="shared" si="27"/>
        <v>2.5767866368983015</v>
      </c>
      <c r="BO35" s="536">
        <f t="array" ref="BO35">SUM(IF((Prod_Carburant_Alt!$A$7:$A$37=$B35)*(Prod_Carburant_Alt!$B$3:$AI$3=$C$2)*(Prod_Carburant_Alt!$B$5:$AI$5=BO$7)*(Prod_Carburant_Alt!$B$6:$AI$6=BO$9),Prod_Carburant_Alt!$B$7:$AI$37,0))</f>
        <v>0.20438251753392198</v>
      </c>
      <c r="BP35" s="543">
        <f t="array" ref="BP35">SUM(IF((Prod_Carburant_Alt!$A$7:$A$37=$B35)*(Prod_Carburant_Alt!$B$3:$AI$3=$C$2)*(Prod_Carburant_Alt!$B$5:$AI$5=BP$7)*(Prod_Carburant_Alt!$B$6:$AI$6=BP$9),Prod_Carburant_Alt!$B$7:$AI$37,0))</f>
        <v>22.740992963211649</v>
      </c>
      <c r="BQ35" s="536">
        <f t="shared" si="38"/>
        <v>0.13873329449366537</v>
      </c>
      <c r="BR35" s="537">
        <f t="shared" si="39"/>
        <v>336.41686436217799</v>
      </c>
      <c r="BS35" s="538">
        <f t="shared" si="40"/>
        <v>76.476798641878148</v>
      </c>
      <c r="BT35" s="539">
        <f t="shared" si="41"/>
        <v>1</v>
      </c>
      <c r="BU35" s="535">
        <f t="shared" si="28"/>
        <v>53.735805678666495</v>
      </c>
      <c r="BV35" s="539">
        <f t="shared" si="42"/>
        <v>1</v>
      </c>
      <c r="BW35" s="535">
        <f t="shared" si="29"/>
        <v>22.740992963211649</v>
      </c>
      <c r="BX35" s="539">
        <f t="shared" si="43"/>
        <v>1</v>
      </c>
      <c r="BY35" s="538">
        <f t="shared" si="44"/>
        <v>0.82578732600811222</v>
      </c>
      <c r="BZ35" s="540">
        <f>BY35*Hypothèses!$B$3/Hypothèses!$B$9</f>
        <v>0.30337855068721276</v>
      </c>
      <c r="CA35" s="538">
        <f t="shared" si="45"/>
        <v>335.59107703616985</v>
      </c>
      <c r="CB35" s="533">
        <f>BW35*Prod_Carburant_Alt!$R$61+BZ35*Hypothèses!$B$13</f>
        <v>1046.9820214281524</v>
      </c>
      <c r="CC35" s="538">
        <f t="shared" si="46"/>
        <v>485.11408964393394</v>
      </c>
      <c r="CD35" s="541">
        <f t="shared" si="47"/>
        <v>0.7451829334008202</v>
      </c>
      <c r="CE35" s="537">
        <f t="shared" si="48"/>
        <v>11.516802235709676</v>
      </c>
      <c r="CF35" s="503">
        <f>(CA35+BU35*BO35)*Hypothèses!$D$23+CE35</f>
        <v>1311.1683132950448</v>
      </c>
      <c r="CG35" s="504">
        <f t="shared" si="11"/>
        <v>0.15318418548382884</v>
      </c>
      <c r="CH35" s="503">
        <f>(CA35+BU35*BO35)*Hypothèses!$B$23</f>
        <v>1091.7072692898414</v>
      </c>
      <c r="CI35" s="503">
        <f t="shared" si="49"/>
        <v>177.70726928984141</v>
      </c>
      <c r="CJ35" s="503">
        <f>(BU35+BW35+CA35)*Hypothèses!$B$6+BZ35*Hypothèses!$B$11</f>
        <v>13.194059864015403</v>
      </c>
      <c r="CK35" s="503">
        <f>(BU35+BW35+CA35)*Hypothèses!$B$5+BZ35*Hypothèses!$B$10</f>
        <v>575.50475414867151</v>
      </c>
      <c r="CL35" s="542">
        <f t="shared" si="12"/>
        <v>0.3065086568601269</v>
      </c>
    </row>
    <row r="36" spans="1:90" ht="14.25" customHeight="1">
      <c r="A36" s="331"/>
      <c r="B36" s="516">
        <v>2040</v>
      </c>
      <c r="C36" s="655">
        <f>Trajectoires!AA32</f>
        <v>1959.847298734338</v>
      </c>
      <c r="D36" s="659">
        <f>C36/Hypothèses!$D$23</f>
        <v>522.62594632915682</v>
      </c>
      <c r="E36" s="659">
        <f>D36*Hypothèses!$B$23</f>
        <v>1646.2717309368438</v>
      </c>
      <c r="F36" s="659">
        <f>D36*Hypothèses!$B$5</f>
        <v>726.45006539752796</v>
      </c>
      <c r="G36" s="659">
        <f>D36*Hypothèses!$B$6</f>
        <v>16.724030282533018</v>
      </c>
      <c r="H36" s="519">
        <f t="shared" si="30"/>
        <v>0.04</v>
      </c>
      <c r="I36" s="520">
        <f>IF(J36&gt;=1,ROUND(COUNTIFS($B$16:$B36,"&gt;"&amp;MAX($B36-$D$2,2019),H$16:H36,1/25)*(1/$D$2-1/25)*25,0),0)</f>
        <v>0</v>
      </c>
      <c r="J36" s="521">
        <f t="shared" si="50"/>
        <v>0.84000000000000019</v>
      </c>
      <c r="K36" s="522">
        <f>Hypothèses!$G$77</f>
        <v>0.01</v>
      </c>
      <c r="L36" s="523">
        <f t="shared" si="13"/>
        <v>16.46271730936844</v>
      </c>
      <c r="M36" s="524">
        <f t="array" ref="M36">1-SUM(IF((Roadmap_Avion!$B$8:$B$38=$B36)*(Roadmap_Avion!$C$4:$Z$4=$B$2)*(Roadmap_Avion!$C$6:$Z$6=M$7)*(Roadmap_Avion!$C$7:$Z$7=M$9),Roadmap_Avion!$C$8:$Z$38,0))</f>
        <v>0.15000000000000002</v>
      </c>
      <c r="N36" s="525">
        <f t="array" ref="N36">SUM(IF((Roadmap_Avion!$B$8:$B$38=$B36)*(Roadmap_Avion!$C$4:$Z$4=$B$2)*(Roadmap_Avion!$C$6:$Z$6=N$7)*(Roadmap_Avion!$C$7:$Z$7=N$9),Roadmap_Avion!$C$8:$Z$38,0))</f>
        <v>0</v>
      </c>
      <c r="O36" s="526">
        <f t="array" ref="O36">SUM(IF((Roadmap_Avion!$B$8:$B$38=$B36)*(Roadmap_Avion!$C$4:$Z$4=$B$2)*(Roadmap_Avion!$C$6:$Z$6=O$7)*(Roadmap_Avion!$C$7:$Z$7=O$9),Roadmap_Avion!$C$8:$Z$38,0))</f>
        <v>1</v>
      </c>
      <c r="P36" s="527">
        <f t="array" ref="P36">IF($J36&lt;1,P35+$H36*M36,SUMPRODUCT(($B$16:$B$46&lt;=$B36)*($B$16:$B$46&gt;MAX($B36-$D$2-$I36,2019))*$H$16:$H$46*M$16:M$46))</f>
        <v>0.13600000000000004</v>
      </c>
      <c r="Q36" s="528">
        <f t="shared" si="31"/>
        <v>14.223787755294332</v>
      </c>
      <c r="R36" s="529">
        <f t="shared" si="14"/>
        <v>2.5000000000000001E-3</v>
      </c>
      <c r="S36" s="530">
        <f t="shared" si="15"/>
        <v>2.3999999999999998E-3</v>
      </c>
      <c r="T36" s="522">
        <f>Hypothèses!$G$78</f>
        <v>0.03</v>
      </c>
      <c r="U36" s="523">
        <f t="shared" si="16"/>
        <v>49.388151928105316</v>
      </c>
      <c r="V36" s="524">
        <f t="array" ref="V36">1-SUM(IF((Roadmap_Avion!$B$8:$B$38=$B36)*(Roadmap_Avion!$C$4:$Z$4=$B$2)*(Roadmap_Avion!$C$6:$Z$6=V$7)*(Roadmap_Avion!$C$7:$Z$7=V$9),Roadmap_Avion!$C$8:$Z$38,0))</f>
        <v>0.15000000000000002</v>
      </c>
      <c r="W36" s="525">
        <f t="array" ref="W36">SUM(IF((Roadmap_Avion!$B$8:$B$38=$B36)*(Roadmap_Avion!$C$4:$Z$4=$B$2)*(Roadmap_Avion!$C$6:$Z$6=W$7)*(Roadmap_Avion!$C$7:$Z$7=W$9),Roadmap_Avion!$C$8:$Z$38,0))</f>
        <v>0</v>
      </c>
      <c r="X36" s="526">
        <f t="array" ref="X36">SUM(IF((Roadmap_Avion!$B$8:$B$38=$B36)*(Roadmap_Avion!$C$4:$Z$4=$B$2)*(Roadmap_Avion!$C$6:$Z$6=X$7)*(Roadmap_Avion!$C$7:$Z$7=X$9),Roadmap_Avion!$C$8:$Z$38,0))</f>
        <v>1</v>
      </c>
      <c r="Y36" s="527">
        <f t="array" ref="Y36">IF($J36&lt;1,Y35+$H36*V36,SUMPRODUCT(($B$16:$B$46&lt;=$B36)*($B$16:$B$46&gt;MAX($B36-$D$2-$I36,2019))*$H$16:$H$46*V$16:V$46))</f>
        <v>0.126</v>
      </c>
      <c r="Z36" s="528">
        <f t="shared" si="32"/>
        <v>43.165244785164049</v>
      </c>
      <c r="AA36" s="529">
        <f t="shared" si="17"/>
        <v>1.0500000000000001E-2</v>
      </c>
      <c r="AB36" s="530">
        <f t="shared" si="18"/>
        <v>1.1999999999999999E-3</v>
      </c>
      <c r="AC36" s="522">
        <f>Hypothèses!$G$79</f>
        <v>0.24</v>
      </c>
      <c r="AD36" s="523">
        <f t="shared" si="19"/>
        <v>395.10521542484253</v>
      </c>
      <c r="AE36" s="524">
        <f t="array" ref="AE36">1-SUM(IF((Roadmap_Avion!$B$8:$B$38=$B36)*(Roadmap_Avion!$C$4:$Z$4=$B$2)*(Roadmap_Avion!$C$6:$Z$6=AE$7)*(Roadmap_Avion!$C$7:$Z$7=AE$9),Roadmap_Avion!$C$8:$Z$38,0))</f>
        <v>0.36250000000000004</v>
      </c>
      <c r="AF36" s="525">
        <f t="array" ref="AF36">SUM(IF((Roadmap_Avion!$B$8:$B$38=$B36)*(Roadmap_Avion!$C$4:$Z$4=$B$2)*(Roadmap_Avion!$C$6:$Z$6=AF$7)*(Roadmap_Avion!$C$7:$Z$7=AF$9),Roadmap_Avion!$C$8:$Z$38,0))</f>
        <v>0</v>
      </c>
      <c r="AG36" s="526">
        <f t="array" ref="AG36">SUM(IF((Roadmap_Avion!$B$8:$B$38=$B36)*(Roadmap_Avion!$C$4:$Z$4=$B$2)*(Roadmap_Avion!$C$6:$Z$6=AG$7)*(Roadmap_Avion!$C$7:$Z$7=AG$9),Roadmap_Avion!$C$8:$Z$38,0))</f>
        <v>1</v>
      </c>
      <c r="AH36" s="527">
        <f t="array" ref="AH36">IF($J36&lt;1,AH35+$H36*AE36,SUMPRODUCT(($B$16:$B$46&lt;=$B36)*($B$16:$B$46&gt;MAX($B36-$D$2-$I36,2019))*$H$16:$H$46*AE$16:AE$46))</f>
        <v>0.1905</v>
      </c>
      <c r="AI36" s="528">
        <f t="shared" si="33"/>
        <v>319.83767188641002</v>
      </c>
      <c r="AJ36" s="529">
        <f t="shared" si="20"/>
        <v>9.6000000000000002E-2</v>
      </c>
      <c r="AK36" s="530">
        <f t="shared" si="21"/>
        <v>9.5999999999999992E-3</v>
      </c>
      <c r="AL36" s="522">
        <f>Hypothèses!$G$80</f>
        <v>0.42</v>
      </c>
      <c r="AM36" s="523">
        <f t="shared" si="22"/>
        <v>691.43412699347437</v>
      </c>
      <c r="AN36" s="524">
        <f t="array" ref="AN36">1-SUM(IF((Roadmap_Avion!$B$8:$B$38=$B36)*(Roadmap_Avion!$C$4:$Z$4=$B$2)*(Roadmap_Avion!$C$6:$Z$6=AN$7)*(Roadmap_Avion!$C$7:$Z$7=AN$9),Roadmap_Avion!$C$8:$Z$38,0))</f>
        <v>0.36250000000000004</v>
      </c>
      <c r="AO36" s="525">
        <f t="array" ref="AO36">SUM(IF((Roadmap_Avion!$B$8:$B$38=$B36)*(Roadmap_Avion!$C$4:$Z$4=$B$2)*(Roadmap_Avion!$C$6:$Z$6=AO$7)*(Roadmap_Avion!$C$7:$Z$7=AO$9),Roadmap_Avion!$C$8:$Z$38,0))</f>
        <v>0</v>
      </c>
      <c r="AP36" s="526">
        <f t="array" ref="AP36">SUM(IF((Roadmap_Avion!$B$8:$B$38=$B36)*(Roadmap_Avion!$C$4:$Z$4=$B$2)*(Roadmap_Avion!$C$6:$Z$6=AP$7)*(Roadmap_Avion!$C$7:$Z$7=AP$9),Roadmap_Avion!$C$8:$Z$38,0))</f>
        <v>1</v>
      </c>
      <c r="AQ36" s="527">
        <f t="array" ref="AQ36">IF($J36&lt;1,AQ35+$H36*AN36,SUMPRODUCT(($B$16:$B$46&lt;=$B36)*($B$16:$B$46&gt;MAX($B36-$D$2-$I36,2019))*$H$16:$H$46*AN$16:AN$46))</f>
        <v>0.1905</v>
      </c>
      <c r="AR36" s="528">
        <f t="shared" si="34"/>
        <v>559.71592580121751</v>
      </c>
      <c r="AS36" s="529">
        <f t="shared" si="4"/>
        <v>0.16800000000000001</v>
      </c>
      <c r="AT36" s="530">
        <f t="shared" si="5"/>
        <v>1.6799999999999999E-2</v>
      </c>
      <c r="AU36" s="531">
        <f>Hypothèses!$G$81</f>
        <v>0.3</v>
      </c>
      <c r="AV36" s="523">
        <f t="shared" si="23"/>
        <v>493.8815192810531</v>
      </c>
      <c r="AW36" s="524">
        <f t="array" ref="AW36">1-SUM(IF((Roadmap_Avion!$B$8:$B$38=$B36)*(Roadmap_Avion!$C$4:$Z$4=$B$2)*(Roadmap_Avion!$C$6:$Z$6=AW$7)*(Roadmap_Avion!$C$7:$Z$7=AW$9),Roadmap_Avion!$C$8:$Z$38,0))</f>
        <v>0.4375</v>
      </c>
      <c r="AX36" s="525">
        <f t="array" ref="AX36">SUM(IF((Roadmap_Avion!$B$8:$B$38=$B36)*(Roadmap_Avion!$C$4:$Z$4=$B$2)*(Roadmap_Avion!$C$6:$Z$6=AX$7)*(Roadmap_Avion!$C$7:$Z$7=AX$9),Roadmap_Avion!$C$8:$Z$38,0))</f>
        <v>1</v>
      </c>
      <c r="AY36" s="526">
        <f t="array" ref="AY36">SUM(IF((Roadmap_Avion!$B$8:$B$38=$B36)*(Roadmap_Avion!$C$4:$Z$4=$B$2)*(Roadmap_Avion!$C$6:$Z$6=AY$7)*(Roadmap_Avion!$C$7:$Z$7=AY$9),Roadmap_Avion!$C$8:$Z$38,0))</f>
        <v>0</v>
      </c>
      <c r="AZ36" s="527">
        <f t="array" ref="AZ36">IF($J36&lt;1,AZ35+$H36*AW36,SUMPRODUCT(($B$16:$B$46&lt;=$B36)*($B$16:$B$46&gt;MAX($B36-$D$2-$I36,2019))*$H$16:$H$46*AW$16:AW$46))</f>
        <v>0.21750000000000003</v>
      </c>
      <c r="BA36" s="528">
        <f t="shared" si="35"/>
        <v>386.46228883742401</v>
      </c>
      <c r="BB36" s="529">
        <f t="shared" si="24"/>
        <v>0.13200000000000001</v>
      </c>
      <c r="BC36" s="529">
        <f t="shared" si="25"/>
        <v>0</v>
      </c>
      <c r="BD36" s="517">
        <f t="shared" si="7"/>
        <v>1323.4049190655101</v>
      </c>
      <c r="BE36" s="518">
        <f>BD36*(Hypothèses!$D$23/Hypothèses!$B$23)</f>
        <v>1575.4820465065595</v>
      </c>
      <c r="BF36" s="532">
        <f t="shared" si="8"/>
        <v>0.19612000000000007</v>
      </c>
      <c r="BG36" s="518">
        <f>BD36/Hypothèses!$B$23</f>
        <v>420.12854573508258</v>
      </c>
      <c r="BH36" s="532">
        <f t="shared" si="9"/>
        <v>0.40900000000000003</v>
      </c>
      <c r="BI36" s="532">
        <f t="shared" si="9"/>
        <v>0.03</v>
      </c>
      <c r="BJ36" s="518">
        <f t="shared" si="26"/>
        <v>171.83257520564879</v>
      </c>
      <c r="BK36" s="533">
        <f t="shared" si="36"/>
        <v>90.222417734481027</v>
      </c>
      <c r="BL36" s="534">
        <f t="shared" si="37"/>
        <v>0.52506003373634513</v>
      </c>
      <c r="BM36" s="535">
        <f t="array" ref="BM36">SUM(IF((Prod_Carburant_Alt!$A$7:$A$37=$B36)*(Prod_Carburant_Alt!$B$3:$AI$3=$C$2)*(Prod_Carburant_Alt!$B$5:$AI$5=BM$7)*(Prod_Carburant_Alt!$B$6:$AI$6=BM$9),Prod_Carburant_Alt!$B$7:$AI$37,0))</f>
        <v>61.796176530466461</v>
      </c>
      <c r="BN36" s="534">
        <f t="shared" si="27"/>
        <v>2.6772385974726949</v>
      </c>
      <c r="BO36" s="536">
        <f t="array" ref="BO36">SUM(IF((Prod_Carburant_Alt!$A$7:$A$37=$B36)*(Prod_Carburant_Alt!$B$3:$AI$3=$C$2)*(Prod_Carburant_Alt!$B$5:$AI$5=BO$7)*(Prod_Carburant_Alt!$B$6:$AI$6=BO$9),Prod_Carburant_Alt!$B$7:$AI$37,0))</f>
        <v>0.204382517533922</v>
      </c>
      <c r="BP36" s="543">
        <f t="array" ref="BP36">SUM(IF((Prod_Carburant_Alt!$A$7:$A$37=$B36)*(Prod_Carburant_Alt!$B$3:$AI$3=$C$2)*(Prod_Carburant_Alt!$B$5:$AI$5=BP$7)*(Prod_Carburant_Alt!$B$6:$AI$6=BP$9),Prod_Carburant_Alt!$B$7:$AI$37,0))</f>
        <v>28.426241204014563</v>
      </c>
      <c r="BQ36" s="536">
        <f t="shared" si="38"/>
        <v>0.16542987364295803</v>
      </c>
      <c r="BR36" s="537">
        <f t="shared" si="39"/>
        <v>329.90612800060154</v>
      </c>
      <c r="BS36" s="538">
        <f t="shared" si="40"/>
        <v>90.222417734481027</v>
      </c>
      <c r="BT36" s="539">
        <f t="shared" si="41"/>
        <v>1</v>
      </c>
      <c r="BU36" s="535">
        <f t="shared" si="28"/>
        <v>61.796176530466461</v>
      </c>
      <c r="BV36" s="539">
        <f t="shared" si="42"/>
        <v>1</v>
      </c>
      <c r="BW36" s="535">
        <f t="shared" si="29"/>
        <v>28.426241204014563</v>
      </c>
      <c r="BX36" s="539">
        <f t="shared" si="43"/>
        <v>1</v>
      </c>
      <c r="BY36" s="538">
        <f t="shared" si="44"/>
        <v>12.603856372052476</v>
      </c>
      <c r="BZ36" s="540">
        <f>BY36*Hypothèses!$B$3/Hypothèses!$B$9</f>
        <v>4.6304170078598528</v>
      </c>
      <c r="CA36" s="538">
        <f t="shared" si="45"/>
        <v>317.30227162854908</v>
      </c>
      <c r="CB36" s="533">
        <f>BW36*Prod_Carburant_Alt!$R$61+BZ36*Hypothèses!$B$13</f>
        <v>1549.48798431676</v>
      </c>
      <c r="CC36" s="538">
        <f t="shared" si="46"/>
        <v>717.94781337381551</v>
      </c>
      <c r="CD36" s="541">
        <f t="shared" si="47"/>
        <v>1.1028384230012527</v>
      </c>
      <c r="CE36" s="537">
        <f t="shared" si="48"/>
        <v>17.044367827484361</v>
      </c>
      <c r="CF36" s="503">
        <f>(CA36+BU36*BO36)*Hypothèses!$D$23+CE36</f>
        <v>1254.2906044342963</v>
      </c>
      <c r="CG36" s="504">
        <f t="shared" si="11"/>
        <v>0.20386867802426969</v>
      </c>
      <c r="CH36" s="503">
        <f>(CA36+BU36*BO36)*Hypothèses!$B$23</f>
        <v>1039.2868387497219</v>
      </c>
      <c r="CI36" s="503">
        <f t="shared" si="49"/>
        <v>125.28683874972194</v>
      </c>
      <c r="CJ36" s="503">
        <f>(BU36+BW36+CA36)*Hypothèses!$B$6+BZ36*Hypothèses!$B$11</f>
        <v>13.16118090182132</v>
      </c>
      <c r="CK36" s="503">
        <f>(BU36+BW36+CA36)*Hypothèses!$B$5+BZ36*Hypothèses!$B$10</f>
        <v>608.13307128535052</v>
      </c>
      <c r="CL36" s="542">
        <f t="shared" si="12"/>
        <v>0.36000595289014997</v>
      </c>
    </row>
    <row r="37" spans="1:90" ht="14.25" customHeight="1">
      <c r="A37" s="331"/>
      <c r="B37" s="516">
        <v>2041</v>
      </c>
      <c r="C37" s="655">
        <f>Trajectoires!AA33</f>
        <v>2030.8206534377057</v>
      </c>
      <c r="D37" s="659">
        <f>C37/Hypothèses!$D$23</f>
        <v>541.5521742500548</v>
      </c>
      <c r="E37" s="659">
        <f>D37*Hypothèses!$B$23</f>
        <v>1705.8893488876727</v>
      </c>
      <c r="F37" s="659">
        <f>D37*Hypothèses!$B$5</f>
        <v>752.75752220757613</v>
      </c>
      <c r="G37" s="659">
        <f>D37*Hypothèses!$B$6</f>
        <v>17.329669576001756</v>
      </c>
      <c r="H37" s="519">
        <f t="shared" si="30"/>
        <v>0.04</v>
      </c>
      <c r="I37" s="520">
        <f>IF(J37&gt;=1,ROUND(COUNTIFS($B$16:$B37,"&gt;"&amp;MAX($B37-$D$2,2019),H$16:H37,1/25)*(1/$D$2-1/25)*25,0),0)</f>
        <v>0</v>
      </c>
      <c r="J37" s="521">
        <f t="shared" si="50"/>
        <v>0.88000000000000023</v>
      </c>
      <c r="K37" s="522">
        <f>Hypothèses!$G$77</f>
        <v>0.01</v>
      </c>
      <c r="L37" s="523">
        <f t="shared" si="13"/>
        <v>17.058893488876727</v>
      </c>
      <c r="M37" s="524">
        <f t="array" ref="M37">1-SUM(IF((Roadmap_Avion!$B$8:$B$38=$B37)*(Roadmap_Avion!$C$4:$Z$4=$B$2)*(Roadmap_Avion!$C$6:$Z$6=M$7)*(Roadmap_Avion!$C$7:$Z$7=M$9),Roadmap_Avion!$C$8:$Z$38,0))</f>
        <v>0.15000000000000002</v>
      </c>
      <c r="N37" s="525">
        <f t="array" ref="N37">SUM(IF((Roadmap_Avion!$B$8:$B$38=$B37)*(Roadmap_Avion!$C$4:$Z$4=$B$2)*(Roadmap_Avion!$C$6:$Z$6=N$7)*(Roadmap_Avion!$C$7:$Z$7=N$9),Roadmap_Avion!$C$8:$Z$38,0))</f>
        <v>0</v>
      </c>
      <c r="O37" s="526">
        <f t="array" ref="O37">SUM(IF((Roadmap_Avion!$B$8:$B$38=$B37)*(Roadmap_Avion!$C$4:$Z$4=$B$2)*(Roadmap_Avion!$C$6:$Z$6=O$7)*(Roadmap_Avion!$C$7:$Z$7=O$9),Roadmap_Avion!$C$8:$Z$38,0))</f>
        <v>1</v>
      </c>
      <c r="P37" s="527">
        <f t="array" ref="P37">IF($J37&lt;1,P36+$H37*M37,SUMPRODUCT(($B$16:$B$46&lt;=$B37)*($B$16:$B$46&gt;MAX($B37-$D$2-$I37,2019))*$H$16:$H$46*M$16:M$46))</f>
        <v>0.14200000000000004</v>
      </c>
      <c r="Q37" s="528">
        <f t="shared" si="31"/>
        <v>14.636530613456232</v>
      </c>
      <c r="R37" s="529">
        <f t="shared" si="14"/>
        <v>2.5000000000000001E-3</v>
      </c>
      <c r="S37" s="530">
        <f t="shared" si="15"/>
        <v>2.8000000000000004E-3</v>
      </c>
      <c r="T37" s="522">
        <f>Hypothèses!$G$78</f>
        <v>0.03</v>
      </c>
      <c r="U37" s="523">
        <f t="shared" si="16"/>
        <v>51.176680466630181</v>
      </c>
      <c r="V37" s="524">
        <f t="array" ref="V37">1-SUM(IF((Roadmap_Avion!$B$8:$B$38=$B37)*(Roadmap_Avion!$C$4:$Z$4=$B$2)*(Roadmap_Avion!$C$6:$Z$6=V$7)*(Roadmap_Avion!$C$7:$Z$7=V$9),Roadmap_Avion!$C$8:$Z$38,0))</f>
        <v>0.15000000000000002</v>
      </c>
      <c r="W37" s="525">
        <f t="array" ref="W37">SUM(IF((Roadmap_Avion!$B$8:$B$38=$B37)*(Roadmap_Avion!$C$4:$Z$4=$B$2)*(Roadmap_Avion!$C$6:$Z$6=W$7)*(Roadmap_Avion!$C$7:$Z$7=W$9),Roadmap_Avion!$C$8:$Z$38,0))</f>
        <v>0</v>
      </c>
      <c r="X37" s="526">
        <f t="array" ref="X37">SUM(IF((Roadmap_Avion!$B$8:$B$38=$B37)*(Roadmap_Avion!$C$4:$Z$4=$B$2)*(Roadmap_Avion!$C$6:$Z$6=X$7)*(Roadmap_Avion!$C$7:$Z$7=X$9),Roadmap_Avion!$C$8:$Z$38,0))</f>
        <v>1</v>
      </c>
      <c r="Y37" s="527">
        <f t="array" ref="Y37">IF($J37&lt;1,Y36+$H37*V37,SUMPRODUCT(($B$16:$B$46&lt;=$B37)*($B$16:$B$46&gt;MAX($B37-$D$2-$I37,2019))*$H$16:$H$46*V$16:V$46))</f>
        <v>0.13200000000000001</v>
      </c>
      <c r="Z37" s="528">
        <f t="shared" si="32"/>
        <v>44.421358645034999</v>
      </c>
      <c r="AA37" s="529">
        <f t="shared" si="17"/>
        <v>1.0500000000000001E-2</v>
      </c>
      <c r="AB37" s="530">
        <f t="shared" si="18"/>
        <v>2.3999999999999998E-3</v>
      </c>
      <c r="AC37" s="522">
        <f>Hypothèses!$G$79</f>
        <v>0.24</v>
      </c>
      <c r="AD37" s="523">
        <f t="shared" si="19"/>
        <v>409.41344373304145</v>
      </c>
      <c r="AE37" s="524">
        <f t="array" ref="AE37">1-SUM(IF((Roadmap_Avion!$B$8:$B$38=$B37)*(Roadmap_Avion!$C$4:$Z$4=$B$2)*(Roadmap_Avion!$C$6:$Z$6=AE$7)*(Roadmap_Avion!$C$7:$Z$7=AE$9),Roadmap_Avion!$C$8:$Z$38,0))</f>
        <v>0.36250000000000004</v>
      </c>
      <c r="AF37" s="525">
        <f t="array" ref="AF37">SUM(IF((Roadmap_Avion!$B$8:$B$38=$B37)*(Roadmap_Avion!$C$4:$Z$4=$B$2)*(Roadmap_Avion!$C$6:$Z$6=AF$7)*(Roadmap_Avion!$C$7:$Z$7=AF$9),Roadmap_Avion!$C$8:$Z$38,0))</f>
        <v>0</v>
      </c>
      <c r="AG37" s="526">
        <f t="array" ref="AG37">SUM(IF((Roadmap_Avion!$B$8:$B$38=$B37)*(Roadmap_Avion!$C$4:$Z$4=$B$2)*(Roadmap_Avion!$C$6:$Z$6=AG$7)*(Roadmap_Avion!$C$7:$Z$7=AG$9),Roadmap_Avion!$C$8:$Z$38,0))</f>
        <v>1</v>
      </c>
      <c r="AH37" s="527">
        <f t="array" ref="AH37">IF($J37&lt;1,AH36+$H37*AE37,SUMPRODUCT(($B$16:$B$46&lt;=$B37)*($B$16:$B$46&gt;MAX($B37-$D$2-$I37,2019))*$H$16:$H$46*AE$16:AE$46))</f>
        <v>0.20500000000000002</v>
      </c>
      <c r="AI37" s="528">
        <f t="shared" si="33"/>
        <v>325.48368776776795</v>
      </c>
      <c r="AJ37" s="529">
        <f t="shared" si="20"/>
        <v>9.6000000000000002E-2</v>
      </c>
      <c r="AK37" s="530">
        <f t="shared" si="21"/>
        <v>1.9199999999999998E-2</v>
      </c>
      <c r="AL37" s="522">
        <f>Hypothèses!$G$80</f>
        <v>0.42</v>
      </c>
      <c r="AM37" s="523">
        <f t="shared" si="22"/>
        <v>716.47352653282246</v>
      </c>
      <c r="AN37" s="524">
        <f t="array" ref="AN37">1-SUM(IF((Roadmap_Avion!$B$8:$B$38=$B37)*(Roadmap_Avion!$C$4:$Z$4=$B$2)*(Roadmap_Avion!$C$6:$Z$6=AN$7)*(Roadmap_Avion!$C$7:$Z$7=AN$9),Roadmap_Avion!$C$8:$Z$38,0))</f>
        <v>0.36250000000000004</v>
      </c>
      <c r="AO37" s="525">
        <f t="array" ref="AO37">SUM(IF((Roadmap_Avion!$B$8:$B$38=$B37)*(Roadmap_Avion!$C$4:$Z$4=$B$2)*(Roadmap_Avion!$C$6:$Z$6=AO$7)*(Roadmap_Avion!$C$7:$Z$7=AO$9),Roadmap_Avion!$C$8:$Z$38,0))</f>
        <v>0</v>
      </c>
      <c r="AP37" s="526">
        <f t="array" ref="AP37">SUM(IF((Roadmap_Avion!$B$8:$B$38=$B37)*(Roadmap_Avion!$C$4:$Z$4=$B$2)*(Roadmap_Avion!$C$6:$Z$6=AP$7)*(Roadmap_Avion!$C$7:$Z$7=AP$9),Roadmap_Avion!$C$8:$Z$38,0))</f>
        <v>1</v>
      </c>
      <c r="AQ37" s="527">
        <f t="array" ref="AQ37">IF($J37&lt;1,AQ36+$H37*AN37,SUMPRODUCT(($B$16:$B$46&lt;=$B37)*($B$16:$B$46&gt;MAX($B37-$D$2-$I37,2019))*$H$16:$H$46*AN$16:AN$46))</f>
        <v>0.20500000000000002</v>
      </c>
      <c r="AR37" s="528">
        <f t="shared" si="34"/>
        <v>569.59645359359376</v>
      </c>
      <c r="AS37" s="529">
        <f t="shared" si="4"/>
        <v>0.16800000000000001</v>
      </c>
      <c r="AT37" s="530">
        <f t="shared" si="5"/>
        <v>3.3599999999999998E-2</v>
      </c>
      <c r="AU37" s="531">
        <f>Hypothèses!$G$81</f>
        <v>0.3</v>
      </c>
      <c r="AV37" s="523">
        <f t="shared" si="23"/>
        <v>511.76680466630177</v>
      </c>
      <c r="AW37" s="524">
        <f t="array" ref="AW37">1-SUM(IF((Roadmap_Avion!$B$8:$B$38=$B37)*(Roadmap_Avion!$C$4:$Z$4=$B$2)*(Roadmap_Avion!$C$6:$Z$6=AW$7)*(Roadmap_Avion!$C$7:$Z$7=AW$9),Roadmap_Avion!$C$8:$Z$38,0))</f>
        <v>0.4375</v>
      </c>
      <c r="AX37" s="525">
        <f t="array" ref="AX37">SUM(IF((Roadmap_Avion!$B$8:$B$38=$B37)*(Roadmap_Avion!$C$4:$Z$4=$B$2)*(Roadmap_Avion!$C$6:$Z$6=AX$7)*(Roadmap_Avion!$C$7:$Z$7=AX$9),Roadmap_Avion!$C$8:$Z$38,0))</f>
        <v>1</v>
      </c>
      <c r="AY37" s="526">
        <f t="array" ref="AY37">SUM(IF((Roadmap_Avion!$B$8:$B$38=$B37)*(Roadmap_Avion!$C$4:$Z$4=$B$2)*(Roadmap_Avion!$C$6:$Z$6=AY$7)*(Roadmap_Avion!$C$7:$Z$7=AY$9),Roadmap_Avion!$C$8:$Z$38,0))</f>
        <v>0</v>
      </c>
      <c r="AZ37" s="527">
        <f t="array" ref="AZ37">IF($J37&lt;1,AZ36+$H37*AW37,SUMPRODUCT(($B$16:$B$46&lt;=$B37)*($B$16:$B$46&gt;MAX($B37-$D$2-$I37,2019))*$H$16:$H$46*AW$16:AW$46))</f>
        <v>0.23500000000000004</v>
      </c>
      <c r="BA37" s="528">
        <f t="shared" si="35"/>
        <v>391.50160556972082</v>
      </c>
      <c r="BB37" s="529">
        <f t="shared" si="24"/>
        <v>0.14399999999999999</v>
      </c>
      <c r="BC37" s="529">
        <f t="shared" si="25"/>
        <v>0</v>
      </c>
      <c r="BD37" s="517">
        <f t="shared" si="7"/>
        <v>1345.6396361895738</v>
      </c>
      <c r="BE37" s="518">
        <f>BD37*(Hypothèses!$D$23/Hypothèses!$B$23)</f>
        <v>1601.9519478447307</v>
      </c>
      <c r="BF37" s="532">
        <f t="shared" si="8"/>
        <v>0.21118000000000015</v>
      </c>
      <c r="BG37" s="518">
        <f>BD37/Hypothèses!$B$23</f>
        <v>427.1871860919282</v>
      </c>
      <c r="BH37" s="532">
        <f t="shared" si="9"/>
        <v>0.42100000000000004</v>
      </c>
      <c r="BI37" s="532">
        <f t="shared" si="9"/>
        <v>5.7999999999999996E-2</v>
      </c>
      <c r="BJ37" s="518">
        <f t="shared" si="26"/>
        <v>179.8458053447018</v>
      </c>
      <c r="BK37" s="533">
        <f t="shared" si="36"/>
        <v>103.75578039465317</v>
      </c>
      <c r="BL37" s="534">
        <f t="shared" si="37"/>
        <v>0.57691520909141836</v>
      </c>
      <c r="BM37" s="535">
        <f t="array" ref="BM37">SUM(IF((Prod_Carburant_Alt!$A$7:$A$37=$B37)*(Prod_Carburant_Alt!$B$3:$AI$3=$C$2)*(Prod_Carburant_Alt!$B$5:$AI$5=BM$7)*(Prod_Carburant_Alt!$B$6:$AI$6=BM$9),Prod_Carburant_Alt!$B$7:$AI$37,0))</f>
        <v>71.065603010036426</v>
      </c>
      <c r="BN37" s="534">
        <f t="shared" si="27"/>
        <v>2.7318648029710104</v>
      </c>
      <c r="BO37" s="536">
        <f t="array" ref="BO37">SUM(IF((Prod_Carburant_Alt!$A$7:$A$37=$B37)*(Prod_Carburant_Alt!$B$3:$AI$3=$C$2)*(Prod_Carburant_Alt!$B$5:$AI$5=BO$7)*(Prod_Carburant_Alt!$B$6:$AI$6=BO$9),Prod_Carburant_Alt!$B$7:$AI$37,0))</f>
        <v>0.20438251753392198</v>
      </c>
      <c r="BP37" s="543">
        <f t="array" ref="BP37">SUM(IF((Prod_Carburant_Alt!$A$7:$A$37=$B37)*(Prod_Carburant_Alt!$B$3:$AI$3=$C$2)*(Prod_Carburant_Alt!$B$5:$AI$5=BP$7)*(Prod_Carburant_Alt!$B$6:$AI$6=BP$9),Prod_Carburant_Alt!$B$7:$AI$37,0))</f>
        <v>32.690177384616746</v>
      </c>
      <c r="BQ37" s="536">
        <f t="shared" si="38"/>
        <v>0.18176780560414549</v>
      </c>
      <c r="BR37" s="537">
        <f t="shared" si="39"/>
        <v>323.43140569727501</v>
      </c>
      <c r="BS37" s="538">
        <f t="shared" si="40"/>
        <v>103.75578039465317</v>
      </c>
      <c r="BT37" s="539">
        <f t="shared" si="41"/>
        <v>1</v>
      </c>
      <c r="BU37" s="535">
        <f t="shared" si="28"/>
        <v>71.065603010036426</v>
      </c>
      <c r="BV37" s="539">
        <f t="shared" si="42"/>
        <v>1</v>
      </c>
      <c r="BW37" s="535">
        <f t="shared" si="29"/>
        <v>32.690177384616746</v>
      </c>
      <c r="BX37" s="539">
        <f t="shared" si="43"/>
        <v>1</v>
      </c>
      <c r="BY37" s="538">
        <f t="shared" si="44"/>
        <v>24.776856793331834</v>
      </c>
      <c r="BZ37" s="540">
        <f>BY37*Hypothèses!$B$3/Hypothèses!$B$9</f>
        <v>9.1025457376319565</v>
      </c>
      <c r="CA37" s="538">
        <f t="shared" si="45"/>
        <v>298.65454890394318</v>
      </c>
      <c r="CB37" s="533">
        <f>BW37*Prod_Carburant_Alt!$R$61+BZ37*Hypothèses!$B$13</f>
        <v>1995.8483958692032</v>
      </c>
      <c r="CC37" s="538">
        <f t="shared" si="46"/>
        <v>924.76676563049909</v>
      </c>
      <c r="CD37" s="541">
        <f t="shared" si="47"/>
        <v>1.4205326660990769</v>
      </c>
      <c r="CE37" s="537">
        <f t="shared" si="48"/>
        <v>21.954332354561238</v>
      </c>
      <c r="CF37" s="503">
        <f>(CA37+BU37*BO37)*Hypothèses!$D$23+CE37</f>
        <v>1196.3760164440639</v>
      </c>
      <c r="CG37" s="504">
        <f t="shared" si="11"/>
        <v>0.25317609054774048</v>
      </c>
      <c r="CH37" s="503">
        <f>(CA37+BU37*BO37)*Hypothèses!$B$23</f>
        <v>986.51421463518216</v>
      </c>
      <c r="CI37" s="503">
        <f t="shared" si="49"/>
        <v>72.514214635182157</v>
      </c>
      <c r="CJ37" s="503">
        <f>(BU37+BW37+CA37)*Hypothèses!$B$6+BZ37*Hypothèses!$B$11</f>
        <v>13.113796726733515</v>
      </c>
      <c r="CK37" s="503">
        <f>(BU37+BW37+CA37)*Hypothèses!$B$5+BZ37*Hypothèses!$B$10</f>
        <v>641.27326936373652</v>
      </c>
      <c r="CL37" s="542">
        <f t="shared" si="12"/>
        <v>0.41089036374586879</v>
      </c>
    </row>
    <row r="38" spans="1:90" ht="14.25" customHeight="1">
      <c r="A38" s="331"/>
      <c r="B38" s="516">
        <v>2042</v>
      </c>
      <c r="C38" s="655">
        <f>Trajectoires!AA34</f>
        <v>2103.5256923643933</v>
      </c>
      <c r="D38" s="659">
        <f>C38/Hypothèses!$D$23</f>
        <v>560.94018463050486</v>
      </c>
      <c r="E38" s="659">
        <f>D38*Hypothèses!$B$23</f>
        <v>1766.9615815860902</v>
      </c>
      <c r="F38" s="659">
        <f>D38*Hypothèses!$B$5</f>
        <v>779.70685663640165</v>
      </c>
      <c r="G38" s="659">
        <f>D38*Hypothèses!$B$6</f>
        <v>17.950085908176156</v>
      </c>
      <c r="H38" s="519">
        <f t="shared" si="30"/>
        <v>0.04</v>
      </c>
      <c r="I38" s="520">
        <f>IF(J38&gt;=1,ROUND(COUNTIFS($B$16:$B38,"&gt;"&amp;MAX($B38-$D$2,2019),H$16:H38,1/25)*(1/$D$2-1/25)*25,0),0)</f>
        <v>0</v>
      </c>
      <c r="J38" s="521">
        <f t="shared" si="50"/>
        <v>0.92000000000000026</v>
      </c>
      <c r="K38" s="522">
        <f>Hypothèses!$G$77</f>
        <v>0.01</v>
      </c>
      <c r="L38" s="523">
        <f t="shared" si="13"/>
        <v>17.669615815860904</v>
      </c>
      <c r="M38" s="524">
        <f t="array" ref="M38">1-SUM(IF((Roadmap_Avion!$B$8:$B$38=$B38)*(Roadmap_Avion!$C$4:$Z$4=$B$2)*(Roadmap_Avion!$C$6:$Z$6=M$7)*(Roadmap_Avion!$C$7:$Z$7=M$9),Roadmap_Avion!$C$8:$Z$38,0))</f>
        <v>0.15000000000000002</v>
      </c>
      <c r="N38" s="525">
        <f t="array" ref="N38">SUM(IF((Roadmap_Avion!$B$8:$B$38=$B38)*(Roadmap_Avion!$C$4:$Z$4=$B$2)*(Roadmap_Avion!$C$6:$Z$6=N$7)*(Roadmap_Avion!$C$7:$Z$7=N$9),Roadmap_Avion!$C$8:$Z$38,0))</f>
        <v>0</v>
      </c>
      <c r="O38" s="526">
        <f t="array" ref="O38">SUM(IF((Roadmap_Avion!$B$8:$B$38=$B38)*(Roadmap_Avion!$C$4:$Z$4=$B$2)*(Roadmap_Avion!$C$6:$Z$6=O$7)*(Roadmap_Avion!$C$7:$Z$7=O$9),Roadmap_Avion!$C$8:$Z$38,0))</f>
        <v>1</v>
      </c>
      <c r="P38" s="527">
        <f t="array" ref="P38">IF($J38&lt;1,P37+$H38*M38,SUMPRODUCT(($B$16:$B$46&lt;=$B38)*($B$16:$B$46&gt;MAX($B38-$D$2-$I38,2019))*$H$16:$H$46*M$16:M$46))</f>
        <v>0.14800000000000005</v>
      </c>
      <c r="Q38" s="528">
        <f t="shared" si="31"/>
        <v>15.054512675113489</v>
      </c>
      <c r="R38" s="529">
        <f t="shared" si="14"/>
        <v>2.5000000000000001E-3</v>
      </c>
      <c r="S38" s="530">
        <f t="shared" si="15"/>
        <v>3.2000000000000002E-3</v>
      </c>
      <c r="T38" s="522">
        <f>Hypothèses!$G$78</f>
        <v>0.03</v>
      </c>
      <c r="U38" s="523">
        <f t="shared" si="16"/>
        <v>53.008847447582703</v>
      </c>
      <c r="V38" s="524">
        <f t="array" ref="V38">1-SUM(IF((Roadmap_Avion!$B$8:$B$38=$B38)*(Roadmap_Avion!$C$4:$Z$4=$B$2)*(Roadmap_Avion!$C$6:$Z$6=V$7)*(Roadmap_Avion!$C$7:$Z$7=V$9),Roadmap_Avion!$C$8:$Z$38,0))</f>
        <v>0.15000000000000002</v>
      </c>
      <c r="W38" s="525">
        <f t="array" ref="W38">SUM(IF((Roadmap_Avion!$B$8:$B$38=$B38)*(Roadmap_Avion!$C$4:$Z$4=$B$2)*(Roadmap_Avion!$C$6:$Z$6=W$7)*(Roadmap_Avion!$C$7:$Z$7=W$9),Roadmap_Avion!$C$8:$Z$38,0))</f>
        <v>0</v>
      </c>
      <c r="X38" s="526">
        <f t="array" ref="X38">SUM(IF((Roadmap_Avion!$B$8:$B$38=$B38)*(Roadmap_Avion!$C$4:$Z$4=$B$2)*(Roadmap_Avion!$C$6:$Z$6=X$7)*(Roadmap_Avion!$C$7:$Z$7=X$9),Roadmap_Avion!$C$8:$Z$38,0))</f>
        <v>1</v>
      </c>
      <c r="Y38" s="527">
        <f t="array" ref="Y38">IF($J38&lt;1,Y37+$H38*V38,SUMPRODUCT(($B$16:$B$46&lt;=$B38)*($B$16:$B$46&gt;MAX($B38-$D$2-$I38,2019))*$H$16:$H$46*V$16:V$46))</f>
        <v>0.13800000000000001</v>
      </c>
      <c r="Z38" s="528">
        <f t="shared" si="32"/>
        <v>45.69362649981629</v>
      </c>
      <c r="AA38" s="529">
        <f t="shared" si="17"/>
        <v>1.0500000000000001E-2</v>
      </c>
      <c r="AB38" s="530">
        <f t="shared" si="18"/>
        <v>3.5999999999999999E-3</v>
      </c>
      <c r="AC38" s="522">
        <f>Hypothèses!$G$79</f>
        <v>0.24</v>
      </c>
      <c r="AD38" s="523">
        <f t="shared" si="19"/>
        <v>424.07077958066162</v>
      </c>
      <c r="AE38" s="524">
        <f t="array" ref="AE38">1-SUM(IF((Roadmap_Avion!$B$8:$B$38=$B38)*(Roadmap_Avion!$C$4:$Z$4=$B$2)*(Roadmap_Avion!$C$6:$Z$6=AE$7)*(Roadmap_Avion!$C$7:$Z$7=AE$9),Roadmap_Avion!$C$8:$Z$38,0))</f>
        <v>0.36250000000000004</v>
      </c>
      <c r="AF38" s="525">
        <f t="array" ref="AF38">SUM(IF((Roadmap_Avion!$B$8:$B$38=$B38)*(Roadmap_Avion!$C$4:$Z$4=$B$2)*(Roadmap_Avion!$C$6:$Z$6=AF$7)*(Roadmap_Avion!$C$7:$Z$7=AF$9),Roadmap_Avion!$C$8:$Z$38,0))</f>
        <v>0</v>
      </c>
      <c r="AG38" s="526">
        <f t="array" ref="AG38">SUM(IF((Roadmap_Avion!$B$8:$B$38=$B38)*(Roadmap_Avion!$C$4:$Z$4=$B$2)*(Roadmap_Avion!$C$6:$Z$6=AG$7)*(Roadmap_Avion!$C$7:$Z$7=AG$9),Roadmap_Avion!$C$8:$Z$38,0))</f>
        <v>1</v>
      </c>
      <c r="AH38" s="527">
        <f t="array" ref="AH38">IF($J38&lt;1,AH37+$H38*AE38,SUMPRODUCT(($B$16:$B$46&lt;=$B38)*($B$16:$B$46&gt;MAX($B38-$D$2-$I38,2019))*$H$16:$H$46*AE$16:AE$46))</f>
        <v>0.21950000000000003</v>
      </c>
      <c r="AI38" s="528">
        <f t="shared" si="33"/>
        <v>330.98724346270637</v>
      </c>
      <c r="AJ38" s="529">
        <f t="shared" si="20"/>
        <v>9.6000000000000002E-2</v>
      </c>
      <c r="AK38" s="530">
        <f t="shared" si="21"/>
        <v>2.8799999999999999E-2</v>
      </c>
      <c r="AL38" s="522">
        <f>Hypothèses!$G$80</f>
        <v>0.42</v>
      </c>
      <c r="AM38" s="523">
        <f t="shared" si="22"/>
        <v>742.12386426615785</v>
      </c>
      <c r="AN38" s="524">
        <f t="array" ref="AN38">1-SUM(IF((Roadmap_Avion!$B$8:$B$38=$B38)*(Roadmap_Avion!$C$4:$Z$4=$B$2)*(Roadmap_Avion!$C$6:$Z$6=AN$7)*(Roadmap_Avion!$C$7:$Z$7=AN$9),Roadmap_Avion!$C$8:$Z$38,0))</f>
        <v>0.36250000000000004</v>
      </c>
      <c r="AO38" s="525">
        <f t="array" ref="AO38">SUM(IF((Roadmap_Avion!$B$8:$B$38=$B38)*(Roadmap_Avion!$C$4:$Z$4=$B$2)*(Roadmap_Avion!$C$6:$Z$6=AO$7)*(Roadmap_Avion!$C$7:$Z$7=AO$9),Roadmap_Avion!$C$8:$Z$38,0))</f>
        <v>0</v>
      </c>
      <c r="AP38" s="526">
        <f t="array" ref="AP38">SUM(IF((Roadmap_Avion!$B$8:$B$38=$B38)*(Roadmap_Avion!$C$4:$Z$4=$B$2)*(Roadmap_Avion!$C$6:$Z$6=AP$7)*(Roadmap_Avion!$C$7:$Z$7=AP$9),Roadmap_Avion!$C$8:$Z$38,0))</f>
        <v>1</v>
      </c>
      <c r="AQ38" s="527">
        <f t="array" ref="AQ38">IF($J38&lt;1,AQ37+$H38*AN38,SUMPRODUCT(($B$16:$B$46&lt;=$B38)*($B$16:$B$46&gt;MAX($B38-$D$2-$I38,2019))*$H$16:$H$46*AN$16:AN$46))</f>
        <v>0.21950000000000003</v>
      </c>
      <c r="AR38" s="528">
        <f t="shared" si="34"/>
        <v>579.22767605973615</v>
      </c>
      <c r="AS38" s="529">
        <f t="shared" si="4"/>
        <v>0.16800000000000001</v>
      </c>
      <c r="AT38" s="530">
        <f t="shared" si="5"/>
        <v>5.04E-2</v>
      </c>
      <c r="AU38" s="531">
        <f>Hypothèses!$G$81</f>
        <v>0.3</v>
      </c>
      <c r="AV38" s="523">
        <f t="shared" si="23"/>
        <v>530.08847447582707</v>
      </c>
      <c r="AW38" s="524">
        <f t="array" ref="AW38">1-SUM(IF((Roadmap_Avion!$B$8:$B$38=$B38)*(Roadmap_Avion!$C$4:$Z$4=$B$2)*(Roadmap_Avion!$C$6:$Z$6=AW$7)*(Roadmap_Avion!$C$7:$Z$7=AW$9),Roadmap_Avion!$C$8:$Z$38,0))</f>
        <v>0.4375</v>
      </c>
      <c r="AX38" s="525">
        <f t="array" ref="AX38">SUM(IF((Roadmap_Avion!$B$8:$B$38=$B38)*(Roadmap_Avion!$C$4:$Z$4=$B$2)*(Roadmap_Avion!$C$6:$Z$6=AX$7)*(Roadmap_Avion!$C$7:$Z$7=AX$9),Roadmap_Avion!$C$8:$Z$38,0))</f>
        <v>1</v>
      </c>
      <c r="AY38" s="526">
        <f t="array" ref="AY38">SUM(IF((Roadmap_Avion!$B$8:$B$38=$B38)*(Roadmap_Avion!$C$4:$Z$4=$B$2)*(Roadmap_Avion!$C$6:$Z$6=AY$7)*(Roadmap_Avion!$C$7:$Z$7=AY$9),Roadmap_Avion!$C$8:$Z$38,0))</f>
        <v>0</v>
      </c>
      <c r="AZ38" s="527">
        <f t="array" ref="AZ38">IF($J38&lt;1,AZ37+$H38*AW38,SUMPRODUCT(($B$16:$B$46&lt;=$B38)*($B$16:$B$46&gt;MAX($B38-$D$2-$I38,2019))*$H$16:$H$46*AW$16:AW$46))</f>
        <v>0.25250000000000006</v>
      </c>
      <c r="BA38" s="528">
        <f t="shared" si="35"/>
        <v>396.24113467068071</v>
      </c>
      <c r="BB38" s="529">
        <f t="shared" si="24"/>
        <v>0.156</v>
      </c>
      <c r="BC38" s="529">
        <f t="shared" si="25"/>
        <v>0</v>
      </c>
      <c r="BD38" s="517">
        <f t="shared" si="7"/>
        <v>1367.204193368053</v>
      </c>
      <c r="BE38" s="518">
        <f>BD38*(Hypothèses!$D$23/Hypothèses!$B$23)</f>
        <v>1627.6240397238726</v>
      </c>
      <c r="BF38" s="532">
        <f t="shared" si="8"/>
        <v>0.22624000000000022</v>
      </c>
      <c r="BG38" s="518">
        <f>BD38/Hypothèses!$B$23</f>
        <v>434.03307725969938</v>
      </c>
      <c r="BH38" s="532">
        <f t="shared" si="9"/>
        <v>0.43300000000000005</v>
      </c>
      <c r="BI38" s="532">
        <f t="shared" si="9"/>
        <v>8.5999999999999993E-2</v>
      </c>
      <c r="BJ38" s="518">
        <f t="shared" si="26"/>
        <v>187.93632245344986</v>
      </c>
      <c r="BK38" s="533">
        <f t="shared" si="36"/>
        <v>119.31914745385114</v>
      </c>
      <c r="BL38" s="534">
        <f t="shared" si="37"/>
        <v>0.63489136052135653</v>
      </c>
      <c r="BM38" s="535">
        <f t="array" ref="BM38">SUM(IF((Prod_Carburant_Alt!$A$7:$A$37=$B38)*(Prod_Carburant_Alt!$B$3:$AI$3=$C$2)*(Prod_Carburant_Alt!$B$5:$AI$5=BM$7)*(Prod_Carburant_Alt!$B$6:$AI$6=BM$9),Prod_Carburant_Alt!$B$7:$AI$37,0))</f>
        <v>81.725443461541886</v>
      </c>
      <c r="BN38" s="534">
        <f t="shared" si="27"/>
        <v>2.8062736939593171</v>
      </c>
      <c r="BO38" s="536">
        <f t="array" ref="BO38">SUM(IF((Prod_Carburant_Alt!$A$7:$A$37=$B38)*(Prod_Carburant_Alt!$B$3:$AI$3=$C$2)*(Prod_Carburant_Alt!$B$5:$AI$5=BO$7)*(Prod_Carburant_Alt!$B$6:$AI$6=BO$9),Prod_Carburant_Alt!$B$7:$AI$37,0))</f>
        <v>0.20438251753392195</v>
      </c>
      <c r="BP38" s="543">
        <f t="array" ref="BP38">SUM(IF((Prod_Carburant_Alt!$A$7:$A$37=$B38)*(Prod_Carburant_Alt!$B$3:$AI$3=$C$2)*(Prod_Carburant_Alt!$B$5:$AI$5=BP$7)*(Prod_Carburant_Alt!$B$6:$AI$6=BP$9),Prod_Carburant_Alt!$B$7:$AI$37,0))</f>
        <v>37.593703992309251</v>
      </c>
      <c r="BQ38" s="536">
        <f t="shared" si="38"/>
        <v>0.20003426427385199</v>
      </c>
      <c r="BR38" s="537">
        <f t="shared" si="39"/>
        <v>314.71392980584824</v>
      </c>
      <c r="BS38" s="538">
        <f t="shared" si="40"/>
        <v>119.31914745385114</v>
      </c>
      <c r="BT38" s="539">
        <f t="shared" si="41"/>
        <v>1</v>
      </c>
      <c r="BU38" s="535">
        <f t="shared" si="28"/>
        <v>81.725443461541886</v>
      </c>
      <c r="BV38" s="539">
        <f t="shared" si="42"/>
        <v>1</v>
      </c>
      <c r="BW38" s="535">
        <f t="shared" si="29"/>
        <v>37.593703992309251</v>
      </c>
      <c r="BX38" s="539">
        <f t="shared" si="43"/>
        <v>1</v>
      </c>
      <c r="BY38" s="538">
        <f t="shared" si="44"/>
        <v>37.326844644334145</v>
      </c>
      <c r="BZ38" s="540">
        <f>BY38*Hypothèses!$B$3/Hypothèses!$B$9</f>
        <v>13.713172475855602</v>
      </c>
      <c r="CA38" s="538">
        <f t="shared" si="45"/>
        <v>277.38708516151411</v>
      </c>
      <c r="CB38" s="533">
        <f>BW38*Prod_Carburant_Alt!$R$61+BZ38*Hypothèses!$B$13</f>
        <v>2479.0155916067097</v>
      </c>
      <c r="CC38" s="538">
        <f t="shared" si="46"/>
        <v>1148.6399645095858</v>
      </c>
      <c r="CD38" s="541">
        <f t="shared" si="47"/>
        <v>1.7644239086168751</v>
      </c>
      <c r="CE38" s="537">
        <f t="shared" si="48"/>
        <v>27.269171507673807</v>
      </c>
      <c r="CF38" s="503">
        <f>(CA38+BU38*BO38)*Hypothèses!$D$23+CE38</f>
        <v>1130.1079354180245</v>
      </c>
      <c r="CG38" s="504">
        <f t="shared" si="11"/>
        <v>0.30567016225089183</v>
      </c>
      <c r="CH38" s="503">
        <f>(CA38+BU38*BO38)*Hypothèses!$B$23</f>
        <v>926.38456168469463</v>
      </c>
      <c r="CI38" s="503">
        <f t="shared" si="49"/>
        <v>12.384561684694631</v>
      </c>
      <c r="CJ38" s="503">
        <f>(BU38+BW38+CA38)*Hypothèses!$B$6+BZ38*Hypothèses!$B$11</f>
        <v>13.051141928063934</v>
      </c>
      <c r="CK38" s="503">
        <f>(BU38+BW38+CA38)*Hypothèses!$B$5+BZ38*Hypothèses!$B$10</f>
        <v>674.84021561805798</v>
      </c>
      <c r="CL38" s="542">
        <f t="shared" si="12"/>
        <v>0.4627553447432502</v>
      </c>
    </row>
    <row r="39" spans="1:90" ht="14.25" customHeight="1">
      <c r="A39" s="331"/>
      <c r="B39" s="516">
        <v>2043</v>
      </c>
      <c r="C39" s="655">
        <f>Trajectoires!AA35</f>
        <v>2177.8664654005638</v>
      </c>
      <c r="D39" s="659">
        <f>C39/Hypothèses!$D$23</f>
        <v>580.76439077348368</v>
      </c>
      <c r="E39" s="659">
        <f>D39*Hypothèses!$B$23</f>
        <v>1829.4078309364736</v>
      </c>
      <c r="F39" s="659">
        <f>D39*Hypothèses!$B$5</f>
        <v>807.26250317514223</v>
      </c>
      <c r="G39" s="659">
        <f>D39*Hypothèses!$B$6</f>
        <v>18.58446050475148</v>
      </c>
      <c r="H39" s="519">
        <f t="shared" si="30"/>
        <v>0.04</v>
      </c>
      <c r="I39" s="520">
        <f>IF(J39&gt;=1,ROUND(COUNTIFS($B$16:$B39,"&gt;"&amp;MAX($B39-$D$2,2019),H$16:H39,1/25)*(1/$D$2-1/25)*25,0),0)</f>
        <v>0</v>
      </c>
      <c r="J39" s="521">
        <f t="shared" si="50"/>
        <v>0.9600000000000003</v>
      </c>
      <c r="K39" s="522">
        <f>Hypothèses!$G$77</f>
        <v>0.01</v>
      </c>
      <c r="L39" s="523">
        <f t="shared" si="13"/>
        <v>18.294078309364735</v>
      </c>
      <c r="M39" s="524">
        <f t="array" ref="M39">1-SUM(IF((Roadmap_Avion!$B$8:$B$38=$B39)*(Roadmap_Avion!$C$4:$Z$4=$B$2)*(Roadmap_Avion!$C$6:$Z$6=M$7)*(Roadmap_Avion!$C$7:$Z$7=M$9),Roadmap_Avion!$C$8:$Z$38,0))</f>
        <v>0.15000000000000002</v>
      </c>
      <c r="N39" s="525">
        <f t="array" ref="N39">SUM(IF((Roadmap_Avion!$B$8:$B$38=$B39)*(Roadmap_Avion!$C$4:$Z$4=$B$2)*(Roadmap_Avion!$C$6:$Z$6=N$7)*(Roadmap_Avion!$C$7:$Z$7=N$9),Roadmap_Avion!$C$8:$Z$38,0))</f>
        <v>0</v>
      </c>
      <c r="O39" s="526">
        <f t="array" ref="O39">SUM(IF((Roadmap_Avion!$B$8:$B$38=$B39)*(Roadmap_Avion!$C$4:$Z$4=$B$2)*(Roadmap_Avion!$C$6:$Z$6=O$7)*(Roadmap_Avion!$C$7:$Z$7=O$9),Roadmap_Avion!$C$8:$Z$38,0))</f>
        <v>1</v>
      </c>
      <c r="P39" s="527">
        <f t="array" ref="P39">IF($J39&lt;1,P38+$H39*M39,SUMPRODUCT(($B$16:$B$46&lt;=$B39)*($B$16:$B$46&gt;MAX($B39-$D$2-$I39,2019))*$H$16:$H$46*M$16:M$46))</f>
        <v>0.15400000000000005</v>
      </c>
      <c r="Q39" s="528">
        <f t="shared" si="31"/>
        <v>15.476790249722566</v>
      </c>
      <c r="R39" s="529">
        <f t="shared" si="14"/>
        <v>2.5000000000000001E-3</v>
      </c>
      <c r="S39" s="530">
        <f t="shared" si="15"/>
        <v>3.5999999999999999E-3</v>
      </c>
      <c r="T39" s="522">
        <f>Hypothèses!$G$78</f>
        <v>0.03</v>
      </c>
      <c r="U39" s="523">
        <f t="shared" si="16"/>
        <v>54.882234928094206</v>
      </c>
      <c r="V39" s="524">
        <f t="array" ref="V39">1-SUM(IF((Roadmap_Avion!$B$8:$B$38=$B39)*(Roadmap_Avion!$C$4:$Z$4=$B$2)*(Roadmap_Avion!$C$6:$Z$6=V$7)*(Roadmap_Avion!$C$7:$Z$7=V$9),Roadmap_Avion!$C$8:$Z$38,0))</f>
        <v>0.15000000000000002</v>
      </c>
      <c r="W39" s="525">
        <f t="array" ref="W39">SUM(IF((Roadmap_Avion!$B$8:$B$38=$B39)*(Roadmap_Avion!$C$4:$Z$4=$B$2)*(Roadmap_Avion!$C$6:$Z$6=W$7)*(Roadmap_Avion!$C$7:$Z$7=W$9),Roadmap_Avion!$C$8:$Z$38,0))</f>
        <v>0</v>
      </c>
      <c r="X39" s="526">
        <f t="array" ref="X39">SUM(IF((Roadmap_Avion!$B$8:$B$38=$B39)*(Roadmap_Avion!$C$4:$Z$4=$B$2)*(Roadmap_Avion!$C$6:$Z$6=X$7)*(Roadmap_Avion!$C$7:$Z$7=X$9),Roadmap_Avion!$C$8:$Z$38,0))</f>
        <v>1</v>
      </c>
      <c r="Y39" s="527">
        <f t="array" ref="Y39">IF($J39&lt;1,Y38+$H39*V39,SUMPRODUCT(($B$16:$B$46&lt;=$B39)*($B$16:$B$46&gt;MAX($B39-$D$2-$I39,2019))*$H$16:$H$46*V$16:V$46))</f>
        <v>0.14400000000000002</v>
      </c>
      <c r="Z39" s="528">
        <f t="shared" si="32"/>
        <v>46.97919309844864</v>
      </c>
      <c r="AA39" s="529">
        <f t="shared" si="17"/>
        <v>1.0500000000000001E-2</v>
      </c>
      <c r="AB39" s="530">
        <f t="shared" si="18"/>
        <v>4.7999999999999996E-3</v>
      </c>
      <c r="AC39" s="522">
        <f>Hypothèses!$G$79</f>
        <v>0.24</v>
      </c>
      <c r="AD39" s="523">
        <f t="shared" si="19"/>
        <v>439.05787942475365</v>
      </c>
      <c r="AE39" s="524">
        <f t="array" ref="AE39">1-SUM(IF((Roadmap_Avion!$B$8:$B$38=$B39)*(Roadmap_Avion!$C$4:$Z$4=$B$2)*(Roadmap_Avion!$C$6:$Z$6=AE$7)*(Roadmap_Avion!$C$7:$Z$7=AE$9),Roadmap_Avion!$C$8:$Z$38,0))</f>
        <v>0.36250000000000004</v>
      </c>
      <c r="AF39" s="525">
        <f t="array" ref="AF39">SUM(IF((Roadmap_Avion!$B$8:$B$38=$B39)*(Roadmap_Avion!$C$4:$Z$4=$B$2)*(Roadmap_Avion!$C$6:$Z$6=AF$7)*(Roadmap_Avion!$C$7:$Z$7=AF$9),Roadmap_Avion!$C$8:$Z$38,0))</f>
        <v>0</v>
      </c>
      <c r="AG39" s="526">
        <f t="array" ref="AG39">SUM(IF((Roadmap_Avion!$B$8:$B$38=$B39)*(Roadmap_Avion!$C$4:$Z$4=$B$2)*(Roadmap_Avion!$C$6:$Z$6=AG$7)*(Roadmap_Avion!$C$7:$Z$7=AG$9),Roadmap_Avion!$C$8:$Z$38,0))</f>
        <v>1</v>
      </c>
      <c r="AH39" s="527">
        <f t="array" ref="AH39">IF($J39&lt;1,AH38+$H39*AE39,SUMPRODUCT(($B$16:$B$46&lt;=$B39)*($B$16:$B$46&gt;MAX($B39-$D$2-$I39,2019))*$H$16:$H$46*AE$16:AE$46))</f>
        <v>0.23400000000000004</v>
      </c>
      <c r="AI39" s="528">
        <f t="shared" si="33"/>
        <v>336.31833563936129</v>
      </c>
      <c r="AJ39" s="529">
        <f t="shared" si="20"/>
        <v>9.6000000000000002E-2</v>
      </c>
      <c r="AK39" s="530">
        <f t="shared" si="21"/>
        <v>3.8399999999999997E-2</v>
      </c>
      <c r="AL39" s="522">
        <f>Hypothèses!$G$80</f>
        <v>0.42</v>
      </c>
      <c r="AM39" s="523">
        <f t="shared" si="22"/>
        <v>768.35128899331892</v>
      </c>
      <c r="AN39" s="524">
        <f t="array" ref="AN39">1-SUM(IF((Roadmap_Avion!$B$8:$B$38=$B39)*(Roadmap_Avion!$C$4:$Z$4=$B$2)*(Roadmap_Avion!$C$6:$Z$6=AN$7)*(Roadmap_Avion!$C$7:$Z$7=AN$9),Roadmap_Avion!$C$8:$Z$38,0))</f>
        <v>0.36250000000000004</v>
      </c>
      <c r="AO39" s="525">
        <f t="array" ref="AO39">SUM(IF((Roadmap_Avion!$B$8:$B$38=$B39)*(Roadmap_Avion!$C$4:$Z$4=$B$2)*(Roadmap_Avion!$C$6:$Z$6=AO$7)*(Roadmap_Avion!$C$7:$Z$7=AO$9),Roadmap_Avion!$C$8:$Z$38,0))</f>
        <v>0</v>
      </c>
      <c r="AP39" s="526">
        <f t="array" ref="AP39">SUM(IF((Roadmap_Avion!$B$8:$B$38=$B39)*(Roadmap_Avion!$C$4:$Z$4=$B$2)*(Roadmap_Avion!$C$6:$Z$6=AP$7)*(Roadmap_Avion!$C$7:$Z$7=AP$9),Roadmap_Avion!$C$8:$Z$38,0))</f>
        <v>1</v>
      </c>
      <c r="AQ39" s="527">
        <f t="array" ref="AQ39">IF($J39&lt;1,AQ38+$H39*AN39,SUMPRODUCT(($B$16:$B$46&lt;=$B39)*($B$16:$B$46&gt;MAX($B39-$D$2-$I39,2019))*$H$16:$H$46*AN$16:AN$46))</f>
        <v>0.23400000000000004</v>
      </c>
      <c r="AR39" s="528">
        <f t="shared" si="34"/>
        <v>588.55708736888232</v>
      </c>
      <c r="AS39" s="529">
        <f t="shared" si="4"/>
        <v>0.16800000000000001</v>
      </c>
      <c r="AT39" s="530">
        <f t="shared" si="5"/>
        <v>6.7199999999999996E-2</v>
      </c>
      <c r="AU39" s="531">
        <f>Hypothèses!$G$81</f>
        <v>0.3</v>
      </c>
      <c r="AV39" s="523">
        <f t="shared" si="23"/>
        <v>548.82234928094203</v>
      </c>
      <c r="AW39" s="524">
        <f t="array" ref="AW39">1-SUM(IF((Roadmap_Avion!$B$8:$B$38=$B39)*(Roadmap_Avion!$C$4:$Z$4=$B$2)*(Roadmap_Avion!$C$6:$Z$6=AW$7)*(Roadmap_Avion!$C$7:$Z$7=AW$9),Roadmap_Avion!$C$8:$Z$38,0))</f>
        <v>0.4375</v>
      </c>
      <c r="AX39" s="525">
        <f t="array" ref="AX39">SUM(IF((Roadmap_Avion!$B$8:$B$38=$B39)*(Roadmap_Avion!$C$4:$Z$4=$B$2)*(Roadmap_Avion!$C$6:$Z$6=AX$7)*(Roadmap_Avion!$C$7:$Z$7=AX$9),Roadmap_Avion!$C$8:$Z$38,0))</f>
        <v>1</v>
      </c>
      <c r="AY39" s="526">
        <f t="array" ref="AY39">SUM(IF((Roadmap_Avion!$B$8:$B$38=$B39)*(Roadmap_Avion!$C$4:$Z$4=$B$2)*(Roadmap_Avion!$C$6:$Z$6=AY$7)*(Roadmap_Avion!$C$7:$Z$7=AY$9),Roadmap_Avion!$C$8:$Z$38,0))</f>
        <v>0</v>
      </c>
      <c r="AZ39" s="527">
        <f t="array" ref="AZ39">IF($J39&lt;1,AZ38+$H39*AW39,SUMPRODUCT(($B$16:$B$46&lt;=$B39)*($B$16:$B$46&gt;MAX($B39-$D$2-$I39,2019))*$H$16:$H$46*AW$16:AW$46))</f>
        <v>0.27000000000000007</v>
      </c>
      <c r="BA39" s="528">
        <f t="shared" si="35"/>
        <v>400.64031497508768</v>
      </c>
      <c r="BB39" s="529">
        <f t="shared" si="24"/>
        <v>0.16800000000000001</v>
      </c>
      <c r="BC39" s="529">
        <f t="shared" si="25"/>
        <v>0</v>
      </c>
      <c r="BD39" s="517">
        <f t="shared" si="7"/>
        <v>1387.9717213315025</v>
      </c>
      <c r="BE39" s="518">
        <f>BD39*(Hypothèses!$D$23/Hypothèses!$B$23)</f>
        <v>1652.3472872994078</v>
      </c>
      <c r="BF39" s="532">
        <f t="shared" si="8"/>
        <v>0.24129999999999996</v>
      </c>
      <c r="BG39" s="518">
        <f>BD39/Hypothèses!$B$23</f>
        <v>440.62594327984209</v>
      </c>
      <c r="BH39" s="532">
        <f t="shared" si="9"/>
        <v>0.44500000000000006</v>
      </c>
      <c r="BI39" s="532">
        <f t="shared" si="9"/>
        <v>0.11399999999999999</v>
      </c>
      <c r="BJ39" s="518">
        <f t="shared" si="26"/>
        <v>196.07854475952976</v>
      </c>
      <c r="BK39" s="533">
        <f t="shared" si="36"/>
        <v>137.2170195719288</v>
      </c>
      <c r="BL39" s="534">
        <f t="shared" si="37"/>
        <v>0.69980639513727216</v>
      </c>
      <c r="BM39" s="535">
        <f t="array" ref="BM39">SUM(IF((Prod_Carburant_Alt!$A$7:$A$37=$B39)*(Prod_Carburant_Alt!$B$3:$AI$3=$C$2)*(Prod_Carburant_Alt!$B$5:$AI$5=BM$7)*(Prod_Carburant_Alt!$B$6:$AI$6=BM$9),Prod_Carburant_Alt!$B$7:$AI$37,0))</f>
        <v>93.98425998077316</v>
      </c>
      <c r="BN39" s="534">
        <f t="shared" si="27"/>
        <v>2.9001508294126492</v>
      </c>
      <c r="BO39" s="536">
        <f t="array" ref="BO39">SUM(IF((Prod_Carburant_Alt!$A$7:$A$37=$B39)*(Prod_Carburant_Alt!$B$3:$AI$3=$C$2)*(Prod_Carburant_Alt!$B$5:$AI$5=BO$7)*(Prod_Carburant_Alt!$B$6:$AI$6=BO$9),Prod_Carburant_Alt!$B$7:$AI$37,0))</f>
        <v>0.204382517533922</v>
      </c>
      <c r="BP39" s="543">
        <f t="array" ref="BP39">SUM(IF((Prod_Carburant_Alt!$A$7:$A$37=$B39)*(Prod_Carburant_Alt!$B$3:$AI$3=$C$2)*(Prod_Carburant_Alt!$B$5:$AI$5=BP$7)*(Prod_Carburant_Alt!$B$6:$AI$6=BP$9),Prod_Carburant_Alt!$B$7:$AI$37,0))</f>
        <v>43.232759591155634</v>
      </c>
      <c r="BQ39" s="536">
        <f t="shared" si="38"/>
        <v>0.22048694641311309</v>
      </c>
      <c r="BR39" s="537">
        <f t="shared" si="39"/>
        <v>303.40892370791329</v>
      </c>
      <c r="BS39" s="538">
        <f t="shared" si="40"/>
        <v>137.2170195719288</v>
      </c>
      <c r="BT39" s="539">
        <f t="shared" si="41"/>
        <v>1</v>
      </c>
      <c r="BU39" s="535">
        <f t="shared" si="28"/>
        <v>93.98425998077316</v>
      </c>
      <c r="BV39" s="539">
        <f t="shared" si="42"/>
        <v>1</v>
      </c>
      <c r="BW39" s="535">
        <f t="shared" si="29"/>
        <v>43.232759591155634</v>
      </c>
      <c r="BX39" s="539">
        <f t="shared" si="43"/>
        <v>1</v>
      </c>
      <c r="BY39" s="538">
        <f t="shared" si="44"/>
        <v>50.231357533901992</v>
      </c>
      <c r="BZ39" s="540">
        <f>BY39*Hypothèses!$B$3/Hypothèses!$B$9</f>
        <v>18.454044967428679</v>
      </c>
      <c r="CA39" s="538">
        <f t="shared" si="45"/>
        <v>253.1775661740113</v>
      </c>
      <c r="CB39" s="533">
        <f>BW39*Prod_Carburant_Alt!$R$61+BZ39*Hypothèses!$B$13</f>
        <v>3002.8666877982496</v>
      </c>
      <c r="CC39" s="538">
        <f t="shared" si="46"/>
        <v>1391.3638532075875</v>
      </c>
      <c r="CD39" s="541">
        <f t="shared" si="47"/>
        <v>2.1372716639133449</v>
      </c>
      <c r="CE39" s="537">
        <f t="shared" si="48"/>
        <v>33.031533565780748</v>
      </c>
      <c r="CF39" s="503">
        <f>(CA39+BU39*BO39)*Hypothèses!$D$23+CE39</f>
        <v>1054.4801804561971</v>
      </c>
      <c r="CG39" s="504">
        <f t="shared" si="11"/>
        <v>0.361828963825373</v>
      </c>
      <c r="CH39" s="503">
        <f>(CA39+BU39*BO39)*Hypothèses!$B$23</f>
        <v>858.01686338794968</v>
      </c>
      <c r="CI39" s="503">
        <f t="shared" si="49"/>
        <v>0</v>
      </c>
      <c r="CJ39" s="503">
        <f>(BU39+BW39+CA39)*Hypothèses!$B$6+BZ39*Hypothèses!$B$11</f>
        <v>12.972431913023229</v>
      </c>
      <c r="CK39" s="503">
        <f>(BU39+BW39+CA39)*Hypothèses!$B$5+BZ39*Hypothèses!$B$10</f>
        <v>708.73487889371472</v>
      </c>
      <c r="CL39" s="542">
        <f t="shared" si="12"/>
        <v>0.51581963485431048</v>
      </c>
    </row>
    <row r="40" spans="1:90" ht="14.25" customHeight="1">
      <c r="A40" s="331"/>
      <c r="B40" s="516">
        <v>2044</v>
      </c>
      <c r="C40" s="655">
        <f>Trajectoires!AA36</f>
        <v>2253.7185316236014</v>
      </c>
      <c r="D40" s="659">
        <f>C40/Hypothèses!$D$23</f>
        <v>600.99160843296033</v>
      </c>
      <c r="E40" s="659">
        <f>D40*Hypothèses!$B$23</f>
        <v>1893.1235665638251</v>
      </c>
      <c r="F40" s="659">
        <f>D40*Hypothèses!$B$5</f>
        <v>835.37833572181478</v>
      </c>
      <c r="G40" s="659">
        <f>D40*Hypothèses!$B$6</f>
        <v>19.231731469854733</v>
      </c>
      <c r="H40" s="519">
        <f t="shared" si="30"/>
        <v>0.04</v>
      </c>
      <c r="I40" s="520">
        <f>IF(J40&gt;=1,ROUND(COUNTIFS($B$16:$B40,"&gt;"&amp;MAX($B40-$D$2,2019),H$16:H40,1/25)*(1/$D$2-1/25)*25,0),0)</f>
        <v>0</v>
      </c>
      <c r="J40" s="521">
        <f t="shared" si="50"/>
        <v>1.0000000000000002</v>
      </c>
      <c r="K40" s="522">
        <f>Hypothèses!$G$77</f>
        <v>0.01</v>
      </c>
      <c r="L40" s="523">
        <f t="shared" si="13"/>
        <v>18.931235665638251</v>
      </c>
      <c r="M40" s="524">
        <f t="array" ref="M40">1-SUM(IF((Roadmap_Avion!$B$8:$B$38=$B40)*(Roadmap_Avion!$C$4:$Z$4=$B$2)*(Roadmap_Avion!$C$6:$Z$6=M$7)*(Roadmap_Avion!$C$7:$Z$7=M$9),Roadmap_Avion!$C$8:$Z$38,0))</f>
        <v>0.15000000000000002</v>
      </c>
      <c r="N40" s="525">
        <f t="array" ref="N40">SUM(IF((Roadmap_Avion!$B$8:$B$38=$B40)*(Roadmap_Avion!$C$4:$Z$4=$B$2)*(Roadmap_Avion!$C$6:$Z$6=N$7)*(Roadmap_Avion!$C$7:$Z$7=N$9),Roadmap_Avion!$C$8:$Z$38,0))</f>
        <v>0</v>
      </c>
      <c r="O40" s="526">
        <f t="array" ref="O40">SUM(IF((Roadmap_Avion!$B$8:$B$38=$B40)*(Roadmap_Avion!$C$4:$Z$4=$B$2)*(Roadmap_Avion!$C$6:$Z$6=O$7)*(Roadmap_Avion!$C$7:$Z$7=O$9),Roadmap_Avion!$C$8:$Z$38,0))</f>
        <v>1</v>
      </c>
      <c r="P40" s="527">
        <f t="array" ref="P40">IF($J40&lt;1,P39+$H40*M40,SUMPRODUCT(($B$16:$B$46&lt;=$B40)*($B$16:$B$46&gt;MAX($B40-$D$2-$I40,2019))*$H$16:$H$46*M$16:M$46))</f>
        <v>0.16000000000000006</v>
      </c>
      <c r="Q40" s="528">
        <f t="shared" si="31"/>
        <v>15.90223795913613</v>
      </c>
      <c r="R40" s="529">
        <f t="shared" si="14"/>
        <v>2.5000000000000001E-3</v>
      </c>
      <c r="S40" s="530">
        <f t="shared" si="15"/>
        <v>4.0000000000000001E-3</v>
      </c>
      <c r="T40" s="522">
        <f>Hypothèses!$G$78</f>
        <v>0.03</v>
      </c>
      <c r="U40" s="523">
        <f t="shared" si="16"/>
        <v>56.79370699691475</v>
      </c>
      <c r="V40" s="524">
        <f t="array" ref="V40">1-SUM(IF((Roadmap_Avion!$B$8:$B$38=$B40)*(Roadmap_Avion!$C$4:$Z$4=$B$2)*(Roadmap_Avion!$C$6:$Z$6=V$7)*(Roadmap_Avion!$C$7:$Z$7=V$9),Roadmap_Avion!$C$8:$Z$38,0))</f>
        <v>0.15000000000000002</v>
      </c>
      <c r="W40" s="525">
        <f t="array" ref="W40">SUM(IF((Roadmap_Avion!$B$8:$B$38=$B40)*(Roadmap_Avion!$C$4:$Z$4=$B$2)*(Roadmap_Avion!$C$6:$Z$6=W$7)*(Roadmap_Avion!$C$7:$Z$7=W$9),Roadmap_Avion!$C$8:$Z$38,0))</f>
        <v>0</v>
      </c>
      <c r="X40" s="526">
        <f t="array" ref="X40">SUM(IF((Roadmap_Avion!$B$8:$B$38=$B40)*(Roadmap_Avion!$C$4:$Z$4=$B$2)*(Roadmap_Avion!$C$6:$Z$6=X$7)*(Roadmap_Avion!$C$7:$Z$7=X$9),Roadmap_Avion!$C$8:$Z$38,0))</f>
        <v>1</v>
      </c>
      <c r="Y40" s="527">
        <f t="array" ref="Y40">IF($J40&lt;1,Y39+$H40*V40,SUMPRODUCT(($B$16:$B$46&lt;=$B40)*($B$16:$B$46&gt;MAX($B40-$D$2-$I40,2019))*$H$16:$H$46*V$16:V$46))</f>
        <v>0.15000000000000002</v>
      </c>
      <c r="Z40" s="528">
        <f t="shared" si="32"/>
        <v>48.274650947377538</v>
      </c>
      <c r="AA40" s="529">
        <f t="shared" si="17"/>
        <v>1.0500000000000001E-2</v>
      </c>
      <c r="AB40" s="530">
        <f t="shared" si="18"/>
        <v>6.0000000000000001E-3</v>
      </c>
      <c r="AC40" s="522">
        <f>Hypothèses!$G$79</f>
        <v>0.24</v>
      </c>
      <c r="AD40" s="523">
        <f t="shared" si="19"/>
        <v>454.349655975318</v>
      </c>
      <c r="AE40" s="524">
        <f t="array" ref="AE40">1-SUM(IF((Roadmap_Avion!$B$8:$B$38=$B40)*(Roadmap_Avion!$C$4:$Z$4=$B$2)*(Roadmap_Avion!$C$6:$Z$6=AE$7)*(Roadmap_Avion!$C$7:$Z$7=AE$9),Roadmap_Avion!$C$8:$Z$38,0))</f>
        <v>0.36250000000000004</v>
      </c>
      <c r="AF40" s="525">
        <f t="array" ref="AF40">SUM(IF((Roadmap_Avion!$B$8:$B$38=$B40)*(Roadmap_Avion!$C$4:$Z$4=$B$2)*(Roadmap_Avion!$C$6:$Z$6=AF$7)*(Roadmap_Avion!$C$7:$Z$7=AF$9),Roadmap_Avion!$C$8:$Z$38,0))</f>
        <v>0</v>
      </c>
      <c r="AG40" s="526">
        <f t="array" ref="AG40">SUM(IF((Roadmap_Avion!$B$8:$B$38=$B40)*(Roadmap_Avion!$C$4:$Z$4=$B$2)*(Roadmap_Avion!$C$6:$Z$6=AG$7)*(Roadmap_Avion!$C$7:$Z$7=AG$9),Roadmap_Avion!$C$8:$Z$38,0))</f>
        <v>1</v>
      </c>
      <c r="AH40" s="527">
        <f t="array" ref="AH40">IF($J40&lt;1,AH39+$H40*AE40,SUMPRODUCT(($B$16:$B$46&lt;=$B40)*($B$16:$B$46&gt;MAX($B40-$D$2-$I40,2019))*$H$16:$H$46*AE$16:AE$46))</f>
        <v>0.24850000000000005</v>
      </c>
      <c r="AI40" s="528">
        <f t="shared" si="33"/>
        <v>341.44376646545146</v>
      </c>
      <c r="AJ40" s="529">
        <f t="shared" si="20"/>
        <v>9.6000000000000002E-2</v>
      </c>
      <c r="AK40" s="530">
        <f t="shared" si="21"/>
        <v>4.8000000000000001E-2</v>
      </c>
      <c r="AL40" s="522">
        <f>Hypothèses!$G$80</f>
        <v>0.42</v>
      </c>
      <c r="AM40" s="523">
        <f t="shared" si="22"/>
        <v>795.1118979568065</v>
      </c>
      <c r="AN40" s="524">
        <f t="array" ref="AN40">1-SUM(IF((Roadmap_Avion!$B$8:$B$38=$B40)*(Roadmap_Avion!$C$4:$Z$4=$B$2)*(Roadmap_Avion!$C$6:$Z$6=AN$7)*(Roadmap_Avion!$C$7:$Z$7=AN$9),Roadmap_Avion!$C$8:$Z$38,0))</f>
        <v>0.36250000000000004</v>
      </c>
      <c r="AO40" s="525">
        <f t="array" ref="AO40">SUM(IF((Roadmap_Avion!$B$8:$B$38=$B40)*(Roadmap_Avion!$C$4:$Z$4=$B$2)*(Roadmap_Avion!$C$6:$Z$6=AO$7)*(Roadmap_Avion!$C$7:$Z$7=AO$9),Roadmap_Avion!$C$8:$Z$38,0))</f>
        <v>0</v>
      </c>
      <c r="AP40" s="526">
        <f t="array" ref="AP40">SUM(IF((Roadmap_Avion!$B$8:$B$38=$B40)*(Roadmap_Avion!$C$4:$Z$4=$B$2)*(Roadmap_Avion!$C$6:$Z$6=AP$7)*(Roadmap_Avion!$C$7:$Z$7=AP$9),Roadmap_Avion!$C$8:$Z$38,0))</f>
        <v>1</v>
      </c>
      <c r="AQ40" s="527">
        <f t="array" ref="AQ40">IF($J40&lt;1,AQ39+$H40*AN40,SUMPRODUCT(($B$16:$B$46&lt;=$B40)*($B$16:$B$46&gt;MAX($B40-$D$2-$I40,2019))*$H$16:$H$46*AN$16:AN$46))</f>
        <v>0.24850000000000005</v>
      </c>
      <c r="AR40" s="528">
        <f t="shared" si="34"/>
        <v>597.52659131454004</v>
      </c>
      <c r="AS40" s="529">
        <f t="shared" si="4"/>
        <v>0.16800000000000001</v>
      </c>
      <c r="AT40" s="530">
        <f t="shared" si="5"/>
        <v>8.4000000000000005E-2</v>
      </c>
      <c r="AU40" s="531">
        <f>Hypothèses!$G$81</f>
        <v>0.3</v>
      </c>
      <c r="AV40" s="523">
        <f t="shared" si="23"/>
        <v>567.9370699691475</v>
      </c>
      <c r="AW40" s="524">
        <f t="array" ref="AW40">1-SUM(IF((Roadmap_Avion!$B$8:$B$38=$B40)*(Roadmap_Avion!$C$4:$Z$4=$B$2)*(Roadmap_Avion!$C$6:$Z$6=AW$7)*(Roadmap_Avion!$C$7:$Z$7=AW$9),Roadmap_Avion!$C$8:$Z$38,0))</f>
        <v>0.4375</v>
      </c>
      <c r="AX40" s="525">
        <f t="array" ref="AX40">SUM(IF((Roadmap_Avion!$B$8:$B$38=$B40)*(Roadmap_Avion!$C$4:$Z$4=$B$2)*(Roadmap_Avion!$C$6:$Z$6=AX$7)*(Roadmap_Avion!$C$7:$Z$7=AX$9),Roadmap_Avion!$C$8:$Z$38,0))</f>
        <v>1</v>
      </c>
      <c r="AY40" s="526">
        <f t="array" ref="AY40">SUM(IF((Roadmap_Avion!$B$8:$B$38=$B40)*(Roadmap_Avion!$C$4:$Z$4=$B$2)*(Roadmap_Avion!$C$6:$Z$6=AY$7)*(Roadmap_Avion!$C$7:$Z$7=AY$9),Roadmap_Avion!$C$8:$Z$38,0))</f>
        <v>0</v>
      </c>
      <c r="AZ40" s="527">
        <f t="array" ref="AZ40">IF($J40&lt;1,AZ39+$H40*AW40,SUMPRODUCT(($B$16:$B$46&lt;=$B40)*($B$16:$B$46&gt;MAX($B40-$D$2-$I40,2019))*$H$16:$H$46*AW$16:AW$46))</f>
        <v>0.28750000000000009</v>
      </c>
      <c r="BA40" s="528">
        <f t="shared" si="35"/>
        <v>404.65516235301754</v>
      </c>
      <c r="BB40" s="529">
        <f t="shared" si="24"/>
        <v>0.18</v>
      </c>
      <c r="BC40" s="529">
        <f t="shared" si="25"/>
        <v>0</v>
      </c>
      <c r="BD40" s="517">
        <f t="shared" si="7"/>
        <v>1407.8024090395229</v>
      </c>
      <c r="BE40" s="518">
        <f>BD40*(Hypothèses!$D$23/Hypothèses!$B$23)</f>
        <v>1675.9552488565748</v>
      </c>
      <c r="BF40" s="532">
        <f t="shared" si="8"/>
        <v>0.25636000000000003</v>
      </c>
      <c r="BG40" s="518">
        <f>BD40/Hypothèses!$B$23</f>
        <v>446.92139969508662</v>
      </c>
      <c r="BH40" s="532">
        <f t="shared" si="9"/>
        <v>0.45700000000000002</v>
      </c>
      <c r="BI40" s="532">
        <f t="shared" si="9"/>
        <v>0.14200000000000002</v>
      </c>
      <c r="BJ40" s="518">
        <f t="shared" si="26"/>
        <v>204.24307966065459</v>
      </c>
      <c r="BK40" s="533">
        <f t="shared" si="36"/>
        <v>157.7995725077181</v>
      </c>
      <c r="BL40" s="534">
        <f t="shared" si="37"/>
        <v>0.77260670359014683</v>
      </c>
      <c r="BM40" s="535">
        <f t="array" ref="BM40">SUM(IF((Prod_Carburant_Alt!$A$7:$A$37=$B40)*(Prod_Carburant_Alt!$B$3:$AI$3=$C$2)*(Prod_Carburant_Alt!$B$5:$AI$5=BM$7)*(Prod_Carburant_Alt!$B$6:$AI$6=BM$9),Prod_Carburant_Alt!$B$7:$AI$37,0))</f>
        <v>108.08189897788913</v>
      </c>
      <c r="BN40" s="534">
        <f t="shared" si="27"/>
        <v>3.0137568403422792</v>
      </c>
      <c r="BO40" s="536">
        <f t="array" ref="BO40">SUM(IF((Prod_Carburant_Alt!$A$7:$A$37=$B40)*(Prod_Carburant_Alt!$B$3:$AI$3=$C$2)*(Prod_Carburant_Alt!$B$5:$AI$5=BO$7)*(Prod_Carburant_Alt!$B$6:$AI$6=BO$9),Prod_Carburant_Alt!$B$7:$AI$37,0))</f>
        <v>0.204382517533922</v>
      </c>
      <c r="BP40" s="543">
        <f t="array" ref="BP40">SUM(IF((Prod_Carburant_Alt!$A$7:$A$37=$B40)*(Prod_Carburant_Alt!$B$3:$AI$3=$C$2)*(Prod_Carburant_Alt!$B$5:$AI$5=BP$7)*(Prod_Carburant_Alt!$B$6:$AI$6=BP$9),Prod_Carburant_Alt!$B$7:$AI$37,0))</f>
        <v>49.717673529828978</v>
      </c>
      <c r="BQ40" s="536">
        <f t="shared" si="38"/>
        <v>0.24342402989826536</v>
      </c>
      <c r="BR40" s="537">
        <f t="shared" si="39"/>
        <v>289.12182718736852</v>
      </c>
      <c r="BS40" s="538">
        <f t="shared" si="40"/>
        <v>157.7995725077181</v>
      </c>
      <c r="BT40" s="539">
        <f t="shared" si="41"/>
        <v>1</v>
      </c>
      <c r="BU40" s="535">
        <f t="shared" si="28"/>
        <v>108.08189897788913</v>
      </c>
      <c r="BV40" s="539">
        <f t="shared" si="42"/>
        <v>1</v>
      </c>
      <c r="BW40" s="535">
        <f t="shared" si="29"/>
        <v>49.717673529828978</v>
      </c>
      <c r="BX40" s="539">
        <f t="shared" si="43"/>
        <v>1</v>
      </c>
      <c r="BY40" s="538">
        <f t="shared" si="44"/>
        <v>63.462838756702304</v>
      </c>
      <c r="BZ40" s="540">
        <f>BY40*Hypothèses!$B$3/Hypothèses!$B$9</f>
        <v>23.315039403154369</v>
      </c>
      <c r="CA40" s="538">
        <f t="shared" si="45"/>
        <v>225.65898843066623</v>
      </c>
      <c r="CB40" s="533">
        <f>BW40*Prod_Carburant_Alt!$R$61+BZ40*Hypothèses!$B$13</f>
        <v>3571.824478537304</v>
      </c>
      <c r="CC40" s="538">
        <f t="shared" si="46"/>
        <v>1654.9877121194199</v>
      </c>
      <c r="CD40" s="541">
        <f t="shared" si="47"/>
        <v>2.5422238281404299</v>
      </c>
      <c r="CE40" s="537">
        <f t="shared" si="48"/>
        <v>39.290069263910347</v>
      </c>
      <c r="CF40" s="503">
        <f>(CA40+BU40*BO40)*Hypothèses!$D$23+CE40</f>
        <v>968.34896567746375</v>
      </c>
      <c r="CG40" s="504">
        <f t="shared" si="11"/>
        <v>0.42221072648680652</v>
      </c>
      <c r="CH40" s="503">
        <f>(CA40+BU40*BO40)*Hypothèses!$B$23</f>
        <v>780.40947298738479</v>
      </c>
      <c r="CI40" s="503">
        <f t="shared" si="49"/>
        <v>0</v>
      </c>
      <c r="CJ40" s="503">
        <f>(BU40+BW40+CA40)*Hypothèses!$B$6+BZ40*Hypothèses!$B$11</f>
        <v>12.876864974510312</v>
      </c>
      <c r="CK40" s="503">
        <f>(BU40+BW40+CA40)*Hypothèses!$B$5+BZ40*Hypothèses!$B$10</f>
        <v>742.84275433274343</v>
      </c>
      <c r="CL40" s="542">
        <f t="shared" si="12"/>
        <v>0.57033278464464887</v>
      </c>
    </row>
    <row r="41" spans="1:90" ht="14.25" customHeight="1">
      <c r="A41" s="331"/>
      <c r="B41" s="516">
        <v>2045</v>
      </c>
      <c r="C41" s="655">
        <f>Trajectoires!AA37</f>
        <v>2330.9241411198473</v>
      </c>
      <c r="D41" s="659">
        <f>C41/Hypothèses!$D$23</f>
        <v>621.5797709652926</v>
      </c>
      <c r="E41" s="659">
        <f>D41*Hypothèses!$B$23</f>
        <v>1957.9762785406717</v>
      </c>
      <c r="F41" s="659">
        <f>D41*Hypothèses!$B$5</f>
        <v>863.99588164175668</v>
      </c>
      <c r="G41" s="659">
        <f>D41*Hypothèses!$B$6</f>
        <v>19.890552670889363</v>
      </c>
      <c r="H41" s="519">
        <f t="shared" si="30"/>
        <v>0.04</v>
      </c>
      <c r="I41" s="520">
        <f>IF(J41&gt;=1,ROUND(COUNTIFS($B$16:$B41,"&gt;"&amp;MAX($B41-$D$2,2019),H$16:H41,1/25)*(1/$D$2-1/25)*25,0),0)</f>
        <v>0</v>
      </c>
      <c r="J41" s="521">
        <f t="shared" si="50"/>
        <v>1.0400000000000003</v>
      </c>
      <c r="K41" s="522">
        <f>Hypothèses!$G$77</f>
        <v>0.01</v>
      </c>
      <c r="L41" s="523">
        <f t="shared" si="13"/>
        <v>19.579762785406718</v>
      </c>
      <c r="M41" s="524">
        <f t="array" ref="M41">1-SUM(IF((Roadmap_Avion!$B$8:$B$38=$B41)*(Roadmap_Avion!$C$4:$Z$4=$B$2)*(Roadmap_Avion!$C$6:$Z$6=M$7)*(Roadmap_Avion!$C$7:$Z$7=M$9),Roadmap_Avion!$C$8:$Z$38,0))</f>
        <v>0.15000000000000002</v>
      </c>
      <c r="N41" s="525">
        <f t="array" ref="N41">SUM(IF((Roadmap_Avion!$B$8:$B$38=$B41)*(Roadmap_Avion!$C$4:$Z$4=$B$2)*(Roadmap_Avion!$C$6:$Z$6=N$7)*(Roadmap_Avion!$C$7:$Z$7=N$9),Roadmap_Avion!$C$8:$Z$38,0))</f>
        <v>0</v>
      </c>
      <c r="O41" s="526">
        <f t="array" ref="O41">SUM(IF((Roadmap_Avion!$B$8:$B$38=$B41)*(Roadmap_Avion!$C$4:$Z$4=$B$2)*(Roadmap_Avion!$C$6:$Z$6=O$7)*(Roadmap_Avion!$C$7:$Z$7=O$9),Roadmap_Avion!$C$8:$Z$38,0))</f>
        <v>1</v>
      </c>
      <c r="P41" s="527">
        <f t="array" ref="P41">IF($J41&lt;1,P40+$H41*M41,SUMPRODUCT(($B$16:$B$46&lt;=$B41)*($B$16:$B$46&gt;MAX($B41-$D$2-$I41,2019))*$H$16:$H$46*M$16:M$46))</f>
        <v>0.16600000000000006</v>
      </c>
      <c r="Q41" s="528">
        <f t="shared" si="31"/>
        <v>16.329522163029203</v>
      </c>
      <c r="R41" s="529">
        <f t="shared" si="14"/>
        <v>2.3E-3</v>
      </c>
      <c r="S41" s="530">
        <f t="shared" si="15"/>
        <v>4.4000000000000003E-3</v>
      </c>
      <c r="T41" s="522">
        <f>Hypothèses!$G$78</f>
        <v>0.03</v>
      </c>
      <c r="U41" s="523">
        <f t="shared" si="16"/>
        <v>58.73928835622015</v>
      </c>
      <c r="V41" s="524">
        <f t="array" ref="V41">1-SUM(IF((Roadmap_Avion!$B$8:$B$38=$B41)*(Roadmap_Avion!$C$4:$Z$4=$B$2)*(Roadmap_Avion!$C$6:$Z$6=V$7)*(Roadmap_Avion!$C$7:$Z$7=V$9),Roadmap_Avion!$C$8:$Z$38,0))</f>
        <v>0.15000000000000002</v>
      </c>
      <c r="W41" s="525">
        <f t="array" ref="W41">SUM(IF((Roadmap_Avion!$B$8:$B$38=$B41)*(Roadmap_Avion!$C$4:$Z$4=$B$2)*(Roadmap_Avion!$C$6:$Z$6=W$7)*(Roadmap_Avion!$C$7:$Z$7=W$9),Roadmap_Avion!$C$8:$Z$38,0))</f>
        <v>0</v>
      </c>
      <c r="X41" s="526">
        <f t="array" ref="X41">SUM(IF((Roadmap_Avion!$B$8:$B$38=$B41)*(Roadmap_Avion!$C$4:$Z$4=$B$2)*(Roadmap_Avion!$C$6:$Z$6=X$7)*(Roadmap_Avion!$C$7:$Z$7=X$9),Roadmap_Avion!$C$8:$Z$38,0))</f>
        <v>1</v>
      </c>
      <c r="Y41" s="527">
        <f t="array" ref="Y41">IF($J41&lt;1,Y40+$H41*V41,SUMPRODUCT(($B$16:$B$46&lt;=$B41)*($B$16:$B$46&gt;MAX($B41-$D$2-$I41,2019))*$H$16:$H$46*V$16:V$46))</f>
        <v>0.15600000000000003</v>
      </c>
      <c r="Z41" s="528">
        <f t="shared" si="32"/>
        <v>49.575959372649805</v>
      </c>
      <c r="AA41" s="529">
        <f t="shared" si="17"/>
        <v>9.8999999999999991E-3</v>
      </c>
      <c r="AB41" s="530">
        <f t="shared" si="18"/>
        <v>7.1999999999999998E-3</v>
      </c>
      <c r="AC41" s="522">
        <f>Hypothèses!$G$79</f>
        <v>0.24</v>
      </c>
      <c r="AD41" s="523">
        <f t="shared" si="19"/>
        <v>469.9143068497612</v>
      </c>
      <c r="AE41" s="524">
        <f t="array" ref="AE41">1-SUM(IF((Roadmap_Avion!$B$8:$B$38=$B41)*(Roadmap_Avion!$C$4:$Z$4=$B$2)*(Roadmap_Avion!$C$6:$Z$6=AE$7)*(Roadmap_Avion!$C$7:$Z$7=AE$9),Roadmap_Avion!$C$8:$Z$38,0))</f>
        <v>0.36250000000000004</v>
      </c>
      <c r="AF41" s="525">
        <f t="array" ref="AF41">SUM(IF((Roadmap_Avion!$B$8:$B$38=$B41)*(Roadmap_Avion!$C$4:$Z$4=$B$2)*(Roadmap_Avion!$C$6:$Z$6=AF$7)*(Roadmap_Avion!$C$7:$Z$7=AF$9),Roadmap_Avion!$C$8:$Z$38,0))</f>
        <v>0</v>
      </c>
      <c r="AG41" s="526">
        <f t="array" ref="AG41">SUM(IF((Roadmap_Avion!$B$8:$B$38=$B41)*(Roadmap_Avion!$C$4:$Z$4=$B$2)*(Roadmap_Avion!$C$6:$Z$6=AG$7)*(Roadmap_Avion!$C$7:$Z$7=AG$9),Roadmap_Avion!$C$8:$Z$38,0))</f>
        <v>1</v>
      </c>
      <c r="AH41" s="527">
        <f t="array" ref="AH41">IF($J41&lt;1,AH40+$H41*AE41,SUMPRODUCT(($B$16:$B$46&lt;=$B41)*($B$16:$B$46&gt;MAX($B41-$D$2-$I41,2019))*$H$16:$H$46*AE$16:AE$46))</f>
        <v>0.25500000000000006</v>
      </c>
      <c r="AI41" s="528">
        <f t="shared" si="33"/>
        <v>350.08615860307202</v>
      </c>
      <c r="AJ41" s="529">
        <f t="shared" si="20"/>
        <v>9.1199999999999989E-2</v>
      </c>
      <c r="AK41" s="530">
        <f t="shared" si="21"/>
        <v>5.7599999999999998E-2</v>
      </c>
      <c r="AL41" s="522">
        <f>Hypothèses!$G$80</f>
        <v>0.42</v>
      </c>
      <c r="AM41" s="523">
        <f t="shared" si="22"/>
        <v>822.35003698708215</v>
      </c>
      <c r="AN41" s="524">
        <f t="array" ref="AN41">1-SUM(IF((Roadmap_Avion!$B$8:$B$38=$B41)*(Roadmap_Avion!$C$4:$Z$4=$B$2)*(Roadmap_Avion!$C$6:$Z$6=AN$7)*(Roadmap_Avion!$C$7:$Z$7=AN$9),Roadmap_Avion!$C$8:$Z$38,0))</f>
        <v>0.36250000000000004</v>
      </c>
      <c r="AO41" s="525">
        <f t="array" ref="AO41">SUM(IF((Roadmap_Avion!$B$8:$B$38=$B41)*(Roadmap_Avion!$C$4:$Z$4=$B$2)*(Roadmap_Avion!$C$6:$Z$6=AO$7)*(Roadmap_Avion!$C$7:$Z$7=AO$9),Roadmap_Avion!$C$8:$Z$38,0))</f>
        <v>0</v>
      </c>
      <c r="AP41" s="526">
        <f t="array" ref="AP41">SUM(IF((Roadmap_Avion!$B$8:$B$38=$B41)*(Roadmap_Avion!$C$4:$Z$4=$B$2)*(Roadmap_Avion!$C$6:$Z$6=AP$7)*(Roadmap_Avion!$C$7:$Z$7=AP$9),Roadmap_Avion!$C$8:$Z$38,0))</f>
        <v>1</v>
      </c>
      <c r="AQ41" s="527">
        <f t="array" ref="AQ41">IF($J41&lt;1,AQ40+$H41*AN41,SUMPRODUCT(($B$16:$B$46&lt;=$B41)*($B$16:$B$46&gt;MAX($B41-$D$2-$I41,2019))*$H$16:$H$46*AN$16:AN$46))</f>
        <v>0.25500000000000006</v>
      </c>
      <c r="AR41" s="528">
        <f t="shared" si="34"/>
        <v>612.65077755537607</v>
      </c>
      <c r="AS41" s="529">
        <f t="shared" si="4"/>
        <v>0.15959999999999999</v>
      </c>
      <c r="AT41" s="530">
        <f t="shared" si="5"/>
        <v>0.1008</v>
      </c>
      <c r="AU41" s="531">
        <f>Hypothèses!$G$81</f>
        <v>0.3</v>
      </c>
      <c r="AV41" s="523">
        <f t="shared" si="23"/>
        <v>587.39288356220152</v>
      </c>
      <c r="AW41" s="524">
        <f t="array" ref="AW41">1-SUM(IF((Roadmap_Avion!$B$8:$B$38=$B41)*(Roadmap_Avion!$C$4:$Z$4=$B$2)*(Roadmap_Avion!$C$6:$Z$6=AW$7)*(Roadmap_Avion!$C$7:$Z$7=AW$9),Roadmap_Avion!$C$8:$Z$38,0))</f>
        <v>0.4375</v>
      </c>
      <c r="AX41" s="525">
        <f t="array" ref="AX41">SUM(IF((Roadmap_Avion!$B$8:$B$38=$B41)*(Roadmap_Avion!$C$4:$Z$4=$B$2)*(Roadmap_Avion!$C$6:$Z$6=AX$7)*(Roadmap_Avion!$C$7:$Z$7=AX$9),Roadmap_Avion!$C$8:$Z$38,0))</f>
        <v>1</v>
      </c>
      <c r="AY41" s="526">
        <f t="array" ref="AY41">SUM(IF((Roadmap_Avion!$B$8:$B$38=$B41)*(Roadmap_Avion!$C$4:$Z$4=$B$2)*(Roadmap_Avion!$C$6:$Z$6=AY$7)*(Roadmap_Avion!$C$7:$Z$7=AY$9),Roadmap_Avion!$C$8:$Z$38,0))</f>
        <v>0</v>
      </c>
      <c r="AZ41" s="527">
        <f t="array" ref="AZ41">IF($J41&lt;1,AZ40+$H41*AW41,SUMPRODUCT(($B$16:$B$46&lt;=$B41)*($B$16:$B$46&gt;MAX($B41-$D$2-$I41,2019))*$H$16:$H$46*AW$16:AW$46))</f>
        <v>0.2950000000000001</v>
      </c>
      <c r="BA41" s="528">
        <f t="shared" si="35"/>
        <v>414.11198291135196</v>
      </c>
      <c r="BB41" s="529">
        <f t="shared" si="24"/>
        <v>0.18599999999999997</v>
      </c>
      <c r="BC41" s="529">
        <f t="shared" si="25"/>
        <v>0</v>
      </c>
      <c r="BD41" s="517">
        <f t="shared" si="7"/>
        <v>1442.7544006054791</v>
      </c>
      <c r="BE41" s="518">
        <f>BD41*(Hypothèses!$D$23/Hypothèses!$B$23)</f>
        <v>1717.5647626255702</v>
      </c>
      <c r="BF41" s="532">
        <f t="shared" si="8"/>
        <v>0.26314000000000015</v>
      </c>
      <c r="BG41" s="518">
        <f>BD41/Hypothèses!$B$23</f>
        <v>458.01727003348543</v>
      </c>
      <c r="BH41" s="532">
        <f t="shared" si="9"/>
        <v>0.44899999999999995</v>
      </c>
      <c r="BI41" s="532">
        <f t="shared" si="9"/>
        <v>0.16999999999999998</v>
      </c>
      <c r="BJ41" s="518">
        <f t="shared" si="26"/>
        <v>205.64975424503493</v>
      </c>
      <c r="BK41" s="533">
        <f t="shared" si="36"/>
        <v>181.46950838387579</v>
      </c>
      <c r="BL41" s="534">
        <f t="shared" si="37"/>
        <v>0.8824202540385826</v>
      </c>
      <c r="BM41" s="535">
        <f t="array" ref="BM41">SUM(IF((Prod_Carburant_Alt!$A$7:$A$37=$B41)*(Prod_Carburant_Alt!$B$3:$AI$3=$C$2)*(Prod_Carburant_Alt!$B$5:$AI$5=BM$7)*(Prod_Carburant_Alt!$B$6:$AI$6=BM$9),Prod_Carburant_Alt!$B$7:$AI$37,0))</f>
        <v>124.29418382457249</v>
      </c>
      <c r="BN41" s="534">
        <f t="shared" si="27"/>
        <v>3.3534249982464925</v>
      </c>
      <c r="BO41" s="536">
        <f t="array" ref="BO41">SUM(IF((Prod_Carburant_Alt!$A$7:$A$37=$B41)*(Prod_Carburant_Alt!$B$3:$AI$3=$C$2)*(Prod_Carburant_Alt!$B$5:$AI$5=BO$7)*(Prod_Carburant_Alt!$B$6:$AI$6=BO$9),Prod_Carburant_Alt!$B$7:$AI$37,0))</f>
        <v>0.204382517533922</v>
      </c>
      <c r="BP41" s="543">
        <f t="array" ref="BP41">SUM(IF((Prod_Carburant_Alt!$A$7:$A$37=$B41)*(Prod_Carburant_Alt!$B$3:$AI$3=$C$2)*(Prod_Carburant_Alt!$B$5:$AI$5=BP$7)*(Prod_Carburant_Alt!$B$6:$AI$6=BP$9),Prod_Carburant_Alt!$B$7:$AI$37,0))</f>
        <v>57.17532455930332</v>
      </c>
      <c r="BQ41" s="536">
        <f t="shared" si="38"/>
        <v>0.27802281976558074</v>
      </c>
      <c r="BR41" s="537">
        <f t="shared" si="39"/>
        <v>276.54776164960964</v>
      </c>
      <c r="BS41" s="538">
        <f t="shared" si="40"/>
        <v>181.46950838387579</v>
      </c>
      <c r="BT41" s="539">
        <f t="shared" si="41"/>
        <v>1</v>
      </c>
      <c r="BU41" s="535">
        <f t="shared" si="28"/>
        <v>124.2941838245725</v>
      </c>
      <c r="BV41" s="539">
        <f t="shared" si="42"/>
        <v>1.0000000000000002</v>
      </c>
      <c r="BW41" s="535">
        <f t="shared" si="29"/>
        <v>57.17532455930332</v>
      </c>
      <c r="BX41" s="539">
        <f t="shared" si="43"/>
        <v>1</v>
      </c>
      <c r="BY41" s="538">
        <f t="shared" si="44"/>
        <v>77.86293590569251</v>
      </c>
      <c r="BZ41" s="540">
        <f>BY41*Hypothèses!$B$3/Hypothèses!$B$9</f>
        <v>28.605361094011609</v>
      </c>
      <c r="CA41" s="538">
        <f t="shared" si="45"/>
        <v>198.68482574391714</v>
      </c>
      <c r="CB41" s="533">
        <f>BW41*Prod_Carburant_Alt!$R$61+BZ41*Hypothèses!$B$13</f>
        <v>4209.1459404208126</v>
      </c>
      <c r="CC41" s="538">
        <f t="shared" si="46"/>
        <v>1950.2875496184693</v>
      </c>
      <c r="CD41" s="541">
        <f t="shared" si="47"/>
        <v>2.9958334095521799</v>
      </c>
      <c r="CE41" s="537">
        <f t="shared" si="48"/>
        <v>46.300605344628934</v>
      </c>
      <c r="CF41" s="503">
        <f>(CA41+BU41*BO41)*Hypothèses!$D$23+CE41</f>
        <v>886.63204515265647</v>
      </c>
      <c r="CG41" s="504">
        <f t="shared" si="11"/>
        <v>0.48378537773603442</v>
      </c>
      <c r="CH41" s="503">
        <f>(CA41+BU41*BO41)*Hypothèses!$B$23</f>
        <v>705.87840943874312</v>
      </c>
      <c r="CI41" s="503">
        <f t="shared" si="49"/>
        <v>0</v>
      </c>
      <c r="CJ41" s="503">
        <f>(BU41+BW41+CA41)*Hypothèses!$B$6+BZ41*Hypothèses!$B$11</f>
        <v>12.908678080533676</v>
      </c>
      <c r="CK41" s="503">
        <f>(BU41+BW41+CA41)*Hypothèses!$B$5+BZ41*Hypothèses!$B$10</f>
        <v>785.8627742837366</v>
      </c>
      <c r="CL41" s="542">
        <f t="shared" si="12"/>
        <v>0.61962209343857444</v>
      </c>
    </row>
    <row r="42" spans="1:90" ht="14.25" customHeight="1">
      <c r="A42" s="331"/>
      <c r="B42" s="516">
        <v>2046</v>
      </c>
      <c r="C42" s="655">
        <f>Trajectoires!AA38</f>
        <v>2409.2866751829547</v>
      </c>
      <c r="D42" s="659">
        <f>C42/Hypothèses!$D$23</f>
        <v>642.47644671545459</v>
      </c>
      <c r="E42" s="659">
        <f>D42*Hypothèses!$B$23</f>
        <v>2023.8008071536819</v>
      </c>
      <c r="F42" s="659">
        <f>D42*Hypothèses!$B$5</f>
        <v>893.04226093448176</v>
      </c>
      <c r="G42" s="659">
        <f>D42*Hypothèses!$B$6</f>
        <v>20.559246294894546</v>
      </c>
      <c r="H42" s="519">
        <f t="shared" si="30"/>
        <v>0.04</v>
      </c>
      <c r="I42" s="520">
        <f>IF(J42&gt;=1,ROUND(COUNTIFS($B$16:$B42,"&gt;"&amp;MAX($B42-$D$2,2019),H$16:H42,1/25)*(1/$D$2-1/25)*25,0),0)</f>
        <v>0</v>
      </c>
      <c r="J42" s="521">
        <f t="shared" si="50"/>
        <v>1.0800000000000003</v>
      </c>
      <c r="K42" s="522">
        <f>Hypothèses!$G$77</f>
        <v>0.01</v>
      </c>
      <c r="L42" s="523">
        <f t="shared" si="13"/>
        <v>20.238008071536822</v>
      </c>
      <c r="M42" s="524">
        <f t="array" ref="M42">1-SUM(IF((Roadmap_Avion!$B$8:$B$38=$B42)*(Roadmap_Avion!$C$4:$Z$4=$B$2)*(Roadmap_Avion!$C$6:$Z$6=M$7)*(Roadmap_Avion!$C$7:$Z$7=M$9),Roadmap_Avion!$C$8:$Z$38,0))</f>
        <v>0.15000000000000002</v>
      </c>
      <c r="N42" s="525">
        <f t="array" ref="N42">SUM(IF((Roadmap_Avion!$B$8:$B$38=$B42)*(Roadmap_Avion!$C$4:$Z$4=$B$2)*(Roadmap_Avion!$C$6:$Z$6=N$7)*(Roadmap_Avion!$C$7:$Z$7=N$9),Roadmap_Avion!$C$8:$Z$38,0))</f>
        <v>0</v>
      </c>
      <c r="O42" s="526">
        <f t="array" ref="O42">SUM(IF((Roadmap_Avion!$B$8:$B$38=$B42)*(Roadmap_Avion!$C$4:$Z$4=$B$2)*(Roadmap_Avion!$C$6:$Z$6=O$7)*(Roadmap_Avion!$C$7:$Z$7=O$9),Roadmap_Avion!$C$8:$Z$38,0))</f>
        <v>1</v>
      </c>
      <c r="P42" s="527">
        <f t="array" ref="P42">IF($J42&lt;1,P41+$H42*M42,SUMPRODUCT(($B$16:$B$46&lt;=$B42)*($B$16:$B$46&gt;MAX($B42-$D$2-$I42,2019))*$H$16:$H$46*M$16:M$46))</f>
        <v>0.17200000000000007</v>
      </c>
      <c r="Q42" s="528">
        <f t="shared" si="31"/>
        <v>16.757070683232488</v>
      </c>
      <c r="R42" s="529">
        <f t="shared" si="14"/>
        <v>2.0999999999999999E-3</v>
      </c>
      <c r="S42" s="530">
        <f t="shared" si="15"/>
        <v>4.7999999999999996E-3</v>
      </c>
      <c r="T42" s="522">
        <f>Hypothèses!$G$78</f>
        <v>0.03</v>
      </c>
      <c r="U42" s="523">
        <f t="shared" si="16"/>
        <v>60.714024214610454</v>
      </c>
      <c r="V42" s="524">
        <f t="array" ref="V42">1-SUM(IF((Roadmap_Avion!$B$8:$B$38=$B42)*(Roadmap_Avion!$C$4:$Z$4=$B$2)*(Roadmap_Avion!$C$6:$Z$6=V$7)*(Roadmap_Avion!$C$7:$Z$7=V$9),Roadmap_Avion!$C$8:$Z$38,0))</f>
        <v>0.15000000000000002</v>
      </c>
      <c r="W42" s="525">
        <f t="array" ref="W42">SUM(IF((Roadmap_Avion!$B$8:$B$38=$B42)*(Roadmap_Avion!$C$4:$Z$4=$B$2)*(Roadmap_Avion!$C$6:$Z$6=W$7)*(Roadmap_Avion!$C$7:$Z$7=W$9),Roadmap_Avion!$C$8:$Z$38,0))</f>
        <v>0</v>
      </c>
      <c r="X42" s="526">
        <f t="array" ref="X42">SUM(IF((Roadmap_Avion!$B$8:$B$38=$B42)*(Roadmap_Avion!$C$4:$Z$4=$B$2)*(Roadmap_Avion!$C$6:$Z$6=X$7)*(Roadmap_Avion!$C$7:$Z$7=X$9),Roadmap_Avion!$C$8:$Z$38,0))</f>
        <v>1</v>
      </c>
      <c r="Y42" s="527">
        <f t="array" ref="Y42">IF($J42&lt;1,Y41+$H42*V42,SUMPRODUCT(($B$16:$B$46&lt;=$B42)*($B$16:$B$46&gt;MAX($B42-$D$2-$I42,2019))*$H$16:$H$46*V$16:V$46))</f>
        <v>0.16200000000000003</v>
      </c>
      <c r="Z42" s="528">
        <f t="shared" si="32"/>
        <v>50.878352291843555</v>
      </c>
      <c r="AA42" s="529">
        <f t="shared" si="17"/>
        <v>9.2999999999999992E-3</v>
      </c>
      <c r="AB42" s="530">
        <f t="shared" si="18"/>
        <v>8.3999999999999995E-3</v>
      </c>
      <c r="AC42" s="522">
        <f>Hypothèses!$G$79</f>
        <v>0.24</v>
      </c>
      <c r="AD42" s="523">
        <f t="shared" si="19"/>
        <v>485.71219371688363</v>
      </c>
      <c r="AE42" s="524">
        <f t="array" ref="AE42">1-SUM(IF((Roadmap_Avion!$B$8:$B$38=$B42)*(Roadmap_Avion!$C$4:$Z$4=$B$2)*(Roadmap_Avion!$C$6:$Z$6=AE$7)*(Roadmap_Avion!$C$7:$Z$7=AE$9),Roadmap_Avion!$C$8:$Z$38,0))</f>
        <v>0.36250000000000004</v>
      </c>
      <c r="AF42" s="525">
        <f t="array" ref="AF42">SUM(IF((Roadmap_Avion!$B$8:$B$38=$B42)*(Roadmap_Avion!$C$4:$Z$4=$B$2)*(Roadmap_Avion!$C$6:$Z$6=AF$7)*(Roadmap_Avion!$C$7:$Z$7=AF$9),Roadmap_Avion!$C$8:$Z$38,0))</f>
        <v>0</v>
      </c>
      <c r="AG42" s="526">
        <f t="array" ref="AG42">SUM(IF((Roadmap_Avion!$B$8:$B$38=$B42)*(Roadmap_Avion!$C$4:$Z$4=$B$2)*(Roadmap_Avion!$C$6:$Z$6=AG$7)*(Roadmap_Avion!$C$7:$Z$7=AG$9),Roadmap_Avion!$C$8:$Z$38,0))</f>
        <v>1</v>
      </c>
      <c r="AH42" s="527">
        <f t="array" ref="AH42">IF($J42&lt;1,AH41+$H42*AE42,SUMPRODUCT(($B$16:$B$46&lt;=$B42)*($B$16:$B$46&gt;MAX($B42-$D$2-$I42,2019))*$H$16:$H$46*AE$16:AE$46))</f>
        <v>0.26150000000000007</v>
      </c>
      <c r="AI42" s="528">
        <f t="shared" si="33"/>
        <v>358.69845505991856</v>
      </c>
      <c r="AJ42" s="529">
        <f t="shared" si="20"/>
        <v>8.6400000000000005E-2</v>
      </c>
      <c r="AK42" s="530">
        <f t="shared" si="21"/>
        <v>6.7199999999999996E-2</v>
      </c>
      <c r="AL42" s="522">
        <f>Hypothèses!$G$80</f>
        <v>0.42</v>
      </c>
      <c r="AM42" s="523">
        <f t="shared" si="22"/>
        <v>849.99633900454637</v>
      </c>
      <c r="AN42" s="524">
        <f t="array" ref="AN42">1-SUM(IF((Roadmap_Avion!$B$8:$B$38=$B42)*(Roadmap_Avion!$C$4:$Z$4=$B$2)*(Roadmap_Avion!$C$6:$Z$6=AN$7)*(Roadmap_Avion!$C$7:$Z$7=AN$9),Roadmap_Avion!$C$8:$Z$38,0))</f>
        <v>0.36250000000000004</v>
      </c>
      <c r="AO42" s="525">
        <f t="array" ref="AO42">SUM(IF((Roadmap_Avion!$B$8:$B$38=$B42)*(Roadmap_Avion!$C$4:$Z$4=$B$2)*(Roadmap_Avion!$C$6:$Z$6=AO$7)*(Roadmap_Avion!$C$7:$Z$7=AO$9),Roadmap_Avion!$C$8:$Z$38,0))</f>
        <v>0</v>
      </c>
      <c r="AP42" s="526">
        <f t="array" ref="AP42">SUM(IF((Roadmap_Avion!$B$8:$B$38=$B42)*(Roadmap_Avion!$C$4:$Z$4=$B$2)*(Roadmap_Avion!$C$6:$Z$6=AP$7)*(Roadmap_Avion!$C$7:$Z$7=AP$9),Roadmap_Avion!$C$8:$Z$38,0))</f>
        <v>1</v>
      </c>
      <c r="AQ42" s="527">
        <f t="array" ref="AQ42">IF($J42&lt;1,AQ41+$H42*AN42,SUMPRODUCT(($B$16:$B$46&lt;=$B42)*($B$16:$B$46&gt;MAX($B42-$D$2-$I42,2019))*$H$16:$H$46*AN$16:AN$46))</f>
        <v>0.26150000000000007</v>
      </c>
      <c r="AR42" s="528">
        <f t="shared" si="34"/>
        <v>627.72229635485746</v>
      </c>
      <c r="AS42" s="529">
        <f t="shared" si="4"/>
        <v>0.1512</v>
      </c>
      <c r="AT42" s="530">
        <f t="shared" si="5"/>
        <v>0.1176</v>
      </c>
      <c r="AU42" s="531">
        <f>Hypothèses!$G$81</f>
        <v>0.3</v>
      </c>
      <c r="AV42" s="523">
        <f t="shared" si="23"/>
        <v>607.14024214610458</v>
      </c>
      <c r="AW42" s="524">
        <f t="array" ref="AW42">1-SUM(IF((Roadmap_Avion!$B$8:$B$38=$B42)*(Roadmap_Avion!$C$4:$Z$4=$B$2)*(Roadmap_Avion!$C$6:$Z$6=AW$7)*(Roadmap_Avion!$C$7:$Z$7=AW$9),Roadmap_Avion!$C$8:$Z$38,0))</f>
        <v>0.4375</v>
      </c>
      <c r="AX42" s="525">
        <f t="array" ref="AX42">SUM(IF((Roadmap_Avion!$B$8:$B$38=$B42)*(Roadmap_Avion!$C$4:$Z$4=$B$2)*(Roadmap_Avion!$C$6:$Z$6=AX$7)*(Roadmap_Avion!$C$7:$Z$7=AX$9),Roadmap_Avion!$C$8:$Z$38,0))</f>
        <v>1</v>
      </c>
      <c r="AY42" s="526">
        <f t="array" ref="AY42">SUM(IF((Roadmap_Avion!$B$8:$B$38=$B42)*(Roadmap_Avion!$C$4:$Z$4=$B$2)*(Roadmap_Avion!$C$6:$Z$6=AY$7)*(Roadmap_Avion!$C$7:$Z$7=AY$9),Roadmap_Avion!$C$8:$Z$38,0))</f>
        <v>0</v>
      </c>
      <c r="AZ42" s="527">
        <f t="array" ref="AZ42">IF($J42&lt;1,AZ41+$H42*AW42,SUMPRODUCT(($B$16:$B$46&lt;=$B42)*($B$16:$B$46&gt;MAX($B42-$D$2-$I42,2019))*$H$16:$H$46*AW$16:AW$46))</f>
        <v>0.3025000000000001</v>
      </c>
      <c r="BA42" s="528">
        <f t="shared" si="35"/>
        <v>423.48031889690787</v>
      </c>
      <c r="BB42" s="529">
        <f t="shared" si="24"/>
        <v>0.192</v>
      </c>
      <c r="BC42" s="529">
        <f t="shared" si="25"/>
        <v>0</v>
      </c>
      <c r="BD42" s="517">
        <f t="shared" si="7"/>
        <v>1477.5364932867599</v>
      </c>
      <c r="BE42" s="518">
        <f>BD42*(Hypothèses!$D$23/Hypothèses!$B$23)</f>
        <v>1758.9720158175712</v>
      </c>
      <c r="BF42" s="532">
        <f t="shared" si="8"/>
        <v>0.26992000000000016</v>
      </c>
      <c r="BG42" s="518">
        <f>BD42/Hypothèses!$B$23</f>
        <v>469.05920421801903</v>
      </c>
      <c r="BH42" s="532">
        <f t="shared" si="9"/>
        <v>0.441</v>
      </c>
      <c r="BI42" s="532">
        <f t="shared" si="9"/>
        <v>0.19800000000000001</v>
      </c>
      <c r="BJ42" s="518">
        <f t="shared" si="26"/>
        <v>206.85510906014639</v>
      </c>
      <c r="BK42" s="533">
        <f t="shared" si="36"/>
        <v>208.68993464145717</v>
      </c>
      <c r="BL42" s="534">
        <f t="shared" si="37"/>
        <v>1.0088701003791851</v>
      </c>
      <c r="BM42" s="535">
        <f t="array" ref="BM42">SUM(IF((Prod_Carburant_Alt!$A$7:$A$37=$B42)*(Prod_Carburant_Alt!$B$3:$AI$3=$C$2)*(Prod_Carburant_Alt!$B$5:$AI$5=BM$7)*(Prod_Carburant_Alt!$B$6:$AI$6=BM$9),Prod_Carburant_Alt!$B$7:$AI$37,0))</f>
        <v>142.93831139825835</v>
      </c>
      <c r="BN42" s="534">
        <f t="shared" si="27"/>
        <v>3.7376633831475421</v>
      </c>
      <c r="BO42" s="536">
        <f t="array" ref="BO42">SUM(IF((Prod_Carburant_Alt!$A$7:$A$37=$B42)*(Prod_Carburant_Alt!$B$3:$AI$3=$C$2)*(Prod_Carburant_Alt!$B$5:$AI$5=BO$7)*(Prod_Carburant_Alt!$B$6:$AI$6=BO$9),Prod_Carburant_Alt!$B$7:$AI$37,0))</f>
        <v>0.204382517533922</v>
      </c>
      <c r="BP42" s="543">
        <f t="array" ref="BP42">SUM(IF((Prod_Carburant_Alt!$A$7:$A$37=$B42)*(Prod_Carburant_Alt!$B$3:$AI$3=$C$2)*(Prod_Carburant_Alt!$B$5:$AI$5=BP$7)*(Prod_Carburant_Alt!$B$6:$AI$6=BP$9),Prod_Carburant_Alt!$B$7:$AI$37,0))</f>
        <v>65.751623243198807</v>
      </c>
      <c r="BQ42" s="536">
        <f t="shared" si="38"/>
        <v>0.31786318231124999</v>
      </c>
      <c r="BR42" s="537">
        <f t="shared" si="39"/>
        <v>260.36926957656186</v>
      </c>
      <c r="BS42" s="538">
        <f t="shared" si="40"/>
        <v>206.85510906014639</v>
      </c>
      <c r="BT42" s="539">
        <f t="shared" si="41"/>
        <v>0.99120788654966452</v>
      </c>
      <c r="BU42" s="535">
        <f t="shared" si="28"/>
        <v>141.6815815480455</v>
      </c>
      <c r="BV42" s="539">
        <f t="shared" si="42"/>
        <v>0.99120788654966463</v>
      </c>
      <c r="BW42" s="535">
        <f t="shared" si="29"/>
        <v>65.17352751210089</v>
      </c>
      <c r="BX42" s="539">
        <f t="shared" si="43"/>
        <v>0.99120788654966452</v>
      </c>
      <c r="BY42" s="538">
        <f t="shared" si="44"/>
        <v>92.873722435167778</v>
      </c>
      <c r="BZ42" s="540">
        <f>BY42*Hypothèses!$B$3/Hypothèses!$B$9</f>
        <v>34.120038443204308</v>
      </c>
      <c r="CA42" s="538">
        <f t="shared" si="45"/>
        <v>169.33037272270485</v>
      </c>
      <c r="CB42" s="533">
        <f>BW42*Prod_Carburant_Alt!$R$61+BZ42*Hypothèses!$B$13</f>
        <v>4883.6517666435129</v>
      </c>
      <c r="CC42" s="538">
        <f t="shared" si="46"/>
        <v>2262.8165836903395</v>
      </c>
      <c r="CD42" s="541">
        <f t="shared" si="47"/>
        <v>3.4759087307071268</v>
      </c>
      <c r="CE42" s="537">
        <f t="shared" si="48"/>
        <v>53.720169433078638</v>
      </c>
      <c r="CF42" s="503">
        <f>(CA42+BU42*BO42)*Hypothèses!$D$23+CE42</f>
        <v>797.29871086188632</v>
      </c>
      <c r="CG42" s="504">
        <f t="shared" si="11"/>
        <v>0.54672461887274459</v>
      </c>
      <c r="CH42" s="503">
        <f>(CA42+BU42*BO42)*Hypothèses!$B$23</f>
        <v>624.6059748001984</v>
      </c>
      <c r="CI42" s="503">
        <f t="shared" si="49"/>
        <v>0</v>
      </c>
      <c r="CJ42" s="503">
        <f>(BU42+BW42+CA42)*Hypothèses!$B$6+BZ42*Hypothèses!$B$11</f>
        <v>12.925056416574552</v>
      </c>
      <c r="CK42" s="503">
        <f>(BU42+BW42+CA42)*Hypothèses!$B$5+BZ42*Hypothèses!$B$10</f>
        <v>829.97816566700192</v>
      </c>
      <c r="CL42" s="542">
        <f t="shared" si="12"/>
        <v>0.66907270974661348</v>
      </c>
    </row>
    <row r="43" spans="1:90" ht="14.25" customHeight="1">
      <c r="A43" s="331"/>
      <c r="B43" s="516">
        <v>2047</v>
      </c>
      <c r="C43" s="655">
        <f>Trajectoires!AA39</f>
        <v>2488.5642333255469</v>
      </c>
      <c r="D43" s="659">
        <f>C43/Hypothèses!$D$23</f>
        <v>663.61712888681245</v>
      </c>
      <c r="E43" s="659">
        <f>D43*Hypothèses!$B$23</f>
        <v>2090.3939559934593</v>
      </c>
      <c r="F43" s="659">
        <f>D43*Hypothèses!$B$5</f>
        <v>922.42780915266928</v>
      </c>
      <c r="G43" s="659">
        <f>D43*Hypothèses!$B$6</f>
        <v>21.235748124377999</v>
      </c>
      <c r="H43" s="519">
        <f t="shared" si="30"/>
        <v>0.04</v>
      </c>
      <c r="I43" s="520">
        <f>IF(J43&gt;=1,ROUND(COUNTIFS($B$16:$B43,"&gt;"&amp;MAX($B43-$D$2,2019),H$16:H43,1/25)*(1/$D$2-1/25)*25,0),0)</f>
        <v>0</v>
      </c>
      <c r="J43" s="521">
        <f t="shared" si="50"/>
        <v>1.1200000000000003</v>
      </c>
      <c r="K43" s="522">
        <f>Hypothèses!$G$77</f>
        <v>0.01</v>
      </c>
      <c r="L43" s="523">
        <f t="shared" si="13"/>
        <v>20.903939559934592</v>
      </c>
      <c r="M43" s="524">
        <f t="array" ref="M43">1-SUM(IF((Roadmap_Avion!$B$8:$B$38=$B43)*(Roadmap_Avion!$C$4:$Z$4=$B$2)*(Roadmap_Avion!$C$6:$Z$6=M$7)*(Roadmap_Avion!$C$7:$Z$7=M$9),Roadmap_Avion!$C$8:$Z$38,0))</f>
        <v>0.15000000000000002</v>
      </c>
      <c r="N43" s="525">
        <f t="array" ref="N43">SUM(IF((Roadmap_Avion!$B$8:$B$38=$B43)*(Roadmap_Avion!$C$4:$Z$4=$B$2)*(Roadmap_Avion!$C$6:$Z$6=N$7)*(Roadmap_Avion!$C$7:$Z$7=N$9),Roadmap_Avion!$C$8:$Z$38,0))</f>
        <v>0</v>
      </c>
      <c r="O43" s="526">
        <f t="array" ref="O43">SUM(IF((Roadmap_Avion!$B$8:$B$38=$B43)*(Roadmap_Avion!$C$4:$Z$4=$B$2)*(Roadmap_Avion!$C$6:$Z$6=O$7)*(Roadmap_Avion!$C$7:$Z$7=O$9),Roadmap_Avion!$C$8:$Z$38,0))</f>
        <v>1</v>
      </c>
      <c r="P43" s="527">
        <f t="array" ref="P43">IF($J43&lt;1,P42+$H43*M43,SUMPRODUCT(($B$16:$B$46&lt;=$B43)*($B$16:$B$46&gt;MAX($B43-$D$2-$I43,2019))*$H$16:$H$46*M$16:M$46))</f>
        <v>0.17800000000000007</v>
      </c>
      <c r="Q43" s="528">
        <f t="shared" si="31"/>
        <v>17.183038318266235</v>
      </c>
      <c r="R43" s="529">
        <f t="shared" si="14"/>
        <v>1.9E-3</v>
      </c>
      <c r="S43" s="530">
        <f t="shared" si="15"/>
        <v>5.1999999999999998E-3</v>
      </c>
      <c r="T43" s="522">
        <f>Hypothèses!$G$78</f>
        <v>0.03</v>
      </c>
      <c r="U43" s="523">
        <f t="shared" si="16"/>
        <v>62.711818679803777</v>
      </c>
      <c r="V43" s="524">
        <f t="array" ref="V43">1-SUM(IF((Roadmap_Avion!$B$8:$B$38=$B43)*(Roadmap_Avion!$C$4:$Z$4=$B$2)*(Roadmap_Avion!$C$6:$Z$6=V$7)*(Roadmap_Avion!$C$7:$Z$7=V$9),Roadmap_Avion!$C$8:$Z$38,0))</f>
        <v>0.15000000000000002</v>
      </c>
      <c r="W43" s="525">
        <f t="array" ref="W43">SUM(IF((Roadmap_Avion!$B$8:$B$38=$B43)*(Roadmap_Avion!$C$4:$Z$4=$B$2)*(Roadmap_Avion!$C$6:$Z$6=W$7)*(Roadmap_Avion!$C$7:$Z$7=W$9),Roadmap_Avion!$C$8:$Z$38,0))</f>
        <v>0</v>
      </c>
      <c r="X43" s="526">
        <f t="array" ref="X43">SUM(IF((Roadmap_Avion!$B$8:$B$38=$B43)*(Roadmap_Avion!$C$4:$Z$4=$B$2)*(Roadmap_Avion!$C$6:$Z$6=X$7)*(Roadmap_Avion!$C$7:$Z$7=X$9),Roadmap_Avion!$C$8:$Z$38,0))</f>
        <v>1</v>
      </c>
      <c r="Y43" s="527">
        <f t="array" ref="Y43">IF($J43&lt;1,Y42+$H43*V43,SUMPRODUCT(($B$16:$B$46&lt;=$B43)*($B$16:$B$46&gt;MAX($B43-$D$2-$I43,2019))*$H$16:$H$46*V$16:V$46))</f>
        <v>0.16800000000000004</v>
      </c>
      <c r="Z43" s="528">
        <f t="shared" si="32"/>
        <v>52.17623314159674</v>
      </c>
      <c r="AA43" s="529">
        <f t="shared" si="17"/>
        <v>8.6999999999999994E-3</v>
      </c>
      <c r="AB43" s="530">
        <f t="shared" si="18"/>
        <v>9.5999999999999992E-3</v>
      </c>
      <c r="AC43" s="522">
        <f>Hypothèses!$G$79</f>
        <v>0.24</v>
      </c>
      <c r="AD43" s="523">
        <f t="shared" si="19"/>
        <v>501.69454943843022</v>
      </c>
      <c r="AE43" s="524">
        <f t="array" ref="AE43">1-SUM(IF((Roadmap_Avion!$B$8:$B$38=$B43)*(Roadmap_Avion!$C$4:$Z$4=$B$2)*(Roadmap_Avion!$C$6:$Z$6=AE$7)*(Roadmap_Avion!$C$7:$Z$7=AE$9),Roadmap_Avion!$C$8:$Z$38,0))</f>
        <v>0.36250000000000004</v>
      </c>
      <c r="AF43" s="525">
        <f t="array" ref="AF43">SUM(IF((Roadmap_Avion!$B$8:$B$38=$B43)*(Roadmap_Avion!$C$4:$Z$4=$B$2)*(Roadmap_Avion!$C$6:$Z$6=AF$7)*(Roadmap_Avion!$C$7:$Z$7=AF$9),Roadmap_Avion!$C$8:$Z$38,0))</f>
        <v>0</v>
      </c>
      <c r="AG43" s="526">
        <f t="array" ref="AG43">SUM(IF((Roadmap_Avion!$B$8:$B$38=$B43)*(Roadmap_Avion!$C$4:$Z$4=$B$2)*(Roadmap_Avion!$C$6:$Z$6=AG$7)*(Roadmap_Avion!$C$7:$Z$7=AG$9),Roadmap_Avion!$C$8:$Z$38,0))</f>
        <v>1</v>
      </c>
      <c r="AH43" s="527">
        <f t="array" ref="AH43">IF($J43&lt;1,AH42+$H43*AE43,SUMPRODUCT(($B$16:$B$46&lt;=$B43)*($B$16:$B$46&gt;MAX($B43-$D$2-$I43,2019))*$H$16:$H$46*AE$16:AE$46))</f>
        <v>0.26800000000000007</v>
      </c>
      <c r="AI43" s="528">
        <f t="shared" si="33"/>
        <v>367.24041018893092</v>
      </c>
      <c r="AJ43" s="529">
        <f t="shared" si="20"/>
        <v>8.1600000000000006E-2</v>
      </c>
      <c r="AK43" s="530">
        <f t="shared" si="21"/>
        <v>7.6799999999999993E-2</v>
      </c>
      <c r="AL43" s="522">
        <f>Hypothèses!$G$80</f>
        <v>0.42</v>
      </c>
      <c r="AM43" s="523">
        <f t="shared" si="22"/>
        <v>877.96546151725283</v>
      </c>
      <c r="AN43" s="524">
        <f t="array" ref="AN43">1-SUM(IF((Roadmap_Avion!$B$8:$B$38=$B43)*(Roadmap_Avion!$C$4:$Z$4=$B$2)*(Roadmap_Avion!$C$6:$Z$6=AN$7)*(Roadmap_Avion!$C$7:$Z$7=AN$9),Roadmap_Avion!$C$8:$Z$38,0))</f>
        <v>0.36250000000000004</v>
      </c>
      <c r="AO43" s="525">
        <f t="array" ref="AO43">SUM(IF((Roadmap_Avion!$B$8:$B$38=$B43)*(Roadmap_Avion!$C$4:$Z$4=$B$2)*(Roadmap_Avion!$C$6:$Z$6=AO$7)*(Roadmap_Avion!$C$7:$Z$7=AO$9),Roadmap_Avion!$C$8:$Z$38,0))</f>
        <v>0</v>
      </c>
      <c r="AP43" s="526">
        <f t="array" ref="AP43">SUM(IF((Roadmap_Avion!$B$8:$B$38=$B43)*(Roadmap_Avion!$C$4:$Z$4=$B$2)*(Roadmap_Avion!$C$6:$Z$6=AP$7)*(Roadmap_Avion!$C$7:$Z$7=AP$9),Roadmap_Avion!$C$8:$Z$38,0))</f>
        <v>1</v>
      </c>
      <c r="AQ43" s="527">
        <f t="array" ref="AQ43">IF($J43&lt;1,AQ42+$H43*AN43,SUMPRODUCT(($B$16:$B$46&lt;=$B43)*($B$16:$B$46&gt;MAX($B43-$D$2-$I43,2019))*$H$16:$H$46*AN$16:AN$46))</f>
        <v>0.26800000000000007</v>
      </c>
      <c r="AR43" s="528">
        <f t="shared" si="34"/>
        <v>642.67071783062909</v>
      </c>
      <c r="AS43" s="529">
        <f t="shared" si="4"/>
        <v>0.14279999999999998</v>
      </c>
      <c r="AT43" s="530">
        <f t="shared" si="5"/>
        <v>0.13439999999999999</v>
      </c>
      <c r="AU43" s="531">
        <f>Hypothèses!$G$81</f>
        <v>0.3</v>
      </c>
      <c r="AV43" s="523">
        <f t="shared" si="23"/>
        <v>627.11818679803775</v>
      </c>
      <c r="AW43" s="524">
        <f t="array" ref="AW43">1-SUM(IF((Roadmap_Avion!$B$8:$B$38=$B43)*(Roadmap_Avion!$C$4:$Z$4=$B$2)*(Roadmap_Avion!$C$6:$Z$6=AW$7)*(Roadmap_Avion!$C$7:$Z$7=AW$9),Roadmap_Avion!$C$8:$Z$38,0))</f>
        <v>0.4375</v>
      </c>
      <c r="AX43" s="525">
        <f t="array" ref="AX43">SUM(IF((Roadmap_Avion!$B$8:$B$38=$B43)*(Roadmap_Avion!$C$4:$Z$4=$B$2)*(Roadmap_Avion!$C$6:$Z$6=AX$7)*(Roadmap_Avion!$C$7:$Z$7=AX$9),Roadmap_Avion!$C$8:$Z$38,0))</f>
        <v>1</v>
      </c>
      <c r="AY43" s="526">
        <f t="array" ref="AY43">SUM(IF((Roadmap_Avion!$B$8:$B$38=$B43)*(Roadmap_Avion!$C$4:$Z$4=$B$2)*(Roadmap_Avion!$C$6:$Z$6=AY$7)*(Roadmap_Avion!$C$7:$Z$7=AY$9),Roadmap_Avion!$C$8:$Z$38,0))</f>
        <v>0</v>
      </c>
      <c r="AZ43" s="527">
        <f t="array" ref="AZ43">IF($J43&lt;1,AZ42+$H43*AW43,SUMPRODUCT(($B$16:$B$46&lt;=$B43)*($B$16:$B$46&gt;MAX($B43-$D$2-$I43,2019))*$H$16:$H$46*AW$16:AW$46))</f>
        <v>0.31000000000000011</v>
      </c>
      <c r="BA43" s="528">
        <f t="shared" si="35"/>
        <v>432.71154889064604</v>
      </c>
      <c r="BB43" s="529">
        <f t="shared" si="24"/>
        <v>0.19800000000000001</v>
      </c>
      <c r="BC43" s="529">
        <f t="shared" si="25"/>
        <v>0</v>
      </c>
      <c r="BD43" s="517">
        <f t="shared" si="7"/>
        <v>1511.9819483700689</v>
      </c>
      <c r="BE43" s="518">
        <f>BD43*(Hypothèses!$D$23/Hypothèses!$B$23)</f>
        <v>1799.9785099643677</v>
      </c>
      <c r="BF43" s="532">
        <f t="shared" si="8"/>
        <v>0.27670000000000017</v>
      </c>
      <c r="BG43" s="518">
        <f>BD43/Hypothèses!$B$23</f>
        <v>479.99426932383142</v>
      </c>
      <c r="BH43" s="532">
        <f t="shared" si="9"/>
        <v>0.433</v>
      </c>
      <c r="BI43" s="532">
        <f t="shared" si="9"/>
        <v>0.22599999999999998</v>
      </c>
      <c r="BJ43" s="518">
        <f t="shared" si="26"/>
        <v>207.83751861721899</v>
      </c>
      <c r="BK43" s="533">
        <f t="shared" si="36"/>
        <v>239.99342483767572</v>
      </c>
      <c r="BL43" s="534">
        <f t="shared" si="37"/>
        <v>1.1547165614485577</v>
      </c>
      <c r="BM43" s="535">
        <f t="array" ref="BM43">SUM(IF((Prod_Carburant_Alt!$A$7:$A$37=$B43)*(Prod_Carburant_Alt!$B$3:$AI$3=$C$2)*(Prod_Carburant_Alt!$B$5:$AI$5=BM$7)*(Prod_Carburant_Alt!$B$6:$AI$6=BM$9),Prod_Carburant_Alt!$B$7:$AI$37,0))</f>
        <v>164.37905810799708</v>
      </c>
      <c r="BN43" s="534">
        <f t="shared" si="27"/>
        <v>4.1731715267385505</v>
      </c>
      <c r="BO43" s="536">
        <f t="array" ref="BO43">SUM(IF((Prod_Carburant_Alt!$A$7:$A$37=$B43)*(Prod_Carburant_Alt!$B$3:$AI$3=$C$2)*(Prod_Carburant_Alt!$B$5:$AI$5=BO$7)*(Prod_Carburant_Alt!$B$6:$AI$6=BO$9),Prod_Carburant_Alt!$B$7:$AI$37,0))</f>
        <v>0.20438251753392198</v>
      </c>
      <c r="BP43" s="543">
        <f t="array" ref="BP43">SUM(IF((Prod_Carburant_Alt!$A$7:$A$37=$B43)*(Prod_Carburant_Alt!$B$3:$AI$3=$C$2)*(Prod_Carburant_Alt!$B$5:$AI$5=BP$7)*(Prod_Carburant_Alt!$B$6:$AI$6=BP$9),Prod_Carburant_Alt!$B$7:$AI$37,0))</f>
        <v>75.614366729678622</v>
      </c>
      <c r="BQ43" s="536">
        <f t="shared" si="38"/>
        <v>0.36381480703173724</v>
      </c>
      <c r="BR43" s="537">
        <f t="shared" si="39"/>
        <v>240.0008444861557</v>
      </c>
      <c r="BS43" s="538">
        <f t="shared" si="40"/>
        <v>207.83751861721899</v>
      </c>
      <c r="BT43" s="539">
        <f t="shared" si="41"/>
        <v>0.86601338664921335</v>
      </c>
      <c r="BU43" s="535">
        <f t="shared" si="28"/>
        <v>142.35446480631438</v>
      </c>
      <c r="BV43" s="539">
        <f t="shared" si="42"/>
        <v>0.86601338664921335</v>
      </c>
      <c r="BW43" s="535">
        <f t="shared" si="29"/>
        <v>65.483053810904593</v>
      </c>
      <c r="BX43" s="539">
        <f t="shared" si="43"/>
        <v>0.86601338664921346</v>
      </c>
      <c r="BY43" s="538">
        <f t="shared" si="44"/>
        <v>108.4787048671859</v>
      </c>
      <c r="BZ43" s="540">
        <f>BY43*Hypothèses!$B$3/Hypothèses!$B$9</f>
        <v>39.853012060770538</v>
      </c>
      <c r="CA43" s="538">
        <f t="shared" si="45"/>
        <v>163.67804583942655</v>
      </c>
      <c r="CB43" s="533">
        <f>BW43*Prod_Carburant_Alt!$R$61+BZ43*Hypothèses!$B$13</f>
        <v>5222.347319534234</v>
      </c>
      <c r="CC43" s="538">
        <f t="shared" si="46"/>
        <v>2419.7495409372145</v>
      </c>
      <c r="CD43" s="541">
        <f t="shared" si="47"/>
        <v>3.7169731811631559</v>
      </c>
      <c r="CE43" s="537">
        <f t="shared" si="48"/>
        <v>57.445820514876573</v>
      </c>
      <c r="CF43" s="503">
        <f>(CA43+BU43*BO43)*Hypothèses!$D$23+CE43</f>
        <v>780.3438570351334</v>
      </c>
      <c r="CG43" s="504">
        <f t="shared" si="11"/>
        <v>0.56647045911088068</v>
      </c>
      <c r="CH43" s="503">
        <f>(CA43+BU43*BO43)*Hypothèses!$B$23</f>
        <v>607.23435067701575</v>
      </c>
      <c r="CI43" s="503">
        <f t="shared" si="49"/>
        <v>0</v>
      </c>
      <c r="CJ43" s="503">
        <f>(BU43+BW43+CA43)*Hypothèses!$B$6+BZ43*Hypothèses!$B$11</f>
        <v>12.924676376192691</v>
      </c>
      <c r="CK43" s="503">
        <f>(BU43+BW43+CA43)*Hypothèses!$B$5+BZ43*Hypothèses!$B$10</f>
        <v>875.08374314167202</v>
      </c>
      <c r="CL43" s="542">
        <f t="shared" si="12"/>
        <v>0.68642808307490011</v>
      </c>
    </row>
    <row r="44" spans="1:90" ht="14.25" customHeight="1">
      <c r="A44" s="331"/>
      <c r="B44" s="516">
        <v>2048</v>
      </c>
      <c r="C44" s="655">
        <f>Trajectoires!AA40</f>
        <v>2568.4622388531639</v>
      </c>
      <c r="D44" s="659">
        <f>C44/Hypothèses!$D$23</f>
        <v>684.92326369417708</v>
      </c>
      <c r="E44" s="659">
        <f>D44*Hypothèses!$B$23</f>
        <v>2157.5082806366577</v>
      </c>
      <c r="F44" s="659">
        <f>D44*Hypothèses!$B$5</f>
        <v>952.04333653490608</v>
      </c>
      <c r="G44" s="659">
        <f>D44*Hypothèses!$B$6</f>
        <v>21.917544438213667</v>
      </c>
      <c r="H44" s="519">
        <f t="shared" si="30"/>
        <v>0.04</v>
      </c>
      <c r="I44" s="520">
        <f>IF(J44&gt;=1,ROUND(COUNTIFS($B$16:$B44,"&gt;"&amp;MAX($B44-$D$2,2019),H$16:H44,1/25)*(1/$D$2-1/25)*25,0),0)</f>
        <v>0</v>
      </c>
      <c r="J44" s="521">
        <f t="shared" si="50"/>
        <v>1.1600000000000004</v>
      </c>
      <c r="K44" s="522">
        <f>Hypothèses!$G$77</f>
        <v>0.01</v>
      </c>
      <c r="L44" s="523">
        <f t="shared" si="13"/>
        <v>21.575082806366577</v>
      </c>
      <c r="M44" s="524">
        <f t="array" ref="M44">1-SUM(IF((Roadmap_Avion!$B$8:$B$38=$B44)*(Roadmap_Avion!$C$4:$Z$4=$B$2)*(Roadmap_Avion!$C$6:$Z$6=M$7)*(Roadmap_Avion!$C$7:$Z$7=M$9),Roadmap_Avion!$C$8:$Z$38,0))</f>
        <v>0.15000000000000002</v>
      </c>
      <c r="N44" s="525">
        <f t="array" ref="N44">SUM(IF((Roadmap_Avion!$B$8:$B$38=$B44)*(Roadmap_Avion!$C$4:$Z$4=$B$2)*(Roadmap_Avion!$C$6:$Z$6=N$7)*(Roadmap_Avion!$C$7:$Z$7=N$9),Roadmap_Avion!$C$8:$Z$38,0))</f>
        <v>0</v>
      </c>
      <c r="O44" s="526">
        <f t="array" ref="O44">SUM(IF((Roadmap_Avion!$B$8:$B$38=$B44)*(Roadmap_Avion!$C$4:$Z$4=$B$2)*(Roadmap_Avion!$C$6:$Z$6=O$7)*(Roadmap_Avion!$C$7:$Z$7=O$9),Roadmap_Avion!$C$8:$Z$38,0))</f>
        <v>1</v>
      </c>
      <c r="P44" s="527">
        <f t="array" ref="P44">IF($J44&lt;1,P43+$H44*M44,SUMPRODUCT(($B$16:$B$46&lt;=$B44)*($B$16:$B$46&gt;MAX($B44-$D$2-$I44,2019))*$H$16:$H$46*M$16:M$46))</f>
        <v>0.18400000000000008</v>
      </c>
      <c r="Q44" s="528">
        <f t="shared" si="31"/>
        <v>17.605267569995124</v>
      </c>
      <c r="R44" s="529">
        <f t="shared" si="14"/>
        <v>1.7000000000000001E-3</v>
      </c>
      <c r="S44" s="530">
        <f t="shared" si="15"/>
        <v>5.6000000000000008E-3</v>
      </c>
      <c r="T44" s="522">
        <f>Hypothèses!$G$78</f>
        <v>0.03</v>
      </c>
      <c r="U44" s="523">
        <f t="shared" si="16"/>
        <v>64.725248419099728</v>
      </c>
      <c r="V44" s="524">
        <f t="array" ref="V44">1-SUM(IF((Roadmap_Avion!$B$8:$B$38=$B44)*(Roadmap_Avion!$C$4:$Z$4=$B$2)*(Roadmap_Avion!$C$6:$Z$6=V$7)*(Roadmap_Avion!$C$7:$Z$7=V$9),Roadmap_Avion!$C$8:$Z$38,0))</f>
        <v>0.15000000000000002</v>
      </c>
      <c r="W44" s="525">
        <f t="array" ref="W44">SUM(IF((Roadmap_Avion!$B$8:$B$38=$B44)*(Roadmap_Avion!$C$4:$Z$4=$B$2)*(Roadmap_Avion!$C$6:$Z$6=W$7)*(Roadmap_Avion!$C$7:$Z$7=W$9),Roadmap_Avion!$C$8:$Z$38,0))</f>
        <v>0</v>
      </c>
      <c r="X44" s="526">
        <f t="array" ref="X44">SUM(IF((Roadmap_Avion!$B$8:$B$38=$B44)*(Roadmap_Avion!$C$4:$Z$4=$B$2)*(Roadmap_Avion!$C$6:$Z$6=X$7)*(Roadmap_Avion!$C$7:$Z$7=X$9),Roadmap_Avion!$C$8:$Z$38,0))</f>
        <v>1</v>
      </c>
      <c r="Y44" s="527">
        <f t="array" ref="Y44">IF($J44&lt;1,Y43+$H44*V44,SUMPRODUCT(($B$16:$B$46&lt;=$B44)*($B$16:$B$46&gt;MAX($B44-$D$2-$I44,2019))*$H$16:$H$46*V$16:V$46))</f>
        <v>0.17400000000000004</v>
      </c>
      <c r="Z44" s="528">
        <f t="shared" si="32"/>
        <v>53.46305519417637</v>
      </c>
      <c r="AA44" s="529">
        <f t="shared" si="17"/>
        <v>8.0999999999999996E-3</v>
      </c>
      <c r="AB44" s="530">
        <f t="shared" si="18"/>
        <v>1.0800000000000001E-2</v>
      </c>
      <c r="AC44" s="522">
        <f>Hypothèses!$G$79</f>
        <v>0.24</v>
      </c>
      <c r="AD44" s="523">
        <f t="shared" si="19"/>
        <v>517.80198735279782</v>
      </c>
      <c r="AE44" s="524">
        <f t="array" ref="AE44">1-SUM(IF((Roadmap_Avion!$B$8:$B$38=$B44)*(Roadmap_Avion!$C$4:$Z$4=$B$2)*(Roadmap_Avion!$C$6:$Z$6=AE$7)*(Roadmap_Avion!$C$7:$Z$7=AE$9),Roadmap_Avion!$C$8:$Z$38,0))</f>
        <v>0.36250000000000004</v>
      </c>
      <c r="AF44" s="525">
        <f t="array" ref="AF44">SUM(IF((Roadmap_Avion!$B$8:$B$38=$B44)*(Roadmap_Avion!$C$4:$Z$4=$B$2)*(Roadmap_Avion!$C$6:$Z$6=AF$7)*(Roadmap_Avion!$C$7:$Z$7=AF$9),Roadmap_Avion!$C$8:$Z$38,0))</f>
        <v>0</v>
      </c>
      <c r="AG44" s="526">
        <f t="array" ref="AG44">SUM(IF((Roadmap_Avion!$B$8:$B$38=$B44)*(Roadmap_Avion!$C$4:$Z$4=$B$2)*(Roadmap_Avion!$C$6:$Z$6=AG$7)*(Roadmap_Avion!$C$7:$Z$7=AG$9),Roadmap_Avion!$C$8:$Z$38,0))</f>
        <v>1</v>
      </c>
      <c r="AH44" s="527">
        <f t="array" ref="AH44">IF($J44&lt;1,AH43+$H44*AE44,SUMPRODUCT(($B$16:$B$46&lt;=$B44)*($B$16:$B$46&gt;MAX($B44-$D$2-$I44,2019))*$H$16:$H$46*AE$16:AE$46))</f>
        <v>0.27450000000000008</v>
      </c>
      <c r="AI44" s="528">
        <f t="shared" si="33"/>
        <v>375.6653418244548</v>
      </c>
      <c r="AJ44" s="529">
        <f t="shared" si="20"/>
        <v>7.6799999999999993E-2</v>
      </c>
      <c r="AK44" s="530">
        <f t="shared" si="21"/>
        <v>8.6400000000000005E-2</v>
      </c>
      <c r="AL44" s="522">
        <f>Hypothèses!$G$80</f>
        <v>0.42</v>
      </c>
      <c r="AM44" s="523">
        <f t="shared" si="22"/>
        <v>906.15347786739619</v>
      </c>
      <c r="AN44" s="524">
        <f t="array" ref="AN44">1-SUM(IF((Roadmap_Avion!$B$8:$B$38=$B44)*(Roadmap_Avion!$C$4:$Z$4=$B$2)*(Roadmap_Avion!$C$6:$Z$6=AN$7)*(Roadmap_Avion!$C$7:$Z$7=AN$9),Roadmap_Avion!$C$8:$Z$38,0))</f>
        <v>0.36250000000000004</v>
      </c>
      <c r="AO44" s="525">
        <f t="array" ref="AO44">SUM(IF((Roadmap_Avion!$B$8:$B$38=$B44)*(Roadmap_Avion!$C$4:$Z$4=$B$2)*(Roadmap_Avion!$C$6:$Z$6=AO$7)*(Roadmap_Avion!$C$7:$Z$7=AO$9),Roadmap_Avion!$C$8:$Z$38,0))</f>
        <v>0</v>
      </c>
      <c r="AP44" s="526">
        <f t="array" ref="AP44">SUM(IF((Roadmap_Avion!$B$8:$B$38=$B44)*(Roadmap_Avion!$C$4:$Z$4=$B$2)*(Roadmap_Avion!$C$6:$Z$6=AP$7)*(Roadmap_Avion!$C$7:$Z$7=AP$9),Roadmap_Avion!$C$8:$Z$38,0))</f>
        <v>1</v>
      </c>
      <c r="AQ44" s="527">
        <f t="array" ref="AQ44">IF($J44&lt;1,AQ43+$H44*AN44,SUMPRODUCT(($B$16:$B$46&lt;=$B44)*($B$16:$B$46&gt;MAX($B44-$D$2-$I44,2019))*$H$16:$H$46*AN$16:AN$46))</f>
        <v>0.27450000000000008</v>
      </c>
      <c r="AR44" s="528">
        <f t="shared" si="34"/>
        <v>657.41434819279584</v>
      </c>
      <c r="AS44" s="529">
        <f t="shared" si="4"/>
        <v>0.13439999999999999</v>
      </c>
      <c r="AT44" s="530">
        <f t="shared" si="5"/>
        <v>0.1512</v>
      </c>
      <c r="AU44" s="531">
        <f>Hypothèses!$G$81</f>
        <v>0.3</v>
      </c>
      <c r="AV44" s="523">
        <f t="shared" si="23"/>
        <v>647.25248419099728</v>
      </c>
      <c r="AW44" s="524">
        <f t="array" ref="AW44">1-SUM(IF((Roadmap_Avion!$B$8:$B$38=$B44)*(Roadmap_Avion!$C$4:$Z$4=$B$2)*(Roadmap_Avion!$C$6:$Z$6=AW$7)*(Roadmap_Avion!$C$7:$Z$7=AW$9),Roadmap_Avion!$C$8:$Z$38,0))</f>
        <v>0.4375</v>
      </c>
      <c r="AX44" s="525">
        <f t="array" ref="AX44">SUM(IF((Roadmap_Avion!$B$8:$B$38=$B44)*(Roadmap_Avion!$C$4:$Z$4=$B$2)*(Roadmap_Avion!$C$6:$Z$6=AX$7)*(Roadmap_Avion!$C$7:$Z$7=AX$9),Roadmap_Avion!$C$8:$Z$38,0))</f>
        <v>1</v>
      </c>
      <c r="AY44" s="526">
        <f t="array" ref="AY44">SUM(IF((Roadmap_Avion!$B$8:$B$38=$B44)*(Roadmap_Avion!$C$4:$Z$4=$B$2)*(Roadmap_Avion!$C$6:$Z$6=AY$7)*(Roadmap_Avion!$C$7:$Z$7=AY$9),Roadmap_Avion!$C$8:$Z$38,0))</f>
        <v>0</v>
      </c>
      <c r="AZ44" s="527">
        <f t="array" ref="AZ44">IF($J44&lt;1,AZ43+$H44*AW44,SUMPRODUCT(($B$16:$B$46&lt;=$B44)*($B$16:$B$46&gt;MAX($B44-$D$2-$I44,2019))*$H$16:$H$46*AW$16:AW$46))</f>
        <v>0.31750000000000012</v>
      </c>
      <c r="BA44" s="528">
        <f t="shared" si="35"/>
        <v>441.74982046035558</v>
      </c>
      <c r="BB44" s="529">
        <f t="shared" si="24"/>
        <v>0.20399999999999999</v>
      </c>
      <c r="BC44" s="529">
        <f t="shared" si="25"/>
        <v>0</v>
      </c>
      <c r="BD44" s="517">
        <f t="shared" si="7"/>
        <v>1545.8978332417776</v>
      </c>
      <c r="BE44" s="518">
        <f>BD44*(Hypothèses!$D$23/Hypothèses!$B$23)</f>
        <v>1840.3545633830686</v>
      </c>
      <c r="BF44" s="532">
        <f t="shared" si="8"/>
        <v>0.28348000000000018</v>
      </c>
      <c r="BG44" s="518">
        <f>BD44/Hypothèses!$B$23</f>
        <v>490.7612169021516</v>
      </c>
      <c r="BH44" s="532">
        <f t="shared" si="9"/>
        <v>0.42499999999999993</v>
      </c>
      <c r="BI44" s="532">
        <f t="shared" si="9"/>
        <v>0.254</v>
      </c>
      <c r="BJ44" s="518">
        <f t="shared" si="26"/>
        <v>208.5735171834144</v>
      </c>
      <c r="BK44" s="533">
        <f t="shared" si="36"/>
        <v>275.99243856332703</v>
      </c>
      <c r="BL44" s="534">
        <f t="shared" si="37"/>
        <v>1.3232381670038489</v>
      </c>
      <c r="BM44" s="535">
        <f t="array" ref="BM44">SUM(IF((Prod_Carburant_Alt!$A$7:$A$37=$B44)*(Prod_Carburant_Alt!$B$3:$AI$3=$C$2)*(Prod_Carburant_Alt!$B$5:$AI$5=BM$7)*(Prod_Carburant_Alt!$B$6:$AI$6=BM$9),Prod_Carburant_Alt!$B$7:$AI$37,0))</f>
        <v>189.03591682419662</v>
      </c>
      <c r="BN44" s="534">
        <f t="shared" si="27"/>
        <v>4.6678360625223929</v>
      </c>
      <c r="BO44" s="536">
        <f t="array" ref="BO44">SUM(IF((Prod_Carburant_Alt!$A$7:$A$37=$B44)*(Prod_Carburant_Alt!$B$3:$AI$3=$C$2)*(Prod_Carburant_Alt!$B$5:$AI$5=BO$7)*(Prod_Carburant_Alt!$B$6:$AI$6=BO$9),Prod_Carburant_Alt!$B$7:$AI$37,0))</f>
        <v>0.20438251753392198</v>
      </c>
      <c r="BP44" s="543">
        <f t="array" ref="BP44">SUM(IF((Prod_Carburant_Alt!$A$7:$A$37=$B44)*(Prod_Carburant_Alt!$B$3:$AI$3=$C$2)*(Prod_Carburant_Alt!$B$5:$AI$5=BP$7)*(Prod_Carburant_Alt!$B$6:$AI$6=BP$9),Prod_Carburant_Alt!$B$7:$AI$37,0))</f>
        <v>86.956521739130409</v>
      </c>
      <c r="BQ44" s="536">
        <f t="shared" si="38"/>
        <v>0.41691065535737692</v>
      </c>
      <c r="BR44" s="537">
        <f t="shared" si="39"/>
        <v>214.76877833882457</v>
      </c>
      <c r="BS44" s="538">
        <f t="shared" si="40"/>
        <v>208.5735171834144</v>
      </c>
      <c r="BT44" s="539">
        <f t="shared" si="41"/>
        <v>0.7557218533563439</v>
      </c>
      <c r="BU44" s="535">
        <f t="shared" si="28"/>
        <v>142.85857341329753</v>
      </c>
      <c r="BV44" s="539">
        <f t="shared" si="42"/>
        <v>0.7557218533563439</v>
      </c>
      <c r="BW44" s="535">
        <f t="shared" si="29"/>
        <v>65.714943770116847</v>
      </c>
      <c r="BX44" s="539">
        <f t="shared" si="43"/>
        <v>0.75572185335634401</v>
      </c>
      <c r="BY44" s="538">
        <f t="shared" si="44"/>
        <v>124.6533490931465</v>
      </c>
      <c r="BZ44" s="540">
        <f>BY44*Hypothèses!$B$3/Hypothèses!$B$9</f>
        <v>45.795268582039817</v>
      </c>
      <c r="CA44" s="538">
        <f t="shared" si="45"/>
        <v>157.53435062559072</v>
      </c>
      <c r="CB44" s="533">
        <f>BW44*Prod_Carburant_Alt!$R$61+BZ44*Hypothèses!$B$13</f>
        <v>5569.3796436296798</v>
      </c>
      <c r="CC44" s="538">
        <f t="shared" si="46"/>
        <v>2580.5453010696951</v>
      </c>
      <c r="CD44" s="541">
        <f t="shared" si="47"/>
        <v>3.9639712766047546</v>
      </c>
      <c r="CE44" s="537">
        <f t="shared" si="48"/>
        <v>61.263176079926474</v>
      </c>
      <c r="CF44" s="503">
        <f>(CA44+BU44*BO44)*Hypothèses!$D$23+CE44</f>
        <v>761.50872174657047</v>
      </c>
      <c r="CG44" s="504">
        <f t="shared" si="11"/>
        <v>0.58621629934901687</v>
      </c>
      <c r="CH44" s="503">
        <f>(CA44+BU44*BO44)*Hypothèses!$B$23</f>
        <v>588.20625835998101</v>
      </c>
      <c r="CI44" s="503">
        <f t="shared" si="49"/>
        <v>0</v>
      </c>
      <c r="CJ44" s="503">
        <f>(BU44+BW44+CA44)*Hypothèses!$B$6+BZ44*Hypothèses!$B$11</f>
        <v>12.9061287530212</v>
      </c>
      <c r="CK44" s="503">
        <f>(BU44+BW44+CA44)*Hypothèses!$B$5+BZ44*Hypothèses!$B$10</f>
        <v>921.04735349287535</v>
      </c>
      <c r="CL44" s="542">
        <f t="shared" si="12"/>
        <v>0.70351570280955755</v>
      </c>
    </row>
    <row r="45" spans="1:90" ht="14.25" customHeight="1">
      <c r="A45" s="331"/>
      <c r="B45" s="516">
        <v>2049</v>
      </c>
      <c r="C45" s="655">
        <f>Trajectoires!AA41</f>
        <v>2648.6249155748642</v>
      </c>
      <c r="D45" s="659">
        <f>C45/Hypothèses!$D$23</f>
        <v>706.2999774866305</v>
      </c>
      <c r="E45" s="659">
        <f>D45*Hypothèses!$B$23</f>
        <v>2224.8449290828862</v>
      </c>
      <c r="F45" s="659">
        <f>D45*Hypothèses!$B$5</f>
        <v>981.75696870641627</v>
      </c>
      <c r="G45" s="659">
        <f>D45*Hypothèses!$B$6</f>
        <v>22.601599279572177</v>
      </c>
      <c r="H45" s="519">
        <f t="shared" si="30"/>
        <v>0.04</v>
      </c>
      <c r="I45" s="520">
        <f>IF(J45&gt;=1,ROUND(COUNTIFS($B$16:$B45,"&gt;"&amp;MAX($B45-$D$2,2019),H$16:H45,1/25)*(1/$D$2-1/25)*25,0),0)</f>
        <v>0</v>
      </c>
      <c r="J45" s="521">
        <f t="shared" si="50"/>
        <v>1.2000000000000004</v>
      </c>
      <c r="K45" s="522">
        <f>Hypothèses!$G$77</f>
        <v>0.01</v>
      </c>
      <c r="L45" s="523">
        <f t="shared" si="13"/>
        <v>22.248449290828862</v>
      </c>
      <c r="M45" s="524">
        <f t="array" ref="M45">1-SUM(IF((Roadmap_Avion!$B$8:$B$38=$B45)*(Roadmap_Avion!$C$4:$Z$4=$B$2)*(Roadmap_Avion!$C$6:$Z$6=M$7)*(Roadmap_Avion!$C$7:$Z$7=M$9),Roadmap_Avion!$C$8:$Z$38,0))</f>
        <v>0.15000000000000002</v>
      </c>
      <c r="N45" s="525">
        <f t="array" ref="N45">SUM(IF((Roadmap_Avion!$B$8:$B$38=$B45)*(Roadmap_Avion!$C$4:$Z$4=$B$2)*(Roadmap_Avion!$C$6:$Z$6=N$7)*(Roadmap_Avion!$C$7:$Z$7=N$9),Roadmap_Avion!$C$8:$Z$38,0))</f>
        <v>0</v>
      </c>
      <c r="O45" s="526">
        <f t="array" ref="O45">SUM(IF((Roadmap_Avion!$B$8:$B$38=$B45)*(Roadmap_Avion!$C$4:$Z$4=$B$2)*(Roadmap_Avion!$C$6:$Z$6=O$7)*(Roadmap_Avion!$C$7:$Z$7=O$9),Roadmap_Avion!$C$8:$Z$38,0))</f>
        <v>1</v>
      </c>
      <c r="P45" s="527">
        <f t="array" ref="P45">IF($J45&lt;1,P44+$H45*M45,SUMPRODUCT(($B$16:$B$46&lt;=$B45)*($B$16:$B$46&gt;MAX($B45-$D$2-$I45,2019))*$H$16:$H$46*M$16:M$46))</f>
        <v>0.19000000000000009</v>
      </c>
      <c r="Q45" s="528">
        <f t="shared" si="31"/>
        <v>18.021243925571376</v>
      </c>
      <c r="R45" s="529">
        <f t="shared" si="14"/>
        <v>1.5E-3</v>
      </c>
      <c r="S45" s="530">
        <f t="shared" si="15"/>
        <v>6.0000000000000001E-3</v>
      </c>
      <c r="T45" s="522">
        <f>Hypothèses!$G$78</f>
        <v>0.03</v>
      </c>
      <c r="U45" s="523">
        <f t="shared" si="16"/>
        <v>66.74534787248659</v>
      </c>
      <c r="V45" s="524">
        <f t="array" ref="V45">1-SUM(IF((Roadmap_Avion!$B$8:$B$38=$B45)*(Roadmap_Avion!$C$4:$Z$4=$B$2)*(Roadmap_Avion!$C$6:$Z$6=V$7)*(Roadmap_Avion!$C$7:$Z$7=V$9),Roadmap_Avion!$C$8:$Z$38,0))</f>
        <v>0.15000000000000002</v>
      </c>
      <c r="W45" s="525">
        <f t="array" ref="W45">SUM(IF((Roadmap_Avion!$B$8:$B$38=$B45)*(Roadmap_Avion!$C$4:$Z$4=$B$2)*(Roadmap_Avion!$C$6:$Z$6=W$7)*(Roadmap_Avion!$C$7:$Z$7=W$9),Roadmap_Avion!$C$8:$Z$38,0))</f>
        <v>0</v>
      </c>
      <c r="X45" s="526">
        <f t="array" ref="X45">SUM(IF((Roadmap_Avion!$B$8:$B$38=$B45)*(Roadmap_Avion!$C$4:$Z$4=$B$2)*(Roadmap_Avion!$C$6:$Z$6=X$7)*(Roadmap_Avion!$C$7:$Z$7=X$9),Roadmap_Avion!$C$8:$Z$38,0))</f>
        <v>1</v>
      </c>
      <c r="Y45" s="527">
        <f t="array" ref="Y45">IF($J45&lt;1,Y44+$H45*V45,SUMPRODUCT(($B$16:$B$46&lt;=$B45)*($B$16:$B$46&gt;MAX($B45-$D$2-$I45,2019))*$H$16:$H$46*V$16:V$46))</f>
        <v>0.18000000000000005</v>
      </c>
      <c r="Z45" s="528">
        <f t="shared" si="32"/>
        <v>54.731185255439001</v>
      </c>
      <c r="AA45" s="529">
        <f t="shared" si="17"/>
        <v>7.4999999999999997E-3</v>
      </c>
      <c r="AB45" s="530">
        <f t="shared" si="18"/>
        <v>1.2E-2</v>
      </c>
      <c r="AC45" s="522">
        <f>Hypothèses!$G$79</f>
        <v>0.24</v>
      </c>
      <c r="AD45" s="523">
        <f t="shared" si="19"/>
        <v>533.96278297989272</v>
      </c>
      <c r="AE45" s="524">
        <f t="array" ref="AE45">1-SUM(IF((Roadmap_Avion!$B$8:$B$38=$B45)*(Roadmap_Avion!$C$4:$Z$4=$B$2)*(Roadmap_Avion!$C$6:$Z$6=AE$7)*(Roadmap_Avion!$C$7:$Z$7=AE$9),Roadmap_Avion!$C$8:$Z$38,0))</f>
        <v>0.36250000000000004</v>
      </c>
      <c r="AF45" s="525">
        <f t="array" ref="AF45">SUM(IF((Roadmap_Avion!$B$8:$B$38=$B45)*(Roadmap_Avion!$C$4:$Z$4=$B$2)*(Roadmap_Avion!$C$6:$Z$6=AF$7)*(Roadmap_Avion!$C$7:$Z$7=AF$9),Roadmap_Avion!$C$8:$Z$38,0))</f>
        <v>0</v>
      </c>
      <c r="AG45" s="526">
        <f t="array" ref="AG45">SUM(IF((Roadmap_Avion!$B$8:$B$38=$B45)*(Roadmap_Avion!$C$4:$Z$4=$B$2)*(Roadmap_Avion!$C$6:$Z$6=AG$7)*(Roadmap_Avion!$C$7:$Z$7=AG$9),Roadmap_Avion!$C$8:$Z$38,0))</f>
        <v>1</v>
      </c>
      <c r="AH45" s="527">
        <f t="array" ref="AH45">IF($J45&lt;1,AH44+$H45*AE45,SUMPRODUCT(($B$16:$B$46&lt;=$B45)*($B$16:$B$46&gt;MAX($B45-$D$2-$I45,2019))*$H$16:$H$46*AE$16:AE$46))</f>
        <v>0.28100000000000008</v>
      </c>
      <c r="AI45" s="528">
        <f t="shared" si="33"/>
        <v>383.9192409625428</v>
      </c>
      <c r="AJ45" s="529">
        <f t="shared" si="20"/>
        <v>7.1999999999999995E-2</v>
      </c>
      <c r="AK45" s="530">
        <f t="shared" si="21"/>
        <v>9.6000000000000002E-2</v>
      </c>
      <c r="AL45" s="522">
        <f>Hypothèses!$G$80</f>
        <v>0.42</v>
      </c>
      <c r="AM45" s="523">
        <f t="shared" si="22"/>
        <v>934.43487021481212</v>
      </c>
      <c r="AN45" s="524">
        <f t="array" ref="AN45">1-SUM(IF((Roadmap_Avion!$B$8:$B$38=$B45)*(Roadmap_Avion!$C$4:$Z$4=$B$2)*(Roadmap_Avion!$C$6:$Z$6=AN$7)*(Roadmap_Avion!$C$7:$Z$7=AN$9),Roadmap_Avion!$C$8:$Z$38,0))</f>
        <v>0.36250000000000004</v>
      </c>
      <c r="AO45" s="525">
        <f t="array" ref="AO45">SUM(IF((Roadmap_Avion!$B$8:$B$38=$B45)*(Roadmap_Avion!$C$4:$Z$4=$B$2)*(Roadmap_Avion!$C$6:$Z$6=AO$7)*(Roadmap_Avion!$C$7:$Z$7=AO$9),Roadmap_Avion!$C$8:$Z$38,0))</f>
        <v>0</v>
      </c>
      <c r="AP45" s="526">
        <f t="array" ref="AP45">SUM(IF((Roadmap_Avion!$B$8:$B$38=$B45)*(Roadmap_Avion!$C$4:$Z$4=$B$2)*(Roadmap_Avion!$C$6:$Z$6=AP$7)*(Roadmap_Avion!$C$7:$Z$7=AP$9),Roadmap_Avion!$C$8:$Z$38,0))</f>
        <v>1</v>
      </c>
      <c r="AQ45" s="527">
        <f t="array" ref="AQ45">IF($J45&lt;1,AQ44+$H45*AN45,SUMPRODUCT(($B$16:$B$46&lt;=$B45)*($B$16:$B$46&gt;MAX($B45-$D$2-$I45,2019))*$H$16:$H$46*AN$16:AN$46))</f>
        <v>0.28100000000000008</v>
      </c>
      <c r="AR45" s="528">
        <f t="shared" si="34"/>
        <v>671.85867168444975</v>
      </c>
      <c r="AS45" s="529">
        <f t="shared" si="4"/>
        <v>0.126</v>
      </c>
      <c r="AT45" s="530">
        <f t="shared" si="5"/>
        <v>0.16800000000000001</v>
      </c>
      <c r="AU45" s="531">
        <f>Hypothèses!$G$81</f>
        <v>0.3</v>
      </c>
      <c r="AV45" s="523">
        <f t="shared" si="23"/>
        <v>667.45347872486582</v>
      </c>
      <c r="AW45" s="524">
        <f t="array" ref="AW45">1-SUM(IF((Roadmap_Avion!$B$8:$B$38=$B45)*(Roadmap_Avion!$C$4:$Z$4=$B$2)*(Roadmap_Avion!$C$6:$Z$6=AW$7)*(Roadmap_Avion!$C$7:$Z$7=AW$9),Roadmap_Avion!$C$8:$Z$38,0))</f>
        <v>0.4375</v>
      </c>
      <c r="AX45" s="525">
        <f t="array" ref="AX45">SUM(IF((Roadmap_Avion!$B$8:$B$38=$B45)*(Roadmap_Avion!$C$4:$Z$4=$B$2)*(Roadmap_Avion!$C$6:$Z$6=AX$7)*(Roadmap_Avion!$C$7:$Z$7=AX$9),Roadmap_Avion!$C$8:$Z$38,0))</f>
        <v>1</v>
      </c>
      <c r="AY45" s="526">
        <f t="array" ref="AY45">SUM(IF((Roadmap_Avion!$B$8:$B$38=$B45)*(Roadmap_Avion!$C$4:$Z$4=$B$2)*(Roadmap_Avion!$C$6:$Z$6=AY$7)*(Roadmap_Avion!$C$7:$Z$7=AY$9),Roadmap_Avion!$C$8:$Z$38,0))</f>
        <v>0</v>
      </c>
      <c r="AZ45" s="527">
        <f t="array" ref="AZ45">IF($J45&lt;1,AZ44+$H45*AW45,SUMPRODUCT(($B$16:$B$46&lt;=$B45)*($B$16:$B$46&gt;MAX($B45-$D$2-$I45,2019))*$H$16:$H$46*AW$16:AW$46))</f>
        <v>0.32500000000000012</v>
      </c>
      <c r="BA45" s="528">
        <f t="shared" si="35"/>
        <v>450.53109813928432</v>
      </c>
      <c r="BB45" s="529">
        <f t="shared" si="24"/>
        <v>0.21</v>
      </c>
      <c r="BC45" s="529">
        <f t="shared" si="25"/>
        <v>0</v>
      </c>
      <c r="BD45" s="517">
        <f t="shared" si="7"/>
        <v>1579.0614399672872</v>
      </c>
      <c r="BE45" s="518">
        <f>BD45*(Hypothèses!$D$23/Hypothèses!$B$23)</f>
        <v>1879.8350475801039</v>
      </c>
      <c r="BF45" s="532">
        <f t="shared" si="8"/>
        <v>0.29026000000000007</v>
      </c>
      <c r="BG45" s="518">
        <f>BD45/Hypothèses!$B$23</f>
        <v>501.28934602136104</v>
      </c>
      <c r="BH45" s="532">
        <f t="shared" si="9"/>
        <v>0.41699999999999998</v>
      </c>
      <c r="BI45" s="532">
        <f t="shared" si="9"/>
        <v>0.28200000000000003</v>
      </c>
      <c r="BJ45" s="518">
        <f t="shared" si="26"/>
        <v>209.03765729090753</v>
      </c>
      <c r="BK45" s="533">
        <f t="shared" si="36"/>
        <v>317.39130434782606</v>
      </c>
      <c r="BL45" s="534">
        <f t="shared" si="37"/>
        <v>1.5183451080593007</v>
      </c>
      <c r="BM45" s="535">
        <f t="array" ref="BM45">SUM(IF((Prod_Carburant_Alt!$A$7:$A$37=$B45)*(Prod_Carburant_Alt!$B$3:$AI$3=$C$2)*(Prod_Carburant_Alt!$B$5:$AI$5=BM$7)*(Prod_Carburant_Alt!$B$6:$AI$6=BM$9),Prod_Carburant_Alt!$B$7:$AI$37,0))</f>
        <v>217.39130434782609</v>
      </c>
      <c r="BN45" s="534">
        <f t="shared" si="27"/>
        <v>5.2309829396379115</v>
      </c>
      <c r="BO45" s="536">
        <f t="array" ref="BO45">SUM(IF((Prod_Carburant_Alt!$A$7:$A$37=$B45)*(Prod_Carburant_Alt!$B$3:$AI$3=$C$2)*(Prod_Carburant_Alt!$B$5:$AI$5=BO$7)*(Prod_Carburant_Alt!$B$6:$AI$6=BO$9),Prod_Carburant_Alt!$B$7:$AI$37,0))</f>
        <v>0.204382517533922</v>
      </c>
      <c r="BP45" s="543">
        <f t="array" ref="BP45">SUM(IF((Prod_Carburant_Alt!$A$7:$A$37=$B45)*(Prod_Carburant_Alt!$B$3:$AI$3=$C$2)*(Prod_Carburant_Alt!$B$5:$AI$5=BP$7)*(Prod_Carburant_Alt!$B$6:$AI$6=BP$9),Prod_Carburant_Alt!$B$7:$AI$37,0))</f>
        <v>99.999999999999957</v>
      </c>
      <c r="BQ45" s="536">
        <f t="shared" si="38"/>
        <v>0.4783827052789576</v>
      </c>
      <c r="BR45" s="537">
        <f t="shared" si="39"/>
        <v>183.89804167353498</v>
      </c>
      <c r="BS45" s="538">
        <f t="shared" si="40"/>
        <v>209.03765729090753</v>
      </c>
      <c r="BT45" s="539">
        <f t="shared" si="41"/>
        <v>0.65861179694395533</v>
      </c>
      <c r="BU45" s="535">
        <f t="shared" si="28"/>
        <v>143.17647759651203</v>
      </c>
      <c r="BV45" s="539">
        <f t="shared" si="42"/>
        <v>0.65861179694395533</v>
      </c>
      <c r="BW45" s="535">
        <f t="shared" si="29"/>
        <v>65.861179694395503</v>
      </c>
      <c r="BX45" s="539">
        <f t="shared" si="43"/>
        <v>0.65861179694395533</v>
      </c>
      <c r="BY45" s="538">
        <f t="shared" si="44"/>
        <v>141.36359557802382</v>
      </c>
      <c r="BZ45" s="540">
        <f>BY45*Hypothèses!$B$3/Hypothèses!$B$9</f>
        <v>51.934295181920533</v>
      </c>
      <c r="CA45" s="538">
        <f t="shared" si="45"/>
        <v>150.88809315242969</v>
      </c>
      <c r="CB45" s="533">
        <f>BW45*Prod_Carburant_Alt!$R$61+BZ45*Hypothèses!$B$13</f>
        <v>5923.6770200346891</v>
      </c>
      <c r="CC45" s="538">
        <f t="shared" si="46"/>
        <v>2744.7072882865355</v>
      </c>
      <c r="CD45" s="541">
        <f t="shared" si="47"/>
        <v>4.2161402277826969</v>
      </c>
      <c r="CE45" s="537">
        <f t="shared" si="48"/>
        <v>65.160447220381585</v>
      </c>
      <c r="CF45" s="503">
        <f>(CA45+BU45*BO45)*Hypothèses!$D$23+CE45</f>
        <v>740.72618007754659</v>
      </c>
      <c r="CG45" s="504">
        <f t="shared" si="11"/>
        <v>0.60596213958715306</v>
      </c>
      <c r="CH45" s="503">
        <f>(CA45+BU45*BO45)*Hypothèses!$B$23</f>
        <v>567.4752156000186</v>
      </c>
      <c r="CI45" s="503">
        <f t="shared" si="49"/>
        <v>0</v>
      </c>
      <c r="CJ45" s="503">
        <f>(BU45+BW45+CA45)*Hypothèses!$B$6+BZ45*Hypothèses!$B$11</f>
        <v>12.867915688916726</v>
      </c>
      <c r="CK45" s="503">
        <f>(BU45+BW45+CA45)*Hypothèses!$B$5+BZ45*Hypothèses!$B$10</f>
        <v>967.70544975352345</v>
      </c>
      <c r="CL45" s="542">
        <f t="shared" si="12"/>
        <v>0.72033556895058604</v>
      </c>
    </row>
    <row r="46" spans="1:90" ht="14.25" customHeight="1" thickBot="1">
      <c r="A46" s="331"/>
      <c r="B46" s="545">
        <v>2050</v>
      </c>
      <c r="C46" s="656">
        <f>Trajectoires!AA42</f>
        <v>2699.9564976387192</v>
      </c>
      <c r="D46" s="660">
        <f>C46/Hypothèses!$D$23</f>
        <v>719.98839937032506</v>
      </c>
      <c r="E46" s="660">
        <f>D46*Hypothèses!$B$23</f>
        <v>2267.9634580165239</v>
      </c>
      <c r="F46" s="660">
        <f>D46*Hypothèses!$B$5</f>
        <v>1000.7838751247517</v>
      </c>
      <c r="G46" s="660">
        <f>D46*Hypothèses!$B$6</f>
        <v>23.039628779850403</v>
      </c>
      <c r="H46" s="548">
        <f t="shared" si="30"/>
        <v>0.04</v>
      </c>
      <c r="I46" s="549">
        <f>IF(J46&gt;=1,ROUND(COUNTIFS($B$16:$B46,"&gt;"&amp;MAX($B46-$D$2,2019),H$16:H46,1/25)*(1/$D$2-1/25)*25,0),0)</f>
        <v>0</v>
      </c>
      <c r="J46" s="550">
        <f t="shared" si="50"/>
        <v>1.2400000000000004</v>
      </c>
      <c r="K46" s="551">
        <f>Hypothèses!$G$77</f>
        <v>0.01</v>
      </c>
      <c r="L46" s="552">
        <f t="shared" si="13"/>
        <v>22.679634580165239</v>
      </c>
      <c r="M46" s="553">
        <f t="array" ref="M46">1-SUM(IF((Roadmap_Avion!$B$8:$B$38=$B46)*(Roadmap_Avion!$C$4:$Z$4=$B$2)*(Roadmap_Avion!$C$6:$Z$6=M$7)*(Roadmap_Avion!$C$7:$Z$7=M$9),Roadmap_Avion!$C$8:$Z$38,0))</f>
        <v>0.15000000000000002</v>
      </c>
      <c r="N46" s="554">
        <f t="array" ref="N46">SUM(IF((Roadmap_Avion!$B$8:$B$38=$B46)*(Roadmap_Avion!$C$4:$Z$4=$B$2)*(Roadmap_Avion!$C$6:$Z$6=N$7)*(Roadmap_Avion!$C$7:$Z$7=N$9),Roadmap_Avion!$C$8:$Z$38,0))</f>
        <v>0</v>
      </c>
      <c r="O46" s="555">
        <f t="array" ref="O46">SUM(IF((Roadmap_Avion!$B$8:$B$38=$B46)*(Roadmap_Avion!$C$4:$Z$4=$B$2)*(Roadmap_Avion!$C$6:$Z$6=O$7)*(Roadmap_Avion!$C$7:$Z$7=O$9),Roadmap_Avion!$C$8:$Z$38,0))</f>
        <v>1</v>
      </c>
      <c r="P46" s="556">
        <f t="array" ref="P46">IF($J46&lt;1,P45+$H46*M46,SUMPRODUCT(($B$16:$B$46&lt;=$B46)*($B$16:$B$46&gt;MAX($B46-$D$2-$I46,2019))*$H$16:$H$46*M$16:M$46))</f>
        <v>0.19600000000000009</v>
      </c>
      <c r="Q46" s="557">
        <f t="shared" si="31"/>
        <v>18.234426202452852</v>
      </c>
      <c r="R46" s="558">
        <f t="shared" si="14"/>
        <v>1.2999999999999999E-3</v>
      </c>
      <c r="S46" s="559">
        <f t="shared" si="15"/>
        <v>6.4000000000000003E-3</v>
      </c>
      <c r="T46" s="551">
        <f>Hypothèses!$G$78</f>
        <v>0.03</v>
      </c>
      <c r="U46" s="552">
        <f t="shared" si="16"/>
        <v>68.038903740495712</v>
      </c>
      <c r="V46" s="553">
        <f t="array" ref="V46">1-SUM(IF((Roadmap_Avion!$B$8:$B$38=$B46)*(Roadmap_Avion!$C$4:$Z$4=$B$2)*(Roadmap_Avion!$C$6:$Z$6=V$7)*(Roadmap_Avion!$C$7:$Z$7=V$9),Roadmap_Avion!$C$8:$Z$38,0))</f>
        <v>0.15000000000000002</v>
      </c>
      <c r="W46" s="554">
        <f t="array" ref="W46">SUM(IF((Roadmap_Avion!$B$8:$B$38=$B46)*(Roadmap_Avion!$C$4:$Z$4=$B$2)*(Roadmap_Avion!$C$6:$Z$6=W$7)*(Roadmap_Avion!$C$7:$Z$7=W$9),Roadmap_Avion!$C$8:$Z$38,0))</f>
        <v>0</v>
      </c>
      <c r="X46" s="555">
        <f t="array" ref="X46">SUM(IF((Roadmap_Avion!$B$8:$B$38=$B46)*(Roadmap_Avion!$C$4:$Z$4=$B$2)*(Roadmap_Avion!$C$6:$Z$6=X$7)*(Roadmap_Avion!$C$7:$Z$7=X$9),Roadmap_Avion!$C$8:$Z$38,0))</f>
        <v>1</v>
      </c>
      <c r="Y46" s="556">
        <f t="array" ref="Y46">IF($J46&lt;1,Y45+$H46*V46,SUMPRODUCT(($B$16:$B$46&lt;=$B46)*($B$16:$B$46&gt;MAX($B46-$D$2-$I46,2019))*$H$16:$H$46*V$16:V$46))</f>
        <v>0.18600000000000005</v>
      </c>
      <c r="Z46" s="557">
        <f t="shared" si="32"/>
        <v>55.383667644763506</v>
      </c>
      <c r="AA46" s="558">
        <f t="shared" si="17"/>
        <v>6.8999999999999999E-3</v>
      </c>
      <c r="AB46" s="559">
        <f t="shared" si="18"/>
        <v>1.3199999999999998E-2</v>
      </c>
      <c r="AC46" s="551">
        <f>Hypothèses!$G$79</f>
        <v>0.24</v>
      </c>
      <c r="AD46" s="552">
        <f t="shared" si="19"/>
        <v>544.3112299239657</v>
      </c>
      <c r="AE46" s="553">
        <f t="array" ref="AE46">1-SUM(IF((Roadmap_Avion!$B$8:$B$38=$B46)*(Roadmap_Avion!$C$4:$Z$4=$B$2)*(Roadmap_Avion!$C$6:$Z$6=AE$7)*(Roadmap_Avion!$C$7:$Z$7=AE$9),Roadmap_Avion!$C$8:$Z$38,0))</f>
        <v>0.36250000000000004</v>
      </c>
      <c r="AF46" s="554">
        <f t="array" ref="AF46">SUM(IF((Roadmap_Avion!$B$8:$B$38=$B46)*(Roadmap_Avion!$C$4:$Z$4=$B$2)*(Roadmap_Avion!$C$6:$Z$6=AF$7)*(Roadmap_Avion!$C$7:$Z$7=AF$9),Roadmap_Avion!$C$8:$Z$38,0))</f>
        <v>0</v>
      </c>
      <c r="AG46" s="555">
        <f t="array" ref="AG46">SUM(IF((Roadmap_Avion!$B$8:$B$38=$B46)*(Roadmap_Avion!$C$4:$Z$4=$B$2)*(Roadmap_Avion!$C$6:$Z$6=AG$7)*(Roadmap_Avion!$C$7:$Z$7=AG$9),Roadmap_Avion!$C$8:$Z$38,0))</f>
        <v>1</v>
      </c>
      <c r="AH46" s="556">
        <f t="array" ref="AH46">IF($J46&lt;1,AH45+$H46*AE46,SUMPRODUCT(($B$16:$B$46&lt;=$B46)*($B$16:$B$46&gt;MAX($B46-$D$2-$I46,2019))*$H$16:$H$46*AE$16:AE$46))</f>
        <v>0.28750000000000009</v>
      </c>
      <c r="AI46" s="557">
        <f t="shared" si="33"/>
        <v>387.82175132082551</v>
      </c>
      <c r="AJ46" s="558">
        <f t="shared" si="20"/>
        <v>6.7199999999999996E-2</v>
      </c>
      <c r="AK46" s="559">
        <f t="shared" si="21"/>
        <v>0.10559999999999999</v>
      </c>
      <c r="AL46" s="551">
        <f>Hypothèses!$G$80</f>
        <v>0.42</v>
      </c>
      <c r="AM46" s="552">
        <f t="shared" si="22"/>
        <v>952.54465236694</v>
      </c>
      <c r="AN46" s="553">
        <f t="array" ref="AN46">1-SUM(IF((Roadmap_Avion!$B$8:$B$38=$B46)*(Roadmap_Avion!$C$4:$Z$4=$B$2)*(Roadmap_Avion!$C$6:$Z$6=AN$7)*(Roadmap_Avion!$C$7:$Z$7=AN$9),Roadmap_Avion!$C$8:$Z$38,0))</f>
        <v>0.36250000000000004</v>
      </c>
      <c r="AO46" s="554">
        <f t="array" ref="AO46">SUM(IF((Roadmap_Avion!$B$8:$B$38=$B46)*(Roadmap_Avion!$C$4:$Z$4=$B$2)*(Roadmap_Avion!$C$6:$Z$6=AO$7)*(Roadmap_Avion!$C$7:$Z$7=AO$9),Roadmap_Avion!$C$8:$Z$38,0))</f>
        <v>0</v>
      </c>
      <c r="AP46" s="555">
        <f t="array" ref="AP46">SUM(IF((Roadmap_Avion!$B$8:$B$38=$B46)*(Roadmap_Avion!$C$4:$Z$4=$B$2)*(Roadmap_Avion!$C$6:$Z$6=AP$7)*(Roadmap_Avion!$C$7:$Z$7=AP$9),Roadmap_Avion!$C$8:$Z$38,0))</f>
        <v>1</v>
      </c>
      <c r="AQ46" s="556">
        <f t="array" ref="AQ46">IF($J46&lt;1,AQ45+$H46*AN46,SUMPRODUCT(($B$16:$B$46&lt;=$B46)*($B$16:$B$46&gt;MAX($B46-$D$2-$I46,2019))*$H$16:$H$46*AN$16:AN$46))</f>
        <v>0.28750000000000009</v>
      </c>
      <c r="AR46" s="557">
        <f t="shared" si="34"/>
        <v>678.68806481144463</v>
      </c>
      <c r="AS46" s="558">
        <f t="shared" si="4"/>
        <v>0.1176</v>
      </c>
      <c r="AT46" s="559">
        <f t="shared" si="5"/>
        <v>0.18479999999999999</v>
      </c>
      <c r="AU46" s="560">
        <f>Hypothèses!$G$81</f>
        <v>0.3</v>
      </c>
      <c r="AV46" s="552">
        <f t="shared" si="23"/>
        <v>680.38903740495709</v>
      </c>
      <c r="AW46" s="553">
        <f t="array" ref="AW46">1-SUM(IF((Roadmap_Avion!$B$8:$B$38=$B46)*(Roadmap_Avion!$C$4:$Z$4=$B$2)*(Roadmap_Avion!$C$6:$Z$6=AW$7)*(Roadmap_Avion!$C$7:$Z$7=AW$9),Roadmap_Avion!$C$8:$Z$38,0))</f>
        <v>0.4375</v>
      </c>
      <c r="AX46" s="554">
        <f t="array" ref="AX46">SUM(IF((Roadmap_Avion!$B$8:$B$38=$B46)*(Roadmap_Avion!$C$4:$Z$4=$B$2)*(Roadmap_Avion!$C$6:$Z$6=AX$7)*(Roadmap_Avion!$C$7:$Z$7=AX$9),Roadmap_Avion!$C$8:$Z$38,0))</f>
        <v>1</v>
      </c>
      <c r="AY46" s="555">
        <f t="array" ref="AY46">SUM(IF((Roadmap_Avion!$B$8:$B$38=$B46)*(Roadmap_Avion!$C$4:$Z$4=$B$2)*(Roadmap_Avion!$C$6:$Z$6=AY$7)*(Roadmap_Avion!$C$7:$Z$7=AY$9),Roadmap_Avion!$C$8:$Z$38,0))</f>
        <v>0</v>
      </c>
      <c r="AZ46" s="556">
        <f t="array" ref="AZ46">IF($J46&lt;1,AZ45+$H46*AW46,SUMPRODUCT(($B$16:$B$46&lt;=$B46)*($B$16:$B$46&gt;MAX($B46-$D$2-$I46,2019))*$H$16:$H$46*AW$16:AW$46))</f>
        <v>0.33250000000000013</v>
      </c>
      <c r="BA46" s="557">
        <f t="shared" si="35"/>
        <v>454.15968246780875</v>
      </c>
      <c r="BB46" s="558">
        <f t="shared" si="24"/>
        <v>0.21599999999999997</v>
      </c>
      <c r="BC46" s="558">
        <f t="shared" si="25"/>
        <v>0</v>
      </c>
      <c r="BD46" s="546">
        <f t="shared" si="7"/>
        <v>1594.2875924472953</v>
      </c>
      <c r="BE46" s="547">
        <f>BD46*(Hypothèses!$D$23/Hypothèses!$B$23)</f>
        <v>1897.9614195801134</v>
      </c>
      <c r="BF46" s="561">
        <f t="shared" si="8"/>
        <v>0.29704000000000019</v>
      </c>
      <c r="BG46" s="547">
        <f>BD46/Hypothèses!$B$23</f>
        <v>506.12304522136361</v>
      </c>
      <c r="BH46" s="561">
        <f t="shared" si="9"/>
        <v>0.40899999999999997</v>
      </c>
      <c r="BI46" s="561">
        <f t="shared" si="9"/>
        <v>0.30999999999999994</v>
      </c>
      <c r="BJ46" s="547">
        <f t="shared" si="26"/>
        <v>207.0043254955377</v>
      </c>
      <c r="BK46" s="562">
        <f t="shared" si="36"/>
        <v>375</v>
      </c>
      <c r="BL46" s="563">
        <f t="shared" si="37"/>
        <v>1.8115563484111046</v>
      </c>
      <c r="BM46" s="564">
        <f t="array" ref="BM46">SUM(IF((Prod_Carburant_Alt!$A$7:$A$37=$B46)*(Prod_Carburant_Alt!$B$3:$AI$3=$C$2)*(Prod_Carburant_Alt!$B$5:$AI$5=BM$7)*(Prod_Carburant_Alt!$B$6:$AI$6=BM$9),Prod_Carburant_Alt!$B$7:$AI$37,0))</f>
        <v>250</v>
      </c>
      <c r="BN46" s="563">
        <f t="shared" si="27"/>
        <v>6.0986949515590609</v>
      </c>
      <c r="BO46" s="565">
        <f t="array" ref="BO46">SUM(IF((Prod_Carburant_Alt!$A$7:$A$37=$B46)*(Prod_Carburant_Alt!$B$3:$AI$3=$C$2)*(Prod_Carburant_Alt!$B$5:$AI$5=BO$7)*(Prod_Carburant_Alt!$B$6:$AI$6=BO$9),Prod_Carburant_Alt!$B$7:$AI$37,0))</f>
        <v>0.204382517533922</v>
      </c>
      <c r="BP46" s="566">
        <f t="array" ref="BP46">SUM(IF((Prod_Carburant_Alt!$A$7:$A$37=$B46)*(Prod_Carburant_Alt!$B$3:$AI$3=$C$2)*(Prod_Carburant_Alt!$B$5:$AI$5=BP$7)*(Prod_Carburant_Alt!$B$6:$AI$6=BP$9),Prod_Carburant_Alt!$B$7:$AI$37,0))</f>
        <v>125</v>
      </c>
      <c r="BQ46" s="565">
        <f t="shared" si="38"/>
        <v>0.60385211613703482</v>
      </c>
      <c r="BR46" s="567">
        <f t="shared" si="39"/>
        <v>131.12304522136361</v>
      </c>
      <c r="BS46" s="568">
        <f t="shared" si="40"/>
        <v>207.0043254955377</v>
      </c>
      <c r="BT46" s="569">
        <f t="shared" si="41"/>
        <v>0.55201153465476716</v>
      </c>
      <c r="BU46" s="570">
        <f t="shared" si="28"/>
        <v>138.00288366369179</v>
      </c>
      <c r="BV46" s="571">
        <f t="shared" si="42"/>
        <v>0.55201153465476716</v>
      </c>
      <c r="BW46" s="572">
        <f t="shared" si="29"/>
        <v>69.001441831845895</v>
      </c>
      <c r="BX46" s="569">
        <f t="shared" si="43"/>
        <v>0.55201153465476716</v>
      </c>
      <c r="BY46" s="568">
        <f t="shared" si="44"/>
        <v>156.8981440186227</v>
      </c>
      <c r="BZ46" s="573">
        <f>BY46*Hypothèses!$B$3/Hypothèses!$B$9</f>
        <v>57.64139269124086</v>
      </c>
      <c r="CA46" s="568">
        <f t="shared" si="45"/>
        <v>142.22057570720324</v>
      </c>
      <c r="CB46" s="562">
        <f>BW46*Prod_Carburant_Alt!$R$61+BZ46*Hypothèses!$B$13</f>
        <v>6389.0938426650155</v>
      </c>
      <c r="CC46" s="574">
        <f t="shared" si="46"/>
        <v>2960.3559370640037</v>
      </c>
      <c r="CD46" s="575">
        <f t="shared" si="47"/>
        <v>4.5473977527864884</v>
      </c>
      <c r="CE46" s="567">
        <f t="shared" si="48"/>
        <v>70.280032269315171</v>
      </c>
      <c r="CF46" s="661">
        <f>(CA46+BU46*BO46)*Hypothèses!$D$23+CE46</f>
        <v>709.37735413430084</v>
      </c>
      <c r="CG46" s="577">
        <f t="shared" si="11"/>
        <v>0.62624247952772572</v>
      </c>
      <c r="CH46" s="661">
        <f>(CA46+BU46*BO46)*Hypothèses!$B$23</f>
        <v>536.84175036658792</v>
      </c>
      <c r="CI46" s="661">
        <f t="shared" si="49"/>
        <v>0</v>
      </c>
      <c r="CJ46" s="661">
        <f>(BU46+BW46+CA46)*Hypothèses!$B$6+BZ46*Hypothèses!$B$11</f>
        <v>12.673873048459971</v>
      </c>
      <c r="CK46" s="661">
        <f>(BU46+BW46+CA46)*Hypothèses!$B$5+BZ46*Hypothèses!$B$10</f>
        <v>1004.1951468929775</v>
      </c>
      <c r="CL46" s="578">
        <f t="shared" si="12"/>
        <v>0.7372634134088103</v>
      </c>
    </row>
    <row r="47" spans="1:90" ht="14.25" customHeight="1">
      <c r="A47" s="1149"/>
      <c r="B47" s="1149"/>
      <c r="BK47" s="427"/>
      <c r="BL47" s="427"/>
      <c r="BM47" s="428"/>
      <c r="BN47" s="427"/>
      <c r="BO47" s="427"/>
      <c r="BP47" s="429"/>
      <c r="BQ47" s="429"/>
      <c r="BR47" s="429"/>
      <c r="BS47" s="427"/>
      <c r="BT47" s="427"/>
      <c r="BU47" s="429"/>
      <c r="BV47" s="429"/>
      <c r="BW47" s="429"/>
      <c r="BX47" s="429"/>
      <c r="BY47" s="429"/>
      <c r="BZ47" s="429"/>
      <c r="CA47" s="429"/>
      <c r="CB47" s="429"/>
      <c r="CC47" s="429"/>
      <c r="CD47" s="429"/>
      <c r="CE47" s="429"/>
      <c r="CF47" s="429"/>
      <c r="CG47" s="429"/>
      <c r="CH47" s="429"/>
      <c r="CI47" s="429"/>
      <c r="CJ47" s="429"/>
      <c r="CK47" s="429"/>
      <c r="CL47" s="430"/>
    </row>
    <row r="48" spans="1:90" ht="14.25" customHeight="1">
      <c r="A48" s="1149"/>
      <c r="B48" s="1149"/>
      <c r="Q48" s="579"/>
      <c r="R48" s="579"/>
      <c r="S48" s="579"/>
      <c r="Z48" s="579"/>
      <c r="AA48" s="579"/>
      <c r="AB48" s="579"/>
      <c r="AI48" s="579"/>
      <c r="AJ48" s="579"/>
      <c r="AK48" s="579"/>
      <c r="AR48" s="579"/>
      <c r="AS48" s="579"/>
      <c r="AT48" s="579"/>
      <c r="BA48" s="579"/>
      <c r="BB48" s="579"/>
      <c r="BC48" s="579"/>
      <c r="BK48" s="427"/>
      <c r="BL48" s="427"/>
      <c r="BM48" s="428"/>
      <c r="BN48" s="427"/>
      <c r="BO48" s="427"/>
      <c r="BP48" s="429"/>
      <c r="BQ48" s="429"/>
      <c r="BR48" s="429"/>
      <c r="BS48" s="427"/>
      <c r="BT48" s="427"/>
      <c r="BU48" s="429"/>
      <c r="BV48" s="429"/>
      <c r="BW48" s="429"/>
      <c r="BX48" s="429"/>
      <c r="BY48" s="580"/>
      <c r="BZ48" s="580"/>
      <c r="CA48" s="580"/>
      <c r="CB48" s="429"/>
      <c r="CC48" s="429"/>
      <c r="CD48" s="429"/>
      <c r="CE48" s="429"/>
      <c r="CF48" s="429"/>
      <c r="CG48" s="429"/>
      <c r="CH48" s="429"/>
      <c r="CI48" s="429"/>
      <c r="CJ48" s="429"/>
      <c r="CK48" s="429"/>
      <c r="CL48" s="430"/>
    </row>
    <row r="49" spans="17:90" ht="14.25" customHeight="1">
      <c r="Q49" s="579"/>
      <c r="R49" s="579"/>
      <c r="S49" s="579"/>
      <c r="Z49" s="579"/>
      <c r="AA49" s="579"/>
      <c r="AB49" s="579"/>
      <c r="AI49" s="579"/>
      <c r="AJ49" s="579"/>
      <c r="AK49" s="579"/>
      <c r="AR49" s="579"/>
      <c r="AS49" s="579"/>
      <c r="AT49" s="579"/>
      <c r="BA49" s="579"/>
      <c r="BB49" s="579"/>
      <c r="BC49" s="579"/>
      <c r="BK49" s="427"/>
      <c r="BL49" s="427"/>
      <c r="BM49" s="428"/>
      <c r="BN49" s="427"/>
      <c r="BO49" s="427"/>
      <c r="BP49" s="429"/>
      <c r="BQ49" s="429"/>
      <c r="BR49" s="429"/>
      <c r="BS49" s="427"/>
      <c r="BT49" s="427"/>
      <c r="BU49" s="429"/>
      <c r="BV49" s="429"/>
      <c r="BW49" s="429"/>
      <c r="BX49" s="429"/>
      <c r="BY49" s="429"/>
      <c r="BZ49" s="429"/>
      <c r="CA49" s="429"/>
      <c r="CB49" s="429"/>
      <c r="CC49" s="429"/>
      <c r="CD49" s="429"/>
      <c r="CE49" s="429"/>
      <c r="CF49" s="429"/>
      <c r="CG49" s="429"/>
      <c r="CH49" s="429"/>
      <c r="CI49" s="429"/>
      <c r="CJ49" s="429"/>
      <c r="CK49" s="429"/>
      <c r="CL49" s="430"/>
    </row>
    <row r="50" spans="17:90" ht="14.25" customHeight="1">
      <c r="Q50" s="579"/>
      <c r="R50" s="579"/>
      <c r="S50" s="579"/>
      <c r="Z50" s="579"/>
      <c r="AA50" s="579"/>
      <c r="AB50" s="579"/>
      <c r="AI50" s="579"/>
      <c r="AJ50" s="579"/>
      <c r="AK50" s="579"/>
      <c r="AR50" s="579"/>
      <c r="AS50" s="579"/>
      <c r="AT50" s="579"/>
      <c r="BA50" s="579"/>
      <c r="BB50" s="579"/>
      <c r="BC50" s="579"/>
      <c r="BK50" s="427"/>
      <c r="BL50" s="427"/>
      <c r="BM50" s="428"/>
      <c r="BN50" s="427"/>
      <c r="BO50" s="427"/>
      <c r="BP50" s="429"/>
      <c r="BQ50" s="429"/>
      <c r="BR50" s="429"/>
      <c r="BS50" s="427"/>
      <c r="BT50" s="427"/>
      <c r="BU50" s="429"/>
      <c r="BV50" s="429"/>
      <c r="BW50" s="429"/>
      <c r="BX50" s="429"/>
      <c r="BY50" s="429"/>
      <c r="BZ50" s="429"/>
      <c r="CA50" s="429"/>
      <c r="CB50" s="429"/>
      <c r="CC50" s="429"/>
      <c r="CD50" s="429"/>
      <c r="CE50" s="429"/>
      <c r="CF50" s="429"/>
      <c r="CG50" s="429"/>
      <c r="CH50" s="429"/>
      <c r="CI50" s="429"/>
      <c r="CJ50" s="429"/>
      <c r="CK50" s="429"/>
      <c r="CL50" s="430"/>
    </row>
    <row r="51" spans="17:90" ht="14.25" customHeight="1">
      <c r="Q51" s="579"/>
      <c r="R51" s="579"/>
      <c r="S51" s="579"/>
      <c r="Z51" s="579"/>
      <c r="AA51" s="579"/>
      <c r="AB51" s="579"/>
      <c r="AI51" s="579"/>
      <c r="AJ51" s="579"/>
      <c r="AK51" s="579"/>
      <c r="AR51" s="579"/>
      <c r="AS51" s="579"/>
      <c r="AT51" s="579"/>
      <c r="BA51" s="579"/>
      <c r="BB51" s="579"/>
      <c r="BC51" s="579"/>
      <c r="BK51" s="427"/>
      <c r="BL51" s="427"/>
      <c r="BM51" s="428"/>
      <c r="BN51" s="427"/>
      <c r="BO51" s="427"/>
      <c r="BP51" s="429"/>
      <c r="BQ51" s="429"/>
      <c r="BR51" s="429"/>
      <c r="BS51" s="427"/>
      <c r="BT51" s="427"/>
      <c r="BU51" s="429"/>
      <c r="BV51" s="429"/>
      <c r="BW51" s="429"/>
      <c r="BX51" s="429"/>
      <c r="BY51" s="429"/>
      <c r="BZ51" s="429"/>
      <c r="CA51" s="429"/>
      <c r="CB51" s="429"/>
      <c r="CC51" s="429"/>
      <c r="CD51" s="429"/>
      <c r="CE51" s="429"/>
      <c r="CF51" s="429"/>
      <c r="CG51" s="429"/>
      <c r="CH51" s="429"/>
      <c r="CI51" s="429"/>
      <c r="CJ51" s="429"/>
      <c r="CK51" s="429"/>
      <c r="CL51" s="430"/>
    </row>
    <row r="52" spans="17:90" ht="14.25" customHeight="1">
      <c r="Q52" s="579"/>
      <c r="R52" s="579"/>
      <c r="S52" s="579"/>
      <c r="Z52" s="579"/>
      <c r="AA52" s="579"/>
      <c r="AB52" s="579"/>
      <c r="AI52" s="579"/>
      <c r="AJ52" s="579"/>
      <c r="AK52" s="579"/>
      <c r="AR52" s="579"/>
      <c r="AS52" s="579"/>
      <c r="AT52" s="579"/>
      <c r="BA52" s="579"/>
      <c r="BB52" s="579"/>
      <c r="BC52" s="579"/>
      <c r="BK52" s="427"/>
      <c r="BL52" s="427"/>
      <c r="BM52" s="428"/>
      <c r="BN52" s="427"/>
      <c r="BO52" s="427"/>
      <c r="BP52" s="429"/>
      <c r="BQ52" s="429"/>
      <c r="BR52" s="429"/>
      <c r="BS52" s="427"/>
      <c r="BT52" s="427"/>
      <c r="BU52" s="429"/>
      <c r="BV52" s="429"/>
      <c r="BW52" s="429"/>
      <c r="BX52" s="429"/>
      <c r="BY52" s="429"/>
      <c r="BZ52" s="429"/>
      <c r="CA52" s="429"/>
      <c r="CB52" s="429"/>
      <c r="CC52" s="429"/>
      <c r="CD52" s="429"/>
      <c r="CE52" s="429"/>
      <c r="CF52" s="429"/>
      <c r="CG52" s="429"/>
      <c r="CH52" s="429"/>
      <c r="CI52" s="429"/>
      <c r="CJ52" s="429"/>
      <c r="CK52" s="429"/>
      <c r="CL52" s="430"/>
    </row>
    <row r="53" spans="17:90" ht="14.25" customHeight="1">
      <c r="Q53" s="579"/>
      <c r="R53" s="579"/>
      <c r="S53" s="579"/>
      <c r="Z53" s="579"/>
      <c r="AA53" s="579"/>
      <c r="AB53" s="579"/>
      <c r="AI53" s="579"/>
      <c r="AJ53" s="579"/>
      <c r="AK53" s="579"/>
      <c r="AR53" s="579"/>
      <c r="AS53" s="579"/>
      <c r="AT53" s="579"/>
      <c r="BA53" s="579"/>
      <c r="BB53" s="579"/>
      <c r="BC53" s="579"/>
      <c r="BK53" s="427"/>
      <c r="BL53" s="427"/>
      <c r="BM53" s="428"/>
      <c r="BN53" s="427"/>
      <c r="BO53" s="427"/>
      <c r="BP53" s="429"/>
      <c r="BQ53" s="429"/>
      <c r="BR53" s="429"/>
      <c r="BS53" s="427"/>
      <c r="BT53" s="427"/>
      <c r="BU53" s="429"/>
      <c r="BV53" s="429"/>
      <c r="BW53" s="429"/>
      <c r="BX53" s="429"/>
      <c r="BY53" s="429"/>
      <c r="BZ53" s="429"/>
      <c r="CA53" s="429"/>
      <c r="CB53" s="429"/>
      <c r="CC53" s="429"/>
      <c r="CD53" s="429"/>
      <c r="CE53" s="429"/>
      <c r="CF53" s="429"/>
      <c r="CG53" s="429"/>
      <c r="CH53" s="429"/>
      <c r="CI53" s="429"/>
      <c r="CJ53" s="429"/>
      <c r="CK53" s="429"/>
      <c r="CL53" s="430"/>
    </row>
    <row r="54" spans="17:90" ht="14.25" customHeight="1">
      <c r="Q54" s="579"/>
      <c r="R54" s="579"/>
      <c r="S54" s="579"/>
      <c r="Z54" s="579"/>
      <c r="AA54" s="579"/>
      <c r="AB54" s="579"/>
      <c r="AI54" s="579"/>
      <c r="AJ54" s="579"/>
      <c r="AK54" s="579"/>
      <c r="AR54" s="579"/>
      <c r="AS54" s="579"/>
      <c r="AT54" s="579"/>
      <c r="BA54" s="579"/>
      <c r="BB54" s="579"/>
      <c r="BC54" s="579"/>
      <c r="BK54" s="427"/>
      <c r="BL54" s="427"/>
      <c r="BM54" s="428"/>
      <c r="BN54" s="427"/>
      <c r="BO54" s="427"/>
      <c r="BP54" s="429"/>
      <c r="BQ54" s="429"/>
      <c r="BR54" s="429"/>
      <c r="BS54" s="427"/>
      <c r="BT54" s="427"/>
      <c r="BU54" s="429"/>
      <c r="BV54" s="429"/>
      <c r="BW54" s="429"/>
      <c r="BX54" s="429"/>
      <c r="BY54" s="429"/>
      <c r="BZ54" s="429"/>
      <c r="CA54" s="429"/>
      <c r="CB54" s="429"/>
      <c r="CC54" s="429"/>
      <c r="CD54" s="429"/>
      <c r="CE54" s="429"/>
      <c r="CF54" s="429"/>
      <c r="CG54" s="429"/>
      <c r="CH54" s="429"/>
      <c r="CI54" s="429"/>
      <c r="CJ54" s="429"/>
      <c r="CK54" s="429"/>
      <c r="CL54" s="430"/>
    </row>
    <row r="55" spans="17:90" ht="14.25" customHeight="1">
      <c r="Q55" s="579"/>
      <c r="R55" s="579"/>
      <c r="S55" s="579"/>
      <c r="Z55" s="579"/>
      <c r="AA55" s="579"/>
      <c r="AB55" s="579"/>
      <c r="AI55" s="579"/>
      <c r="AJ55" s="579"/>
      <c r="AK55" s="579"/>
      <c r="AR55" s="579"/>
      <c r="AS55" s="579"/>
      <c r="AT55" s="579"/>
      <c r="BA55" s="579"/>
      <c r="BB55" s="579"/>
      <c r="BC55" s="579"/>
      <c r="BK55" s="427"/>
      <c r="BL55" s="427"/>
      <c r="BM55" s="428"/>
      <c r="BN55" s="427"/>
      <c r="BO55" s="427"/>
      <c r="BP55" s="429"/>
      <c r="BQ55" s="429"/>
      <c r="BR55" s="429"/>
      <c r="BS55" s="427"/>
      <c r="BT55" s="427"/>
      <c r="BU55" s="429"/>
      <c r="BV55" s="429"/>
      <c r="BW55" s="429"/>
      <c r="BX55" s="429"/>
      <c r="BY55" s="429"/>
      <c r="BZ55" s="429"/>
      <c r="CA55" s="429"/>
      <c r="CB55" s="429"/>
      <c r="CC55" s="429"/>
      <c r="CD55" s="429"/>
      <c r="CE55" s="429"/>
      <c r="CF55" s="429"/>
      <c r="CG55" s="429"/>
      <c r="CH55" s="429"/>
      <c r="CI55" s="429"/>
      <c r="CJ55" s="429"/>
      <c r="CK55" s="429"/>
      <c r="CL55" s="430"/>
    </row>
    <row r="56" spans="17:90" ht="14.25" customHeight="1">
      <c r="Q56" s="579"/>
      <c r="R56" s="579"/>
      <c r="S56" s="579"/>
      <c r="Z56" s="579"/>
      <c r="AA56" s="579"/>
      <c r="AB56" s="579"/>
      <c r="AI56" s="579"/>
      <c r="AJ56" s="579"/>
      <c r="AK56" s="579"/>
      <c r="AR56" s="579"/>
      <c r="AS56" s="579"/>
      <c r="AT56" s="579"/>
      <c r="BA56" s="579"/>
      <c r="BB56" s="579"/>
      <c r="BC56" s="579"/>
      <c r="BK56" s="581"/>
      <c r="BL56" s="581"/>
      <c r="BM56" s="582"/>
      <c r="BN56" s="581"/>
      <c r="BO56" s="581"/>
      <c r="BP56" s="430"/>
      <c r="BQ56" s="430"/>
      <c r="BR56" s="430"/>
      <c r="BS56" s="581"/>
      <c r="BT56" s="581"/>
      <c r="BU56" s="430"/>
      <c r="BV56" s="430"/>
      <c r="BW56" s="430"/>
      <c r="BX56" s="430"/>
      <c r="BY56" s="430"/>
      <c r="BZ56" s="430"/>
      <c r="CA56" s="430"/>
      <c r="CB56" s="430"/>
      <c r="CC56" s="430"/>
      <c r="CD56" s="430"/>
      <c r="CE56" s="430"/>
      <c r="CF56" s="430"/>
      <c r="CG56" s="430"/>
      <c r="CH56" s="430"/>
      <c r="CI56" s="430"/>
      <c r="CJ56" s="430"/>
      <c r="CK56" s="430"/>
      <c r="CL56" s="430"/>
    </row>
    <row r="57" spans="17:90" ht="14.25" customHeight="1">
      <c r="Q57" s="579"/>
      <c r="R57" s="579"/>
      <c r="S57" s="579"/>
      <c r="Z57" s="579"/>
      <c r="AA57" s="579"/>
      <c r="AB57" s="579"/>
      <c r="AI57" s="579"/>
      <c r="AJ57" s="579"/>
      <c r="AK57" s="579"/>
      <c r="AR57" s="579"/>
      <c r="AS57" s="579"/>
      <c r="AT57" s="579"/>
      <c r="BA57" s="579"/>
      <c r="BB57" s="579"/>
      <c r="BC57" s="579"/>
      <c r="BK57" s="581"/>
      <c r="BL57" s="581"/>
      <c r="BM57" s="582"/>
      <c r="BN57" s="581"/>
      <c r="BO57" s="581"/>
      <c r="BP57" s="430"/>
      <c r="BQ57" s="430"/>
      <c r="BR57" s="430"/>
      <c r="BS57" s="581"/>
      <c r="BT57" s="581"/>
      <c r="BU57" s="430"/>
      <c r="BV57" s="430"/>
      <c r="BW57" s="430"/>
      <c r="BX57" s="430"/>
      <c r="BY57" s="430"/>
      <c r="BZ57" s="430"/>
      <c r="CA57" s="430"/>
      <c r="CB57" s="430"/>
      <c r="CC57" s="430"/>
      <c r="CD57" s="430"/>
      <c r="CE57" s="430"/>
      <c r="CF57" s="430"/>
      <c r="CG57" s="430"/>
      <c r="CH57" s="430"/>
      <c r="CI57" s="430"/>
      <c r="CJ57" s="430"/>
      <c r="CK57" s="430"/>
      <c r="CL57" s="430"/>
    </row>
    <row r="58" spans="17:90" ht="14.25" customHeight="1">
      <c r="Q58" s="579"/>
      <c r="R58" s="579"/>
      <c r="S58" s="579"/>
      <c r="Z58" s="579"/>
      <c r="AA58" s="579"/>
      <c r="AB58" s="579"/>
      <c r="AI58" s="579"/>
      <c r="AJ58" s="579"/>
      <c r="AK58" s="579"/>
      <c r="AR58" s="579"/>
      <c r="AS58" s="579"/>
      <c r="AT58" s="579"/>
      <c r="BA58" s="579"/>
      <c r="BB58" s="579"/>
      <c r="BC58" s="579"/>
      <c r="BK58" s="581"/>
      <c r="BL58" s="581"/>
      <c r="BM58" s="582"/>
      <c r="BN58" s="581"/>
      <c r="BO58" s="581"/>
      <c r="BP58" s="430"/>
      <c r="BQ58" s="430"/>
      <c r="BR58" s="430"/>
      <c r="BS58" s="581"/>
      <c r="BT58" s="581"/>
      <c r="BU58" s="430"/>
      <c r="BV58" s="430"/>
      <c r="BW58" s="430"/>
      <c r="BX58" s="430"/>
      <c r="BY58" s="430"/>
      <c r="BZ58" s="430"/>
      <c r="CA58" s="430"/>
      <c r="CB58" s="430"/>
      <c r="CC58" s="430"/>
      <c r="CD58" s="430"/>
      <c r="CE58" s="430"/>
      <c r="CF58" s="430"/>
      <c r="CG58" s="430"/>
      <c r="CH58" s="430"/>
      <c r="CI58" s="430"/>
      <c r="CJ58" s="430"/>
      <c r="CK58" s="430"/>
      <c r="CL58" s="430"/>
    </row>
    <row r="59" spans="17:90" ht="14.25" customHeight="1">
      <c r="Q59" s="579"/>
      <c r="R59" s="579"/>
      <c r="S59" s="579"/>
      <c r="Z59" s="579"/>
      <c r="AA59" s="579"/>
      <c r="AB59" s="579"/>
      <c r="AI59" s="579"/>
      <c r="AJ59" s="579"/>
      <c r="AK59" s="579"/>
      <c r="AR59" s="579"/>
      <c r="AS59" s="579"/>
      <c r="AT59" s="579"/>
      <c r="BA59" s="579"/>
      <c r="BB59" s="579"/>
      <c r="BC59" s="579"/>
      <c r="BK59" s="581"/>
      <c r="BL59" s="581"/>
      <c r="BM59" s="582"/>
      <c r="BN59" s="581"/>
      <c r="BO59" s="581"/>
      <c r="BP59" s="430"/>
      <c r="BQ59" s="430"/>
      <c r="BR59" s="430"/>
      <c r="BS59" s="581"/>
      <c r="BT59" s="581"/>
      <c r="BU59" s="430"/>
      <c r="BV59" s="430"/>
      <c r="BW59" s="430"/>
      <c r="BX59" s="430"/>
      <c r="BY59" s="430"/>
      <c r="BZ59" s="430"/>
      <c r="CA59" s="430"/>
      <c r="CB59" s="430"/>
      <c r="CC59" s="430"/>
      <c r="CD59" s="430"/>
      <c r="CE59" s="430"/>
      <c r="CF59" s="430"/>
      <c r="CG59" s="430"/>
      <c r="CH59" s="430"/>
      <c r="CI59" s="430"/>
      <c r="CJ59" s="430"/>
      <c r="CK59" s="430"/>
      <c r="CL59" s="430"/>
    </row>
    <row r="60" spans="17:90" ht="14.25" customHeight="1">
      <c r="Q60" s="579"/>
      <c r="R60" s="579"/>
      <c r="S60" s="579"/>
      <c r="Z60" s="579"/>
      <c r="AA60" s="579"/>
      <c r="AB60" s="579"/>
      <c r="AI60" s="579"/>
      <c r="AJ60" s="579"/>
      <c r="AK60" s="579"/>
      <c r="AR60" s="579"/>
      <c r="AS60" s="579"/>
      <c r="AT60" s="579"/>
      <c r="BA60" s="579"/>
      <c r="BB60" s="579"/>
      <c r="BC60" s="579"/>
      <c r="BK60" s="581"/>
      <c r="BL60" s="581"/>
      <c r="BM60" s="582"/>
      <c r="BN60" s="581"/>
      <c r="BO60" s="581"/>
      <c r="BP60" s="430"/>
      <c r="BQ60" s="430"/>
      <c r="BR60" s="430"/>
      <c r="BS60" s="581"/>
      <c r="BT60" s="581"/>
      <c r="BU60" s="430"/>
      <c r="BV60" s="430"/>
      <c r="BW60" s="430"/>
      <c r="BX60" s="430"/>
      <c r="BY60" s="430"/>
      <c r="BZ60" s="430"/>
      <c r="CA60" s="430"/>
      <c r="CB60" s="430"/>
      <c r="CC60" s="430"/>
      <c r="CD60" s="430"/>
      <c r="CE60" s="430"/>
      <c r="CF60" s="430"/>
      <c r="CG60" s="430"/>
      <c r="CH60" s="430"/>
      <c r="CI60" s="430"/>
      <c r="CJ60" s="430"/>
      <c r="CK60" s="430"/>
      <c r="CL60" s="430"/>
    </row>
    <row r="61" spans="17:90" ht="14.25" customHeight="1">
      <c r="Q61" s="579"/>
      <c r="R61" s="579"/>
      <c r="S61" s="579"/>
      <c r="Z61" s="579"/>
      <c r="AA61" s="579"/>
      <c r="AB61" s="579"/>
      <c r="AI61" s="579"/>
      <c r="AJ61" s="579"/>
      <c r="AK61" s="579"/>
      <c r="AR61" s="579"/>
      <c r="AS61" s="579"/>
      <c r="AT61" s="579"/>
      <c r="BA61" s="579"/>
      <c r="BB61" s="579"/>
      <c r="BC61" s="579"/>
      <c r="BK61" s="581"/>
      <c r="BL61" s="581"/>
      <c r="BM61" s="582"/>
      <c r="BN61" s="581"/>
      <c r="BO61" s="581"/>
      <c r="BP61" s="430"/>
      <c r="BQ61" s="430"/>
      <c r="BR61" s="430"/>
      <c r="BS61" s="581"/>
      <c r="BT61" s="581"/>
      <c r="BU61" s="430"/>
      <c r="BV61" s="430"/>
      <c r="BW61" s="430"/>
      <c r="BX61" s="430"/>
      <c r="BY61" s="430"/>
      <c r="BZ61" s="430"/>
      <c r="CA61" s="430"/>
      <c r="CB61" s="430"/>
      <c r="CC61" s="430"/>
      <c r="CD61" s="430"/>
      <c r="CE61" s="430"/>
      <c r="CF61" s="430"/>
      <c r="CG61" s="430"/>
      <c r="CH61" s="430"/>
      <c r="CI61" s="430"/>
      <c r="CJ61" s="430"/>
      <c r="CK61" s="430"/>
      <c r="CL61" s="430"/>
    </row>
    <row r="62" spans="17:90" ht="14.25" customHeight="1">
      <c r="Q62" s="579"/>
      <c r="R62" s="579"/>
      <c r="S62" s="579"/>
      <c r="Z62" s="579"/>
      <c r="AA62" s="579"/>
      <c r="AB62" s="579"/>
      <c r="AI62" s="579"/>
      <c r="AJ62" s="579"/>
      <c r="AK62" s="579"/>
      <c r="AR62" s="579"/>
      <c r="AS62" s="579"/>
      <c r="AT62" s="579"/>
      <c r="BA62" s="579"/>
      <c r="BB62" s="579"/>
      <c r="BC62" s="579"/>
      <c r="BK62" s="581"/>
      <c r="BL62" s="581"/>
      <c r="BM62" s="582"/>
      <c r="BN62" s="581"/>
      <c r="BO62" s="581"/>
      <c r="BP62" s="430"/>
      <c r="BQ62" s="430"/>
      <c r="BR62" s="430"/>
      <c r="BS62" s="581"/>
      <c r="BT62" s="581"/>
      <c r="BU62" s="430"/>
      <c r="BV62" s="430"/>
      <c r="BW62" s="430"/>
      <c r="BX62" s="430"/>
      <c r="BY62" s="430"/>
      <c r="BZ62" s="430"/>
      <c r="CA62" s="430"/>
      <c r="CB62" s="430"/>
      <c r="CC62" s="430"/>
      <c r="CD62" s="430"/>
      <c r="CE62" s="430"/>
      <c r="CF62" s="430"/>
      <c r="CG62" s="430"/>
      <c r="CH62" s="430"/>
      <c r="CI62" s="430"/>
      <c r="CJ62" s="430"/>
      <c r="CK62" s="430"/>
      <c r="CL62" s="430"/>
    </row>
    <row r="63" spans="17:90" ht="14.25" customHeight="1">
      <c r="Q63" s="579"/>
      <c r="R63" s="579"/>
      <c r="S63" s="579"/>
      <c r="Z63" s="579"/>
      <c r="AA63" s="579"/>
      <c r="AB63" s="579"/>
      <c r="AI63" s="579"/>
      <c r="AJ63" s="579"/>
      <c r="AK63" s="579"/>
      <c r="AR63" s="579"/>
      <c r="AS63" s="579"/>
      <c r="AT63" s="579"/>
      <c r="BA63" s="579"/>
      <c r="BB63" s="579"/>
      <c r="BC63" s="579"/>
      <c r="BK63" s="581"/>
      <c r="BL63" s="581"/>
      <c r="BM63" s="582"/>
      <c r="BN63" s="581"/>
      <c r="BO63" s="581"/>
      <c r="BP63" s="430"/>
      <c r="BQ63" s="430"/>
      <c r="BR63" s="430"/>
      <c r="BS63" s="581"/>
      <c r="BT63" s="581"/>
      <c r="BU63" s="430"/>
      <c r="BV63" s="430"/>
      <c r="BW63" s="430"/>
      <c r="BX63" s="430"/>
      <c r="BY63" s="430"/>
      <c r="BZ63" s="430"/>
      <c r="CA63" s="430"/>
      <c r="CB63" s="430"/>
      <c r="CC63" s="430"/>
      <c r="CD63" s="430"/>
      <c r="CE63" s="430"/>
      <c r="CF63" s="430"/>
      <c r="CG63" s="430"/>
      <c r="CH63" s="430"/>
      <c r="CI63" s="430"/>
      <c r="CJ63" s="430"/>
      <c r="CK63" s="430"/>
      <c r="CL63" s="430"/>
    </row>
    <row r="64" spans="17:90" ht="14.25" customHeight="1">
      <c r="Q64" s="579"/>
      <c r="R64" s="579"/>
      <c r="S64" s="579"/>
      <c r="Z64" s="579"/>
      <c r="AA64" s="579"/>
      <c r="AB64" s="579"/>
      <c r="AI64" s="579"/>
      <c r="AJ64" s="579"/>
      <c r="AK64" s="579"/>
      <c r="AR64" s="579"/>
      <c r="AS64" s="579"/>
      <c r="AT64" s="579"/>
      <c r="BA64" s="579"/>
      <c r="BB64" s="579"/>
      <c r="BC64" s="579"/>
      <c r="BK64" s="581"/>
      <c r="BL64" s="581"/>
      <c r="BM64" s="582"/>
      <c r="BN64" s="581"/>
      <c r="BO64" s="581"/>
      <c r="BP64" s="430"/>
      <c r="BQ64" s="430"/>
      <c r="BR64" s="430"/>
      <c r="BS64" s="581"/>
      <c r="BT64" s="581"/>
      <c r="BU64" s="430"/>
      <c r="BV64" s="430"/>
      <c r="BW64" s="430"/>
      <c r="BX64" s="430"/>
      <c r="BY64" s="430"/>
      <c r="BZ64" s="430"/>
      <c r="CA64" s="430"/>
      <c r="CB64" s="430"/>
      <c r="CC64" s="430"/>
      <c r="CD64" s="430"/>
      <c r="CE64" s="430"/>
      <c r="CF64" s="430"/>
      <c r="CG64" s="430"/>
      <c r="CH64" s="430"/>
      <c r="CI64" s="430"/>
      <c r="CJ64" s="430"/>
      <c r="CK64" s="430"/>
      <c r="CL64" s="430"/>
    </row>
    <row r="65" spans="17:90" ht="14.25" customHeight="1">
      <c r="Q65" s="579"/>
      <c r="R65" s="579"/>
      <c r="S65" s="579"/>
      <c r="Z65" s="579"/>
      <c r="AA65" s="579"/>
      <c r="AB65" s="579"/>
      <c r="AI65" s="579"/>
      <c r="AJ65" s="579"/>
      <c r="AK65" s="579"/>
      <c r="AR65" s="579"/>
      <c r="AS65" s="579"/>
      <c r="AT65" s="579"/>
      <c r="BA65" s="579"/>
      <c r="BB65" s="579"/>
      <c r="BC65" s="579"/>
      <c r="BK65" s="581"/>
      <c r="BL65" s="581"/>
      <c r="BM65" s="582"/>
      <c r="BN65" s="581"/>
      <c r="BO65" s="581"/>
      <c r="BP65" s="430"/>
      <c r="BQ65" s="430"/>
      <c r="BR65" s="430"/>
      <c r="BS65" s="581"/>
      <c r="BT65" s="581"/>
      <c r="BU65" s="430"/>
      <c r="BV65" s="430"/>
      <c r="BW65" s="430"/>
      <c r="BX65" s="430"/>
      <c r="BY65" s="430"/>
      <c r="BZ65" s="430"/>
      <c r="CA65" s="430"/>
      <c r="CB65" s="430"/>
      <c r="CC65" s="430"/>
      <c r="CD65" s="430"/>
      <c r="CE65" s="430"/>
      <c r="CF65" s="430"/>
      <c r="CG65" s="430"/>
      <c r="CH65" s="430"/>
      <c r="CI65" s="430"/>
      <c r="CJ65" s="430"/>
      <c r="CK65" s="430"/>
      <c r="CL65" s="430"/>
    </row>
    <row r="66" spans="17:90" ht="14.25" customHeight="1">
      <c r="Q66" s="579"/>
      <c r="R66" s="579"/>
      <c r="S66" s="579"/>
      <c r="Z66" s="579"/>
      <c r="AA66" s="579"/>
      <c r="AB66" s="579"/>
      <c r="AI66" s="579"/>
      <c r="AJ66" s="579"/>
      <c r="AK66" s="579"/>
      <c r="AR66" s="579"/>
      <c r="AS66" s="579"/>
      <c r="AT66" s="579"/>
      <c r="BA66" s="579"/>
      <c r="BB66" s="579"/>
      <c r="BC66" s="579"/>
      <c r="BK66" s="581"/>
      <c r="BL66" s="581"/>
      <c r="BM66" s="582"/>
      <c r="BN66" s="581"/>
      <c r="BO66" s="581"/>
      <c r="BP66" s="430"/>
      <c r="BQ66" s="430"/>
      <c r="BR66" s="430"/>
      <c r="BS66" s="581"/>
      <c r="BT66" s="581"/>
      <c r="BU66" s="430"/>
      <c r="BV66" s="430"/>
      <c r="BW66" s="430"/>
      <c r="BX66" s="430"/>
      <c r="BY66" s="430"/>
      <c r="BZ66" s="430"/>
      <c r="CA66" s="430"/>
      <c r="CB66" s="430"/>
      <c r="CC66" s="430"/>
      <c r="CD66" s="430"/>
      <c r="CE66" s="430"/>
      <c r="CF66" s="430"/>
      <c r="CG66" s="430"/>
      <c r="CH66" s="430"/>
      <c r="CI66" s="430"/>
      <c r="CJ66" s="430"/>
      <c r="CK66" s="430"/>
      <c r="CL66" s="430"/>
    </row>
    <row r="67" spans="17:90" ht="14.25" customHeight="1">
      <c r="Q67" s="579"/>
      <c r="R67" s="579"/>
      <c r="S67" s="579"/>
      <c r="Z67" s="579"/>
      <c r="AA67" s="579"/>
      <c r="AB67" s="579"/>
      <c r="AI67" s="579"/>
      <c r="AJ67" s="579"/>
      <c r="AK67" s="579"/>
      <c r="AR67" s="579"/>
      <c r="AS67" s="579"/>
      <c r="AT67" s="579"/>
      <c r="BA67" s="579"/>
      <c r="BB67" s="579"/>
      <c r="BC67" s="579"/>
      <c r="BK67" s="581"/>
      <c r="BL67" s="581"/>
      <c r="BM67" s="582"/>
      <c r="BN67" s="581"/>
      <c r="BO67" s="581"/>
      <c r="BP67" s="430"/>
      <c r="BQ67" s="430"/>
      <c r="BR67" s="430"/>
      <c r="BS67" s="581"/>
      <c r="BT67" s="581"/>
      <c r="BU67" s="430"/>
      <c r="BV67" s="430"/>
      <c r="BW67" s="430"/>
      <c r="BX67" s="430"/>
      <c r="BY67" s="430"/>
      <c r="BZ67" s="430"/>
      <c r="CA67" s="430"/>
      <c r="CB67" s="430"/>
      <c r="CC67" s="430"/>
      <c r="CD67" s="430"/>
      <c r="CE67" s="430"/>
      <c r="CF67" s="430"/>
      <c r="CG67" s="430"/>
      <c r="CH67" s="430"/>
      <c r="CI67" s="430"/>
      <c r="CJ67" s="430"/>
      <c r="CK67" s="430"/>
      <c r="CL67" s="430"/>
    </row>
    <row r="68" spans="17:90" ht="14.25" customHeight="1">
      <c r="Q68" s="579"/>
      <c r="R68" s="579"/>
      <c r="S68" s="579"/>
      <c r="Z68" s="579"/>
      <c r="AA68" s="579"/>
      <c r="AB68" s="579"/>
      <c r="AI68" s="579"/>
      <c r="AJ68" s="579"/>
      <c r="AK68" s="579"/>
      <c r="AR68" s="579"/>
      <c r="AS68" s="579"/>
      <c r="AT68" s="579"/>
      <c r="BA68" s="579"/>
      <c r="BB68" s="579"/>
      <c r="BC68" s="579"/>
      <c r="BK68" s="581"/>
      <c r="BL68" s="581"/>
      <c r="BM68" s="582"/>
      <c r="BN68" s="581"/>
      <c r="BO68" s="581"/>
      <c r="BP68" s="430"/>
      <c r="BQ68" s="430"/>
      <c r="BR68" s="430"/>
      <c r="BS68" s="581"/>
      <c r="BT68" s="581"/>
      <c r="BU68" s="430"/>
      <c r="BV68" s="430"/>
      <c r="BW68" s="430"/>
      <c r="BX68" s="430"/>
      <c r="BY68" s="430"/>
      <c r="BZ68" s="430"/>
      <c r="CA68" s="430"/>
      <c r="CB68" s="430"/>
      <c r="CC68" s="430"/>
      <c r="CD68" s="430"/>
      <c r="CE68" s="430"/>
      <c r="CF68" s="430"/>
      <c r="CG68" s="430"/>
      <c r="CH68" s="430"/>
      <c r="CI68" s="430"/>
      <c r="CJ68" s="430"/>
      <c r="CK68" s="430"/>
      <c r="CL68" s="430"/>
    </row>
    <row r="69" spans="17:90" ht="14.25" customHeight="1">
      <c r="Q69" s="579"/>
      <c r="R69" s="579"/>
      <c r="S69" s="579"/>
      <c r="Z69" s="579"/>
      <c r="AA69" s="579"/>
      <c r="AB69" s="579"/>
      <c r="AI69" s="579"/>
      <c r="AJ69" s="579"/>
      <c r="AK69" s="579"/>
      <c r="AR69" s="579"/>
      <c r="AS69" s="579"/>
      <c r="AT69" s="579"/>
      <c r="BA69" s="579"/>
      <c r="BB69" s="579"/>
      <c r="BC69" s="579"/>
      <c r="BK69" s="581"/>
      <c r="BL69" s="581"/>
      <c r="BM69" s="582"/>
      <c r="BN69" s="581"/>
      <c r="BO69" s="581"/>
      <c r="BP69" s="430"/>
      <c r="BQ69" s="430"/>
      <c r="BR69" s="430"/>
      <c r="BS69" s="581"/>
      <c r="BT69" s="581"/>
      <c r="BU69" s="430"/>
      <c r="BV69" s="430"/>
      <c r="BW69" s="430"/>
      <c r="BX69" s="430"/>
      <c r="BY69" s="430"/>
      <c r="BZ69" s="430"/>
      <c r="CA69" s="430"/>
      <c r="CB69" s="430"/>
      <c r="CC69" s="430"/>
      <c r="CD69" s="430"/>
      <c r="CE69" s="430"/>
      <c r="CF69" s="430"/>
      <c r="CG69" s="430"/>
      <c r="CH69" s="430"/>
      <c r="CI69" s="430"/>
      <c r="CJ69" s="430"/>
      <c r="CK69" s="430"/>
      <c r="CL69" s="430"/>
    </row>
    <row r="70" spans="17:90" ht="14.25" customHeight="1">
      <c r="Q70" s="579"/>
      <c r="R70" s="579"/>
      <c r="S70" s="579"/>
      <c r="Z70" s="579"/>
      <c r="AA70" s="579"/>
      <c r="AB70" s="579"/>
      <c r="AI70" s="579"/>
      <c r="AJ70" s="579"/>
      <c r="AK70" s="579"/>
      <c r="AR70" s="579"/>
      <c r="AS70" s="579"/>
      <c r="AT70" s="579"/>
      <c r="BA70" s="579"/>
      <c r="BB70" s="579"/>
      <c r="BC70" s="579"/>
      <c r="BK70" s="581"/>
      <c r="BL70" s="581"/>
      <c r="BM70" s="582"/>
      <c r="BN70" s="581"/>
      <c r="BO70" s="581"/>
      <c r="BP70" s="430"/>
      <c r="BQ70" s="430"/>
      <c r="BR70" s="430"/>
      <c r="BS70" s="581"/>
      <c r="BT70" s="581"/>
      <c r="BU70" s="430"/>
      <c r="BV70" s="430"/>
      <c r="BW70" s="430"/>
      <c r="BX70" s="430"/>
      <c r="BY70" s="430"/>
      <c r="BZ70" s="430"/>
      <c r="CA70" s="430"/>
      <c r="CB70" s="430"/>
      <c r="CC70" s="430"/>
      <c r="CD70" s="430"/>
      <c r="CE70" s="430"/>
      <c r="CF70" s="430"/>
      <c r="CG70" s="430"/>
      <c r="CH70" s="430"/>
      <c r="CI70" s="430"/>
      <c r="CJ70" s="430"/>
      <c r="CK70" s="430"/>
      <c r="CL70" s="430"/>
    </row>
    <row r="71" spans="17:90" ht="14.25" customHeight="1">
      <c r="Q71" s="579"/>
      <c r="R71" s="579"/>
      <c r="S71" s="579"/>
      <c r="Z71" s="579"/>
      <c r="AA71" s="579"/>
      <c r="AB71" s="579"/>
      <c r="AI71" s="579"/>
      <c r="AJ71" s="579"/>
      <c r="AK71" s="579"/>
      <c r="AR71" s="579"/>
      <c r="AS71" s="579"/>
      <c r="AT71" s="579"/>
      <c r="BA71" s="579"/>
      <c r="BB71" s="579"/>
      <c r="BC71" s="579"/>
      <c r="BK71" s="581"/>
      <c r="BL71" s="581"/>
      <c r="BM71" s="582"/>
      <c r="BN71" s="581"/>
      <c r="BO71" s="581"/>
      <c r="BP71" s="430"/>
      <c r="BQ71" s="430"/>
      <c r="BR71" s="430"/>
      <c r="BS71" s="581"/>
      <c r="BT71" s="581"/>
      <c r="BU71" s="430"/>
      <c r="BV71" s="430"/>
      <c r="BW71" s="430"/>
      <c r="BX71" s="430"/>
      <c r="BY71" s="430"/>
      <c r="BZ71" s="430"/>
      <c r="CA71" s="430"/>
      <c r="CB71" s="430"/>
      <c r="CC71" s="430"/>
      <c r="CD71" s="430"/>
      <c r="CE71" s="430"/>
      <c r="CF71" s="430"/>
      <c r="CG71" s="430"/>
      <c r="CH71" s="430"/>
      <c r="CI71" s="430"/>
      <c r="CJ71" s="430"/>
      <c r="CK71" s="430"/>
      <c r="CL71" s="430"/>
    </row>
    <row r="72" spans="17:90" ht="14.25" customHeight="1">
      <c r="Q72" s="579"/>
      <c r="R72" s="579"/>
      <c r="S72" s="579"/>
      <c r="Z72" s="579"/>
      <c r="AA72" s="579"/>
      <c r="AB72" s="579"/>
      <c r="AI72" s="579"/>
      <c r="AJ72" s="579"/>
      <c r="AK72" s="579"/>
      <c r="AR72" s="579"/>
      <c r="AS72" s="579"/>
      <c r="AT72" s="579"/>
      <c r="BA72" s="579"/>
      <c r="BB72" s="579"/>
      <c r="BC72" s="579"/>
      <c r="BK72" s="581"/>
      <c r="BL72" s="581"/>
      <c r="BM72" s="582"/>
      <c r="BN72" s="581"/>
      <c r="BO72" s="581"/>
      <c r="BP72" s="430"/>
      <c r="BQ72" s="430"/>
      <c r="BR72" s="430"/>
      <c r="BS72" s="581"/>
      <c r="BT72" s="581"/>
      <c r="BU72" s="430"/>
      <c r="BV72" s="430"/>
      <c r="BW72" s="430"/>
      <c r="BX72" s="430"/>
      <c r="BY72" s="430"/>
      <c r="BZ72" s="430"/>
      <c r="CA72" s="430"/>
      <c r="CB72" s="430"/>
      <c r="CC72" s="430"/>
      <c r="CD72" s="430"/>
      <c r="CE72" s="430"/>
      <c r="CF72" s="430"/>
      <c r="CG72" s="430"/>
      <c r="CH72" s="430"/>
      <c r="CI72" s="430"/>
      <c r="CJ72" s="430"/>
      <c r="CK72" s="430"/>
      <c r="CL72" s="430"/>
    </row>
    <row r="73" spans="17:90" ht="14.25" customHeight="1">
      <c r="Q73" s="579"/>
      <c r="R73" s="579"/>
      <c r="S73" s="579"/>
      <c r="Z73" s="579"/>
      <c r="AA73" s="579"/>
      <c r="AB73" s="579"/>
      <c r="AI73" s="579"/>
      <c r="AJ73" s="579"/>
      <c r="AK73" s="579"/>
      <c r="AR73" s="579"/>
      <c r="AS73" s="579"/>
      <c r="AT73" s="579"/>
      <c r="BA73" s="579"/>
      <c r="BB73" s="579"/>
      <c r="BC73" s="579"/>
      <c r="BK73" s="581"/>
      <c r="BL73" s="581"/>
      <c r="BM73" s="582"/>
      <c r="BN73" s="581"/>
      <c r="BO73" s="581"/>
      <c r="BP73" s="430"/>
      <c r="BQ73" s="430"/>
      <c r="BR73" s="430"/>
      <c r="BS73" s="581"/>
      <c r="BT73" s="581"/>
      <c r="BU73" s="430"/>
      <c r="BV73" s="430"/>
      <c r="BW73" s="430"/>
      <c r="BX73" s="430"/>
      <c r="BY73" s="430"/>
      <c r="BZ73" s="430"/>
      <c r="CA73" s="430"/>
      <c r="CB73" s="430"/>
      <c r="CC73" s="430"/>
      <c r="CD73" s="430"/>
      <c r="CE73" s="430"/>
      <c r="CF73" s="430"/>
      <c r="CG73" s="430"/>
      <c r="CH73" s="430"/>
      <c r="CI73" s="430"/>
      <c r="CJ73" s="430"/>
      <c r="CK73" s="430"/>
      <c r="CL73" s="430"/>
    </row>
    <row r="74" spans="17:90" ht="14.25" customHeight="1">
      <c r="Q74" s="579"/>
      <c r="R74" s="579"/>
      <c r="S74" s="579"/>
      <c r="Z74" s="579"/>
      <c r="AA74" s="579"/>
      <c r="AB74" s="579"/>
      <c r="AI74" s="579"/>
      <c r="AJ74" s="579"/>
      <c r="AK74" s="579"/>
      <c r="AR74" s="579"/>
      <c r="AS74" s="579"/>
      <c r="AT74" s="579"/>
      <c r="BA74" s="579"/>
      <c r="BB74" s="579"/>
      <c r="BC74" s="579"/>
      <c r="BK74" s="581"/>
      <c r="BL74" s="581"/>
      <c r="BM74" s="582"/>
      <c r="BN74" s="581"/>
      <c r="BO74" s="581"/>
      <c r="BP74" s="430"/>
      <c r="BQ74" s="430"/>
      <c r="BR74" s="430"/>
      <c r="BS74" s="581"/>
      <c r="BT74" s="581"/>
      <c r="BU74" s="430"/>
      <c r="BV74" s="430"/>
      <c r="BW74" s="430"/>
      <c r="BX74" s="430"/>
      <c r="BY74" s="430"/>
      <c r="BZ74" s="430"/>
      <c r="CA74" s="430"/>
      <c r="CB74" s="430"/>
      <c r="CC74" s="430"/>
      <c r="CD74" s="430"/>
      <c r="CE74" s="430"/>
      <c r="CF74" s="430"/>
      <c r="CG74" s="430"/>
      <c r="CH74" s="430"/>
      <c r="CI74" s="430"/>
      <c r="CJ74" s="430"/>
      <c r="CK74" s="430"/>
      <c r="CL74" s="430"/>
    </row>
    <row r="75" spans="17:90" ht="14.25" customHeight="1">
      <c r="Q75" s="579"/>
      <c r="R75" s="579"/>
      <c r="S75" s="579"/>
      <c r="Z75" s="579"/>
      <c r="AA75" s="579"/>
      <c r="AB75" s="579"/>
      <c r="AI75" s="579"/>
      <c r="AJ75" s="579"/>
      <c r="AK75" s="579"/>
      <c r="AR75" s="579"/>
      <c r="AS75" s="579"/>
      <c r="AT75" s="579"/>
      <c r="BA75" s="579"/>
      <c r="BB75" s="579"/>
      <c r="BC75" s="579"/>
      <c r="BK75" s="581"/>
      <c r="BL75" s="581"/>
      <c r="BM75" s="582"/>
      <c r="BN75" s="581"/>
      <c r="BO75" s="581"/>
      <c r="BP75" s="430"/>
      <c r="BQ75" s="430"/>
      <c r="BR75" s="430"/>
      <c r="BS75" s="581"/>
      <c r="BT75" s="581"/>
      <c r="BU75" s="430"/>
      <c r="BV75" s="430"/>
      <c r="BW75" s="430"/>
      <c r="BX75" s="430"/>
      <c r="BY75" s="430"/>
      <c r="BZ75" s="430"/>
      <c r="CA75" s="430"/>
      <c r="CB75" s="430"/>
      <c r="CC75" s="430"/>
      <c r="CD75" s="430"/>
      <c r="CE75" s="430"/>
      <c r="CF75" s="430"/>
      <c r="CG75" s="430"/>
      <c r="CH75" s="430"/>
      <c r="CI75" s="430"/>
      <c r="CJ75" s="430"/>
      <c r="CK75" s="430"/>
      <c r="CL75" s="430"/>
    </row>
    <row r="76" spans="17:90" ht="14.25" customHeight="1">
      <c r="Q76" s="579"/>
      <c r="R76" s="579"/>
      <c r="S76" s="579"/>
      <c r="Z76" s="579"/>
      <c r="AA76" s="579"/>
      <c r="AB76" s="579"/>
      <c r="AI76" s="579"/>
      <c r="AJ76" s="579"/>
      <c r="AK76" s="579"/>
      <c r="AR76" s="579"/>
      <c r="AS76" s="579"/>
      <c r="AT76" s="579"/>
      <c r="BA76" s="579"/>
      <c r="BB76" s="579"/>
      <c r="BC76" s="579"/>
      <c r="BK76" s="581"/>
      <c r="BL76" s="581"/>
      <c r="BM76" s="582"/>
      <c r="BN76" s="581"/>
      <c r="BO76" s="581"/>
      <c r="BP76" s="430"/>
      <c r="BQ76" s="430"/>
      <c r="BR76" s="430"/>
      <c r="BS76" s="581"/>
      <c r="BT76" s="581"/>
      <c r="BU76" s="430"/>
      <c r="BV76" s="430"/>
      <c r="BW76" s="430"/>
      <c r="BX76" s="430"/>
      <c r="BY76" s="430"/>
      <c r="BZ76" s="430"/>
      <c r="CA76" s="430"/>
      <c r="CB76" s="430"/>
      <c r="CC76" s="430"/>
      <c r="CD76" s="430"/>
      <c r="CE76" s="430"/>
      <c r="CF76" s="430"/>
      <c r="CG76" s="430"/>
      <c r="CH76" s="430"/>
      <c r="CI76" s="430"/>
      <c r="CJ76" s="430"/>
      <c r="CK76" s="430"/>
      <c r="CL76" s="430"/>
    </row>
    <row r="77" spans="17:90" ht="14.25" customHeight="1">
      <c r="Q77" s="579"/>
      <c r="R77" s="579"/>
      <c r="S77" s="579"/>
      <c r="Z77" s="579"/>
      <c r="AA77" s="579"/>
      <c r="AB77" s="579"/>
      <c r="AI77" s="579"/>
      <c r="AJ77" s="579"/>
      <c r="AK77" s="579"/>
      <c r="AR77" s="579"/>
      <c r="AS77" s="579"/>
      <c r="AT77" s="579"/>
      <c r="BA77" s="579"/>
      <c r="BB77" s="579"/>
      <c r="BC77" s="579"/>
      <c r="BK77" s="581"/>
      <c r="BL77" s="581"/>
      <c r="BM77" s="582"/>
      <c r="BN77" s="581"/>
      <c r="BO77" s="581"/>
      <c r="BP77" s="430"/>
      <c r="BQ77" s="430"/>
      <c r="BR77" s="430"/>
      <c r="BS77" s="581"/>
      <c r="BT77" s="581"/>
      <c r="BU77" s="430"/>
      <c r="BV77" s="430"/>
      <c r="BW77" s="430"/>
      <c r="BX77" s="430"/>
      <c r="BY77" s="430"/>
      <c r="BZ77" s="430"/>
      <c r="CA77" s="430"/>
      <c r="CB77" s="430"/>
      <c r="CC77" s="430"/>
      <c r="CD77" s="430"/>
      <c r="CE77" s="430"/>
      <c r="CF77" s="430"/>
      <c r="CG77" s="430"/>
      <c r="CH77" s="430"/>
      <c r="CI77" s="430"/>
      <c r="CJ77" s="430"/>
      <c r="CK77" s="430"/>
      <c r="CL77" s="430"/>
    </row>
    <row r="78" spans="17:90" ht="14.25" customHeight="1">
      <c r="Q78" s="579"/>
      <c r="R78" s="579"/>
      <c r="S78" s="579"/>
      <c r="Z78" s="579"/>
      <c r="AA78" s="579"/>
      <c r="AB78" s="579"/>
      <c r="AI78" s="579"/>
      <c r="AJ78" s="579"/>
      <c r="AK78" s="579"/>
      <c r="AR78" s="579"/>
      <c r="AS78" s="579"/>
      <c r="AT78" s="579"/>
      <c r="BA78" s="579"/>
      <c r="BB78" s="579"/>
      <c r="BC78" s="579"/>
      <c r="BK78" s="581"/>
      <c r="BL78" s="581"/>
      <c r="BM78" s="582"/>
      <c r="BN78" s="581"/>
      <c r="BO78" s="581"/>
      <c r="BP78" s="430"/>
      <c r="BQ78" s="430"/>
      <c r="BR78" s="430"/>
      <c r="BS78" s="581"/>
      <c r="BT78" s="581"/>
      <c r="BU78" s="430"/>
      <c r="BV78" s="430"/>
      <c r="BW78" s="430"/>
      <c r="BX78" s="430"/>
      <c r="BY78" s="430"/>
      <c r="BZ78" s="430"/>
      <c r="CA78" s="430"/>
      <c r="CB78" s="430"/>
      <c r="CC78" s="430"/>
      <c r="CD78" s="430"/>
      <c r="CE78" s="430"/>
      <c r="CF78" s="430"/>
      <c r="CG78" s="430"/>
      <c r="CH78" s="430"/>
      <c r="CI78" s="430"/>
      <c r="CJ78" s="430"/>
      <c r="CK78" s="430"/>
      <c r="CL78" s="430"/>
    </row>
    <row r="79" spans="17:90" ht="14.25" customHeight="1">
      <c r="Q79" s="579"/>
      <c r="R79" s="579"/>
      <c r="S79" s="579"/>
      <c r="Z79" s="579"/>
      <c r="AA79" s="579"/>
      <c r="AB79" s="579"/>
      <c r="AI79" s="579"/>
      <c r="AJ79" s="579"/>
      <c r="AK79" s="579"/>
      <c r="AR79" s="579"/>
      <c r="AS79" s="579"/>
      <c r="AT79" s="579"/>
      <c r="BA79" s="579"/>
      <c r="BB79" s="579"/>
      <c r="BC79" s="579"/>
      <c r="BK79" s="581"/>
      <c r="BL79" s="581"/>
      <c r="BM79" s="582"/>
      <c r="BN79" s="581"/>
      <c r="BO79" s="581"/>
      <c r="BP79" s="430"/>
      <c r="BQ79" s="430"/>
      <c r="BR79" s="430"/>
      <c r="BS79" s="581"/>
      <c r="BT79" s="581"/>
      <c r="BU79" s="430"/>
      <c r="BV79" s="430"/>
      <c r="BW79" s="430"/>
      <c r="BX79" s="430"/>
      <c r="BY79" s="430"/>
      <c r="BZ79" s="430"/>
      <c r="CA79" s="430"/>
      <c r="CB79" s="430"/>
      <c r="CC79" s="430"/>
      <c r="CD79" s="430"/>
      <c r="CE79" s="430"/>
      <c r="CF79" s="430"/>
      <c r="CG79" s="430"/>
      <c r="CH79" s="430"/>
      <c r="CI79" s="430"/>
      <c r="CJ79" s="430"/>
      <c r="CK79" s="430"/>
      <c r="CL79" s="430"/>
    </row>
    <row r="80" spans="17:90" ht="14.25" customHeight="1">
      <c r="Q80" s="579"/>
      <c r="R80" s="579"/>
      <c r="S80" s="579"/>
      <c r="Z80" s="579"/>
      <c r="AA80" s="579"/>
      <c r="AB80" s="579"/>
      <c r="AI80" s="579"/>
      <c r="AJ80" s="579"/>
      <c r="AK80" s="579"/>
      <c r="AR80" s="579"/>
      <c r="AS80" s="579"/>
      <c r="AT80" s="579"/>
      <c r="BA80" s="579"/>
      <c r="BB80" s="579"/>
      <c r="BC80" s="579"/>
      <c r="BK80" s="581"/>
      <c r="BL80" s="581"/>
      <c r="BM80" s="582"/>
      <c r="BN80" s="581"/>
      <c r="BO80" s="581"/>
      <c r="BP80" s="430"/>
      <c r="BQ80" s="430"/>
      <c r="BR80" s="430"/>
      <c r="BS80" s="581"/>
      <c r="BT80" s="581"/>
      <c r="BU80" s="430"/>
      <c r="BV80" s="430"/>
      <c r="BW80" s="430"/>
      <c r="BX80" s="430"/>
      <c r="BY80" s="430"/>
      <c r="BZ80" s="430"/>
      <c r="CA80" s="430"/>
      <c r="CB80" s="430"/>
      <c r="CC80" s="430"/>
      <c r="CD80" s="430"/>
      <c r="CE80" s="430"/>
      <c r="CF80" s="430"/>
      <c r="CG80" s="430"/>
      <c r="CH80" s="430"/>
      <c r="CI80" s="430"/>
      <c r="CJ80" s="430"/>
      <c r="CK80" s="430"/>
      <c r="CL80" s="430"/>
    </row>
    <row r="81" spans="17:90" ht="14.25" customHeight="1">
      <c r="Q81" s="579"/>
      <c r="R81" s="579"/>
      <c r="S81" s="579"/>
      <c r="Z81" s="579"/>
      <c r="AA81" s="579"/>
      <c r="AB81" s="579"/>
      <c r="AI81" s="579"/>
      <c r="AJ81" s="579"/>
      <c r="AK81" s="579"/>
      <c r="AR81" s="579"/>
      <c r="AS81" s="579"/>
      <c r="AT81" s="579"/>
      <c r="BA81" s="579"/>
      <c r="BB81" s="579"/>
      <c r="BC81" s="579"/>
      <c r="BK81" s="581"/>
      <c r="BL81" s="581"/>
      <c r="BM81" s="582"/>
      <c r="BN81" s="581"/>
      <c r="BO81" s="581"/>
      <c r="BP81" s="430"/>
      <c r="BQ81" s="430"/>
      <c r="BR81" s="430"/>
      <c r="BS81" s="581"/>
      <c r="BT81" s="581"/>
      <c r="BU81" s="430"/>
      <c r="BV81" s="430"/>
      <c r="BW81" s="430"/>
      <c r="BX81" s="430"/>
      <c r="BY81" s="430"/>
      <c r="BZ81" s="430"/>
      <c r="CA81" s="430"/>
      <c r="CB81" s="430"/>
      <c r="CC81" s="430"/>
      <c r="CD81" s="430"/>
      <c r="CE81" s="430"/>
      <c r="CF81" s="430"/>
      <c r="CG81" s="430"/>
      <c r="CH81" s="430"/>
      <c r="CI81" s="430"/>
      <c r="CJ81" s="430"/>
      <c r="CK81" s="430"/>
      <c r="CL81" s="430"/>
    </row>
    <row r="82" spans="17:90" ht="14.25" customHeight="1">
      <c r="Q82" s="579"/>
      <c r="R82" s="579"/>
      <c r="S82" s="579"/>
      <c r="Z82" s="579"/>
      <c r="AA82" s="579"/>
      <c r="AB82" s="579"/>
      <c r="AI82" s="579"/>
      <c r="AJ82" s="579"/>
      <c r="AK82" s="579"/>
      <c r="AR82" s="579"/>
      <c r="AS82" s="579"/>
      <c r="AT82" s="579"/>
      <c r="BA82" s="579"/>
      <c r="BB82" s="579"/>
      <c r="BC82" s="579"/>
      <c r="BK82" s="581"/>
      <c r="BL82" s="581"/>
      <c r="BM82" s="582"/>
      <c r="BN82" s="581"/>
      <c r="BO82" s="581"/>
      <c r="BP82" s="430"/>
      <c r="BQ82" s="430"/>
      <c r="BR82" s="430"/>
      <c r="BS82" s="581"/>
      <c r="BT82" s="581"/>
      <c r="BU82" s="430"/>
      <c r="BV82" s="430"/>
      <c r="BW82" s="430"/>
      <c r="BX82" s="430"/>
      <c r="BY82" s="430"/>
      <c r="BZ82" s="430"/>
      <c r="CA82" s="430"/>
      <c r="CB82" s="430"/>
      <c r="CC82" s="430"/>
      <c r="CD82" s="430"/>
      <c r="CE82" s="430"/>
      <c r="CF82" s="430"/>
      <c r="CG82" s="430"/>
      <c r="CH82" s="430"/>
      <c r="CI82" s="430"/>
      <c r="CJ82" s="430"/>
      <c r="CK82" s="430"/>
      <c r="CL82" s="430"/>
    </row>
    <row r="83" spans="17:90" ht="14.25" customHeight="1">
      <c r="Q83" s="579"/>
      <c r="R83" s="579"/>
      <c r="S83" s="579"/>
      <c r="Z83" s="579"/>
      <c r="AA83" s="579"/>
      <c r="AB83" s="579"/>
      <c r="AI83" s="579"/>
      <c r="AJ83" s="579"/>
      <c r="AK83" s="579"/>
      <c r="AR83" s="579"/>
      <c r="AS83" s="579"/>
      <c r="AT83" s="579"/>
      <c r="BA83" s="579"/>
      <c r="BB83" s="579"/>
      <c r="BC83" s="579"/>
      <c r="BK83" s="581"/>
      <c r="BL83" s="581"/>
      <c r="BM83" s="582"/>
      <c r="BN83" s="581"/>
      <c r="BO83" s="581"/>
      <c r="BP83" s="430"/>
      <c r="BQ83" s="430"/>
      <c r="BR83" s="430"/>
      <c r="BS83" s="581"/>
      <c r="BT83" s="581"/>
      <c r="BU83" s="430"/>
      <c r="BV83" s="430"/>
      <c r="BW83" s="430"/>
      <c r="BX83" s="430"/>
      <c r="BY83" s="430"/>
      <c r="BZ83" s="430"/>
      <c r="CA83" s="430"/>
      <c r="CB83" s="430"/>
      <c r="CC83" s="430"/>
      <c r="CD83" s="430"/>
      <c r="CE83" s="430"/>
      <c r="CF83" s="430"/>
      <c r="CG83" s="430"/>
      <c r="CH83" s="430"/>
      <c r="CI83" s="430"/>
      <c r="CJ83" s="430"/>
      <c r="CK83" s="430"/>
      <c r="CL83" s="430"/>
    </row>
    <row r="84" spans="17:90" ht="14.25" customHeight="1">
      <c r="Q84" s="579"/>
      <c r="R84" s="579"/>
      <c r="S84" s="579"/>
      <c r="Z84" s="579"/>
      <c r="AA84" s="579"/>
      <c r="AB84" s="579"/>
      <c r="AI84" s="579"/>
      <c r="AJ84" s="579"/>
      <c r="AK84" s="579"/>
      <c r="AR84" s="579"/>
      <c r="AS84" s="579"/>
      <c r="AT84" s="579"/>
      <c r="BA84" s="579"/>
      <c r="BB84" s="579"/>
      <c r="BC84" s="579"/>
      <c r="BK84" s="581"/>
      <c r="BL84" s="581"/>
      <c r="BM84" s="582"/>
      <c r="BN84" s="581"/>
      <c r="BO84" s="581"/>
      <c r="BP84" s="430"/>
      <c r="BQ84" s="430"/>
      <c r="BR84" s="430"/>
      <c r="BS84" s="581"/>
      <c r="BT84" s="581"/>
      <c r="BU84" s="430"/>
      <c r="BV84" s="430"/>
      <c r="BW84" s="430"/>
      <c r="BX84" s="430"/>
      <c r="BY84" s="430"/>
      <c r="BZ84" s="430"/>
      <c r="CA84" s="430"/>
      <c r="CB84" s="430"/>
      <c r="CC84" s="430"/>
      <c r="CD84" s="430"/>
      <c r="CE84" s="430"/>
      <c r="CF84" s="430"/>
      <c r="CG84" s="430"/>
      <c r="CH84" s="430"/>
      <c r="CI84" s="430"/>
      <c r="CJ84" s="430"/>
      <c r="CK84" s="430"/>
      <c r="CL84" s="430"/>
    </row>
    <row r="85" spans="17:90" ht="14.25" customHeight="1">
      <c r="BK85" s="581"/>
      <c r="BL85" s="581"/>
      <c r="BM85" s="582"/>
      <c r="BN85" s="581"/>
      <c r="BO85" s="581"/>
      <c r="BP85" s="430"/>
      <c r="BQ85" s="430"/>
      <c r="BR85" s="430"/>
      <c r="BS85" s="581"/>
      <c r="BT85" s="581"/>
      <c r="BU85" s="430"/>
      <c r="BV85" s="430"/>
      <c r="BW85" s="430"/>
      <c r="BX85" s="430"/>
      <c r="BY85" s="430"/>
      <c r="BZ85" s="430"/>
      <c r="CA85" s="430"/>
      <c r="CB85" s="430"/>
      <c r="CC85" s="430"/>
      <c r="CD85" s="430"/>
      <c r="CE85" s="430"/>
      <c r="CF85" s="430"/>
      <c r="CG85" s="430"/>
      <c r="CH85" s="430"/>
      <c r="CI85" s="430"/>
      <c r="CJ85" s="430"/>
      <c r="CK85" s="430"/>
      <c r="CL85" s="430"/>
    </row>
    <row r="86" spans="17:90" ht="14.25" customHeight="1">
      <c r="BK86" s="581"/>
      <c r="BL86" s="581"/>
      <c r="BM86" s="582"/>
      <c r="BN86" s="581"/>
      <c r="BO86" s="581"/>
      <c r="BP86" s="430"/>
      <c r="BQ86" s="430"/>
      <c r="BR86" s="430"/>
      <c r="BS86" s="581"/>
      <c r="BT86" s="581"/>
      <c r="BU86" s="430"/>
      <c r="BV86" s="430"/>
      <c r="BW86" s="430"/>
      <c r="BX86" s="430"/>
      <c r="BY86" s="430"/>
      <c r="BZ86" s="430"/>
      <c r="CA86" s="430"/>
      <c r="CB86" s="430"/>
      <c r="CC86" s="430"/>
      <c r="CD86" s="430"/>
      <c r="CE86" s="430"/>
      <c r="CF86" s="430"/>
      <c r="CG86" s="430"/>
      <c r="CH86" s="430"/>
      <c r="CI86" s="430"/>
      <c r="CJ86" s="430"/>
      <c r="CK86" s="430"/>
      <c r="CL86" s="430"/>
    </row>
    <row r="87" spans="17:90" ht="14.25" customHeight="1">
      <c r="BK87" s="581"/>
      <c r="BL87" s="581"/>
      <c r="BM87" s="582"/>
      <c r="BN87" s="581"/>
      <c r="BO87" s="581"/>
      <c r="BP87" s="430"/>
      <c r="BQ87" s="430"/>
      <c r="BR87" s="430"/>
      <c r="BS87" s="581"/>
      <c r="BT87" s="581"/>
      <c r="BU87" s="430"/>
      <c r="BV87" s="430"/>
      <c r="BW87" s="430"/>
      <c r="BX87" s="430"/>
      <c r="BY87" s="430"/>
      <c r="BZ87" s="430"/>
      <c r="CA87" s="430"/>
      <c r="CB87" s="430"/>
      <c r="CC87" s="430"/>
      <c r="CD87" s="430"/>
      <c r="CE87" s="430"/>
      <c r="CF87" s="430"/>
      <c r="CG87" s="430"/>
      <c r="CH87" s="430"/>
      <c r="CI87" s="430"/>
      <c r="CJ87" s="430"/>
      <c r="CK87" s="430"/>
      <c r="CL87" s="430"/>
    </row>
    <row r="88" spans="17:90" ht="14.25" customHeight="1">
      <c r="BK88" s="581"/>
      <c r="BL88" s="581"/>
      <c r="BM88" s="582"/>
      <c r="BN88" s="581"/>
      <c r="BO88" s="581"/>
      <c r="BP88" s="430"/>
      <c r="BQ88" s="430"/>
      <c r="BR88" s="430"/>
      <c r="BS88" s="581"/>
      <c r="BT88" s="581"/>
      <c r="BU88" s="430"/>
      <c r="BV88" s="430"/>
      <c r="BW88" s="430"/>
      <c r="BX88" s="430"/>
      <c r="BY88" s="430"/>
      <c r="BZ88" s="430"/>
      <c r="CA88" s="430"/>
      <c r="CB88" s="430"/>
      <c r="CC88" s="430"/>
      <c r="CD88" s="430"/>
      <c r="CE88" s="430"/>
      <c r="CF88" s="430"/>
      <c r="CG88" s="430"/>
      <c r="CH88" s="430"/>
      <c r="CI88" s="430"/>
      <c r="CJ88" s="430"/>
      <c r="CK88" s="430"/>
      <c r="CL88" s="430"/>
    </row>
    <row r="89" spans="17:90" ht="14.25" customHeight="1">
      <c r="BK89" s="581"/>
      <c r="BL89" s="581"/>
      <c r="BM89" s="582"/>
      <c r="BN89" s="581"/>
      <c r="BO89" s="581"/>
      <c r="BP89" s="430"/>
      <c r="BQ89" s="430"/>
      <c r="BR89" s="430"/>
      <c r="BS89" s="581"/>
      <c r="BT89" s="581"/>
      <c r="BU89" s="430"/>
      <c r="BV89" s="430"/>
      <c r="BW89" s="430"/>
      <c r="BX89" s="430"/>
      <c r="BY89" s="430"/>
      <c r="BZ89" s="430"/>
      <c r="CA89" s="430"/>
      <c r="CB89" s="430"/>
      <c r="CC89" s="430"/>
      <c r="CD89" s="430"/>
      <c r="CE89" s="430"/>
      <c r="CF89" s="430"/>
      <c r="CG89" s="430"/>
      <c r="CH89" s="430"/>
      <c r="CI89" s="430"/>
      <c r="CJ89" s="430"/>
      <c r="CK89" s="430"/>
      <c r="CL89" s="430"/>
    </row>
    <row r="90" spans="17:90" ht="14.25" customHeight="1">
      <c r="BK90" s="581"/>
      <c r="BL90" s="581"/>
      <c r="BM90" s="582"/>
      <c r="BN90" s="581"/>
      <c r="BO90" s="581"/>
      <c r="BP90" s="430"/>
      <c r="BQ90" s="430"/>
      <c r="BR90" s="430"/>
      <c r="BS90" s="581"/>
      <c r="BT90" s="581"/>
      <c r="BU90" s="430"/>
      <c r="BV90" s="430"/>
      <c r="BW90" s="430"/>
      <c r="BX90" s="430"/>
      <c r="BY90" s="430"/>
      <c r="BZ90" s="430"/>
      <c r="CA90" s="430"/>
      <c r="CB90" s="430"/>
      <c r="CC90" s="430"/>
      <c r="CD90" s="430"/>
      <c r="CE90" s="430"/>
      <c r="CF90" s="430"/>
      <c r="CG90" s="430"/>
      <c r="CH90" s="430"/>
      <c r="CI90" s="430"/>
      <c r="CJ90" s="430"/>
      <c r="CK90" s="430"/>
      <c r="CL90" s="430"/>
    </row>
    <row r="91" spans="17:90" ht="14.25" customHeight="1">
      <c r="BK91" s="581"/>
      <c r="BL91" s="581"/>
      <c r="BM91" s="582"/>
      <c r="BN91" s="581"/>
      <c r="BO91" s="581"/>
      <c r="BP91" s="430"/>
      <c r="BQ91" s="430"/>
      <c r="BR91" s="430"/>
      <c r="BS91" s="581"/>
      <c r="BT91" s="581"/>
      <c r="BU91" s="430"/>
      <c r="BV91" s="430"/>
      <c r="BW91" s="430"/>
      <c r="BX91" s="430"/>
      <c r="BY91" s="430"/>
      <c r="BZ91" s="430"/>
      <c r="CA91" s="430"/>
      <c r="CB91" s="430"/>
      <c r="CC91" s="430"/>
      <c r="CD91" s="430"/>
      <c r="CE91" s="430"/>
      <c r="CF91" s="430"/>
      <c r="CG91" s="430"/>
      <c r="CH91" s="430"/>
      <c r="CI91" s="430"/>
      <c r="CJ91" s="430"/>
      <c r="CK91" s="430"/>
      <c r="CL91" s="430"/>
    </row>
    <row r="92" spans="17:90" ht="14.25" customHeight="1">
      <c r="BK92" s="581"/>
      <c r="BL92" s="581"/>
      <c r="BM92" s="582"/>
      <c r="BN92" s="581"/>
      <c r="BO92" s="581"/>
      <c r="BP92" s="430"/>
      <c r="BQ92" s="430"/>
      <c r="BR92" s="430"/>
      <c r="BS92" s="581"/>
      <c r="BT92" s="581"/>
      <c r="BU92" s="430"/>
      <c r="BV92" s="430"/>
      <c r="BW92" s="430"/>
      <c r="BX92" s="430"/>
      <c r="BY92" s="430"/>
      <c r="BZ92" s="430"/>
      <c r="CA92" s="430"/>
      <c r="CB92" s="430"/>
      <c r="CC92" s="430"/>
      <c r="CD92" s="430"/>
      <c r="CE92" s="430"/>
      <c r="CF92" s="430"/>
      <c r="CG92" s="430"/>
      <c r="CH92" s="430"/>
      <c r="CI92" s="430"/>
      <c r="CJ92" s="430"/>
      <c r="CK92" s="430"/>
      <c r="CL92" s="430"/>
    </row>
    <row r="93" spans="17:90" ht="14.25" customHeight="1">
      <c r="BK93" s="581"/>
      <c r="BL93" s="581"/>
      <c r="BM93" s="582"/>
      <c r="BN93" s="581"/>
      <c r="BO93" s="581"/>
      <c r="BP93" s="430"/>
      <c r="BQ93" s="430"/>
      <c r="BR93" s="430"/>
      <c r="BS93" s="581"/>
      <c r="BT93" s="581"/>
      <c r="BU93" s="430"/>
      <c r="BV93" s="430"/>
      <c r="BW93" s="430"/>
      <c r="BX93" s="430"/>
      <c r="BY93" s="430"/>
      <c r="BZ93" s="430"/>
      <c r="CA93" s="430"/>
      <c r="CB93" s="430"/>
      <c r="CC93" s="430"/>
      <c r="CD93" s="430"/>
      <c r="CE93" s="430"/>
      <c r="CF93" s="430"/>
      <c r="CG93" s="430"/>
      <c r="CH93" s="430"/>
      <c r="CI93" s="430"/>
      <c r="CJ93" s="430"/>
      <c r="CK93" s="430"/>
      <c r="CL93" s="430"/>
    </row>
    <row r="94" spans="17:90" ht="14.25" customHeight="1">
      <c r="BK94" s="581"/>
      <c r="BL94" s="581"/>
      <c r="BM94" s="582"/>
      <c r="BN94" s="581"/>
      <c r="BO94" s="581"/>
      <c r="BP94" s="430"/>
      <c r="BQ94" s="430"/>
      <c r="BR94" s="430"/>
      <c r="BS94" s="581"/>
      <c r="BT94" s="581"/>
      <c r="BU94" s="430"/>
      <c r="BV94" s="430"/>
      <c r="BW94" s="430"/>
      <c r="BX94" s="430"/>
      <c r="BY94" s="430"/>
      <c r="BZ94" s="430"/>
      <c r="CA94" s="430"/>
      <c r="CB94" s="430"/>
      <c r="CC94" s="430"/>
      <c r="CD94" s="430"/>
      <c r="CE94" s="430"/>
      <c r="CF94" s="430"/>
      <c r="CG94" s="430"/>
      <c r="CH94" s="430"/>
      <c r="CI94" s="430"/>
      <c r="CJ94" s="430"/>
      <c r="CK94" s="430"/>
      <c r="CL94" s="430"/>
    </row>
    <row r="95" spans="17:90" ht="14.25" customHeight="1">
      <c r="BK95" s="581"/>
      <c r="BL95" s="581"/>
      <c r="BM95" s="582"/>
      <c r="BN95" s="581"/>
      <c r="BO95" s="581"/>
      <c r="BP95" s="430"/>
      <c r="BQ95" s="430"/>
      <c r="BR95" s="430"/>
      <c r="BS95" s="581"/>
      <c r="BT95" s="581"/>
      <c r="BU95" s="430"/>
      <c r="BV95" s="430"/>
      <c r="BW95" s="430"/>
      <c r="BX95" s="430"/>
      <c r="BY95" s="430"/>
      <c r="BZ95" s="430"/>
      <c r="CA95" s="430"/>
      <c r="CB95" s="430"/>
      <c r="CC95" s="430"/>
      <c r="CD95" s="430"/>
      <c r="CE95" s="430"/>
      <c r="CF95" s="430"/>
      <c r="CG95" s="430"/>
      <c r="CH95" s="430"/>
      <c r="CI95" s="430"/>
      <c r="CJ95" s="430"/>
      <c r="CK95" s="430"/>
      <c r="CL95" s="430"/>
    </row>
    <row r="96" spans="17:90" ht="14.25" customHeight="1">
      <c r="BK96" s="581"/>
      <c r="BL96" s="581"/>
      <c r="BM96" s="582"/>
      <c r="BN96" s="581"/>
      <c r="BO96" s="581"/>
      <c r="BP96" s="430"/>
      <c r="BQ96" s="430"/>
      <c r="BR96" s="430"/>
      <c r="BS96" s="581"/>
      <c r="BT96" s="581"/>
      <c r="BU96" s="430"/>
      <c r="BV96" s="430"/>
      <c r="BW96" s="430"/>
      <c r="BX96" s="430"/>
      <c r="BY96" s="430"/>
      <c r="BZ96" s="430"/>
      <c r="CA96" s="430"/>
      <c r="CB96" s="430"/>
      <c r="CC96" s="430"/>
      <c r="CD96" s="430"/>
      <c r="CE96" s="430"/>
      <c r="CF96" s="430"/>
      <c r="CG96" s="430"/>
      <c r="CH96" s="430"/>
      <c r="CI96" s="430"/>
      <c r="CJ96" s="430"/>
      <c r="CK96" s="430"/>
      <c r="CL96" s="430"/>
    </row>
    <row r="97" spans="63:90" ht="14.25" customHeight="1">
      <c r="BK97" s="581"/>
      <c r="BL97" s="581"/>
      <c r="BM97" s="582"/>
      <c r="BN97" s="581"/>
      <c r="BO97" s="581"/>
      <c r="BP97" s="430"/>
      <c r="BQ97" s="430"/>
      <c r="BR97" s="430"/>
      <c r="BS97" s="581"/>
      <c r="BT97" s="581"/>
      <c r="BU97" s="430"/>
      <c r="BV97" s="430"/>
      <c r="BW97" s="430"/>
      <c r="BX97" s="430"/>
      <c r="BY97" s="430"/>
      <c r="BZ97" s="430"/>
      <c r="CA97" s="430"/>
      <c r="CB97" s="430"/>
      <c r="CC97" s="430"/>
      <c r="CD97" s="430"/>
      <c r="CE97" s="430"/>
      <c r="CF97" s="430"/>
      <c r="CG97" s="430"/>
      <c r="CH97" s="430"/>
      <c r="CI97" s="430"/>
      <c r="CJ97" s="430"/>
      <c r="CK97" s="430"/>
      <c r="CL97" s="430"/>
    </row>
    <row r="98" spans="63:90" ht="14.25" customHeight="1">
      <c r="BK98" s="581"/>
      <c r="BL98" s="581"/>
      <c r="BM98" s="582"/>
      <c r="BN98" s="581"/>
      <c r="BO98" s="581"/>
      <c r="BP98" s="430"/>
      <c r="BQ98" s="430"/>
      <c r="BR98" s="430"/>
      <c r="BS98" s="581"/>
      <c r="BT98" s="581"/>
      <c r="BU98" s="430"/>
      <c r="BV98" s="430"/>
      <c r="BW98" s="430"/>
      <c r="BX98" s="430"/>
      <c r="BY98" s="430"/>
      <c r="BZ98" s="430"/>
      <c r="CA98" s="430"/>
      <c r="CB98" s="430"/>
      <c r="CC98" s="430"/>
      <c r="CD98" s="430"/>
      <c r="CE98" s="430"/>
      <c r="CF98" s="430"/>
      <c r="CG98" s="430"/>
      <c r="CH98" s="430"/>
      <c r="CI98" s="430"/>
      <c r="CJ98" s="430"/>
      <c r="CK98" s="430"/>
      <c r="CL98" s="430"/>
    </row>
    <row r="99" spans="63:90" ht="14.25" customHeight="1">
      <c r="BK99" s="581"/>
      <c r="BL99" s="581"/>
      <c r="BM99" s="582"/>
      <c r="BN99" s="581"/>
      <c r="BO99" s="581"/>
      <c r="BP99" s="430"/>
      <c r="BQ99" s="430"/>
      <c r="BR99" s="430"/>
      <c r="BS99" s="581"/>
      <c r="BT99" s="581"/>
      <c r="BU99" s="430"/>
      <c r="BV99" s="430"/>
      <c r="BW99" s="430"/>
      <c r="BX99" s="430"/>
      <c r="BY99" s="430"/>
      <c r="BZ99" s="430"/>
      <c r="CA99" s="430"/>
      <c r="CB99" s="430"/>
      <c r="CC99" s="430"/>
      <c r="CD99" s="430"/>
      <c r="CE99" s="430"/>
      <c r="CF99" s="430"/>
      <c r="CG99" s="430"/>
      <c r="CH99" s="430"/>
      <c r="CI99" s="430"/>
      <c r="CJ99" s="430"/>
      <c r="CK99" s="430"/>
      <c r="CL99" s="430"/>
    </row>
    <row r="100" spans="63:90" ht="14.25" customHeight="1">
      <c r="BK100" s="581"/>
      <c r="BL100" s="581"/>
      <c r="BM100" s="582"/>
      <c r="BN100" s="581"/>
      <c r="BO100" s="581"/>
      <c r="BP100" s="430"/>
      <c r="BQ100" s="430"/>
      <c r="BR100" s="430"/>
      <c r="BS100" s="581"/>
      <c r="BT100" s="581"/>
      <c r="BU100" s="430"/>
      <c r="BV100" s="430"/>
      <c r="BW100" s="430"/>
      <c r="BX100" s="430"/>
      <c r="BY100" s="430"/>
      <c r="BZ100" s="430"/>
      <c r="CA100" s="430"/>
      <c r="CB100" s="430"/>
      <c r="CC100" s="430"/>
      <c r="CD100" s="430"/>
      <c r="CE100" s="430"/>
      <c r="CF100" s="430"/>
      <c r="CG100" s="430"/>
      <c r="CH100" s="430"/>
      <c r="CI100" s="430"/>
      <c r="CJ100" s="430"/>
      <c r="CK100" s="430"/>
      <c r="CL100" s="430"/>
    </row>
    <row r="101" spans="63:90" ht="14.25" customHeight="1">
      <c r="BK101" s="581"/>
      <c r="BL101" s="581"/>
      <c r="BM101" s="582"/>
      <c r="BN101" s="581"/>
      <c r="BO101" s="581"/>
      <c r="BP101" s="430"/>
      <c r="BQ101" s="430"/>
      <c r="BR101" s="430"/>
      <c r="BS101" s="581"/>
      <c r="BT101" s="581"/>
      <c r="BU101" s="430"/>
      <c r="BV101" s="430"/>
      <c r="BW101" s="430"/>
      <c r="BX101" s="430"/>
      <c r="BY101" s="430"/>
      <c r="BZ101" s="430"/>
      <c r="CA101" s="430"/>
      <c r="CB101" s="430"/>
      <c r="CC101" s="430"/>
      <c r="CD101" s="430"/>
      <c r="CE101" s="430"/>
      <c r="CF101" s="430"/>
      <c r="CG101" s="430"/>
      <c r="CH101" s="430"/>
      <c r="CI101" s="430"/>
      <c r="CJ101" s="430"/>
      <c r="CK101" s="430"/>
      <c r="CL101" s="430"/>
    </row>
    <row r="102" spans="63:90" ht="14.25" customHeight="1">
      <c r="BK102" s="581"/>
      <c r="BL102" s="581"/>
      <c r="BM102" s="582"/>
      <c r="BN102" s="581"/>
      <c r="BO102" s="581"/>
      <c r="BP102" s="430"/>
      <c r="BQ102" s="430"/>
      <c r="BR102" s="430"/>
      <c r="BS102" s="581"/>
      <c r="BT102" s="581"/>
      <c r="BU102" s="430"/>
      <c r="BV102" s="430"/>
      <c r="BW102" s="430"/>
      <c r="BX102" s="430"/>
      <c r="BY102" s="430"/>
      <c r="BZ102" s="430"/>
      <c r="CA102" s="430"/>
      <c r="CB102" s="430"/>
      <c r="CC102" s="430"/>
      <c r="CD102" s="430"/>
      <c r="CE102" s="430"/>
      <c r="CF102" s="430"/>
      <c r="CG102" s="430"/>
      <c r="CH102" s="430"/>
      <c r="CI102" s="430"/>
      <c r="CJ102" s="430"/>
      <c r="CK102" s="430"/>
      <c r="CL102" s="430"/>
    </row>
    <row r="103" spans="63:90" ht="14.25" customHeight="1">
      <c r="BK103" s="581"/>
      <c r="BL103" s="581"/>
      <c r="BM103" s="582"/>
      <c r="BN103" s="581"/>
      <c r="BO103" s="581"/>
      <c r="BP103" s="430"/>
      <c r="BQ103" s="430"/>
      <c r="BR103" s="430"/>
      <c r="BS103" s="581"/>
      <c r="BT103" s="581"/>
      <c r="BU103" s="430"/>
      <c r="BV103" s="430"/>
      <c r="BW103" s="430"/>
      <c r="BX103" s="430"/>
      <c r="BY103" s="430"/>
      <c r="BZ103" s="430"/>
      <c r="CA103" s="430"/>
      <c r="CB103" s="430"/>
      <c r="CC103" s="430"/>
      <c r="CD103" s="430"/>
      <c r="CE103" s="430"/>
      <c r="CF103" s="430"/>
      <c r="CG103" s="430"/>
      <c r="CH103" s="430"/>
      <c r="CI103" s="430"/>
      <c r="CJ103" s="430"/>
      <c r="CK103" s="430"/>
      <c r="CL103" s="430"/>
    </row>
    <row r="104" spans="63:90" ht="14.25" customHeight="1">
      <c r="BK104" s="581"/>
      <c r="BL104" s="581"/>
      <c r="BM104" s="582"/>
      <c r="BN104" s="581"/>
      <c r="BO104" s="581"/>
      <c r="BP104" s="430"/>
      <c r="BQ104" s="430"/>
      <c r="BR104" s="430"/>
      <c r="BS104" s="581"/>
      <c r="BT104" s="581"/>
      <c r="BU104" s="430"/>
      <c r="BV104" s="430"/>
      <c r="BW104" s="430"/>
      <c r="BX104" s="430"/>
      <c r="BY104" s="430"/>
      <c r="BZ104" s="430"/>
      <c r="CA104" s="430"/>
      <c r="CB104" s="430"/>
      <c r="CC104" s="430"/>
      <c r="CD104" s="430"/>
      <c r="CE104" s="430"/>
      <c r="CF104" s="430"/>
      <c r="CG104" s="430"/>
      <c r="CH104" s="430"/>
      <c r="CI104" s="430"/>
      <c r="CJ104" s="430"/>
      <c r="CK104" s="430"/>
      <c r="CL104" s="430"/>
    </row>
    <row r="105" spans="63:90" ht="14.25" customHeight="1">
      <c r="BK105" s="581"/>
      <c r="BL105" s="581"/>
      <c r="BM105" s="582"/>
      <c r="BN105" s="581"/>
      <c r="BO105" s="581"/>
      <c r="BP105" s="430"/>
      <c r="BQ105" s="430"/>
      <c r="BR105" s="430"/>
      <c r="BS105" s="581"/>
      <c r="BT105" s="581"/>
      <c r="BU105" s="430"/>
      <c r="BV105" s="430"/>
      <c r="BW105" s="430"/>
      <c r="BX105" s="430"/>
      <c r="BY105" s="430"/>
      <c r="BZ105" s="430"/>
      <c r="CA105" s="430"/>
      <c r="CB105" s="430"/>
      <c r="CC105" s="430"/>
      <c r="CD105" s="430"/>
      <c r="CE105" s="430"/>
      <c r="CF105" s="430"/>
      <c r="CG105" s="430"/>
      <c r="CH105" s="430"/>
      <c r="CI105" s="430"/>
      <c r="CJ105" s="430"/>
      <c r="CK105" s="430"/>
      <c r="CL105" s="430"/>
    </row>
    <row r="106" spans="63:90" ht="14.25" customHeight="1">
      <c r="BK106" s="581"/>
      <c r="BL106" s="581"/>
      <c r="BM106" s="582"/>
      <c r="BN106" s="581"/>
      <c r="BO106" s="581"/>
      <c r="BP106" s="430"/>
      <c r="BQ106" s="430"/>
      <c r="BR106" s="430"/>
      <c r="BS106" s="581"/>
      <c r="BT106" s="581"/>
      <c r="BU106" s="430"/>
      <c r="BV106" s="430"/>
      <c r="BW106" s="430"/>
      <c r="BX106" s="430"/>
      <c r="BY106" s="430"/>
      <c r="BZ106" s="430"/>
      <c r="CA106" s="430"/>
      <c r="CB106" s="430"/>
      <c r="CC106" s="430"/>
      <c r="CD106" s="430"/>
      <c r="CE106" s="430"/>
      <c r="CF106" s="430"/>
      <c r="CG106" s="430"/>
      <c r="CH106" s="430"/>
      <c r="CI106" s="430"/>
      <c r="CJ106" s="430"/>
      <c r="CK106" s="430"/>
      <c r="CL106" s="430"/>
    </row>
    <row r="107" spans="63:90" ht="14.25" customHeight="1">
      <c r="BK107" s="581"/>
      <c r="BL107" s="581"/>
      <c r="BM107" s="582"/>
      <c r="BN107" s="581"/>
      <c r="BO107" s="581"/>
      <c r="BP107" s="430"/>
      <c r="BQ107" s="430"/>
      <c r="BR107" s="430"/>
      <c r="BS107" s="581"/>
      <c r="BT107" s="581"/>
      <c r="BU107" s="430"/>
      <c r="BV107" s="430"/>
      <c r="BW107" s="430"/>
      <c r="BX107" s="430"/>
      <c r="BY107" s="430"/>
      <c r="BZ107" s="430"/>
      <c r="CA107" s="430"/>
      <c r="CB107" s="430"/>
      <c r="CC107" s="430"/>
      <c r="CD107" s="430"/>
      <c r="CE107" s="430"/>
      <c r="CF107" s="430"/>
      <c r="CG107" s="430"/>
      <c r="CH107" s="430"/>
      <c r="CI107" s="430"/>
      <c r="CJ107" s="430"/>
      <c r="CK107" s="430"/>
      <c r="CL107" s="430"/>
    </row>
    <row r="108" spans="63:90" ht="14.25" customHeight="1">
      <c r="BK108" s="581"/>
      <c r="BL108" s="581"/>
      <c r="BM108" s="582"/>
      <c r="BN108" s="581"/>
      <c r="BO108" s="581"/>
      <c r="BP108" s="430"/>
      <c r="BQ108" s="430"/>
      <c r="BR108" s="430"/>
      <c r="BS108" s="581"/>
      <c r="BT108" s="581"/>
      <c r="BU108" s="430"/>
      <c r="BV108" s="430"/>
      <c r="BW108" s="430"/>
      <c r="BX108" s="430"/>
      <c r="BY108" s="430"/>
      <c r="BZ108" s="430"/>
      <c r="CA108" s="430"/>
      <c r="CB108" s="430"/>
      <c r="CC108" s="430"/>
      <c r="CD108" s="430"/>
      <c r="CE108" s="430"/>
      <c r="CF108" s="430"/>
      <c r="CG108" s="430"/>
      <c r="CH108" s="430"/>
      <c r="CI108" s="430"/>
      <c r="CJ108" s="430"/>
      <c r="CK108" s="430"/>
      <c r="CL108" s="430"/>
    </row>
    <row r="109" spans="63:90" ht="14.25" customHeight="1">
      <c r="BK109" s="581"/>
      <c r="BL109" s="581"/>
      <c r="BM109" s="582"/>
      <c r="BN109" s="581"/>
      <c r="BO109" s="581"/>
      <c r="BP109" s="430"/>
      <c r="BQ109" s="430"/>
      <c r="BR109" s="430"/>
      <c r="BS109" s="581"/>
      <c r="BT109" s="581"/>
      <c r="BU109" s="430"/>
      <c r="BV109" s="430"/>
      <c r="BW109" s="430"/>
      <c r="BX109" s="430"/>
      <c r="BY109" s="430"/>
      <c r="BZ109" s="430"/>
      <c r="CA109" s="430"/>
      <c r="CB109" s="430"/>
      <c r="CC109" s="430"/>
      <c r="CD109" s="430"/>
      <c r="CE109" s="430"/>
      <c r="CF109" s="430"/>
      <c r="CG109" s="430"/>
      <c r="CH109" s="430"/>
      <c r="CI109" s="430"/>
      <c r="CJ109" s="430"/>
      <c r="CK109" s="430"/>
      <c r="CL109" s="430"/>
    </row>
    <row r="110" spans="63:90" ht="14.25" customHeight="1">
      <c r="BK110" s="581"/>
      <c r="BL110" s="581"/>
      <c r="BM110" s="582"/>
      <c r="BN110" s="581"/>
      <c r="BO110" s="581"/>
      <c r="BP110" s="430"/>
      <c r="BQ110" s="430"/>
      <c r="BR110" s="430"/>
      <c r="BS110" s="581"/>
      <c r="BT110" s="581"/>
      <c r="BU110" s="430"/>
      <c r="BV110" s="430"/>
      <c r="BW110" s="430"/>
      <c r="BX110" s="430"/>
      <c r="BY110" s="430"/>
      <c r="BZ110" s="430"/>
      <c r="CA110" s="430"/>
      <c r="CB110" s="430"/>
      <c r="CC110" s="430"/>
      <c r="CD110" s="430"/>
      <c r="CE110" s="430"/>
      <c r="CF110" s="430"/>
      <c r="CG110" s="430"/>
      <c r="CH110" s="430"/>
      <c r="CI110" s="430"/>
      <c r="CJ110" s="430"/>
      <c r="CK110" s="430"/>
      <c r="CL110" s="430"/>
    </row>
    <row r="111" spans="63:90" ht="14.25" customHeight="1">
      <c r="BK111" s="581"/>
      <c r="BL111" s="581"/>
      <c r="BM111" s="582"/>
      <c r="BN111" s="581"/>
      <c r="BO111" s="581"/>
      <c r="BP111" s="430"/>
      <c r="BQ111" s="430"/>
      <c r="BR111" s="430"/>
      <c r="BS111" s="581"/>
      <c r="BT111" s="581"/>
      <c r="BU111" s="430"/>
      <c r="BV111" s="430"/>
      <c r="BW111" s="430"/>
      <c r="BX111" s="430"/>
      <c r="BY111" s="430"/>
      <c r="BZ111" s="430"/>
      <c r="CA111" s="430"/>
      <c r="CB111" s="430"/>
      <c r="CC111" s="430"/>
      <c r="CD111" s="430"/>
      <c r="CE111" s="430"/>
      <c r="CF111" s="430"/>
      <c r="CG111" s="430"/>
      <c r="CH111" s="430"/>
      <c r="CI111" s="430"/>
      <c r="CJ111" s="430"/>
      <c r="CK111" s="430"/>
      <c r="CL111" s="430"/>
    </row>
    <row r="112" spans="63:90" ht="14.25" customHeight="1">
      <c r="BK112" s="581"/>
      <c r="BL112" s="581"/>
      <c r="BM112" s="582"/>
      <c r="BN112" s="581"/>
      <c r="BO112" s="581"/>
      <c r="BP112" s="430"/>
      <c r="BQ112" s="430"/>
      <c r="BR112" s="430"/>
      <c r="BS112" s="581"/>
      <c r="BT112" s="581"/>
      <c r="BU112" s="430"/>
      <c r="BV112" s="430"/>
      <c r="BW112" s="430"/>
      <c r="BX112" s="430"/>
      <c r="BY112" s="430"/>
      <c r="BZ112" s="430"/>
      <c r="CA112" s="430"/>
      <c r="CB112" s="430"/>
      <c r="CC112" s="430"/>
      <c r="CD112" s="430"/>
      <c r="CE112" s="430"/>
      <c r="CF112" s="430"/>
      <c r="CG112" s="430"/>
      <c r="CH112" s="430"/>
      <c r="CI112" s="430"/>
      <c r="CJ112" s="430"/>
      <c r="CK112" s="430"/>
      <c r="CL112" s="430"/>
    </row>
    <row r="113" spans="63:90" ht="14.25" customHeight="1">
      <c r="BK113" s="581"/>
      <c r="BL113" s="581"/>
      <c r="BM113" s="582"/>
      <c r="BN113" s="581"/>
      <c r="BO113" s="581"/>
      <c r="BP113" s="430"/>
      <c r="BQ113" s="430"/>
      <c r="BR113" s="430"/>
      <c r="BS113" s="581"/>
      <c r="BT113" s="581"/>
      <c r="BU113" s="430"/>
      <c r="BV113" s="430"/>
      <c r="BW113" s="430"/>
      <c r="BX113" s="430"/>
      <c r="BY113" s="430"/>
      <c r="BZ113" s="430"/>
      <c r="CA113" s="430"/>
      <c r="CB113" s="430"/>
      <c r="CC113" s="430"/>
      <c r="CD113" s="430"/>
      <c r="CE113" s="430"/>
      <c r="CF113" s="430"/>
      <c r="CG113" s="430"/>
      <c r="CH113" s="430"/>
      <c r="CI113" s="430"/>
      <c r="CJ113" s="430"/>
      <c r="CK113" s="430"/>
      <c r="CL113" s="430"/>
    </row>
    <row r="114" spans="63:90" ht="14.25" customHeight="1">
      <c r="BK114" s="581"/>
      <c r="BL114" s="581"/>
      <c r="BM114" s="582"/>
      <c r="BN114" s="581"/>
      <c r="BO114" s="581"/>
      <c r="BP114" s="430"/>
      <c r="BQ114" s="430"/>
      <c r="BR114" s="430"/>
      <c r="BS114" s="581"/>
      <c r="BT114" s="581"/>
      <c r="BU114" s="430"/>
      <c r="BV114" s="430"/>
      <c r="BW114" s="430"/>
      <c r="BX114" s="430"/>
      <c r="BY114" s="430"/>
      <c r="BZ114" s="430"/>
      <c r="CA114" s="430"/>
      <c r="CB114" s="430"/>
      <c r="CC114" s="430"/>
      <c r="CD114" s="430"/>
      <c r="CE114" s="430"/>
      <c r="CF114" s="430"/>
      <c r="CG114" s="430"/>
      <c r="CH114" s="430"/>
      <c r="CI114" s="430"/>
      <c r="CJ114" s="430"/>
      <c r="CK114" s="430"/>
      <c r="CL114" s="430"/>
    </row>
    <row r="115" spans="63:90" ht="14.25" customHeight="1">
      <c r="BK115" s="581"/>
      <c r="BL115" s="581"/>
      <c r="BM115" s="582"/>
      <c r="BN115" s="581"/>
      <c r="BO115" s="581"/>
      <c r="BP115" s="430"/>
      <c r="BQ115" s="430"/>
      <c r="BR115" s="430"/>
      <c r="BS115" s="581"/>
      <c r="BT115" s="581"/>
      <c r="BU115" s="430"/>
      <c r="BV115" s="430"/>
      <c r="BW115" s="430"/>
      <c r="BX115" s="430"/>
      <c r="BY115" s="430"/>
      <c r="BZ115" s="430"/>
      <c r="CA115" s="430"/>
      <c r="CB115" s="430"/>
      <c r="CC115" s="430"/>
      <c r="CD115" s="430"/>
      <c r="CE115" s="430"/>
      <c r="CF115" s="430"/>
      <c r="CG115" s="430"/>
      <c r="CH115" s="430"/>
      <c r="CI115" s="430"/>
      <c r="CJ115" s="430"/>
      <c r="CK115" s="430"/>
      <c r="CL115" s="430"/>
    </row>
    <row r="116" spans="63:90" ht="14.25" customHeight="1">
      <c r="BK116" s="581"/>
      <c r="BL116" s="581"/>
      <c r="BM116" s="582"/>
      <c r="BN116" s="581"/>
      <c r="BO116" s="581"/>
      <c r="BP116" s="430"/>
      <c r="BQ116" s="430"/>
      <c r="BR116" s="430"/>
      <c r="BS116" s="581"/>
      <c r="BT116" s="581"/>
      <c r="BU116" s="430"/>
      <c r="BV116" s="430"/>
      <c r="BW116" s="430"/>
      <c r="BX116" s="430"/>
      <c r="BY116" s="430"/>
      <c r="BZ116" s="430"/>
      <c r="CA116" s="430"/>
      <c r="CB116" s="430"/>
      <c r="CC116" s="430"/>
      <c r="CD116" s="430"/>
      <c r="CE116" s="430"/>
      <c r="CF116" s="430"/>
      <c r="CG116" s="430"/>
      <c r="CH116" s="430"/>
      <c r="CI116" s="430"/>
      <c r="CJ116" s="430"/>
      <c r="CK116" s="430"/>
      <c r="CL116" s="430"/>
    </row>
    <row r="117" spans="63:90" ht="14.25" customHeight="1">
      <c r="BK117" s="581"/>
      <c r="BL117" s="581"/>
      <c r="BM117" s="582"/>
      <c r="BN117" s="581"/>
      <c r="BO117" s="581"/>
      <c r="BP117" s="430"/>
      <c r="BQ117" s="430"/>
      <c r="BR117" s="430"/>
      <c r="BS117" s="581"/>
      <c r="BT117" s="581"/>
      <c r="BU117" s="430"/>
      <c r="BV117" s="430"/>
      <c r="BW117" s="430"/>
      <c r="BX117" s="430"/>
      <c r="BY117" s="430"/>
      <c r="BZ117" s="430"/>
      <c r="CA117" s="430"/>
      <c r="CB117" s="430"/>
      <c r="CC117" s="430"/>
      <c r="CD117" s="430"/>
      <c r="CE117" s="430"/>
      <c r="CF117" s="430"/>
      <c r="CG117" s="430"/>
      <c r="CH117" s="430"/>
      <c r="CI117" s="430"/>
      <c r="CJ117" s="430"/>
      <c r="CK117" s="430"/>
      <c r="CL117" s="430"/>
    </row>
    <row r="118" spans="63:90" ht="14.25" customHeight="1">
      <c r="BK118" s="581"/>
      <c r="BL118" s="581"/>
      <c r="BM118" s="582"/>
      <c r="BN118" s="581"/>
      <c r="BO118" s="581"/>
      <c r="BP118" s="430"/>
      <c r="BQ118" s="430"/>
      <c r="BR118" s="430"/>
      <c r="BS118" s="581"/>
      <c r="BT118" s="581"/>
      <c r="BU118" s="430"/>
      <c r="BV118" s="430"/>
      <c r="BW118" s="430"/>
      <c r="BX118" s="430"/>
      <c r="BY118" s="430"/>
      <c r="BZ118" s="430"/>
      <c r="CA118" s="430"/>
      <c r="CB118" s="430"/>
      <c r="CC118" s="430"/>
      <c r="CD118" s="430"/>
      <c r="CE118" s="430"/>
      <c r="CF118" s="430"/>
      <c r="CG118" s="430"/>
      <c r="CH118" s="430"/>
      <c r="CI118" s="430"/>
      <c r="CJ118" s="430"/>
      <c r="CK118" s="430"/>
      <c r="CL118" s="430"/>
    </row>
    <row r="119" spans="63:90" ht="14.25" customHeight="1">
      <c r="BK119" s="581"/>
      <c r="BL119" s="581"/>
      <c r="BM119" s="582"/>
      <c r="BN119" s="581"/>
      <c r="BO119" s="581"/>
      <c r="BP119" s="430"/>
      <c r="BQ119" s="430"/>
      <c r="BR119" s="430"/>
      <c r="BS119" s="581"/>
      <c r="BT119" s="581"/>
      <c r="BU119" s="430"/>
      <c r="BV119" s="430"/>
      <c r="BW119" s="430"/>
      <c r="BX119" s="430"/>
      <c r="BY119" s="430"/>
      <c r="BZ119" s="430"/>
      <c r="CA119" s="430"/>
      <c r="CB119" s="430"/>
      <c r="CC119" s="430"/>
      <c r="CD119" s="430"/>
      <c r="CE119" s="430"/>
      <c r="CF119" s="430"/>
      <c r="CG119" s="430"/>
      <c r="CH119" s="430"/>
      <c r="CI119" s="430"/>
      <c r="CJ119" s="430"/>
      <c r="CK119" s="430"/>
      <c r="CL119" s="430"/>
    </row>
    <row r="120" spans="63:90" ht="14.25" customHeight="1">
      <c r="BK120" s="581"/>
      <c r="BL120" s="581"/>
      <c r="BM120" s="582"/>
      <c r="BN120" s="581"/>
      <c r="BO120" s="581"/>
      <c r="BP120" s="430"/>
      <c r="BQ120" s="430"/>
      <c r="BR120" s="430"/>
      <c r="BS120" s="581"/>
      <c r="BT120" s="581"/>
      <c r="BU120" s="430"/>
      <c r="BV120" s="430"/>
      <c r="BW120" s="430"/>
      <c r="BX120" s="430"/>
      <c r="BY120" s="430"/>
      <c r="BZ120" s="430"/>
      <c r="CA120" s="430"/>
      <c r="CB120" s="430"/>
      <c r="CC120" s="430"/>
      <c r="CD120" s="430"/>
      <c r="CE120" s="430"/>
      <c r="CF120" s="430"/>
      <c r="CG120" s="430"/>
      <c r="CH120" s="430"/>
      <c r="CI120" s="430"/>
      <c r="CJ120" s="430"/>
      <c r="CK120" s="430"/>
      <c r="CL120" s="430"/>
    </row>
    <row r="121" spans="63:90" ht="14.25" customHeight="1">
      <c r="BK121" s="581"/>
      <c r="BL121" s="581"/>
      <c r="BM121" s="582"/>
      <c r="BN121" s="581"/>
      <c r="BO121" s="581"/>
      <c r="BP121" s="430"/>
      <c r="BQ121" s="430"/>
      <c r="BR121" s="430"/>
      <c r="BS121" s="581"/>
      <c r="BT121" s="581"/>
      <c r="BU121" s="430"/>
      <c r="BV121" s="430"/>
      <c r="BW121" s="430"/>
      <c r="BX121" s="430"/>
      <c r="BY121" s="430"/>
      <c r="BZ121" s="430"/>
      <c r="CA121" s="430"/>
      <c r="CB121" s="430"/>
      <c r="CC121" s="430"/>
      <c r="CD121" s="430"/>
      <c r="CE121" s="430"/>
      <c r="CF121" s="430"/>
      <c r="CG121" s="430"/>
      <c r="CH121" s="430"/>
      <c r="CI121" s="430"/>
      <c r="CJ121" s="430"/>
      <c r="CK121" s="430"/>
      <c r="CL121" s="430"/>
    </row>
    <row r="122" spans="63:90" ht="14.25" customHeight="1">
      <c r="BK122" s="581"/>
      <c r="BL122" s="581"/>
      <c r="BM122" s="582"/>
      <c r="BN122" s="581"/>
      <c r="BO122" s="581"/>
      <c r="BP122" s="430"/>
      <c r="BQ122" s="430"/>
      <c r="BR122" s="430"/>
      <c r="BS122" s="581"/>
      <c r="BT122" s="581"/>
      <c r="BU122" s="430"/>
      <c r="BV122" s="430"/>
      <c r="BW122" s="430"/>
      <c r="BX122" s="430"/>
      <c r="BY122" s="430"/>
      <c r="BZ122" s="430"/>
      <c r="CA122" s="430"/>
      <c r="CB122" s="430"/>
      <c r="CC122" s="430"/>
      <c r="CD122" s="430"/>
      <c r="CE122" s="430"/>
      <c r="CF122" s="430"/>
      <c r="CG122" s="430"/>
      <c r="CH122" s="430"/>
      <c r="CI122" s="430"/>
      <c r="CJ122" s="430"/>
      <c r="CK122" s="430"/>
      <c r="CL122" s="430"/>
    </row>
    <row r="123" spans="63:90" ht="14.25" customHeight="1">
      <c r="BK123" s="581"/>
      <c r="BL123" s="581"/>
      <c r="BM123" s="582"/>
      <c r="BN123" s="581"/>
      <c r="BO123" s="581"/>
      <c r="BP123" s="430"/>
      <c r="BQ123" s="430"/>
      <c r="BR123" s="430"/>
      <c r="BS123" s="581"/>
      <c r="BT123" s="581"/>
      <c r="BU123" s="430"/>
      <c r="BV123" s="430"/>
      <c r="BW123" s="430"/>
      <c r="BX123" s="430"/>
      <c r="BY123" s="430"/>
      <c r="BZ123" s="430"/>
      <c r="CA123" s="430"/>
      <c r="CB123" s="430"/>
      <c r="CC123" s="430"/>
      <c r="CD123" s="430"/>
      <c r="CE123" s="430"/>
      <c r="CF123" s="430"/>
      <c r="CG123" s="430"/>
      <c r="CH123" s="430"/>
      <c r="CI123" s="430"/>
      <c r="CJ123" s="430"/>
      <c r="CK123" s="430"/>
      <c r="CL123" s="430"/>
    </row>
    <row r="124" spans="63:90" ht="14.25" customHeight="1">
      <c r="BK124" s="581"/>
      <c r="BL124" s="581"/>
      <c r="BM124" s="582"/>
      <c r="BN124" s="581"/>
      <c r="BO124" s="581"/>
      <c r="BP124" s="430"/>
      <c r="BQ124" s="430"/>
      <c r="BR124" s="430"/>
      <c r="BS124" s="581"/>
      <c r="BT124" s="581"/>
      <c r="BU124" s="430"/>
      <c r="BV124" s="430"/>
      <c r="BW124" s="430"/>
      <c r="BX124" s="430"/>
      <c r="BY124" s="430"/>
      <c r="BZ124" s="430"/>
      <c r="CA124" s="430"/>
      <c r="CB124" s="430"/>
      <c r="CC124" s="430"/>
      <c r="CD124" s="430"/>
      <c r="CE124" s="430"/>
      <c r="CF124" s="430"/>
      <c r="CG124" s="430"/>
      <c r="CH124" s="430"/>
      <c r="CI124" s="430"/>
      <c r="CJ124" s="430"/>
      <c r="CK124" s="430"/>
      <c r="CL124" s="430"/>
    </row>
    <row r="125" spans="63:90" ht="14.25" customHeight="1">
      <c r="BK125" s="581"/>
      <c r="BL125" s="581"/>
      <c r="BM125" s="582"/>
      <c r="BN125" s="581"/>
      <c r="BO125" s="581"/>
      <c r="BP125" s="430"/>
      <c r="BQ125" s="430"/>
      <c r="BR125" s="430"/>
      <c r="BS125" s="581"/>
      <c r="BT125" s="581"/>
      <c r="BU125" s="430"/>
      <c r="BV125" s="430"/>
      <c r="BW125" s="430"/>
      <c r="BX125" s="430"/>
      <c r="BY125" s="430"/>
      <c r="BZ125" s="430"/>
      <c r="CA125" s="430"/>
      <c r="CB125" s="430"/>
      <c r="CC125" s="430"/>
      <c r="CD125" s="430"/>
      <c r="CE125" s="430"/>
      <c r="CF125" s="430"/>
      <c r="CG125" s="430"/>
      <c r="CH125" s="430"/>
      <c r="CI125" s="430"/>
      <c r="CJ125" s="430"/>
      <c r="CK125" s="430"/>
      <c r="CL125" s="430"/>
    </row>
    <row r="126" spans="63:90" ht="14.25" customHeight="1">
      <c r="BK126" s="581"/>
      <c r="BL126" s="581"/>
      <c r="BM126" s="582"/>
      <c r="BN126" s="581"/>
      <c r="BO126" s="581"/>
      <c r="BP126" s="430"/>
      <c r="BQ126" s="430"/>
      <c r="BR126" s="430"/>
      <c r="BS126" s="581"/>
      <c r="BT126" s="581"/>
      <c r="BU126" s="430"/>
      <c r="BV126" s="430"/>
      <c r="BW126" s="430"/>
      <c r="BX126" s="430"/>
      <c r="BY126" s="430"/>
      <c r="BZ126" s="430"/>
      <c r="CA126" s="430"/>
      <c r="CB126" s="430"/>
      <c r="CC126" s="430"/>
      <c r="CD126" s="430"/>
      <c r="CE126" s="430"/>
      <c r="CF126" s="430"/>
      <c r="CG126" s="430"/>
      <c r="CH126" s="430"/>
      <c r="CI126" s="430"/>
      <c r="CJ126" s="430"/>
      <c r="CK126" s="430"/>
      <c r="CL126" s="430"/>
    </row>
    <row r="127" spans="63:90" ht="14.25" customHeight="1">
      <c r="BK127" s="581"/>
      <c r="BL127" s="581"/>
      <c r="BM127" s="582"/>
      <c r="BN127" s="581"/>
      <c r="BO127" s="581"/>
      <c r="BP127" s="430"/>
      <c r="BQ127" s="430"/>
      <c r="BR127" s="430"/>
      <c r="BS127" s="581"/>
      <c r="BT127" s="581"/>
      <c r="BU127" s="430"/>
      <c r="BV127" s="430"/>
      <c r="BW127" s="430"/>
      <c r="BX127" s="430"/>
      <c r="BY127" s="430"/>
      <c r="BZ127" s="430"/>
      <c r="CA127" s="430"/>
      <c r="CB127" s="430"/>
      <c r="CC127" s="430"/>
      <c r="CD127" s="430"/>
      <c r="CE127" s="430"/>
      <c r="CF127" s="430"/>
      <c r="CG127" s="430"/>
      <c r="CH127" s="430"/>
      <c r="CI127" s="430"/>
      <c r="CJ127" s="430"/>
      <c r="CK127" s="430"/>
      <c r="CL127" s="430"/>
    </row>
    <row r="128" spans="63:90" ht="14.25" customHeight="1">
      <c r="BK128" s="581"/>
      <c r="BL128" s="581"/>
      <c r="BM128" s="582"/>
      <c r="BN128" s="581"/>
      <c r="BO128" s="581"/>
      <c r="BP128" s="430"/>
      <c r="BQ128" s="430"/>
      <c r="BR128" s="430"/>
      <c r="BS128" s="581"/>
      <c r="BT128" s="581"/>
      <c r="BU128" s="430"/>
      <c r="BV128" s="430"/>
      <c r="BW128" s="430"/>
      <c r="BX128" s="430"/>
      <c r="BY128" s="430"/>
      <c r="BZ128" s="430"/>
      <c r="CA128" s="430"/>
      <c r="CB128" s="430"/>
      <c r="CC128" s="430"/>
      <c r="CD128" s="430"/>
      <c r="CE128" s="430"/>
      <c r="CF128" s="430"/>
      <c r="CG128" s="430"/>
      <c r="CH128" s="430"/>
      <c r="CI128" s="430"/>
      <c r="CJ128" s="430"/>
      <c r="CK128" s="430"/>
      <c r="CL128" s="430"/>
    </row>
    <row r="129" spans="63:90" ht="14.25" customHeight="1">
      <c r="BK129" s="581"/>
      <c r="BL129" s="581"/>
      <c r="BM129" s="582"/>
      <c r="BN129" s="581"/>
      <c r="BO129" s="581"/>
      <c r="BP129" s="430"/>
      <c r="BQ129" s="430"/>
      <c r="BR129" s="430"/>
      <c r="BS129" s="581"/>
      <c r="BT129" s="581"/>
      <c r="BU129" s="430"/>
      <c r="BV129" s="430"/>
      <c r="BW129" s="430"/>
      <c r="BX129" s="430"/>
      <c r="BY129" s="430"/>
      <c r="BZ129" s="430"/>
      <c r="CA129" s="430"/>
      <c r="CB129" s="430"/>
      <c r="CC129" s="430"/>
      <c r="CD129" s="430"/>
      <c r="CE129" s="430"/>
      <c r="CF129" s="430"/>
      <c r="CG129" s="430"/>
      <c r="CH129" s="430"/>
      <c r="CI129" s="430"/>
      <c r="CJ129" s="430"/>
      <c r="CK129" s="430"/>
      <c r="CL129" s="430"/>
    </row>
    <row r="130" spans="63:90" ht="14.25" customHeight="1">
      <c r="BK130" s="581"/>
      <c r="BL130" s="581"/>
      <c r="BM130" s="582"/>
      <c r="BN130" s="581"/>
      <c r="BO130" s="581"/>
      <c r="BP130" s="430"/>
      <c r="BQ130" s="430"/>
      <c r="BR130" s="430"/>
      <c r="BS130" s="581"/>
      <c r="BT130" s="581"/>
      <c r="BU130" s="430"/>
      <c r="BV130" s="430"/>
      <c r="BW130" s="430"/>
      <c r="BX130" s="430"/>
      <c r="BY130" s="430"/>
      <c r="BZ130" s="430"/>
      <c r="CA130" s="430"/>
      <c r="CB130" s="430"/>
      <c r="CC130" s="430"/>
      <c r="CD130" s="430"/>
      <c r="CE130" s="430"/>
      <c r="CF130" s="430"/>
      <c r="CG130" s="430"/>
      <c r="CH130" s="430"/>
      <c r="CI130" s="430"/>
      <c r="CJ130" s="430"/>
      <c r="CK130" s="430"/>
      <c r="CL130" s="430"/>
    </row>
    <row r="131" spans="63:90" ht="14.25" customHeight="1">
      <c r="BK131" s="581"/>
      <c r="BL131" s="581"/>
      <c r="BM131" s="582"/>
      <c r="BN131" s="581"/>
      <c r="BO131" s="581"/>
      <c r="BP131" s="430"/>
      <c r="BQ131" s="430"/>
      <c r="BR131" s="430"/>
      <c r="BS131" s="581"/>
      <c r="BT131" s="581"/>
      <c r="BU131" s="430"/>
      <c r="BV131" s="430"/>
      <c r="BW131" s="430"/>
      <c r="BX131" s="430"/>
      <c r="BY131" s="430"/>
      <c r="BZ131" s="430"/>
      <c r="CA131" s="430"/>
      <c r="CB131" s="430"/>
      <c r="CC131" s="430"/>
      <c r="CD131" s="430"/>
      <c r="CE131" s="430"/>
      <c r="CF131" s="430"/>
      <c r="CG131" s="430"/>
      <c r="CH131" s="430"/>
      <c r="CI131" s="430"/>
      <c r="CJ131" s="430"/>
      <c r="CK131" s="430"/>
      <c r="CL131" s="430"/>
    </row>
    <row r="132" spans="63:90" ht="14.25" customHeight="1">
      <c r="BK132" s="581"/>
      <c r="BL132" s="581"/>
      <c r="BM132" s="582"/>
      <c r="BN132" s="581"/>
      <c r="BO132" s="581"/>
      <c r="BP132" s="430"/>
      <c r="BQ132" s="430"/>
      <c r="BR132" s="430"/>
      <c r="BS132" s="581"/>
      <c r="BT132" s="581"/>
      <c r="BU132" s="430"/>
      <c r="BV132" s="430"/>
      <c r="BW132" s="430"/>
      <c r="BX132" s="430"/>
      <c r="BY132" s="430"/>
      <c r="BZ132" s="430"/>
      <c r="CA132" s="430"/>
      <c r="CB132" s="430"/>
      <c r="CC132" s="430"/>
      <c r="CD132" s="430"/>
      <c r="CE132" s="430"/>
      <c r="CF132" s="430"/>
      <c r="CG132" s="430"/>
      <c r="CH132" s="430"/>
      <c r="CI132" s="430"/>
      <c r="CJ132" s="430"/>
      <c r="CK132" s="430"/>
      <c r="CL132" s="430"/>
    </row>
    <row r="133" spans="63:90" ht="14.25" customHeight="1">
      <c r="BK133" s="581"/>
      <c r="BL133" s="581"/>
      <c r="BM133" s="582"/>
      <c r="BN133" s="581"/>
      <c r="BO133" s="581"/>
      <c r="BP133" s="430"/>
      <c r="BQ133" s="430"/>
      <c r="BR133" s="430"/>
      <c r="BS133" s="581"/>
      <c r="BT133" s="581"/>
      <c r="BU133" s="430"/>
      <c r="BV133" s="430"/>
      <c r="BW133" s="430"/>
      <c r="BX133" s="430"/>
      <c r="BY133" s="430"/>
      <c r="BZ133" s="430"/>
      <c r="CA133" s="430"/>
      <c r="CB133" s="430"/>
      <c r="CC133" s="430"/>
      <c r="CD133" s="430"/>
      <c r="CE133" s="430"/>
      <c r="CF133" s="430"/>
      <c r="CG133" s="430"/>
      <c r="CH133" s="430"/>
      <c r="CI133" s="430"/>
      <c r="CJ133" s="430"/>
      <c r="CK133" s="430"/>
      <c r="CL133" s="430"/>
    </row>
    <row r="134" spans="63:90" ht="14.25" customHeight="1">
      <c r="BK134" s="581"/>
      <c r="BL134" s="581"/>
      <c r="BM134" s="582"/>
      <c r="BN134" s="581"/>
      <c r="BO134" s="581"/>
      <c r="BP134" s="430"/>
      <c r="BQ134" s="430"/>
      <c r="BR134" s="430"/>
      <c r="BS134" s="581"/>
      <c r="BT134" s="581"/>
      <c r="BU134" s="430"/>
      <c r="BV134" s="430"/>
      <c r="BW134" s="430"/>
      <c r="BX134" s="430"/>
      <c r="BY134" s="430"/>
      <c r="BZ134" s="430"/>
      <c r="CA134" s="430"/>
      <c r="CB134" s="430"/>
      <c r="CC134" s="430"/>
      <c r="CD134" s="430"/>
      <c r="CE134" s="430"/>
      <c r="CF134" s="430"/>
      <c r="CG134" s="430"/>
      <c r="CH134" s="430"/>
      <c r="CI134" s="430"/>
      <c r="CJ134" s="430"/>
      <c r="CK134" s="430"/>
      <c r="CL134" s="430"/>
    </row>
    <row r="135" spans="63:90" ht="14.25" customHeight="1">
      <c r="BK135" s="581"/>
      <c r="BL135" s="581"/>
      <c r="BM135" s="582"/>
      <c r="BN135" s="581"/>
      <c r="BO135" s="581"/>
      <c r="BP135" s="430"/>
      <c r="BQ135" s="430"/>
      <c r="BR135" s="430"/>
      <c r="BS135" s="581"/>
      <c r="BT135" s="581"/>
      <c r="BU135" s="430"/>
      <c r="BV135" s="430"/>
      <c r="BW135" s="430"/>
      <c r="BX135" s="430"/>
      <c r="BY135" s="430"/>
      <c r="BZ135" s="430"/>
      <c r="CA135" s="430"/>
      <c r="CB135" s="430"/>
      <c r="CC135" s="430"/>
      <c r="CD135" s="430"/>
      <c r="CE135" s="430"/>
      <c r="CF135" s="430"/>
      <c r="CG135" s="430"/>
      <c r="CH135" s="430"/>
      <c r="CI135" s="430"/>
      <c r="CJ135" s="430"/>
      <c r="CK135" s="430"/>
      <c r="CL135" s="430"/>
    </row>
    <row r="136" spans="63:90" ht="14.25" customHeight="1">
      <c r="BK136" s="581"/>
      <c r="BL136" s="581"/>
      <c r="BM136" s="582"/>
      <c r="BN136" s="581"/>
      <c r="BO136" s="581"/>
      <c r="BP136" s="430"/>
      <c r="BQ136" s="430"/>
      <c r="BR136" s="430"/>
      <c r="BS136" s="581"/>
      <c r="BT136" s="581"/>
      <c r="BU136" s="430"/>
      <c r="BV136" s="430"/>
      <c r="BW136" s="430"/>
      <c r="BX136" s="430"/>
      <c r="BY136" s="430"/>
      <c r="BZ136" s="430"/>
      <c r="CA136" s="430"/>
      <c r="CB136" s="430"/>
      <c r="CC136" s="430"/>
      <c r="CD136" s="430"/>
      <c r="CE136" s="430"/>
      <c r="CF136" s="430"/>
      <c r="CG136" s="430"/>
      <c r="CH136" s="430"/>
      <c r="CI136" s="430"/>
      <c r="CJ136" s="430"/>
      <c r="CK136" s="430"/>
      <c r="CL136" s="430"/>
    </row>
    <row r="137" spans="63:90" ht="14.25" customHeight="1">
      <c r="BK137" s="581"/>
      <c r="BL137" s="581"/>
      <c r="BM137" s="582"/>
      <c r="BN137" s="581"/>
      <c r="BO137" s="581"/>
      <c r="BP137" s="430"/>
      <c r="BQ137" s="430"/>
      <c r="BR137" s="430"/>
      <c r="BS137" s="581"/>
      <c r="BT137" s="581"/>
      <c r="BU137" s="430"/>
      <c r="BV137" s="430"/>
      <c r="BW137" s="430"/>
      <c r="BX137" s="430"/>
      <c r="BY137" s="430"/>
      <c r="BZ137" s="430"/>
      <c r="CA137" s="430"/>
      <c r="CB137" s="430"/>
      <c r="CC137" s="430"/>
      <c r="CD137" s="430"/>
      <c r="CE137" s="430"/>
      <c r="CF137" s="430"/>
      <c r="CG137" s="430"/>
      <c r="CH137" s="430"/>
      <c r="CI137" s="430"/>
      <c r="CJ137" s="430"/>
      <c r="CK137" s="430"/>
      <c r="CL137" s="430"/>
    </row>
    <row r="138" spans="63:90" ht="14.25" customHeight="1">
      <c r="BK138" s="581"/>
      <c r="BL138" s="581"/>
      <c r="BM138" s="582"/>
      <c r="BN138" s="581"/>
      <c r="BO138" s="581"/>
      <c r="BP138" s="430"/>
      <c r="BQ138" s="430"/>
      <c r="BR138" s="430"/>
      <c r="BS138" s="581"/>
      <c r="BT138" s="581"/>
      <c r="BU138" s="430"/>
      <c r="BV138" s="430"/>
      <c r="BW138" s="430"/>
      <c r="BX138" s="430"/>
      <c r="BY138" s="430"/>
      <c r="BZ138" s="430"/>
      <c r="CA138" s="430"/>
      <c r="CB138" s="430"/>
      <c r="CC138" s="430"/>
      <c r="CD138" s="430"/>
      <c r="CE138" s="430"/>
      <c r="CF138" s="430"/>
      <c r="CG138" s="430"/>
      <c r="CH138" s="430"/>
      <c r="CI138" s="430"/>
      <c r="CJ138" s="430"/>
      <c r="CK138" s="430"/>
      <c r="CL138" s="430"/>
    </row>
    <row r="139" spans="63:90" ht="14.25" customHeight="1">
      <c r="BK139" s="581"/>
      <c r="BL139" s="581"/>
      <c r="BM139" s="582"/>
      <c r="BN139" s="581"/>
      <c r="BO139" s="581"/>
      <c r="BP139" s="430"/>
      <c r="BQ139" s="430"/>
      <c r="BR139" s="430"/>
      <c r="BS139" s="581"/>
      <c r="BT139" s="581"/>
      <c r="BU139" s="430"/>
      <c r="BV139" s="430"/>
      <c r="BW139" s="430"/>
      <c r="BX139" s="430"/>
      <c r="BY139" s="430"/>
      <c r="BZ139" s="430"/>
      <c r="CA139" s="430"/>
      <c r="CB139" s="430"/>
      <c r="CC139" s="430"/>
      <c r="CD139" s="430"/>
      <c r="CE139" s="430"/>
      <c r="CF139" s="430"/>
      <c r="CG139" s="430"/>
      <c r="CH139" s="430"/>
      <c r="CI139" s="430"/>
      <c r="CJ139" s="430"/>
      <c r="CK139" s="430"/>
      <c r="CL139" s="430"/>
    </row>
    <row r="140" spans="63:90" ht="14.25" customHeight="1">
      <c r="BK140" s="581"/>
      <c r="BL140" s="581"/>
      <c r="BM140" s="582"/>
      <c r="BN140" s="581"/>
      <c r="BO140" s="581"/>
      <c r="BP140" s="430"/>
      <c r="BQ140" s="430"/>
      <c r="BR140" s="430"/>
      <c r="BS140" s="581"/>
      <c r="BT140" s="581"/>
      <c r="BU140" s="430"/>
      <c r="BV140" s="430"/>
      <c r="BW140" s="430"/>
      <c r="BX140" s="430"/>
      <c r="BY140" s="430"/>
      <c r="BZ140" s="430"/>
      <c r="CA140" s="430"/>
      <c r="CB140" s="430"/>
      <c r="CC140" s="430"/>
      <c r="CD140" s="430"/>
      <c r="CE140" s="430"/>
      <c r="CF140" s="430"/>
      <c r="CG140" s="430"/>
      <c r="CH140" s="430"/>
      <c r="CI140" s="430"/>
      <c r="CJ140" s="430"/>
      <c r="CK140" s="430"/>
      <c r="CL140" s="430"/>
    </row>
    <row r="141" spans="63:90" ht="14.25" customHeight="1">
      <c r="BK141" s="581"/>
      <c r="BL141" s="581"/>
      <c r="BM141" s="582"/>
      <c r="BN141" s="581"/>
      <c r="BO141" s="581"/>
      <c r="BP141" s="430"/>
      <c r="BQ141" s="430"/>
      <c r="BR141" s="430"/>
      <c r="BS141" s="581"/>
      <c r="BT141" s="581"/>
      <c r="BU141" s="430"/>
      <c r="BV141" s="430"/>
      <c r="BW141" s="430"/>
      <c r="BX141" s="430"/>
      <c r="BY141" s="430"/>
      <c r="BZ141" s="430"/>
      <c r="CA141" s="430"/>
      <c r="CB141" s="430"/>
      <c r="CC141" s="430"/>
      <c r="CD141" s="430"/>
      <c r="CE141" s="430"/>
      <c r="CF141" s="430"/>
      <c r="CG141" s="430"/>
      <c r="CH141" s="430"/>
      <c r="CI141" s="430"/>
      <c r="CJ141" s="430"/>
      <c r="CK141" s="430"/>
      <c r="CL141" s="430"/>
    </row>
    <row r="142" spans="63:90" ht="14.25" customHeight="1">
      <c r="BK142" s="581"/>
      <c r="BL142" s="581"/>
      <c r="BM142" s="582"/>
      <c r="BN142" s="581"/>
      <c r="BO142" s="581"/>
      <c r="BP142" s="430"/>
      <c r="BQ142" s="430"/>
      <c r="BR142" s="430"/>
      <c r="BS142" s="581"/>
      <c r="BT142" s="581"/>
      <c r="BU142" s="430"/>
      <c r="BV142" s="430"/>
      <c r="BW142" s="430"/>
      <c r="BX142" s="430"/>
      <c r="BY142" s="430"/>
      <c r="BZ142" s="430"/>
      <c r="CA142" s="430"/>
      <c r="CB142" s="430"/>
      <c r="CC142" s="430"/>
      <c r="CD142" s="430"/>
      <c r="CE142" s="430"/>
      <c r="CF142" s="430"/>
      <c r="CG142" s="430"/>
      <c r="CH142" s="430"/>
      <c r="CI142" s="430"/>
      <c r="CJ142" s="430"/>
      <c r="CK142" s="430"/>
      <c r="CL142" s="430"/>
    </row>
    <row r="143" spans="63:90" ht="14.25" customHeight="1">
      <c r="BK143" s="581"/>
      <c r="BL143" s="581"/>
      <c r="BM143" s="582"/>
      <c r="BN143" s="581"/>
      <c r="BO143" s="581"/>
      <c r="BP143" s="430"/>
      <c r="BQ143" s="430"/>
      <c r="BR143" s="430"/>
      <c r="BS143" s="581"/>
      <c r="BT143" s="581"/>
      <c r="BU143" s="430"/>
      <c r="BV143" s="430"/>
      <c r="BW143" s="430"/>
      <c r="BX143" s="430"/>
      <c r="BY143" s="430"/>
      <c r="BZ143" s="430"/>
      <c r="CA143" s="430"/>
      <c r="CB143" s="430"/>
      <c r="CC143" s="430"/>
      <c r="CD143" s="430"/>
      <c r="CE143" s="430"/>
      <c r="CF143" s="430"/>
      <c r="CG143" s="430"/>
      <c r="CH143" s="430"/>
      <c r="CI143" s="430"/>
      <c r="CJ143" s="430"/>
      <c r="CK143" s="430"/>
      <c r="CL143" s="430"/>
    </row>
    <row r="144" spans="63:90" ht="14.25" customHeight="1">
      <c r="BK144" s="581"/>
      <c r="BL144" s="581"/>
      <c r="BM144" s="582"/>
      <c r="BN144" s="581"/>
      <c r="BO144" s="581"/>
      <c r="BP144" s="430"/>
      <c r="BQ144" s="430"/>
      <c r="BR144" s="430"/>
      <c r="BS144" s="581"/>
      <c r="BT144" s="581"/>
      <c r="BU144" s="430"/>
      <c r="BV144" s="430"/>
      <c r="BW144" s="430"/>
      <c r="BX144" s="430"/>
      <c r="BY144" s="430"/>
      <c r="BZ144" s="430"/>
      <c r="CA144" s="430"/>
      <c r="CB144" s="430"/>
      <c r="CC144" s="430"/>
      <c r="CD144" s="430"/>
      <c r="CE144" s="430"/>
      <c r="CF144" s="430"/>
      <c r="CG144" s="430"/>
      <c r="CH144" s="430"/>
      <c r="CI144" s="430"/>
      <c r="CJ144" s="430"/>
      <c r="CK144" s="430"/>
      <c r="CL144" s="430"/>
    </row>
    <row r="145" spans="63:90" ht="14.25" customHeight="1">
      <c r="BK145" s="581"/>
      <c r="BL145" s="581"/>
      <c r="BM145" s="582"/>
      <c r="BN145" s="581"/>
      <c r="BO145" s="581"/>
      <c r="BP145" s="430"/>
      <c r="BQ145" s="430"/>
      <c r="BR145" s="430"/>
      <c r="BS145" s="581"/>
      <c r="BT145" s="581"/>
      <c r="BU145" s="430"/>
      <c r="BV145" s="430"/>
      <c r="BW145" s="430"/>
      <c r="BX145" s="430"/>
      <c r="BY145" s="430"/>
      <c r="BZ145" s="430"/>
      <c r="CA145" s="430"/>
      <c r="CB145" s="430"/>
      <c r="CC145" s="430"/>
      <c r="CD145" s="430"/>
      <c r="CE145" s="430"/>
      <c r="CF145" s="430"/>
      <c r="CG145" s="430"/>
      <c r="CH145" s="430"/>
      <c r="CI145" s="430"/>
      <c r="CJ145" s="430"/>
      <c r="CK145" s="430"/>
      <c r="CL145" s="430"/>
    </row>
    <row r="146" spans="63:90" ht="14.25" customHeight="1">
      <c r="BK146" s="581"/>
      <c r="BL146" s="581"/>
      <c r="BM146" s="582"/>
      <c r="BN146" s="581"/>
      <c r="BO146" s="581"/>
      <c r="BP146" s="430"/>
      <c r="BQ146" s="430"/>
      <c r="BR146" s="430"/>
      <c r="BS146" s="581"/>
      <c r="BT146" s="581"/>
      <c r="BU146" s="430"/>
      <c r="BV146" s="430"/>
      <c r="BW146" s="430"/>
      <c r="BX146" s="430"/>
      <c r="BY146" s="430"/>
      <c r="BZ146" s="430"/>
      <c r="CA146" s="430"/>
      <c r="CB146" s="430"/>
      <c r="CC146" s="430"/>
      <c r="CD146" s="430"/>
      <c r="CE146" s="430"/>
      <c r="CF146" s="430"/>
      <c r="CG146" s="430"/>
      <c r="CH146" s="430"/>
      <c r="CI146" s="430"/>
      <c r="CJ146" s="430"/>
      <c r="CK146" s="430"/>
      <c r="CL146" s="430"/>
    </row>
    <row r="147" spans="63:90" ht="14.25" customHeight="1">
      <c r="BK147" s="581"/>
      <c r="BL147" s="581"/>
      <c r="BM147" s="582"/>
      <c r="BN147" s="581"/>
      <c r="BO147" s="581"/>
      <c r="BP147" s="430"/>
      <c r="BQ147" s="430"/>
      <c r="BR147" s="430"/>
      <c r="BS147" s="581"/>
      <c r="BT147" s="581"/>
      <c r="BU147" s="430"/>
      <c r="BV147" s="430"/>
      <c r="BW147" s="430"/>
      <c r="BX147" s="430"/>
      <c r="BY147" s="430"/>
      <c r="BZ147" s="430"/>
      <c r="CA147" s="430"/>
      <c r="CB147" s="430"/>
      <c r="CC147" s="430"/>
      <c r="CD147" s="430"/>
      <c r="CE147" s="430"/>
      <c r="CF147" s="430"/>
      <c r="CG147" s="430"/>
      <c r="CH147" s="430"/>
      <c r="CI147" s="430"/>
      <c r="CJ147" s="430"/>
      <c r="CK147" s="430"/>
      <c r="CL147" s="430"/>
    </row>
    <row r="148" spans="63:90" ht="14.25" customHeight="1">
      <c r="BK148" s="581"/>
      <c r="BL148" s="581"/>
      <c r="BM148" s="582"/>
      <c r="BN148" s="581"/>
      <c r="BO148" s="581"/>
      <c r="BP148" s="430"/>
      <c r="BQ148" s="430"/>
      <c r="BR148" s="430"/>
      <c r="BS148" s="581"/>
      <c r="BT148" s="581"/>
      <c r="BU148" s="430"/>
      <c r="BV148" s="430"/>
      <c r="BW148" s="430"/>
      <c r="BX148" s="430"/>
      <c r="BY148" s="430"/>
      <c r="BZ148" s="430"/>
      <c r="CA148" s="430"/>
      <c r="CB148" s="430"/>
      <c r="CC148" s="430"/>
      <c r="CD148" s="430"/>
      <c r="CE148" s="430"/>
      <c r="CF148" s="430"/>
      <c r="CG148" s="430"/>
      <c r="CH148" s="430"/>
      <c r="CI148" s="430"/>
      <c r="CJ148" s="430"/>
      <c r="CK148" s="430"/>
      <c r="CL148" s="430"/>
    </row>
    <row r="149" spans="63:90" ht="14.25" customHeight="1">
      <c r="BK149" s="581"/>
      <c r="BL149" s="581"/>
      <c r="BM149" s="582"/>
      <c r="BN149" s="581"/>
      <c r="BO149" s="581"/>
      <c r="BP149" s="430"/>
      <c r="BQ149" s="430"/>
      <c r="BR149" s="430"/>
      <c r="BS149" s="581"/>
      <c r="BT149" s="581"/>
      <c r="BU149" s="430"/>
      <c r="BV149" s="430"/>
      <c r="BW149" s="430"/>
      <c r="BX149" s="430"/>
      <c r="BY149" s="430"/>
      <c r="BZ149" s="430"/>
      <c r="CA149" s="430"/>
      <c r="CB149" s="430"/>
      <c r="CC149" s="430"/>
      <c r="CD149" s="430"/>
      <c r="CE149" s="430"/>
      <c r="CF149" s="430"/>
      <c r="CG149" s="430"/>
      <c r="CH149" s="430"/>
      <c r="CI149" s="430"/>
      <c r="CJ149" s="430"/>
      <c r="CK149" s="430"/>
      <c r="CL149" s="430"/>
    </row>
    <row r="150" spans="63:90" ht="14.25" customHeight="1">
      <c r="BK150" s="581"/>
      <c r="BL150" s="581"/>
      <c r="BM150" s="582"/>
      <c r="BN150" s="581"/>
      <c r="BO150" s="581"/>
      <c r="BP150" s="430"/>
      <c r="BQ150" s="430"/>
      <c r="BR150" s="430"/>
      <c r="BS150" s="581"/>
      <c r="BT150" s="581"/>
      <c r="BU150" s="430"/>
      <c r="BV150" s="430"/>
      <c r="BW150" s="430"/>
      <c r="BX150" s="430"/>
      <c r="BY150" s="430"/>
      <c r="BZ150" s="430"/>
      <c r="CA150" s="430"/>
      <c r="CB150" s="430"/>
      <c r="CC150" s="430"/>
      <c r="CD150" s="430"/>
      <c r="CE150" s="430"/>
      <c r="CF150" s="430"/>
      <c r="CG150" s="430"/>
      <c r="CH150" s="430"/>
      <c r="CI150" s="430"/>
      <c r="CJ150" s="430"/>
      <c r="CK150" s="430"/>
      <c r="CL150" s="430"/>
    </row>
    <row r="151" spans="63:90" ht="14.25" customHeight="1">
      <c r="BK151" s="581"/>
      <c r="BL151" s="581"/>
      <c r="BM151" s="582"/>
      <c r="BN151" s="581"/>
      <c r="BO151" s="581"/>
      <c r="BP151" s="430"/>
      <c r="BQ151" s="430"/>
      <c r="BR151" s="430"/>
      <c r="BS151" s="581"/>
      <c r="BT151" s="581"/>
      <c r="BU151" s="430"/>
      <c r="BV151" s="430"/>
      <c r="BW151" s="430"/>
      <c r="BX151" s="430"/>
      <c r="BY151" s="430"/>
      <c r="BZ151" s="430"/>
      <c r="CA151" s="430"/>
      <c r="CB151" s="430"/>
      <c r="CC151" s="430"/>
      <c r="CD151" s="430"/>
      <c r="CE151" s="430"/>
      <c r="CF151" s="430"/>
      <c r="CG151" s="430"/>
      <c r="CH151" s="430"/>
      <c r="CI151" s="430"/>
      <c r="CJ151" s="430"/>
      <c r="CK151" s="430"/>
      <c r="CL151" s="430"/>
    </row>
    <row r="152" spans="63:90" ht="14.25" customHeight="1">
      <c r="BK152" s="581"/>
      <c r="BL152" s="581"/>
      <c r="BM152" s="582"/>
      <c r="BN152" s="581"/>
      <c r="BO152" s="581"/>
      <c r="BP152" s="430"/>
      <c r="BQ152" s="430"/>
      <c r="BR152" s="430"/>
      <c r="BS152" s="581"/>
      <c r="BT152" s="581"/>
      <c r="BU152" s="430"/>
      <c r="BV152" s="430"/>
      <c r="BW152" s="430"/>
      <c r="BX152" s="430"/>
      <c r="BY152" s="430"/>
      <c r="BZ152" s="430"/>
      <c r="CA152" s="430"/>
      <c r="CB152" s="430"/>
      <c r="CC152" s="430"/>
      <c r="CD152" s="430"/>
      <c r="CE152" s="430"/>
      <c r="CF152" s="430"/>
      <c r="CG152" s="430"/>
      <c r="CH152" s="430"/>
      <c r="CI152" s="430"/>
      <c r="CJ152" s="430"/>
      <c r="CK152" s="430"/>
      <c r="CL152" s="430"/>
    </row>
    <row r="153" spans="63:90" ht="14.25" customHeight="1">
      <c r="BK153" s="581"/>
      <c r="BL153" s="581"/>
      <c r="BM153" s="582"/>
      <c r="BN153" s="581"/>
      <c r="BO153" s="581"/>
      <c r="BP153" s="430"/>
      <c r="BQ153" s="430"/>
      <c r="BR153" s="430"/>
      <c r="BS153" s="581"/>
      <c r="BT153" s="581"/>
      <c r="BU153" s="430"/>
      <c r="BV153" s="430"/>
      <c r="BW153" s="430"/>
      <c r="BX153" s="430"/>
      <c r="BY153" s="430"/>
      <c r="BZ153" s="430"/>
      <c r="CA153" s="430"/>
      <c r="CB153" s="430"/>
      <c r="CC153" s="430"/>
      <c r="CD153" s="430"/>
      <c r="CE153" s="430"/>
      <c r="CF153" s="430"/>
      <c r="CG153" s="430"/>
      <c r="CH153" s="430"/>
      <c r="CI153" s="430"/>
      <c r="CJ153" s="430"/>
      <c r="CK153" s="430"/>
      <c r="CL153" s="430"/>
    </row>
    <row r="154" spans="63:90" ht="14.25" customHeight="1">
      <c r="BK154" s="581"/>
      <c r="BL154" s="581"/>
      <c r="BM154" s="582"/>
      <c r="BN154" s="581"/>
      <c r="BO154" s="581"/>
      <c r="BP154" s="430"/>
      <c r="BQ154" s="430"/>
      <c r="BR154" s="430"/>
      <c r="BS154" s="581"/>
      <c r="BT154" s="581"/>
      <c r="BU154" s="430"/>
      <c r="BV154" s="430"/>
      <c r="BW154" s="430"/>
      <c r="BX154" s="430"/>
      <c r="BY154" s="430"/>
      <c r="BZ154" s="430"/>
      <c r="CA154" s="430"/>
      <c r="CB154" s="430"/>
      <c r="CC154" s="430"/>
      <c r="CD154" s="430"/>
      <c r="CE154" s="430"/>
      <c r="CF154" s="430"/>
      <c r="CG154" s="430"/>
      <c r="CH154" s="430"/>
      <c r="CI154" s="430"/>
      <c r="CJ154" s="430"/>
      <c r="CK154" s="430"/>
      <c r="CL154" s="430"/>
    </row>
    <row r="155" spans="63:90" ht="14.25" customHeight="1">
      <c r="BK155" s="581"/>
      <c r="BL155" s="581"/>
      <c r="BM155" s="582"/>
      <c r="BN155" s="581"/>
      <c r="BO155" s="581"/>
      <c r="BP155" s="430"/>
      <c r="BQ155" s="430"/>
      <c r="BR155" s="430"/>
      <c r="BS155" s="581"/>
      <c r="BT155" s="581"/>
      <c r="BU155" s="430"/>
      <c r="BV155" s="430"/>
      <c r="BW155" s="430"/>
      <c r="BX155" s="430"/>
      <c r="BY155" s="430"/>
      <c r="BZ155" s="430"/>
      <c r="CA155" s="430"/>
      <c r="CB155" s="430"/>
      <c r="CC155" s="430"/>
      <c r="CD155" s="430"/>
      <c r="CE155" s="430"/>
      <c r="CF155" s="430"/>
      <c r="CG155" s="430"/>
      <c r="CH155" s="430"/>
      <c r="CI155" s="430"/>
      <c r="CJ155" s="430"/>
      <c r="CK155" s="430"/>
      <c r="CL155" s="430"/>
    </row>
    <row r="156" spans="63:90" ht="14.25" customHeight="1">
      <c r="BK156" s="581"/>
      <c r="BL156" s="581"/>
      <c r="BM156" s="582"/>
      <c r="BN156" s="581"/>
      <c r="BO156" s="581"/>
      <c r="BP156" s="430"/>
      <c r="BQ156" s="430"/>
      <c r="BR156" s="430"/>
      <c r="BS156" s="581"/>
      <c r="BT156" s="581"/>
      <c r="BU156" s="430"/>
      <c r="BV156" s="430"/>
      <c r="BW156" s="430"/>
      <c r="BX156" s="430"/>
      <c r="BY156" s="430"/>
      <c r="BZ156" s="430"/>
      <c r="CA156" s="430"/>
      <c r="CB156" s="430"/>
      <c r="CC156" s="430"/>
      <c r="CD156" s="430"/>
      <c r="CE156" s="430"/>
      <c r="CF156" s="430"/>
      <c r="CG156" s="430"/>
      <c r="CH156" s="430"/>
      <c r="CI156" s="430"/>
      <c r="CJ156" s="430"/>
      <c r="CK156" s="430"/>
      <c r="CL156" s="430"/>
    </row>
    <row r="157" spans="63:90" ht="14.25" customHeight="1">
      <c r="BK157" s="581"/>
      <c r="BL157" s="581"/>
      <c r="BM157" s="582"/>
      <c r="BN157" s="581"/>
      <c r="BO157" s="581"/>
      <c r="BP157" s="430"/>
      <c r="BQ157" s="430"/>
      <c r="BR157" s="430"/>
      <c r="BS157" s="581"/>
      <c r="BT157" s="581"/>
      <c r="BU157" s="430"/>
      <c r="BV157" s="430"/>
      <c r="BW157" s="430"/>
      <c r="BX157" s="430"/>
      <c r="BY157" s="430"/>
      <c r="BZ157" s="430"/>
      <c r="CA157" s="430"/>
      <c r="CB157" s="430"/>
      <c r="CC157" s="430"/>
      <c r="CD157" s="430"/>
      <c r="CE157" s="430"/>
      <c r="CF157" s="430"/>
      <c r="CG157" s="430"/>
      <c r="CH157" s="430"/>
      <c r="CI157" s="430"/>
      <c r="CJ157" s="430"/>
      <c r="CK157" s="430"/>
      <c r="CL157" s="430"/>
    </row>
    <row r="158" spans="63:90" ht="14.25" customHeight="1">
      <c r="BK158" s="581"/>
      <c r="BL158" s="581"/>
      <c r="BM158" s="582"/>
      <c r="BN158" s="581"/>
      <c r="BO158" s="581"/>
      <c r="BP158" s="430"/>
      <c r="BQ158" s="430"/>
      <c r="BR158" s="430"/>
      <c r="BS158" s="581"/>
      <c r="BT158" s="581"/>
      <c r="BU158" s="430"/>
      <c r="BV158" s="430"/>
      <c r="BW158" s="430"/>
      <c r="BX158" s="430"/>
      <c r="BY158" s="430"/>
      <c r="BZ158" s="430"/>
      <c r="CA158" s="430"/>
      <c r="CB158" s="430"/>
      <c r="CC158" s="430"/>
      <c r="CD158" s="430"/>
      <c r="CE158" s="430"/>
      <c r="CF158" s="430"/>
      <c r="CG158" s="430"/>
      <c r="CH158" s="430"/>
      <c r="CI158" s="430"/>
      <c r="CJ158" s="430"/>
      <c r="CK158" s="430"/>
      <c r="CL158" s="430"/>
    </row>
    <row r="159" spans="63:90" ht="14.25" customHeight="1">
      <c r="BK159" s="581"/>
      <c r="BL159" s="581"/>
      <c r="BM159" s="582"/>
      <c r="BN159" s="581"/>
      <c r="BO159" s="581"/>
      <c r="BP159" s="430"/>
      <c r="BQ159" s="430"/>
      <c r="BR159" s="430"/>
      <c r="BS159" s="581"/>
      <c r="BT159" s="581"/>
      <c r="BU159" s="430"/>
      <c r="BV159" s="430"/>
      <c r="BW159" s="430"/>
      <c r="BX159" s="430"/>
      <c r="BY159" s="430"/>
      <c r="BZ159" s="430"/>
      <c r="CA159" s="430"/>
      <c r="CB159" s="430"/>
      <c r="CC159" s="430"/>
      <c r="CD159" s="430"/>
      <c r="CE159" s="430"/>
      <c r="CF159" s="430"/>
      <c r="CG159" s="430"/>
      <c r="CH159" s="430"/>
      <c r="CI159" s="430"/>
      <c r="CJ159" s="430"/>
      <c r="CK159" s="430"/>
      <c r="CL159" s="430"/>
    </row>
    <row r="160" spans="63:90" ht="14.25" customHeight="1">
      <c r="BK160" s="581"/>
      <c r="BL160" s="581"/>
      <c r="BM160" s="582"/>
      <c r="BN160" s="581"/>
      <c r="BO160" s="581"/>
      <c r="BP160" s="430"/>
      <c r="BQ160" s="430"/>
      <c r="BR160" s="430"/>
      <c r="BS160" s="581"/>
      <c r="BT160" s="581"/>
      <c r="BU160" s="430"/>
      <c r="BV160" s="430"/>
      <c r="BW160" s="430"/>
      <c r="BX160" s="430"/>
      <c r="BY160" s="430"/>
      <c r="BZ160" s="430"/>
      <c r="CA160" s="430"/>
      <c r="CB160" s="430"/>
      <c r="CC160" s="430"/>
      <c r="CD160" s="430"/>
      <c r="CE160" s="430"/>
      <c r="CF160" s="430"/>
      <c r="CG160" s="430"/>
      <c r="CH160" s="430"/>
      <c r="CI160" s="430"/>
      <c r="CJ160" s="430"/>
      <c r="CK160" s="430"/>
      <c r="CL160" s="430"/>
    </row>
    <row r="161" spans="63:90" ht="14.25" customHeight="1">
      <c r="BK161" s="581"/>
      <c r="BL161" s="581"/>
      <c r="BM161" s="582"/>
      <c r="BN161" s="581"/>
      <c r="BO161" s="581"/>
      <c r="BP161" s="430"/>
      <c r="BQ161" s="430"/>
      <c r="BR161" s="430"/>
      <c r="BS161" s="581"/>
      <c r="BT161" s="581"/>
      <c r="BU161" s="430"/>
      <c r="BV161" s="430"/>
      <c r="BW161" s="430"/>
      <c r="BX161" s="430"/>
      <c r="BY161" s="430"/>
      <c r="BZ161" s="430"/>
      <c r="CA161" s="430"/>
      <c r="CB161" s="430"/>
      <c r="CC161" s="430"/>
      <c r="CD161" s="430"/>
      <c r="CE161" s="430"/>
      <c r="CF161" s="430"/>
      <c r="CG161" s="430"/>
      <c r="CH161" s="430"/>
      <c r="CI161" s="430"/>
      <c r="CJ161" s="430"/>
      <c r="CK161" s="430"/>
      <c r="CL161" s="430"/>
    </row>
    <row r="162" spans="63:90" ht="14.25" customHeight="1">
      <c r="BK162" s="581"/>
      <c r="BL162" s="581"/>
      <c r="BM162" s="582"/>
      <c r="BN162" s="581"/>
      <c r="BO162" s="581"/>
      <c r="BP162" s="430"/>
      <c r="BQ162" s="430"/>
      <c r="BR162" s="430"/>
      <c r="BS162" s="581"/>
      <c r="BT162" s="581"/>
      <c r="BU162" s="430"/>
      <c r="BV162" s="430"/>
      <c r="BW162" s="430"/>
      <c r="BX162" s="430"/>
      <c r="BY162" s="430"/>
      <c r="BZ162" s="430"/>
      <c r="CA162" s="430"/>
      <c r="CB162" s="430"/>
      <c r="CC162" s="430"/>
      <c r="CD162" s="430"/>
      <c r="CE162" s="430"/>
      <c r="CF162" s="430"/>
      <c r="CG162" s="430"/>
      <c r="CH162" s="430"/>
      <c r="CI162" s="430"/>
      <c r="CJ162" s="430"/>
      <c r="CK162" s="430"/>
      <c r="CL162" s="430"/>
    </row>
    <row r="163" spans="63:90" ht="14.25" customHeight="1">
      <c r="BK163" s="581"/>
      <c r="BL163" s="581"/>
      <c r="BM163" s="582"/>
      <c r="BN163" s="581"/>
      <c r="BO163" s="581"/>
      <c r="BP163" s="430"/>
      <c r="BQ163" s="430"/>
      <c r="BR163" s="430"/>
      <c r="BS163" s="581"/>
      <c r="BT163" s="581"/>
      <c r="BU163" s="430"/>
      <c r="BV163" s="430"/>
      <c r="BW163" s="430"/>
      <c r="BX163" s="430"/>
      <c r="BY163" s="430"/>
      <c r="BZ163" s="430"/>
      <c r="CA163" s="430"/>
      <c r="CB163" s="430"/>
      <c r="CC163" s="430"/>
      <c r="CD163" s="430"/>
      <c r="CE163" s="430"/>
      <c r="CF163" s="430"/>
      <c r="CG163" s="430"/>
      <c r="CH163" s="430"/>
      <c r="CI163" s="430"/>
      <c r="CJ163" s="430"/>
      <c r="CK163" s="430"/>
      <c r="CL163" s="430"/>
    </row>
    <row r="164" spans="63:90" ht="14.25" customHeight="1">
      <c r="BK164" s="581"/>
      <c r="BL164" s="581"/>
      <c r="BM164" s="582"/>
      <c r="BN164" s="581"/>
      <c r="BO164" s="581"/>
      <c r="BP164" s="430"/>
      <c r="BQ164" s="430"/>
      <c r="BR164" s="430"/>
      <c r="BS164" s="581"/>
      <c r="BT164" s="581"/>
      <c r="BU164" s="430"/>
      <c r="BV164" s="430"/>
      <c r="BW164" s="430"/>
      <c r="BX164" s="430"/>
      <c r="BY164" s="430"/>
      <c r="BZ164" s="430"/>
      <c r="CA164" s="430"/>
      <c r="CB164" s="430"/>
      <c r="CC164" s="430"/>
      <c r="CD164" s="430"/>
      <c r="CE164" s="430"/>
      <c r="CF164" s="430"/>
      <c r="CG164" s="430"/>
      <c r="CH164" s="430"/>
      <c r="CI164" s="430"/>
      <c r="CJ164" s="430"/>
      <c r="CK164" s="430"/>
      <c r="CL164" s="430"/>
    </row>
    <row r="165" spans="63:90" ht="14.25" customHeight="1">
      <c r="BK165" s="581"/>
      <c r="BL165" s="581"/>
      <c r="BM165" s="582"/>
      <c r="BN165" s="581"/>
      <c r="BO165" s="581"/>
      <c r="BP165" s="430"/>
      <c r="BQ165" s="430"/>
      <c r="BR165" s="430"/>
      <c r="BS165" s="581"/>
      <c r="BT165" s="581"/>
      <c r="BU165" s="430"/>
      <c r="BV165" s="430"/>
      <c r="BW165" s="430"/>
      <c r="BX165" s="430"/>
      <c r="BY165" s="430"/>
      <c r="BZ165" s="430"/>
      <c r="CA165" s="430"/>
      <c r="CB165" s="430"/>
      <c r="CC165" s="430"/>
      <c r="CD165" s="430"/>
      <c r="CE165" s="430"/>
      <c r="CF165" s="430"/>
      <c r="CG165" s="430"/>
      <c r="CH165" s="430"/>
      <c r="CI165" s="430"/>
      <c r="CJ165" s="430"/>
      <c r="CK165" s="430"/>
      <c r="CL165" s="430"/>
    </row>
    <row r="166" spans="63:90" ht="14.25" customHeight="1">
      <c r="BK166" s="581"/>
      <c r="BL166" s="581"/>
      <c r="BM166" s="582"/>
      <c r="BN166" s="581"/>
      <c r="BO166" s="581"/>
      <c r="BP166" s="430"/>
      <c r="BQ166" s="430"/>
      <c r="BR166" s="430"/>
      <c r="BS166" s="581"/>
      <c r="BT166" s="581"/>
      <c r="BU166" s="430"/>
      <c r="BV166" s="430"/>
      <c r="BW166" s="430"/>
      <c r="BX166" s="430"/>
      <c r="BY166" s="430"/>
      <c r="BZ166" s="430"/>
      <c r="CA166" s="430"/>
      <c r="CB166" s="430"/>
      <c r="CC166" s="430"/>
      <c r="CD166" s="430"/>
      <c r="CE166" s="430"/>
      <c r="CF166" s="430"/>
      <c r="CG166" s="430"/>
      <c r="CH166" s="430"/>
      <c r="CI166" s="430"/>
      <c r="CJ166" s="430"/>
      <c r="CK166" s="430"/>
      <c r="CL166" s="430"/>
    </row>
    <row r="167" spans="63:90" ht="14.25" customHeight="1">
      <c r="BK167" s="581"/>
      <c r="BL167" s="581"/>
      <c r="BM167" s="582"/>
      <c r="BN167" s="581"/>
      <c r="BO167" s="581"/>
      <c r="BP167" s="430"/>
      <c r="BQ167" s="430"/>
      <c r="BR167" s="430"/>
      <c r="BS167" s="581"/>
      <c r="BT167" s="581"/>
      <c r="BU167" s="430"/>
      <c r="BV167" s="430"/>
      <c r="BW167" s="430"/>
      <c r="BX167" s="430"/>
      <c r="BY167" s="430"/>
      <c r="BZ167" s="430"/>
      <c r="CA167" s="430"/>
      <c r="CB167" s="430"/>
      <c r="CC167" s="430"/>
      <c r="CD167" s="430"/>
      <c r="CE167" s="430"/>
      <c r="CF167" s="430"/>
      <c r="CG167" s="430"/>
      <c r="CH167" s="430"/>
      <c r="CI167" s="430"/>
      <c r="CJ167" s="430"/>
      <c r="CK167" s="430"/>
      <c r="CL167" s="430"/>
    </row>
    <row r="168" spans="63:90" ht="14.25" customHeight="1">
      <c r="BK168" s="581"/>
      <c r="BL168" s="581"/>
      <c r="BM168" s="582"/>
      <c r="BN168" s="581"/>
      <c r="BO168" s="581"/>
      <c r="BP168" s="430"/>
      <c r="BQ168" s="430"/>
      <c r="BR168" s="430"/>
      <c r="BS168" s="581"/>
      <c r="BT168" s="581"/>
      <c r="BU168" s="430"/>
      <c r="BV168" s="430"/>
      <c r="BW168" s="430"/>
      <c r="BX168" s="430"/>
      <c r="BY168" s="430"/>
      <c r="BZ168" s="430"/>
      <c r="CA168" s="430"/>
      <c r="CB168" s="430"/>
      <c r="CC168" s="430"/>
      <c r="CD168" s="430"/>
      <c r="CE168" s="430"/>
      <c r="CF168" s="430"/>
      <c r="CG168" s="430"/>
      <c r="CH168" s="430"/>
      <c r="CI168" s="430"/>
      <c r="CJ168" s="430"/>
      <c r="CK168" s="430"/>
      <c r="CL168" s="430"/>
    </row>
    <row r="169" spans="63:90" ht="14.25" customHeight="1">
      <c r="BK169" s="581"/>
      <c r="BL169" s="581"/>
      <c r="BM169" s="582"/>
      <c r="BN169" s="581"/>
      <c r="BO169" s="581"/>
      <c r="BP169" s="430"/>
      <c r="BQ169" s="430"/>
      <c r="BR169" s="430"/>
      <c r="BS169" s="581"/>
      <c r="BT169" s="581"/>
      <c r="BU169" s="430"/>
      <c r="BV169" s="430"/>
      <c r="BW169" s="430"/>
      <c r="BX169" s="430"/>
      <c r="BY169" s="430"/>
      <c r="BZ169" s="430"/>
      <c r="CA169" s="430"/>
      <c r="CB169" s="430"/>
      <c r="CC169" s="430"/>
      <c r="CD169" s="430"/>
      <c r="CE169" s="430"/>
      <c r="CF169" s="430"/>
      <c r="CG169" s="430"/>
      <c r="CH169" s="430"/>
      <c r="CI169" s="430"/>
      <c r="CJ169" s="430"/>
      <c r="CK169" s="430"/>
      <c r="CL169" s="430"/>
    </row>
    <row r="170" spans="63:90" ht="14.25" customHeight="1">
      <c r="BK170" s="581"/>
      <c r="BL170" s="581"/>
      <c r="BM170" s="582"/>
      <c r="BN170" s="581"/>
      <c r="BO170" s="581"/>
      <c r="BP170" s="430"/>
      <c r="BQ170" s="430"/>
      <c r="BR170" s="430"/>
      <c r="BS170" s="581"/>
      <c r="BT170" s="581"/>
      <c r="BU170" s="430"/>
      <c r="BV170" s="430"/>
      <c r="BW170" s="430"/>
      <c r="BX170" s="430"/>
      <c r="BY170" s="430"/>
      <c r="BZ170" s="430"/>
      <c r="CA170" s="430"/>
      <c r="CB170" s="430"/>
      <c r="CC170" s="430"/>
      <c r="CD170" s="430"/>
      <c r="CE170" s="430"/>
      <c r="CF170" s="430"/>
      <c r="CG170" s="430"/>
      <c r="CH170" s="430"/>
      <c r="CI170" s="430"/>
      <c r="CJ170" s="430"/>
      <c r="CK170" s="430"/>
      <c r="CL170" s="430"/>
    </row>
    <row r="171" spans="63:90" ht="14.25" customHeight="1">
      <c r="BK171" s="581"/>
      <c r="BL171" s="581"/>
      <c r="BM171" s="582"/>
      <c r="BN171" s="581"/>
      <c r="BO171" s="581"/>
      <c r="BP171" s="430"/>
      <c r="BQ171" s="430"/>
      <c r="BR171" s="430"/>
      <c r="BS171" s="581"/>
      <c r="BT171" s="581"/>
      <c r="BU171" s="430"/>
      <c r="BV171" s="430"/>
      <c r="BW171" s="430"/>
      <c r="BX171" s="430"/>
      <c r="BY171" s="430"/>
      <c r="BZ171" s="430"/>
      <c r="CA171" s="430"/>
      <c r="CB171" s="430"/>
      <c r="CC171" s="430"/>
      <c r="CD171" s="430"/>
      <c r="CE171" s="430"/>
      <c r="CF171" s="430"/>
      <c r="CG171" s="430"/>
      <c r="CH171" s="430"/>
      <c r="CI171" s="430"/>
      <c r="CJ171" s="430"/>
      <c r="CK171" s="430"/>
      <c r="CL171" s="430"/>
    </row>
    <row r="172" spans="63:90" ht="14.25" customHeight="1">
      <c r="BK172" s="581"/>
      <c r="BL172" s="581"/>
      <c r="BM172" s="582"/>
      <c r="BN172" s="581"/>
      <c r="BO172" s="581"/>
      <c r="BP172" s="430"/>
      <c r="BQ172" s="430"/>
      <c r="BR172" s="430"/>
      <c r="BS172" s="581"/>
      <c r="BT172" s="581"/>
      <c r="BU172" s="430"/>
      <c r="BV172" s="430"/>
      <c r="BW172" s="430"/>
      <c r="BX172" s="430"/>
      <c r="BY172" s="430"/>
      <c r="BZ172" s="430"/>
      <c r="CA172" s="430"/>
      <c r="CB172" s="430"/>
      <c r="CC172" s="430"/>
      <c r="CD172" s="430"/>
      <c r="CE172" s="430"/>
      <c r="CF172" s="430"/>
      <c r="CG172" s="430"/>
      <c r="CH172" s="430"/>
      <c r="CI172" s="430"/>
      <c r="CJ172" s="430"/>
      <c r="CK172" s="430"/>
      <c r="CL172" s="430"/>
    </row>
    <row r="173" spans="63:90" ht="14.25" customHeight="1">
      <c r="BK173" s="581"/>
      <c r="BL173" s="581"/>
      <c r="BM173" s="582"/>
      <c r="BN173" s="581"/>
      <c r="BO173" s="581"/>
      <c r="BP173" s="430"/>
      <c r="BQ173" s="430"/>
      <c r="BR173" s="430"/>
      <c r="BS173" s="581"/>
      <c r="BT173" s="581"/>
      <c r="BU173" s="430"/>
      <c r="BV173" s="430"/>
      <c r="BW173" s="430"/>
      <c r="BX173" s="430"/>
      <c r="BY173" s="430"/>
      <c r="BZ173" s="430"/>
      <c r="CA173" s="430"/>
      <c r="CB173" s="430"/>
      <c r="CC173" s="430"/>
      <c r="CD173" s="430"/>
      <c r="CE173" s="430"/>
      <c r="CF173" s="430"/>
      <c r="CG173" s="430"/>
      <c r="CH173" s="430"/>
      <c r="CI173" s="430"/>
      <c r="CJ173" s="430"/>
      <c r="CK173" s="430"/>
      <c r="CL173" s="430"/>
    </row>
    <row r="174" spans="63:90" ht="14.25" customHeight="1">
      <c r="BK174" s="581"/>
      <c r="BL174" s="581"/>
      <c r="BM174" s="582"/>
      <c r="BN174" s="581"/>
      <c r="BO174" s="581"/>
      <c r="BP174" s="430"/>
      <c r="BQ174" s="430"/>
      <c r="BR174" s="430"/>
      <c r="BS174" s="581"/>
      <c r="BT174" s="581"/>
      <c r="BU174" s="430"/>
      <c r="BV174" s="430"/>
      <c r="BW174" s="430"/>
      <c r="BX174" s="430"/>
      <c r="BY174" s="430"/>
      <c r="BZ174" s="430"/>
      <c r="CA174" s="430"/>
      <c r="CB174" s="430"/>
      <c r="CC174" s="430"/>
      <c r="CD174" s="430"/>
      <c r="CE174" s="430"/>
      <c r="CF174" s="430"/>
      <c r="CG174" s="430"/>
      <c r="CH174" s="430"/>
      <c r="CI174" s="430"/>
      <c r="CJ174" s="430"/>
      <c r="CK174" s="430"/>
      <c r="CL174" s="430"/>
    </row>
    <row r="175" spans="63:90" ht="14.25" customHeight="1">
      <c r="BK175" s="581"/>
      <c r="BL175" s="581"/>
      <c r="BM175" s="582"/>
      <c r="BN175" s="581"/>
      <c r="BO175" s="581"/>
      <c r="BP175" s="430"/>
      <c r="BQ175" s="430"/>
      <c r="BR175" s="430"/>
      <c r="BS175" s="581"/>
      <c r="BT175" s="581"/>
      <c r="BU175" s="430"/>
      <c r="BV175" s="430"/>
      <c r="BW175" s="430"/>
      <c r="BX175" s="430"/>
      <c r="BY175" s="430"/>
      <c r="BZ175" s="430"/>
      <c r="CA175" s="430"/>
      <c r="CB175" s="430"/>
      <c r="CC175" s="430"/>
      <c r="CD175" s="430"/>
      <c r="CE175" s="430"/>
      <c r="CF175" s="430"/>
      <c r="CG175" s="430"/>
      <c r="CH175" s="430"/>
      <c r="CI175" s="430"/>
      <c r="CJ175" s="430"/>
      <c r="CK175" s="430"/>
      <c r="CL175" s="430"/>
    </row>
    <row r="176" spans="63:90" ht="14.25" customHeight="1">
      <c r="BK176" s="581"/>
      <c r="BL176" s="581"/>
      <c r="BM176" s="582"/>
      <c r="BN176" s="581"/>
      <c r="BO176" s="581"/>
      <c r="BP176" s="430"/>
      <c r="BQ176" s="430"/>
      <c r="BR176" s="430"/>
      <c r="BS176" s="581"/>
      <c r="BT176" s="581"/>
      <c r="BU176" s="430"/>
      <c r="BV176" s="430"/>
      <c r="BW176" s="430"/>
      <c r="BX176" s="430"/>
      <c r="BY176" s="430"/>
      <c r="BZ176" s="430"/>
      <c r="CA176" s="430"/>
      <c r="CB176" s="430"/>
      <c r="CC176" s="430"/>
      <c r="CD176" s="430"/>
      <c r="CE176" s="430"/>
      <c r="CF176" s="430"/>
      <c r="CG176" s="430"/>
      <c r="CH176" s="430"/>
      <c r="CI176" s="430"/>
      <c r="CJ176" s="430"/>
      <c r="CK176" s="430"/>
      <c r="CL176" s="430"/>
    </row>
    <row r="177" spans="63:90" ht="14.25" customHeight="1">
      <c r="BK177" s="581"/>
      <c r="BL177" s="581"/>
      <c r="BM177" s="582"/>
      <c r="BN177" s="581"/>
      <c r="BO177" s="581"/>
      <c r="BP177" s="430"/>
      <c r="BQ177" s="430"/>
      <c r="BR177" s="430"/>
      <c r="BS177" s="581"/>
      <c r="BT177" s="581"/>
      <c r="BU177" s="430"/>
      <c r="BV177" s="430"/>
      <c r="BW177" s="430"/>
      <c r="BX177" s="430"/>
      <c r="BY177" s="430"/>
      <c r="BZ177" s="430"/>
      <c r="CA177" s="430"/>
      <c r="CB177" s="430"/>
      <c r="CC177" s="430"/>
      <c r="CD177" s="430"/>
      <c r="CE177" s="430"/>
      <c r="CF177" s="430"/>
      <c r="CG177" s="430"/>
      <c r="CH177" s="430"/>
      <c r="CI177" s="430"/>
      <c r="CJ177" s="430"/>
      <c r="CK177" s="430"/>
      <c r="CL177" s="430"/>
    </row>
    <row r="178" spans="63:90" ht="14.25" customHeight="1">
      <c r="BK178" s="581"/>
      <c r="BL178" s="581"/>
      <c r="BM178" s="582"/>
      <c r="BN178" s="581"/>
      <c r="BO178" s="581"/>
      <c r="BP178" s="430"/>
      <c r="BQ178" s="430"/>
      <c r="BR178" s="430"/>
      <c r="BS178" s="581"/>
      <c r="BT178" s="581"/>
      <c r="BU178" s="430"/>
      <c r="BV178" s="430"/>
      <c r="BW178" s="430"/>
      <c r="BX178" s="430"/>
      <c r="BY178" s="430"/>
      <c r="BZ178" s="430"/>
      <c r="CA178" s="430"/>
      <c r="CB178" s="430"/>
      <c r="CC178" s="430"/>
      <c r="CD178" s="430"/>
      <c r="CE178" s="430"/>
      <c r="CF178" s="430"/>
      <c r="CG178" s="430"/>
      <c r="CH178" s="430"/>
      <c r="CI178" s="430"/>
      <c r="CJ178" s="430"/>
      <c r="CK178" s="430"/>
      <c r="CL178" s="430"/>
    </row>
    <row r="179" spans="63:90" ht="14.25" customHeight="1">
      <c r="BK179" s="581"/>
      <c r="BL179" s="581"/>
      <c r="BM179" s="582"/>
      <c r="BN179" s="581"/>
      <c r="BO179" s="581"/>
      <c r="BP179" s="430"/>
      <c r="BQ179" s="430"/>
      <c r="BR179" s="430"/>
      <c r="BS179" s="581"/>
      <c r="BT179" s="581"/>
      <c r="BU179" s="430"/>
      <c r="BV179" s="430"/>
      <c r="BW179" s="430"/>
      <c r="BX179" s="430"/>
      <c r="BY179" s="430"/>
      <c r="BZ179" s="430"/>
      <c r="CA179" s="430"/>
      <c r="CB179" s="430"/>
      <c r="CC179" s="430"/>
      <c r="CD179" s="430"/>
      <c r="CE179" s="430"/>
      <c r="CF179" s="430"/>
      <c r="CG179" s="430"/>
      <c r="CH179" s="430"/>
      <c r="CI179" s="430"/>
      <c r="CJ179" s="430"/>
      <c r="CK179" s="430"/>
      <c r="CL179" s="430"/>
    </row>
    <row r="180" spans="63:90" ht="14.25" customHeight="1">
      <c r="BK180" s="581"/>
      <c r="BL180" s="581"/>
      <c r="BM180" s="582"/>
      <c r="BN180" s="581"/>
      <c r="BO180" s="581"/>
      <c r="BP180" s="430"/>
      <c r="BQ180" s="430"/>
      <c r="BR180" s="430"/>
      <c r="BS180" s="581"/>
      <c r="BT180" s="581"/>
      <c r="BU180" s="430"/>
      <c r="BV180" s="430"/>
      <c r="BW180" s="430"/>
      <c r="BX180" s="430"/>
      <c r="BY180" s="430"/>
      <c r="BZ180" s="430"/>
      <c r="CA180" s="430"/>
      <c r="CB180" s="430"/>
      <c r="CC180" s="430"/>
      <c r="CD180" s="430"/>
      <c r="CE180" s="430"/>
      <c r="CF180" s="430"/>
      <c r="CG180" s="430"/>
      <c r="CH180" s="430"/>
      <c r="CI180" s="430"/>
      <c r="CJ180" s="430"/>
      <c r="CK180" s="430"/>
      <c r="CL180" s="430"/>
    </row>
    <row r="181" spans="63:90" ht="14.25" customHeight="1">
      <c r="BK181" s="581"/>
      <c r="BL181" s="581"/>
      <c r="BM181" s="582"/>
      <c r="BN181" s="581"/>
      <c r="BO181" s="581"/>
      <c r="BP181" s="430"/>
      <c r="BQ181" s="430"/>
      <c r="BR181" s="430"/>
      <c r="BS181" s="581"/>
      <c r="BT181" s="581"/>
      <c r="BU181" s="430"/>
      <c r="BV181" s="430"/>
      <c r="BW181" s="430"/>
      <c r="BX181" s="430"/>
      <c r="BY181" s="430"/>
      <c r="BZ181" s="430"/>
      <c r="CA181" s="430"/>
      <c r="CB181" s="430"/>
      <c r="CC181" s="430"/>
      <c r="CD181" s="430"/>
      <c r="CE181" s="430"/>
      <c r="CF181" s="430"/>
      <c r="CG181" s="430"/>
      <c r="CH181" s="430"/>
      <c r="CI181" s="430"/>
      <c r="CJ181" s="430"/>
      <c r="CK181" s="430"/>
      <c r="CL181" s="430"/>
    </row>
    <row r="182" spans="63:90" ht="14.25" customHeight="1">
      <c r="BK182" s="581"/>
      <c r="BL182" s="581"/>
      <c r="BM182" s="582"/>
      <c r="BN182" s="581"/>
      <c r="BO182" s="581"/>
      <c r="BP182" s="430"/>
      <c r="BQ182" s="430"/>
      <c r="BR182" s="430"/>
      <c r="BS182" s="581"/>
      <c r="BT182" s="581"/>
      <c r="BU182" s="430"/>
      <c r="BV182" s="430"/>
      <c r="BW182" s="430"/>
      <c r="BX182" s="430"/>
      <c r="BY182" s="430"/>
      <c r="BZ182" s="430"/>
      <c r="CA182" s="430"/>
      <c r="CB182" s="430"/>
      <c r="CC182" s="430"/>
      <c r="CD182" s="430"/>
      <c r="CE182" s="430"/>
      <c r="CF182" s="430"/>
      <c r="CG182" s="430"/>
      <c r="CH182" s="430"/>
      <c r="CI182" s="430"/>
      <c r="CJ182" s="430"/>
      <c r="CK182" s="430"/>
      <c r="CL182" s="430"/>
    </row>
    <row r="183" spans="63:90" ht="14.25" customHeight="1">
      <c r="BK183" s="581"/>
      <c r="BL183" s="581"/>
      <c r="BM183" s="582"/>
      <c r="BN183" s="581"/>
      <c r="BO183" s="581"/>
      <c r="BP183" s="430"/>
      <c r="BQ183" s="430"/>
      <c r="BR183" s="430"/>
      <c r="BS183" s="581"/>
      <c r="BT183" s="581"/>
      <c r="BU183" s="430"/>
      <c r="BV183" s="430"/>
      <c r="BW183" s="430"/>
      <c r="BX183" s="430"/>
      <c r="BY183" s="430"/>
      <c r="BZ183" s="430"/>
      <c r="CA183" s="430"/>
      <c r="CB183" s="430"/>
      <c r="CC183" s="430"/>
      <c r="CD183" s="430"/>
      <c r="CE183" s="430"/>
      <c r="CF183" s="430"/>
      <c r="CG183" s="430"/>
      <c r="CH183" s="430"/>
      <c r="CI183" s="430"/>
      <c r="CJ183" s="430"/>
      <c r="CK183" s="430"/>
      <c r="CL183" s="430"/>
    </row>
    <row r="184" spans="63:90" ht="14.25" customHeight="1">
      <c r="BK184" s="581"/>
      <c r="BL184" s="581"/>
      <c r="BM184" s="582"/>
      <c r="BN184" s="581"/>
      <c r="BO184" s="581"/>
      <c r="BP184" s="430"/>
      <c r="BQ184" s="430"/>
      <c r="BR184" s="430"/>
      <c r="BS184" s="581"/>
      <c r="BT184" s="581"/>
      <c r="BU184" s="430"/>
      <c r="BV184" s="430"/>
      <c r="BW184" s="430"/>
      <c r="BX184" s="430"/>
      <c r="BY184" s="430"/>
      <c r="BZ184" s="430"/>
      <c r="CA184" s="430"/>
      <c r="CB184" s="430"/>
      <c r="CC184" s="430"/>
      <c r="CD184" s="430"/>
      <c r="CE184" s="430"/>
      <c r="CF184" s="430"/>
      <c r="CG184" s="430"/>
      <c r="CH184" s="430"/>
      <c r="CI184" s="430"/>
      <c r="CJ184" s="430"/>
      <c r="CK184" s="430"/>
      <c r="CL184" s="430"/>
    </row>
    <row r="185" spans="63:90" ht="14.25" customHeight="1">
      <c r="BK185" s="581"/>
      <c r="BL185" s="581"/>
      <c r="BM185" s="582"/>
      <c r="BN185" s="581"/>
      <c r="BO185" s="581"/>
      <c r="BP185" s="430"/>
      <c r="BQ185" s="430"/>
      <c r="BR185" s="430"/>
      <c r="BS185" s="581"/>
      <c r="BT185" s="581"/>
      <c r="BU185" s="430"/>
      <c r="BV185" s="430"/>
      <c r="BW185" s="430"/>
      <c r="BX185" s="430"/>
      <c r="BY185" s="430"/>
      <c r="BZ185" s="430"/>
      <c r="CA185" s="430"/>
      <c r="CB185" s="430"/>
      <c r="CC185" s="430"/>
      <c r="CD185" s="430"/>
      <c r="CE185" s="430"/>
      <c r="CF185" s="430"/>
      <c r="CG185" s="430"/>
      <c r="CH185" s="430"/>
      <c r="CI185" s="430"/>
      <c r="CJ185" s="430"/>
      <c r="CK185" s="430"/>
      <c r="CL185" s="430"/>
    </row>
    <row r="186" spans="63:90" ht="14.25" customHeight="1">
      <c r="BK186" s="581"/>
      <c r="BL186" s="581"/>
      <c r="BM186" s="582"/>
      <c r="BN186" s="581"/>
      <c r="BO186" s="581"/>
      <c r="BP186" s="430"/>
      <c r="BQ186" s="430"/>
      <c r="BR186" s="430"/>
      <c r="BS186" s="581"/>
      <c r="BT186" s="581"/>
      <c r="BU186" s="430"/>
      <c r="BV186" s="430"/>
      <c r="BW186" s="430"/>
      <c r="BX186" s="430"/>
      <c r="BY186" s="430"/>
      <c r="BZ186" s="430"/>
      <c r="CA186" s="430"/>
      <c r="CB186" s="430"/>
      <c r="CC186" s="430"/>
      <c r="CD186" s="430"/>
      <c r="CE186" s="430"/>
      <c r="CF186" s="430"/>
      <c r="CG186" s="430"/>
      <c r="CH186" s="430"/>
      <c r="CI186" s="430"/>
      <c r="CJ186" s="430"/>
      <c r="CK186" s="430"/>
      <c r="CL186" s="430"/>
    </row>
    <row r="187" spans="63:90" ht="14.25" customHeight="1">
      <c r="BK187" s="581"/>
      <c r="BL187" s="581"/>
      <c r="BM187" s="582"/>
      <c r="BN187" s="581"/>
      <c r="BO187" s="581"/>
      <c r="BP187" s="430"/>
      <c r="BQ187" s="430"/>
      <c r="BR187" s="430"/>
      <c r="BS187" s="581"/>
      <c r="BT187" s="581"/>
      <c r="BU187" s="430"/>
      <c r="BV187" s="430"/>
      <c r="BW187" s="430"/>
      <c r="BX187" s="430"/>
      <c r="BY187" s="430"/>
      <c r="BZ187" s="430"/>
      <c r="CA187" s="430"/>
      <c r="CB187" s="430"/>
      <c r="CC187" s="430"/>
      <c r="CD187" s="430"/>
      <c r="CE187" s="430"/>
      <c r="CF187" s="430"/>
      <c r="CG187" s="430"/>
      <c r="CH187" s="430"/>
      <c r="CI187" s="430"/>
      <c r="CJ187" s="430"/>
      <c r="CK187" s="430"/>
      <c r="CL187" s="430"/>
    </row>
    <row r="188" spans="63:90" ht="14.25" customHeight="1">
      <c r="BK188" s="581"/>
      <c r="BL188" s="581"/>
      <c r="BM188" s="582"/>
      <c r="BN188" s="581"/>
      <c r="BO188" s="581"/>
      <c r="BP188" s="430"/>
      <c r="BQ188" s="430"/>
      <c r="BR188" s="430"/>
      <c r="BS188" s="581"/>
      <c r="BT188" s="581"/>
      <c r="BU188" s="430"/>
      <c r="BV188" s="430"/>
      <c r="BW188" s="430"/>
      <c r="BX188" s="430"/>
      <c r="BY188" s="430"/>
      <c r="BZ188" s="430"/>
      <c r="CA188" s="430"/>
      <c r="CB188" s="430"/>
      <c r="CC188" s="430"/>
      <c r="CD188" s="430"/>
      <c r="CE188" s="430"/>
      <c r="CF188" s="430"/>
      <c r="CG188" s="430"/>
      <c r="CH188" s="430"/>
      <c r="CI188" s="430"/>
      <c r="CJ188" s="430"/>
      <c r="CK188" s="430"/>
      <c r="CL188" s="430"/>
    </row>
    <row r="189" spans="63:90" ht="14.25" customHeight="1">
      <c r="BK189" s="581"/>
      <c r="BL189" s="581"/>
      <c r="BM189" s="582"/>
      <c r="BN189" s="581"/>
      <c r="BO189" s="581"/>
      <c r="BP189" s="430"/>
      <c r="BQ189" s="430"/>
      <c r="BR189" s="430"/>
      <c r="BS189" s="581"/>
      <c r="BT189" s="581"/>
      <c r="BU189" s="430"/>
      <c r="BV189" s="430"/>
      <c r="BW189" s="430"/>
      <c r="BX189" s="430"/>
      <c r="BY189" s="430"/>
      <c r="BZ189" s="430"/>
      <c r="CA189" s="430"/>
      <c r="CB189" s="430"/>
      <c r="CC189" s="430"/>
      <c r="CD189" s="430"/>
      <c r="CE189" s="430"/>
      <c r="CF189" s="430"/>
      <c r="CG189" s="430"/>
      <c r="CH189" s="430"/>
      <c r="CI189" s="430"/>
      <c r="CJ189" s="430"/>
      <c r="CK189" s="430"/>
      <c r="CL189" s="430"/>
    </row>
    <row r="190" spans="63:90" ht="14.25" customHeight="1">
      <c r="BK190" s="581"/>
      <c r="BL190" s="581"/>
      <c r="BM190" s="582"/>
      <c r="BN190" s="581"/>
      <c r="BO190" s="581"/>
      <c r="BP190" s="430"/>
      <c r="BQ190" s="430"/>
      <c r="BR190" s="430"/>
      <c r="BS190" s="581"/>
      <c r="BT190" s="581"/>
      <c r="BU190" s="430"/>
      <c r="BV190" s="430"/>
      <c r="BW190" s="430"/>
      <c r="BX190" s="430"/>
      <c r="BY190" s="430"/>
      <c r="BZ190" s="430"/>
      <c r="CA190" s="430"/>
      <c r="CB190" s="430"/>
      <c r="CC190" s="430"/>
      <c r="CD190" s="430"/>
      <c r="CE190" s="430"/>
      <c r="CF190" s="430"/>
      <c r="CG190" s="430"/>
      <c r="CH190" s="430"/>
      <c r="CI190" s="430"/>
      <c r="CJ190" s="430"/>
      <c r="CK190" s="430"/>
      <c r="CL190" s="430"/>
    </row>
    <row r="191" spans="63:90" ht="14.25" customHeight="1">
      <c r="BK191" s="581"/>
      <c r="BL191" s="581"/>
      <c r="BM191" s="582"/>
      <c r="BN191" s="581"/>
      <c r="BO191" s="581"/>
      <c r="BP191" s="430"/>
      <c r="BQ191" s="430"/>
      <c r="BR191" s="430"/>
      <c r="BS191" s="581"/>
      <c r="BT191" s="581"/>
      <c r="BU191" s="430"/>
      <c r="BV191" s="430"/>
      <c r="BW191" s="430"/>
      <c r="BX191" s="430"/>
      <c r="BY191" s="430"/>
      <c r="BZ191" s="430"/>
      <c r="CA191" s="430"/>
      <c r="CB191" s="430"/>
      <c r="CC191" s="430"/>
      <c r="CD191" s="430"/>
      <c r="CE191" s="430"/>
      <c r="CF191" s="430"/>
      <c r="CG191" s="430"/>
      <c r="CH191" s="430"/>
      <c r="CI191" s="430"/>
      <c r="CJ191" s="430"/>
      <c r="CK191" s="430"/>
      <c r="CL191" s="430"/>
    </row>
    <row r="192" spans="63:90" ht="14.25" customHeight="1">
      <c r="BK192" s="581"/>
      <c r="BL192" s="581"/>
      <c r="BM192" s="582"/>
      <c r="BN192" s="581"/>
      <c r="BO192" s="581"/>
      <c r="BP192" s="430"/>
      <c r="BQ192" s="430"/>
      <c r="BR192" s="430"/>
      <c r="BS192" s="581"/>
      <c r="BT192" s="581"/>
      <c r="BU192" s="430"/>
      <c r="BV192" s="430"/>
      <c r="BW192" s="430"/>
      <c r="BX192" s="430"/>
      <c r="BY192" s="430"/>
      <c r="BZ192" s="430"/>
      <c r="CA192" s="430"/>
      <c r="CB192" s="430"/>
      <c r="CC192" s="430"/>
      <c r="CD192" s="430"/>
      <c r="CE192" s="430"/>
      <c r="CF192" s="430"/>
      <c r="CG192" s="430"/>
      <c r="CH192" s="430"/>
      <c r="CI192" s="430"/>
      <c r="CJ192" s="430"/>
      <c r="CK192" s="430"/>
      <c r="CL192" s="430"/>
    </row>
    <row r="193" spans="63:90" ht="14.25" customHeight="1">
      <c r="BK193" s="581"/>
      <c r="BL193" s="581"/>
      <c r="BM193" s="582"/>
      <c r="BN193" s="581"/>
      <c r="BO193" s="581"/>
      <c r="BP193" s="430"/>
      <c r="BQ193" s="430"/>
      <c r="BR193" s="430"/>
      <c r="BS193" s="581"/>
      <c r="BT193" s="581"/>
      <c r="BU193" s="430"/>
      <c r="BV193" s="430"/>
      <c r="BW193" s="430"/>
      <c r="BX193" s="430"/>
      <c r="BY193" s="430"/>
      <c r="BZ193" s="430"/>
      <c r="CA193" s="430"/>
      <c r="CB193" s="430"/>
      <c r="CC193" s="430"/>
      <c r="CD193" s="430"/>
      <c r="CE193" s="430"/>
      <c r="CF193" s="430"/>
      <c r="CG193" s="430"/>
      <c r="CH193" s="430"/>
      <c r="CI193" s="430"/>
      <c r="CJ193" s="430"/>
      <c r="CK193" s="430"/>
      <c r="CL193" s="430"/>
    </row>
    <row r="194" spans="63:90" ht="14.25" customHeight="1">
      <c r="BK194" s="581"/>
      <c r="BL194" s="581"/>
      <c r="BM194" s="582"/>
      <c r="BN194" s="581"/>
      <c r="BO194" s="581"/>
      <c r="BP194" s="430"/>
      <c r="BQ194" s="430"/>
      <c r="BR194" s="430"/>
      <c r="BS194" s="581"/>
      <c r="BT194" s="581"/>
      <c r="BU194" s="430"/>
      <c r="BV194" s="430"/>
      <c r="BW194" s="430"/>
      <c r="BX194" s="430"/>
      <c r="BY194" s="430"/>
      <c r="BZ194" s="430"/>
      <c r="CA194" s="430"/>
      <c r="CB194" s="430"/>
      <c r="CC194" s="430"/>
      <c r="CD194" s="430"/>
      <c r="CE194" s="430"/>
      <c r="CF194" s="430"/>
      <c r="CG194" s="430"/>
      <c r="CH194" s="430"/>
      <c r="CI194" s="430"/>
      <c r="CJ194" s="430"/>
      <c r="CK194" s="430"/>
      <c r="CL194" s="430"/>
    </row>
    <row r="195" spans="63:90" ht="14.25" customHeight="1">
      <c r="BK195" s="581"/>
      <c r="BL195" s="581"/>
      <c r="BM195" s="582"/>
      <c r="BN195" s="581"/>
      <c r="BO195" s="581"/>
      <c r="BP195" s="430"/>
      <c r="BQ195" s="430"/>
      <c r="BR195" s="430"/>
      <c r="BS195" s="581"/>
      <c r="BT195" s="581"/>
      <c r="BU195" s="430"/>
      <c r="BV195" s="430"/>
      <c r="BW195" s="430"/>
      <c r="BX195" s="430"/>
      <c r="BY195" s="430"/>
      <c r="BZ195" s="430"/>
      <c r="CA195" s="430"/>
      <c r="CB195" s="430"/>
      <c r="CC195" s="430"/>
      <c r="CD195" s="430"/>
      <c r="CE195" s="430"/>
      <c r="CF195" s="430"/>
      <c r="CG195" s="430"/>
      <c r="CH195" s="430"/>
      <c r="CI195" s="430"/>
      <c r="CJ195" s="430"/>
      <c r="CK195" s="430"/>
      <c r="CL195" s="430"/>
    </row>
    <row r="196" spans="63:90" ht="14.25" customHeight="1">
      <c r="BK196" s="581"/>
      <c r="BL196" s="581"/>
      <c r="BM196" s="582"/>
      <c r="BN196" s="581"/>
      <c r="BO196" s="581"/>
      <c r="BP196" s="430"/>
      <c r="BQ196" s="430"/>
      <c r="BR196" s="430"/>
      <c r="BS196" s="581"/>
      <c r="BT196" s="581"/>
      <c r="BU196" s="430"/>
      <c r="BV196" s="430"/>
      <c r="BW196" s="430"/>
      <c r="BX196" s="430"/>
      <c r="BY196" s="430"/>
      <c r="BZ196" s="430"/>
      <c r="CA196" s="430"/>
      <c r="CB196" s="430"/>
      <c r="CC196" s="430"/>
      <c r="CD196" s="430"/>
      <c r="CE196" s="430"/>
      <c r="CF196" s="430"/>
      <c r="CG196" s="430"/>
      <c r="CH196" s="430"/>
      <c r="CI196" s="430"/>
      <c r="CJ196" s="430"/>
      <c r="CK196" s="430"/>
      <c r="CL196" s="430"/>
    </row>
    <row r="197" spans="63:90" ht="14.25" customHeight="1">
      <c r="BK197" s="581"/>
      <c r="BL197" s="581"/>
      <c r="BM197" s="582"/>
      <c r="BN197" s="581"/>
      <c r="BO197" s="581"/>
      <c r="BP197" s="430"/>
      <c r="BQ197" s="430"/>
      <c r="BR197" s="430"/>
      <c r="BS197" s="581"/>
      <c r="BT197" s="581"/>
      <c r="BU197" s="430"/>
      <c r="BV197" s="430"/>
      <c r="BW197" s="430"/>
      <c r="BX197" s="430"/>
      <c r="BY197" s="430"/>
      <c r="BZ197" s="430"/>
      <c r="CA197" s="430"/>
      <c r="CB197" s="430"/>
      <c r="CC197" s="430"/>
      <c r="CD197" s="430"/>
      <c r="CE197" s="430"/>
      <c r="CF197" s="430"/>
      <c r="CG197" s="430"/>
      <c r="CH197" s="430"/>
      <c r="CI197" s="430"/>
      <c r="CJ197" s="430"/>
      <c r="CK197" s="430"/>
      <c r="CL197" s="430"/>
    </row>
    <row r="198" spans="63:90" ht="14.25" customHeight="1">
      <c r="BK198" s="581"/>
      <c r="BL198" s="581"/>
      <c r="BM198" s="582"/>
      <c r="BN198" s="581"/>
      <c r="BO198" s="581"/>
      <c r="BP198" s="430"/>
      <c r="BQ198" s="430"/>
      <c r="BR198" s="430"/>
      <c r="BS198" s="581"/>
      <c r="BT198" s="581"/>
      <c r="BU198" s="430"/>
      <c r="BV198" s="430"/>
      <c r="BW198" s="430"/>
      <c r="BX198" s="430"/>
      <c r="BY198" s="430"/>
      <c r="BZ198" s="430"/>
      <c r="CA198" s="430"/>
      <c r="CB198" s="430"/>
      <c r="CC198" s="430"/>
      <c r="CD198" s="430"/>
      <c r="CE198" s="430"/>
      <c r="CF198" s="430"/>
      <c r="CG198" s="430"/>
      <c r="CH198" s="430"/>
      <c r="CI198" s="430"/>
      <c r="CJ198" s="430"/>
      <c r="CK198" s="430"/>
      <c r="CL198" s="430"/>
    </row>
    <row r="199" spans="63:90" ht="14.25" customHeight="1">
      <c r="BK199" s="581"/>
      <c r="BL199" s="581"/>
      <c r="BM199" s="582"/>
      <c r="BN199" s="581"/>
      <c r="BO199" s="581"/>
      <c r="BP199" s="430"/>
      <c r="BQ199" s="430"/>
      <c r="BR199" s="430"/>
      <c r="BS199" s="581"/>
      <c r="BT199" s="581"/>
      <c r="BU199" s="430"/>
      <c r="BV199" s="430"/>
      <c r="BW199" s="430"/>
      <c r="BX199" s="430"/>
      <c r="BY199" s="430"/>
      <c r="BZ199" s="430"/>
      <c r="CA199" s="430"/>
      <c r="CB199" s="430"/>
      <c r="CC199" s="430"/>
      <c r="CD199" s="430"/>
      <c r="CE199" s="430"/>
      <c r="CF199" s="430"/>
      <c r="CG199" s="430"/>
      <c r="CH199" s="430"/>
      <c r="CI199" s="430"/>
      <c r="CJ199" s="430"/>
      <c r="CK199" s="430"/>
      <c r="CL199" s="430"/>
    </row>
    <row r="200" spans="63:90" ht="14.25" customHeight="1">
      <c r="BK200" s="581"/>
      <c r="BL200" s="581"/>
      <c r="BM200" s="582"/>
      <c r="BN200" s="581"/>
      <c r="BO200" s="581"/>
      <c r="BP200" s="430"/>
      <c r="BQ200" s="430"/>
      <c r="BR200" s="430"/>
      <c r="BS200" s="581"/>
      <c r="BT200" s="581"/>
      <c r="BU200" s="430"/>
      <c r="BV200" s="430"/>
      <c r="BW200" s="430"/>
      <c r="BX200" s="430"/>
      <c r="BY200" s="430"/>
      <c r="BZ200" s="430"/>
      <c r="CA200" s="430"/>
      <c r="CB200" s="430"/>
      <c r="CC200" s="430"/>
      <c r="CD200" s="430"/>
      <c r="CE200" s="430"/>
      <c r="CF200" s="430"/>
      <c r="CG200" s="430"/>
      <c r="CH200" s="430"/>
      <c r="CI200" s="430"/>
      <c r="CJ200" s="430"/>
      <c r="CK200" s="430"/>
      <c r="CL200" s="430"/>
    </row>
    <row r="201" spans="63:90" ht="14.25" customHeight="1">
      <c r="BK201" s="581"/>
      <c r="BL201" s="581"/>
      <c r="BM201" s="582"/>
      <c r="BN201" s="581"/>
      <c r="BO201" s="581"/>
      <c r="BP201" s="430"/>
      <c r="BQ201" s="430"/>
      <c r="BR201" s="430"/>
      <c r="BS201" s="581"/>
      <c r="BT201" s="581"/>
      <c r="BU201" s="430"/>
      <c r="BV201" s="430"/>
      <c r="BW201" s="430"/>
      <c r="BX201" s="430"/>
      <c r="BY201" s="430"/>
      <c r="BZ201" s="430"/>
      <c r="CA201" s="430"/>
      <c r="CB201" s="430"/>
      <c r="CC201" s="430"/>
      <c r="CD201" s="430"/>
      <c r="CE201" s="430"/>
      <c r="CF201" s="430"/>
      <c r="CG201" s="430"/>
      <c r="CH201" s="430"/>
      <c r="CI201" s="430"/>
      <c r="CJ201" s="430"/>
      <c r="CK201" s="430"/>
      <c r="CL201" s="430"/>
    </row>
    <row r="202" spans="63:90" ht="14.25" customHeight="1">
      <c r="BK202" s="581"/>
      <c r="BL202" s="581"/>
      <c r="BM202" s="582"/>
      <c r="BN202" s="581"/>
      <c r="BO202" s="581"/>
      <c r="BP202" s="430"/>
      <c r="BQ202" s="430"/>
      <c r="BR202" s="430"/>
      <c r="BS202" s="581"/>
      <c r="BT202" s="581"/>
      <c r="BU202" s="430"/>
      <c r="BV202" s="430"/>
      <c r="BW202" s="430"/>
      <c r="BX202" s="430"/>
      <c r="BY202" s="430"/>
      <c r="BZ202" s="430"/>
      <c r="CA202" s="430"/>
      <c r="CB202" s="430"/>
      <c r="CC202" s="430"/>
      <c r="CD202" s="430"/>
      <c r="CE202" s="430"/>
      <c r="CF202" s="430"/>
      <c r="CG202" s="430"/>
      <c r="CH202" s="430"/>
      <c r="CI202" s="430"/>
      <c r="CJ202" s="430"/>
      <c r="CK202" s="430"/>
      <c r="CL202" s="430"/>
    </row>
    <row r="203" spans="63:90" ht="14.25" customHeight="1">
      <c r="BK203" s="581"/>
      <c r="BL203" s="581"/>
      <c r="BM203" s="582"/>
      <c r="BN203" s="581"/>
      <c r="BO203" s="581"/>
      <c r="BP203" s="430"/>
      <c r="BQ203" s="430"/>
      <c r="BR203" s="430"/>
      <c r="BS203" s="581"/>
      <c r="BT203" s="581"/>
      <c r="BU203" s="430"/>
      <c r="BV203" s="430"/>
      <c r="BW203" s="430"/>
      <c r="BX203" s="430"/>
      <c r="BY203" s="430"/>
      <c r="BZ203" s="430"/>
      <c r="CA203" s="430"/>
      <c r="CB203" s="430"/>
      <c r="CC203" s="430"/>
      <c r="CD203" s="430"/>
      <c r="CE203" s="430"/>
      <c r="CF203" s="430"/>
      <c r="CG203" s="430"/>
      <c r="CH203" s="430"/>
      <c r="CI203" s="430"/>
      <c r="CJ203" s="430"/>
      <c r="CK203" s="430"/>
      <c r="CL203" s="430"/>
    </row>
    <row r="204" spans="63:90" ht="14.25" customHeight="1">
      <c r="BK204" s="581"/>
      <c r="BL204" s="581"/>
      <c r="BM204" s="582"/>
      <c r="BN204" s="581"/>
      <c r="BO204" s="581"/>
      <c r="BP204" s="430"/>
      <c r="BQ204" s="430"/>
      <c r="BR204" s="430"/>
      <c r="BS204" s="581"/>
      <c r="BT204" s="581"/>
      <c r="BU204" s="430"/>
      <c r="BV204" s="430"/>
      <c r="BW204" s="430"/>
      <c r="BX204" s="430"/>
      <c r="BY204" s="430"/>
      <c r="BZ204" s="430"/>
      <c r="CA204" s="430"/>
      <c r="CB204" s="430"/>
      <c r="CC204" s="430"/>
      <c r="CD204" s="430"/>
      <c r="CE204" s="430"/>
      <c r="CF204" s="430"/>
      <c r="CG204" s="430"/>
      <c r="CH204" s="430"/>
      <c r="CI204" s="430"/>
      <c r="CJ204" s="430"/>
      <c r="CK204" s="430"/>
      <c r="CL204" s="430"/>
    </row>
    <row r="205" spans="63:90" ht="14.25" customHeight="1">
      <c r="BK205" s="581"/>
      <c r="BL205" s="581"/>
      <c r="BM205" s="582"/>
      <c r="BN205" s="581"/>
      <c r="BO205" s="581"/>
      <c r="BP205" s="430"/>
      <c r="BQ205" s="430"/>
      <c r="BR205" s="430"/>
      <c r="BS205" s="581"/>
      <c r="BT205" s="581"/>
      <c r="BU205" s="430"/>
      <c r="BV205" s="430"/>
      <c r="BW205" s="430"/>
      <c r="BX205" s="430"/>
      <c r="BY205" s="430"/>
      <c r="BZ205" s="430"/>
      <c r="CA205" s="430"/>
      <c r="CB205" s="430"/>
      <c r="CC205" s="430"/>
      <c r="CD205" s="430"/>
      <c r="CE205" s="430"/>
      <c r="CF205" s="430"/>
      <c r="CG205" s="430"/>
      <c r="CH205" s="430"/>
      <c r="CI205" s="430"/>
      <c r="CJ205" s="430"/>
      <c r="CK205" s="430"/>
      <c r="CL205" s="430"/>
    </row>
    <row r="206" spans="63:90" ht="14.25" customHeight="1">
      <c r="BK206" s="581"/>
      <c r="BL206" s="581"/>
      <c r="BM206" s="582"/>
      <c r="BN206" s="581"/>
      <c r="BO206" s="581"/>
      <c r="BP206" s="430"/>
      <c r="BQ206" s="430"/>
      <c r="BR206" s="430"/>
      <c r="BS206" s="581"/>
      <c r="BT206" s="581"/>
      <c r="BU206" s="430"/>
      <c r="BV206" s="430"/>
      <c r="BW206" s="430"/>
      <c r="BX206" s="430"/>
      <c r="BY206" s="430"/>
      <c r="BZ206" s="430"/>
      <c r="CA206" s="430"/>
      <c r="CB206" s="430"/>
      <c r="CC206" s="430"/>
      <c r="CD206" s="430"/>
      <c r="CE206" s="430"/>
      <c r="CF206" s="430"/>
      <c r="CG206" s="430"/>
      <c r="CH206" s="430"/>
      <c r="CI206" s="430"/>
      <c r="CJ206" s="430"/>
      <c r="CK206" s="430"/>
      <c r="CL206" s="430"/>
    </row>
    <row r="207" spans="63:90" ht="14.25" customHeight="1">
      <c r="BK207" s="581"/>
      <c r="BL207" s="581"/>
      <c r="BM207" s="582"/>
      <c r="BN207" s="581"/>
      <c r="BO207" s="581"/>
      <c r="BP207" s="430"/>
      <c r="BQ207" s="430"/>
      <c r="BR207" s="430"/>
      <c r="BS207" s="581"/>
      <c r="BT207" s="581"/>
      <c r="BU207" s="430"/>
      <c r="BV207" s="430"/>
      <c r="BW207" s="430"/>
      <c r="BX207" s="430"/>
      <c r="BY207" s="430"/>
      <c r="BZ207" s="430"/>
      <c r="CA207" s="430"/>
      <c r="CB207" s="430"/>
      <c r="CC207" s="430"/>
      <c r="CD207" s="430"/>
      <c r="CE207" s="430"/>
      <c r="CF207" s="430"/>
      <c r="CG207" s="430"/>
      <c r="CH207" s="430"/>
      <c r="CI207" s="430"/>
      <c r="CJ207" s="430"/>
      <c r="CK207" s="430"/>
      <c r="CL207" s="430"/>
    </row>
    <row r="208" spans="63:90" ht="14.25" customHeight="1">
      <c r="BK208" s="581"/>
      <c r="BL208" s="581"/>
      <c r="BM208" s="582"/>
      <c r="BN208" s="581"/>
      <c r="BO208" s="581"/>
      <c r="BP208" s="430"/>
      <c r="BQ208" s="430"/>
      <c r="BR208" s="430"/>
      <c r="BS208" s="581"/>
      <c r="BT208" s="581"/>
      <c r="BU208" s="430"/>
      <c r="BV208" s="430"/>
      <c r="BW208" s="430"/>
      <c r="BX208" s="430"/>
      <c r="BY208" s="430"/>
      <c r="BZ208" s="430"/>
      <c r="CA208" s="430"/>
      <c r="CB208" s="430"/>
      <c r="CC208" s="430"/>
      <c r="CD208" s="430"/>
      <c r="CE208" s="430"/>
      <c r="CF208" s="430"/>
      <c r="CG208" s="430"/>
      <c r="CH208" s="430"/>
      <c r="CI208" s="430"/>
      <c r="CJ208" s="430"/>
      <c r="CK208" s="430"/>
      <c r="CL208" s="430"/>
    </row>
    <row r="209" spans="63:90" ht="14.25" customHeight="1">
      <c r="BK209" s="581"/>
      <c r="BL209" s="581"/>
      <c r="BM209" s="582"/>
      <c r="BN209" s="581"/>
      <c r="BO209" s="581"/>
      <c r="BP209" s="430"/>
      <c r="BQ209" s="430"/>
      <c r="BR209" s="430"/>
      <c r="BS209" s="581"/>
      <c r="BT209" s="581"/>
      <c r="BU209" s="430"/>
      <c r="BV209" s="430"/>
      <c r="BW209" s="430"/>
      <c r="BX209" s="430"/>
      <c r="BY209" s="430"/>
      <c r="BZ209" s="430"/>
      <c r="CA209" s="430"/>
      <c r="CB209" s="430"/>
      <c r="CC209" s="430"/>
      <c r="CD209" s="430"/>
      <c r="CE209" s="430"/>
      <c r="CF209" s="430"/>
      <c r="CG209" s="430"/>
      <c r="CH209" s="430"/>
      <c r="CI209" s="430"/>
      <c r="CJ209" s="430"/>
      <c r="CK209" s="430"/>
      <c r="CL209" s="430"/>
    </row>
    <row r="210" spans="63:90" ht="14.25" customHeight="1">
      <c r="BK210" s="581"/>
      <c r="BL210" s="581"/>
      <c r="BM210" s="582"/>
      <c r="BN210" s="581"/>
      <c r="BO210" s="581"/>
      <c r="BP210" s="430"/>
      <c r="BQ210" s="430"/>
      <c r="BR210" s="430"/>
      <c r="BS210" s="581"/>
      <c r="BT210" s="581"/>
      <c r="BU210" s="430"/>
      <c r="BV210" s="430"/>
      <c r="BW210" s="430"/>
      <c r="BX210" s="430"/>
      <c r="BY210" s="430"/>
      <c r="BZ210" s="430"/>
      <c r="CA210" s="430"/>
      <c r="CB210" s="430"/>
      <c r="CC210" s="430"/>
      <c r="CD210" s="430"/>
      <c r="CE210" s="430"/>
      <c r="CF210" s="430"/>
      <c r="CG210" s="430"/>
      <c r="CH210" s="430"/>
      <c r="CI210" s="430"/>
      <c r="CJ210" s="430"/>
      <c r="CK210" s="430"/>
      <c r="CL210" s="430"/>
    </row>
    <row r="211" spans="63:90" ht="14.25" customHeight="1">
      <c r="BK211" s="581"/>
      <c r="BL211" s="581"/>
      <c r="BM211" s="582"/>
      <c r="BN211" s="581"/>
      <c r="BO211" s="581"/>
      <c r="BP211" s="430"/>
      <c r="BQ211" s="430"/>
      <c r="BR211" s="430"/>
      <c r="BS211" s="581"/>
      <c r="BT211" s="581"/>
      <c r="BU211" s="430"/>
      <c r="BV211" s="430"/>
      <c r="BW211" s="430"/>
      <c r="BX211" s="430"/>
      <c r="BY211" s="430"/>
      <c r="BZ211" s="430"/>
      <c r="CA211" s="430"/>
      <c r="CB211" s="430"/>
      <c r="CC211" s="430"/>
      <c r="CD211" s="430"/>
      <c r="CE211" s="430"/>
      <c r="CF211" s="430"/>
      <c r="CG211" s="430"/>
      <c r="CH211" s="430"/>
      <c r="CI211" s="430"/>
      <c r="CJ211" s="430"/>
      <c r="CK211" s="430"/>
      <c r="CL211" s="430"/>
    </row>
    <row r="212" spans="63:90" ht="14.25" customHeight="1">
      <c r="BK212" s="581"/>
      <c r="BL212" s="581"/>
      <c r="BM212" s="582"/>
      <c r="BN212" s="581"/>
      <c r="BO212" s="581"/>
      <c r="BP212" s="430"/>
      <c r="BQ212" s="430"/>
      <c r="BR212" s="430"/>
      <c r="BS212" s="581"/>
      <c r="BT212" s="581"/>
      <c r="BU212" s="430"/>
      <c r="BV212" s="430"/>
      <c r="BW212" s="430"/>
      <c r="BX212" s="430"/>
      <c r="BY212" s="430"/>
      <c r="BZ212" s="430"/>
      <c r="CA212" s="430"/>
      <c r="CB212" s="430"/>
      <c r="CC212" s="430"/>
      <c r="CD212" s="430"/>
      <c r="CE212" s="430"/>
      <c r="CF212" s="430"/>
      <c r="CG212" s="430"/>
      <c r="CH212" s="430"/>
      <c r="CI212" s="430"/>
      <c r="CJ212" s="430"/>
      <c r="CK212" s="430"/>
      <c r="CL212" s="430"/>
    </row>
    <row r="213" spans="63:90" ht="14.25" customHeight="1">
      <c r="BK213" s="581"/>
      <c r="BL213" s="581"/>
      <c r="BM213" s="582"/>
      <c r="BN213" s="581"/>
      <c r="BO213" s="581"/>
      <c r="BP213" s="430"/>
      <c r="BQ213" s="430"/>
      <c r="BR213" s="430"/>
      <c r="BS213" s="581"/>
      <c r="BT213" s="581"/>
      <c r="BU213" s="430"/>
      <c r="BV213" s="430"/>
      <c r="BW213" s="430"/>
      <c r="BX213" s="430"/>
      <c r="BY213" s="430"/>
      <c r="BZ213" s="430"/>
      <c r="CA213" s="430"/>
      <c r="CB213" s="430"/>
      <c r="CC213" s="430"/>
      <c r="CD213" s="430"/>
      <c r="CE213" s="430"/>
      <c r="CF213" s="430"/>
      <c r="CG213" s="430"/>
      <c r="CH213" s="430"/>
      <c r="CI213" s="430"/>
      <c r="CJ213" s="430"/>
      <c r="CK213" s="430"/>
      <c r="CL213" s="430"/>
    </row>
    <row r="214" spans="63:90" ht="14.25" customHeight="1">
      <c r="BK214" s="581"/>
      <c r="BL214" s="581"/>
      <c r="BM214" s="582"/>
      <c r="BN214" s="581"/>
      <c r="BO214" s="581"/>
      <c r="BP214" s="430"/>
      <c r="BQ214" s="430"/>
      <c r="BR214" s="430"/>
      <c r="BS214" s="581"/>
      <c r="BT214" s="581"/>
      <c r="BU214" s="430"/>
      <c r="BV214" s="430"/>
      <c r="BW214" s="430"/>
      <c r="BX214" s="430"/>
      <c r="BY214" s="430"/>
      <c r="BZ214" s="430"/>
      <c r="CA214" s="430"/>
      <c r="CB214" s="430"/>
      <c r="CC214" s="430"/>
      <c r="CD214" s="430"/>
      <c r="CE214" s="430"/>
      <c r="CF214" s="430"/>
      <c r="CG214" s="430"/>
      <c r="CH214" s="430"/>
      <c r="CI214" s="430"/>
      <c r="CJ214" s="430"/>
      <c r="CK214" s="430"/>
      <c r="CL214" s="430"/>
    </row>
    <row r="215" spans="63:90" ht="14.25" customHeight="1">
      <c r="BK215" s="581"/>
      <c r="BL215" s="581"/>
      <c r="BM215" s="582"/>
      <c r="BN215" s="581"/>
      <c r="BO215" s="581"/>
      <c r="BP215" s="430"/>
      <c r="BQ215" s="430"/>
      <c r="BR215" s="430"/>
      <c r="BS215" s="581"/>
      <c r="BT215" s="581"/>
      <c r="BU215" s="430"/>
      <c r="BV215" s="430"/>
      <c r="BW215" s="430"/>
      <c r="BX215" s="430"/>
      <c r="BY215" s="430"/>
      <c r="BZ215" s="430"/>
      <c r="CA215" s="430"/>
      <c r="CB215" s="430"/>
      <c r="CC215" s="430"/>
      <c r="CD215" s="430"/>
      <c r="CE215" s="430"/>
      <c r="CF215" s="430"/>
      <c r="CG215" s="430"/>
      <c r="CH215" s="430"/>
      <c r="CI215" s="430"/>
      <c r="CJ215" s="430"/>
      <c r="CK215" s="430"/>
      <c r="CL215" s="430"/>
    </row>
    <row r="216" spans="63:90" ht="14.25" customHeight="1">
      <c r="BK216" s="581"/>
      <c r="BL216" s="581"/>
      <c r="BM216" s="582"/>
      <c r="BN216" s="581"/>
      <c r="BO216" s="581"/>
      <c r="BP216" s="430"/>
      <c r="BQ216" s="430"/>
      <c r="BR216" s="430"/>
      <c r="BS216" s="581"/>
      <c r="BT216" s="581"/>
      <c r="BU216" s="430"/>
      <c r="BV216" s="430"/>
      <c r="BW216" s="430"/>
      <c r="BX216" s="430"/>
      <c r="BY216" s="430"/>
      <c r="BZ216" s="430"/>
      <c r="CA216" s="430"/>
      <c r="CB216" s="430"/>
      <c r="CC216" s="430"/>
      <c r="CD216" s="430"/>
      <c r="CE216" s="430"/>
      <c r="CF216" s="430"/>
      <c r="CG216" s="430"/>
      <c r="CH216" s="430"/>
      <c r="CI216" s="430"/>
      <c r="CJ216" s="430"/>
      <c r="CK216" s="430"/>
      <c r="CL216" s="430"/>
    </row>
    <row r="217" spans="63:90" ht="14.25" customHeight="1">
      <c r="BK217" s="581"/>
      <c r="BL217" s="581"/>
      <c r="BM217" s="582"/>
      <c r="BN217" s="581"/>
      <c r="BO217" s="581"/>
      <c r="BP217" s="430"/>
      <c r="BQ217" s="430"/>
      <c r="BR217" s="430"/>
      <c r="BS217" s="581"/>
      <c r="BT217" s="581"/>
      <c r="BU217" s="430"/>
      <c r="BV217" s="430"/>
      <c r="BW217" s="430"/>
      <c r="BX217" s="430"/>
      <c r="BY217" s="430"/>
      <c r="BZ217" s="430"/>
      <c r="CA217" s="430"/>
      <c r="CB217" s="430"/>
      <c r="CC217" s="430"/>
      <c r="CD217" s="430"/>
      <c r="CE217" s="430"/>
      <c r="CF217" s="430"/>
      <c r="CG217" s="430"/>
      <c r="CH217" s="430"/>
      <c r="CI217" s="430"/>
      <c r="CJ217" s="430"/>
      <c r="CK217" s="430"/>
      <c r="CL217" s="430"/>
    </row>
    <row r="218" spans="63:90" ht="14.25" customHeight="1">
      <c r="BK218" s="581"/>
      <c r="BL218" s="581"/>
      <c r="BM218" s="582"/>
      <c r="BN218" s="581"/>
      <c r="BO218" s="581"/>
      <c r="BP218" s="430"/>
      <c r="BQ218" s="430"/>
      <c r="BR218" s="430"/>
      <c r="BS218" s="581"/>
      <c r="BT218" s="581"/>
      <c r="BU218" s="430"/>
      <c r="BV218" s="430"/>
      <c r="BW218" s="430"/>
      <c r="BX218" s="430"/>
      <c r="BY218" s="430"/>
      <c r="BZ218" s="430"/>
      <c r="CA218" s="430"/>
      <c r="CB218" s="430"/>
      <c r="CC218" s="430"/>
      <c r="CD218" s="430"/>
      <c r="CE218" s="430"/>
      <c r="CF218" s="430"/>
      <c r="CG218" s="430"/>
      <c r="CH218" s="430"/>
      <c r="CI218" s="430"/>
      <c r="CJ218" s="430"/>
      <c r="CK218" s="430"/>
      <c r="CL218" s="430"/>
    </row>
    <row r="219" spans="63:90" ht="14.25" customHeight="1">
      <c r="BK219" s="581"/>
      <c r="BL219" s="581"/>
      <c r="BM219" s="582"/>
      <c r="BN219" s="581"/>
      <c r="BO219" s="581"/>
      <c r="BP219" s="430"/>
      <c r="BQ219" s="430"/>
      <c r="BR219" s="430"/>
      <c r="BS219" s="581"/>
      <c r="BT219" s="581"/>
      <c r="BU219" s="430"/>
      <c r="BV219" s="430"/>
      <c r="BW219" s="430"/>
      <c r="BX219" s="430"/>
      <c r="BY219" s="430"/>
      <c r="BZ219" s="430"/>
      <c r="CA219" s="430"/>
      <c r="CB219" s="430"/>
      <c r="CC219" s="430"/>
      <c r="CD219" s="430"/>
      <c r="CE219" s="430"/>
      <c r="CF219" s="430"/>
      <c r="CG219" s="430"/>
      <c r="CH219" s="430"/>
      <c r="CI219" s="430"/>
      <c r="CJ219" s="430"/>
      <c r="CK219" s="430"/>
      <c r="CL219" s="430"/>
    </row>
    <row r="220" spans="63:90" ht="14.25" customHeight="1">
      <c r="BK220" s="581"/>
      <c r="BL220" s="581"/>
      <c r="BM220" s="582"/>
      <c r="BN220" s="581"/>
      <c r="BO220" s="581"/>
      <c r="BP220" s="430"/>
      <c r="BQ220" s="430"/>
      <c r="BR220" s="430"/>
      <c r="BS220" s="581"/>
      <c r="BT220" s="581"/>
      <c r="BU220" s="430"/>
      <c r="BV220" s="430"/>
      <c r="BW220" s="430"/>
      <c r="BX220" s="430"/>
      <c r="BY220" s="430"/>
      <c r="BZ220" s="430"/>
      <c r="CA220" s="430"/>
      <c r="CB220" s="430"/>
      <c r="CC220" s="430"/>
      <c r="CD220" s="430"/>
      <c r="CE220" s="430"/>
      <c r="CF220" s="430"/>
      <c r="CG220" s="430"/>
      <c r="CH220" s="430"/>
      <c r="CI220" s="430"/>
      <c r="CJ220" s="430"/>
      <c r="CK220" s="430"/>
      <c r="CL220" s="430"/>
    </row>
    <row r="221" spans="63:90" ht="14.25" customHeight="1">
      <c r="BK221" s="581"/>
      <c r="BL221" s="581"/>
      <c r="BM221" s="582"/>
      <c r="BN221" s="581"/>
      <c r="BO221" s="581"/>
      <c r="BP221" s="430"/>
      <c r="BQ221" s="430"/>
      <c r="BR221" s="430"/>
      <c r="BS221" s="581"/>
      <c r="BT221" s="581"/>
      <c r="BU221" s="430"/>
      <c r="BV221" s="430"/>
      <c r="BW221" s="430"/>
      <c r="BX221" s="430"/>
      <c r="BY221" s="430"/>
      <c r="BZ221" s="430"/>
      <c r="CA221" s="430"/>
      <c r="CB221" s="430"/>
      <c r="CC221" s="430"/>
      <c r="CD221" s="430"/>
      <c r="CE221" s="430"/>
      <c r="CF221" s="430"/>
      <c r="CG221" s="430"/>
      <c r="CH221" s="430"/>
      <c r="CI221" s="430"/>
      <c r="CJ221" s="430"/>
      <c r="CK221" s="430"/>
      <c r="CL221" s="430"/>
    </row>
    <row r="222" spans="63:90" ht="14.25" customHeight="1">
      <c r="BK222" s="581"/>
      <c r="BL222" s="581"/>
      <c r="BM222" s="582"/>
      <c r="BN222" s="581"/>
      <c r="BO222" s="581"/>
      <c r="BP222" s="430"/>
      <c r="BQ222" s="430"/>
      <c r="BR222" s="430"/>
      <c r="BS222" s="581"/>
      <c r="BT222" s="581"/>
      <c r="BU222" s="430"/>
      <c r="BV222" s="430"/>
      <c r="BW222" s="430"/>
      <c r="BX222" s="430"/>
      <c r="BY222" s="430"/>
      <c r="BZ222" s="430"/>
      <c r="CA222" s="430"/>
      <c r="CB222" s="430"/>
      <c r="CC222" s="430"/>
      <c r="CD222" s="430"/>
      <c r="CE222" s="430"/>
      <c r="CF222" s="430"/>
      <c r="CG222" s="430"/>
      <c r="CH222" s="430"/>
      <c r="CI222" s="430"/>
      <c r="CJ222" s="430"/>
      <c r="CK222" s="430"/>
      <c r="CL222" s="430"/>
    </row>
    <row r="223" spans="63:90" ht="14.25" customHeight="1">
      <c r="BK223" s="581"/>
      <c r="BL223" s="581"/>
      <c r="BM223" s="582"/>
      <c r="BN223" s="581"/>
      <c r="BO223" s="581"/>
      <c r="BP223" s="430"/>
      <c r="BQ223" s="430"/>
      <c r="BR223" s="430"/>
      <c r="BS223" s="581"/>
      <c r="BT223" s="581"/>
      <c r="BU223" s="430"/>
      <c r="BV223" s="430"/>
      <c r="BW223" s="430"/>
      <c r="BX223" s="430"/>
      <c r="BY223" s="430"/>
      <c r="BZ223" s="430"/>
      <c r="CA223" s="430"/>
      <c r="CB223" s="430"/>
      <c r="CC223" s="430"/>
      <c r="CD223" s="430"/>
      <c r="CE223" s="430"/>
      <c r="CF223" s="430"/>
      <c r="CG223" s="430"/>
      <c r="CH223" s="430"/>
      <c r="CI223" s="430"/>
      <c r="CJ223" s="430"/>
      <c r="CK223" s="430"/>
      <c r="CL223" s="430"/>
    </row>
    <row r="224" spans="63:90" ht="14.25" customHeight="1">
      <c r="BK224" s="581"/>
      <c r="BL224" s="581"/>
      <c r="BM224" s="582"/>
      <c r="BN224" s="581"/>
      <c r="BO224" s="581"/>
      <c r="BP224" s="430"/>
      <c r="BQ224" s="430"/>
      <c r="BR224" s="430"/>
      <c r="BS224" s="581"/>
      <c r="BT224" s="581"/>
      <c r="BU224" s="430"/>
      <c r="BV224" s="430"/>
      <c r="BW224" s="430"/>
      <c r="BX224" s="430"/>
      <c r="BY224" s="430"/>
      <c r="BZ224" s="430"/>
      <c r="CA224" s="430"/>
      <c r="CB224" s="430"/>
      <c r="CC224" s="430"/>
      <c r="CD224" s="430"/>
      <c r="CE224" s="430"/>
      <c r="CF224" s="430"/>
      <c r="CG224" s="430"/>
      <c r="CH224" s="430"/>
      <c r="CI224" s="430"/>
      <c r="CJ224" s="430"/>
      <c r="CK224" s="430"/>
      <c r="CL224" s="430"/>
    </row>
    <row r="225" spans="63:90" ht="14.25" customHeight="1">
      <c r="BK225" s="581"/>
      <c r="BL225" s="581"/>
      <c r="BM225" s="582"/>
      <c r="BN225" s="581"/>
      <c r="BO225" s="581"/>
      <c r="BP225" s="430"/>
      <c r="BQ225" s="430"/>
      <c r="BR225" s="430"/>
      <c r="BS225" s="581"/>
      <c r="BT225" s="581"/>
      <c r="BU225" s="430"/>
      <c r="BV225" s="430"/>
      <c r="BW225" s="430"/>
      <c r="BX225" s="430"/>
      <c r="BY225" s="430"/>
      <c r="BZ225" s="430"/>
      <c r="CA225" s="430"/>
      <c r="CB225" s="430"/>
      <c r="CC225" s="430"/>
      <c r="CD225" s="430"/>
      <c r="CE225" s="430"/>
      <c r="CF225" s="430"/>
      <c r="CG225" s="430"/>
      <c r="CH225" s="430"/>
      <c r="CI225" s="430"/>
      <c r="CJ225" s="430"/>
      <c r="CK225" s="430"/>
      <c r="CL225" s="430"/>
    </row>
    <row r="226" spans="63:90" ht="14.25" customHeight="1">
      <c r="BK226" s="581"/>
      <c r="BL226" s="581"/>
      <c r="BM226" s="582"/>
      <c r="BN226" s="581"/>
      <c r="BO226" s="581"/>
      <c r="BP226" s="430"/>
      <c r="BQ226" s="430"/>
      <c r="BR226" s="430"/>
      <c r="BS226" s="581"/>
      <c r="BT226" s="581"/>
      <c r="BU226" s="430"/>
      <c r="BV226" s="430"/>
      <c r="BW226" s="430"/>
      <c r="BX226" s="430"/>
      <c r="BY226" s="430"/>
      <c r="BZ226" s="430"/>
      <c r="CA226" s="430"/>
      <c r="CB226" s="430"/>
      <c r="CC226" s="430"/>
      <c r="CD226" s="430"/>
      <c r="CE226" s="430"/>
      <c r="CF226" s="430"/>
      <c r="CG226" s="430"/>
      <c r="CH226" s="430"/>
      <c r="CI226" s="430"/>
      <c r="CJ226" s="430"/>
      <c r="CK226" s="430"/>
      <c r="CL226" s="430"/>
    </row>
    <row r="227" spans="63:90" ht="14.25" customHeight="1">
      <c r="BK227" s="581"/>
      <c r="BL227" s="581"/>
      <c r="BM227" s="582"/>
      <c r="BN227" s="581"/>
      <c r="BO227" s="581"/>
      <c r="BP227" s="430"/>
      <c r="BQ227" s="430"/>
      <c r="BR227" s="430"/>
      <c r="BS227" s="581"/>
      <c r="BT227" s="581"/>
      <c r="BU227" s="430"/>
      <c r="BV227" s="430"/>
      <c r="BW227" s="430"/>
      <c r="BX227" s="430"/>
      <c r="BY227" s="430"/>
      <c r="BZ227" s="430"/>
      <c r="CA227" s="430"/>
      <c r="CB227" s="430"/>
      <c r="CC227" s="430"/>
      <c r="CD227" s="430"/>
      <c r="CE227" s="430"/>
      <c r="CF227" s="430"/>
      <c r="CG227" s="430"/>
      <c r="CH227" s="430"/>
      <c r="CI227" s="430"/>
      <c r="CJ227" s="430"/>
      <c r="CK227" s="430"/>
      <c r="CL227" s="430"/>
    </row>
    <row r="228" spans="63:90" ht="14.25" customHeight="1">
      <c r="BK228" s="581"/>
      <c r="BL228" s="581"/>
      <c r="BM228" s="582"/>
      <c r="BN228" s="581"/>
      <c r="BO228" s="581"/>
      <c r="BP228" s="430"/>
      <c r="BQ228" s="430"/>
      <c r="BR228" s="430"/>
      <c r="BS228" s="581"/>
      <c r="BT228" s="581"/>
      <c r="BU228" s="430"/>
      <c r="BV228" s="430"/>
      <c r="BW228" s="430"/>
      <c r="BX228" s="430"/>
      <c r="BY228" s="430"/>
      <c r="BZ228" s="430"/>
      <c r="CA228" s="430"/>
      <c r="CB228" s="430"/>
      <c r="CC228" s="430"/>
      <c r="CD228" s="430"/>
      <c r="CE228" s="430"/>
      <c r="CF228" s="430"/>
      <c r="CG228" s="430"/>
      <c r="CH228" s="430"/>
      <c r="CI228" s="430"/>
      <c r="CJ228" s="430"/>
      <c r="CK228" s="430"/>
      <c r="CL228" s="430"/>
    </row>
    <row r="229" spans="63:90" ht="14.25" customHeight="1">
      <c r="BK229" s="581"/>
      <c r="BL229" s="581"/>
      <c r="BM229" s="582"/>
      <c r="BN229" s="581"/>
      <c r="BO229" s="581"/>
      <c r="BP229" s="430"/>
      <c r="BQ229" s="430"/>
      <c r="BR229" s="430"/>
      <c r="BS229" s="581"/>
      <c r="BT229" s="581"/>
      <c r="BU229" s="430"/>
      <c r="BV229" s="430"/>
      <c r="BW229" s="430"/>
      <c r="BX229" s="430"/>
      <c r="BY229" s="430"/>
      <c r="BZ229" s="430"/>
      <c r="CA229" s="430"/>
      <c r="CB229" s="430"/>
      <c r="CC229" s="430"/>
      <c r="CD229" s="430"/>
      <c r="CE229" s="430"/>
      <c r="CF229" s="430"/>
      <c r="CG229" s="430"/>
      <c r="CH229" s="430"/>
      <c r="CI229" s="430"/>
      <c r="CJ229" s="430"/>
      <c r="CK229" s="430"/>
      <c r="CL229" s="430"/>
    </row>
    <row r="230" spans="63:90" ht="14.25" customHeight="1">
      <c r="BK230" s="581"/>
      <c r="BL230" s="581"/>
      <c r="BM230" s="582"/>
      <c r="BN230" s="581"/>
      <c r="BO230" s="581"/>
      <c r="BP230" s="430"/>
      <c r="BQ230" s="430"/>
      <c r="BR230" s="430"/>
      <c r="BS230" s="581"/>
      <c r="BT230" s="581"/>
      <c r="BU230" s="430"/>
      <c r="BV230" s="430"/>
      <c r="BW230" s="430"/>
      <c r="BX230" s="430"/>
      <c r="BY230" s="430"/>
      <c r="BZ230" s="430"/>
      <c r="CA230" s="430"/>
      <c r="CB230" s="430"/>
      <c r="CC230" s="430"/>
      <c r="CD230" s="430"/>
      <c r="CE230" s="430"/>
      <c r="CF230" s="430"/>
      <c r="CG230" s="430"/>
      <c r="CH230" s="430"/>
      <c r="CI230" s="430"/>
      <c r="CJ230" s="430"/>
      <c r="CK230" s="430"/>
      <c r="CL230" s="430"/>
    </row>
    <row r="231" spans="63:90" ht="14.25" customHeight="1">
      <c r="BK231" s="581"/>
      <c r="BL231" s="581"/>
      <c r="BM231" s="582"/>
      <c r="BN231" s="581"/>
      <c r="BO231" s="581"/>
      <c r="BP231" s="430"/>
      <c r="BQ231" s="430"/>
      <c r="BR231" s="430"/>
      <c r="BS231" s="581"/>
      <c r="BT231" s="581"/>
      <c r="BU231" s="430"/>
      <c r="BV231" s="430"/>
      <c r="BW231" s="430"/>
      <c r="BX231" s="430"/>
      <c r="BY231" s="430"/>
      <c r="BZ231" s="430"/>
      <c r="CA231" s="430"/>
      <c r="CB231" s="430"/>
      <c r="CC231" s="430"/>
      <c r="CD231" s="430"/>
      <c r="CE231" s="430"/>
      <c r="CF231" s="430"/>
      <c r="CG231" s="430"/>
      <c r="CH231" s="430"/>
      <c r="CI231" s="430"/>
      <c r="CJ231" s="430"/>
      <c r="CK231" s="430"/>
      <c r="CL231" s="430"/>
    </row>
    <row r="232" spans="63:90" ht="14.25" customHeight="1">
      <c r="BK232" s="581"/>
      <c r="BL232" s="581"/>
      <c r="BM232" s="582"/>
      <c r="BN232" s="581"/>
      <c r="BO232" s="581"/>
      <c r="BP232" s="430"/>
      <c r="BQ232" s="430"/>
      <c r="BR232" s="430"/>
      <c r="BS232" s="581"/>
      <c r="BT232" s="581"/>
      <c r="BU232" s="430"/>
      <c r="BV232" s="430"/>
      <c r="BW232" s="430"/>
      <c r="BX232" s="430"/>
      <c r="BY232" s="430"/>
      <c r="BZ232" s="430"/>
      <c r="CA232" s="430"/>
      <c r="CB232" s="430"/>
      <c r="CC232" s="430"/>
      <c r="CD232" s="430"/>
      <c r="CE232" s="430"/>
      <c r="CF232" s="430"/>
      <c r="CG232" s="430"/>
      <c r="CH232" s="430"/>
      <c r="CI232" s="430"/>
      <c r="CJ232" s="430"/>
      <c r="CK232" s="430"/>
      <c r="CL232" s="430"/>
    </row>
    <row r="233" spans="63:90" ht="14.25" customHeight="1">
      <c r="BK233" s="581"/>
      <c r="BL233" s="581"/>
      <c r="BM233" s="582"/>
      <c r="BN233" s="581"/>
      <c r="BO233" s="581"/>
      <c r="BP233" s="430"/>
      <c r="BQ233" s="430"/>
      <c r="BR233" s="430"/>
      <c r="BS233" s="581"/>
      <c r="BT233" s="581"/>
      <c r="BU233" s="430"/>
      <c r="BV233" s="430"/>
      <c r="BW233" s="430"/>
      <c r="BX233" s="430"/>
      <c r="BY233" s="430"/>
      <c r="BZ233" s="430"/>
      <c r="CA233" s="430"/>
      <c r="CB233" s="430"/>
      <c r="CC233" s="430"/>
      <c r="CD233" s="430"/>
      <c r="CE233" s="430"/>
      <c r="CF233" s="430"/>
      <c r="CG233" s="430"/>
      <c r="CH233" s="430"/>
      <c r="CI233" s="430"/>
      <c r="CJ233" s="430"/>
      <c r="CK233" s="430"/>
      <c r="CL233" s="430"/>
    </row>
    <row r="234" spans="63:90" ht="14.25" customHeight="1">
      <c r="BK234" s="581"/>
      <c r="BL234" s="581"/>
      <c r="BM234" s="582"/>
      <c r="BN234" s="581"/>
      <c r="BO234" s="581"/>
      <c r="BP234" s="430"/>
      <c r="BQ234" s="430"/>
      <c r="BR234" s="430"/>
      <c r="BS234" s="581"/>
      <c r="BT234" s="581"/>
      <c r="BU234" s="430"/>
      <c r="BV234" s="430"/>
      <c r="BW234" s="430"/>
      <c r="BX234" s="430"/>
      <c r="BY234" s="430"/>
      <c r="BZ234" s="430"/>
      <c r="CA234" s="430"/>
      <c r="CB234" s="430"/>
      <c r="CC234" s="430"/>
      <c r="CD234" s="430"/>
      <c r="CE234" s="430"/>
      <c r="CF234" s="430"/>
      <c r="CG234" s="430"/>
      <c r="CH234" s="430"/>
      <c r="CI234" s="430"/>
      <c r="CJ234" s="430"/>
      <c r="CK234" s="430"/>
      <c r="CL234" s="430"/>
    </row>
    <row r="235" spans="63:90" ht="14.25" customHeight="1">
      <c r="BK235" s="581"/>
      <c r="BL235" s="581"/>
      <c r="BM235" s="582"/>
      <c r="BN235" s="581"/>
      <c r="BO235" s="581"/>
      <c r="BP235" s="430"/>
      <c r="BQ235" s="430"/>
      <c r="BR235" s="430"/>
      <c r="BS235" s="581"/>
      <c r="BT235" s="581"/>
      <c r="BU235" s="430"/>
      <c r="BV235" s="430"/>
      <c r="BW235" s="430"/>
      <c r="BX235" s="430"/>
      <c r="BY235" s="430"/>
      <c r="BZ235" s="430"/>
      <c r="CA235" s="430"/>
      <c r="CB235" s="430"/>
      <c r="CC235" s="430"/>
      <c r="CD235" s="430"/>
      <c r="CE235" s="430"/>
      <c r="CF235" s="430"/>
      <c r="CG235" s="430"/>
      <c r="CH235" s="430"/>
      <c r="CI235" s="430"/>
      <c r="CJ235" s="430"/>
      <c r="CK235" s="430"/>
      <c r="CL235" s="430"/>
    </row>
    <row r="236" spans="63:90" ht="14.25" customHeight="1">
      <c r="BK236" s="581"/>
      <c r="BL236" s="581"/>
      <c r="BM236" s="582"/>
      <c r="BN236" s="581"/>
      <c r="BO236" s="581"/>
      <c r="BP236" s="430"/>
      <c r="BQ236" s="430"/>
      <c r="BR236" s="430"/>
      <c r="BS236" s="581"/>
      <c r="BT236" s="581"/>
      <c r="BU236" s="430"/>
      <c r="BV236" s="430"/>
      <c r="BW236" s="430"/>
      <c r="BX236" s="430"/>
      <c r="BY236" s="430"/>
      <c r="BZ236" s="430"/>
      <c r="CA236" s="430"/>
      <c r="CB236" s="430"/>
      <c r="CC236" s="430"/>
      <c r="CD236" s="430"/>
      <c r="CE236" s="430"/>
      <c r="CF236" s="430"/>
      <c r="CG236" s="430"/>
      <c r="CH236" s="430"/>
      <c r="CI236" s="430"/>
      <c r="CJ236" s="430"/>
      <c r="CK236" s="430"/>
      <c r="CL236" s="430"/>
    </row>
    <row r="237" spans="63:90" ht="14.25" customHeight="1">
      <c r="BK237" s="581"/>
      <c r="BL237" s="581"/>
      <c r="BM237" s="582"/>
      <c r="BN237" s="581"/>
      <c r="BO237" s="581"/>
      <c r="BP237" s="430"/>
      <c r="BQ237" s="430"/>
      <c r="BR237" s="430"/>
      <c r="BS237" s="581"/>
      <c r="BT237" s="581"/>
      <c r="BU237" s="430"/>
      <c r="BV237" s="430"/>
      <c r="BW237" s="430"/>
      <c r="BX237" s="430"/>
      <c r="BY237" s="430"/>
      <c r="BZ237" s="430"/>
      <c r="CA237" s="430"/>
      <c r="CB237" s="430"/>
      <c r="CC237" s="430"/>
      <c r="CD237" s="430"/>
      <c r="CE237" s="430"/>
      <c r="CF237" s="430"/>
      <c r="CG237" s="430"/>
      <c r="CH237" s="430"/>
      <c r="CI237" s="430"/>
      <c r="CJ237" s="430"/>
      <c r="CK237" s="430"/>
      <c r="CL237" s="430"/>
    </row>
    <row r="238" spans="63:90" ht="14.25" customHeight="1">
      <c r="BK238" s="581"/>
      <c r="BL238" s="581"/>
      <c r="BM238" s="582"/>
      <c r="BN238" s="581"/>
      <c r="BO238" s="581"/>
      <c r="BP238" s="430"/>
      <c r="BQ238" s="430"/>
      <c r="BR238" s="430"/>
      <c r="BS238" s="581"/>
      <c r="BT238" s="581"/>
      <c r="BU238" s="430"/>
      <c r="BV238" s="430"/>
      <c r="BW238" s="430"/>
      <c r="BX238" s="430"/>
      <c r="BY238" s="430"/>
      <c r="BZ238" s="430"/>
      <c r="CA238" s="430"/>
      <c r="CB238" s="430"/>
      <c r="CC238" s="430"/>
      <c r="CD238" s="430"/>
      <c r="CE238" s="430"/>
      <c r="CF238" s="430"/>
      <c r="CG238" s="430"/>
      <c r="CH238" s="430"/>
      <c r="CI238" s="430"/>
      <c r="CJ238" s="430"/>
      <c r="CK238" s="430"/>
      <c r="CL238" s="430"/>
    </row>
    <row r="239" spans="63:90" ht="14.25" customHeight="1">
      <c r="BK239" s="581"/>
      <c r="BL239" s="581"/>
      <c r="BM239" s="582"/>
      <c r="BN239" s="581"/>
      <c r="BO239" s="581"/>
      <c r="BP239" s="430"/>
      <c r="BQ239" s="430"/>
      <c r="BR239" s="430"/>
      <c r="BS239" s="581"/>
      <c r="BT239" s="581"/>
      <c r="BU239" s="430"/>
      <c r="BV239" s="430"/>
      <c r="BW239" s="430"/>
      <c r="BX239" s="430"/>
      <c r="BY239" s="430"/>
      <c r="BZ239" s="430"/>
      <c r="CA239" s="430"/>
      <c r="CB239" s="430"/>
      <c r="CC239" s="430"/>
      <c r="CD239" s="430"/>
      <c r="CE239" s="430"/>
      <c r="CF239" s="430"/>
      <c r="CG239" s="430"/>
      <c r="CH239" s="430"/>
      <c r="CI239" s="430"/>
      <c r="CJ239" s="430"/>
      <c r="CK239" s="430"/>
      <c r="CL239" s="430"/>
    </row>
    <row r="240" spans="63:90" ht="14.25" customHeight="1">
      <c r="BK240" s="581"/>
      <c r="BL240" s="581"/>
      <c r="BM240" s="582"/>
      <c r="BN240" s="581"/>
      <c r="BO240" s="581"/>
      <c r="BP240" s="430"/>
      <c r="BQ240" s="430"/>
      <c r="BR240" s="430"/>
      <c r="BS240" s="581"/>
      <c r="BT240" s="581"/>
      <c r="BU240" s="430"/>
      <c r="BV240" s="430"/>
      <c r="BW240" s="430"/>
      <c r="BX240" s="430"/>
      <c r="BY240" s="430"/>
      <c r="BZ240" s="430"/>
      <c r="CA240" s="430"/>
      <c r="CB240" s="430"/>
      <c r="CC240" s="430"/>
      <c r="CD240" s="430"/>
      <c r="CE240" s="430"/>
      <c r="CF240" s="430"/>
      <c r="CG240" s="430"/>
      <c r="CH240" s="430"/>
      <c r="CI240" s="430"/>
      <c r="CJ240" s="430"/>
      <c r="CK240" s="430"/>
      <c r="CL240" s="430"/>
    </row>
    <row r="241" spans="63:90" ht="14.25" customHeight="1">
      <c r="BK241" s="581"/>
      <c r="BL241" s="581"/>
      <c r="BM241" s="582"/>
      <c r="BN241" s="581"/>
      <c r="BO241" s="581"/>
      <c r="BP241" s="430"/>
      <c r="BQ241" s="430"/>
      <c r="BR241" s="430"/>
      <c r="BS241" s="581"/>
      <c r="BT241" s="581"/>
      <c r="BU241" s="430"/>
      <c r="BV241" s="430"/>
      <c r="BW241" s="430"/>
      <c r="BX241" s="430"/>
      <c r="BY241" s="430"/>
      <c r="BZ241" s="430"/>
      <c r="CA241" s="430"/>
      <c r="CB241" s="430"/>
      <c r="CC241" s="430"/>
      <c r="CD241" s="430"/>
      <c r="CE241" s="430"/>
      <c r="CF241" s="430"/>
      <c r="CG241" s="430"/>
      <c r="CH241" s="430"/>
      <c r="CI241" s="430"/>
      <c r="CJ241" s="430"/>
      <c r="CK241" s="430"/>
      <c r="CL241" s="430"/>
    </row>
    <row r="242" spans="63:90" ht="14.25" customHeight="1">
      <c r="BK242" s="581"/>
      <c r="BL242" s="581"/>
      <c r="BM242" s="582"/>
      <c r="BN242" s="581"/>
      <c r="BO242" s="581"/>
      <c r="BP242" s="430"/>
      <c r="BQ242" s="430"/>
      <c r="BR242" s="430"/>
      <c r="BS242" s="581"/>
      <c r="BT242" s="581"/>
      <c r="BU242" s="430"/>
      <c r="BV242" s="430"/>
      <c r="BW242" s="430"/>
      <c r="BX242" s="430"/>
      <c r="BY242" s="430"/>
      <c r="BZ242" s="430"/>
      <c r="CA242" s="430"/>
      <c r="CB242" s="430"/>
      <c r="CC242" s="430"/>
      <c r="CD242" s="430"/>
      <c r="CE242" s="430"/>
      <c r="CF242" s="430"/>
      <c r="CG242" s="430"/>
      <c r="CH242" s="430"/>
      <c r="CI242" s="430"/>
      <c r="CJ242" s="430"/>
      <c r="CK242" s="430"/>
      <c r="CL242" s="430"/>
    </row>
    <row r="243" spans="63:90" ht="14.25" customHeight="1">
      <c r="BK243" s="581"/>
      <c r="BL243" s="581"/>
      <c r="BM243" s="582"/>
      <c r="BN243" s="581"/>
      <c r="BO243" s="581"/>
      <c r="BP243" s="430"/>
      <c r="BQ243" s="430"/>
      <c r="BR243" s="430"/>
      <c r="BS243" s="581"/>
      <c r="BT243" s="581"/>
      <c r="BU243" s="430"/>
      <c r="BV243" s="430"/>
      <c r="BW243" s="430"/>
      <c r="BX243" s="430"/>
      <c r="BY243" s="430"/>
      <c r="BZ243" s="430"/>
      <c r="CA243" s="430"/>
      <c r="CB243" s="430"/>
      <c r="CC243" s="430"/>
      <c r="CD243" s="430"/>
      <c r="CE243" s="430"/>
      <c r="CF243" s="430"/>
      <c r="CG243" s="430"/>
      <c r="CH243" s="430"/>
      <c r="CI243" s="430"/>
      <c r="CJ243" s="430"/>
      <c r="CK243" s="430"/>
      <c r="CL243" s="430"/>
    </row>
    <row r="244" spans="63:90" ht="14.25" customHeight="1">
      <c r="BK244" s="581"/>
      <c r="BL244" s="581"/>
      <c r="BM244" s="582"/>
      <c r="BN244" s="581"/>
      <c r="BO244" s="581"/>
      <c r="BP244" s="430"/>
      <c r="BQ244" s="430"/>
      <c r="BR244" s="430"/>
      <c r="BS244" s="581"/>
      <c r="BT244" s="581"/>
      <c r="BU244" s="430"/>
      <c r="BV244" s="430"/>
      <c r="BW244" s="430"/>
      <c r="BX244" s="430"/>
      <c r="BY244" s="430"/>
      <c r="BZ244" s="430"/>
      <c r="CA244" s="430"/>
      <c r="CB244" s="430"/>
      <c r="CC244" s="430"/>
      <c r="CD244" s="430"/>
      <c r="CE244" s="430"/>
      <c r="CF244" s="430"/>
      <c r="CG244" s="430"/>
      <c r="CH244" s="430"/>
      <c r="CI244" s="430"/>
      <c r="CJ244" s="430"/>
      <c r="CK244" s="430"/>
      <c r="CL244" s="430"/>
    </row>
    <row r="245" spans="63:90" ht="14.25" customHeight="1">
      <c r="BK245" s="581"/>
      <c r="BL245" s="581"/>
      <c r="BM245" s="582"/>
      <c r="BN245" s="581"/>
      <c r="BO245" s="581"/>
      <c r="BP245" s="430"/>
      <c r="BQ245" s="430"/>
      <c r="BR245" s="430"/>
      <c r="BS245" s="581"/>
      <c r="BT245" s="581"/>
      <c r="BU245" s="430"/>
      <c r="BV245" s="430"/>
      <c r="BW245" s="430"/>
      <c r="BX245" s="430"/>
      <c r="BY245" s="430"/>
      <c r="BZ245" s="430"/>
      <c r="CA245" s="430"/>
      <c r="CB245" s="430"/>
      <c r="CC245" s="430"/>
      <c r="CD245" s="430"/>
      <c r="CE245" s="430"/>
      <c r="CF245" s="430"/>
      <c r="CG245" s="430"/>
      <c r="CH245" s="430"/>
      <c r="CI245" s="430"/>
      <c r="CJ245" s="430"/>
      <c r="CK245" s="430"/>
      <c r="CL245" s="430"/>
    </row>
    <row r="246" spans="63:90" ht="14.25" customHeight="1">
      <c r="BK246" s="581"/>
      <c r="BL246" s="581"/>
      <c r="BM246" s="582"/>
      <c r="BN246" s="581"/>
      <c r="BO246" s="581"/>
      <c r="BP246" s="430"/>
      <c r="BQ246" s="430"/>
      <c r="BR246" s="430"/>
      <c r="BS246" s="581"/>
      <c r="BT246" s="581"/>
      <c r="BU246" s="430"/>
      <c r="BV246" s="430"/>
      <c r="BW246" s="430"/>
      <c r="BX246" s="430"/>
      <c r="BY246" s="430"/>
      <c r="BZ246" s="430"/>
      <c r="CA246" s="430"/>
      <c r="CB246" s="430"/>
      <c r="CC246" s="430"/>
      <c r="CD246" s="430"/>
      <c r="CE246" s="430"/>
      <c r="CF246" s="430"/>
      <c r="CG246" s="430"/>
      <c r="CH246" s="430"/>
      <c r="CI246" s="430"/>
      <c r="CJ246" s="430"/>
      <c r="CK246" s="430"/>
      <c r="CL246" s="430"/>
    </row>
    <row r="247" spans="63:90" ht="14.25" customHeight="1">
      <c r="BK247" s="430"/>
      <c r="BL247" s="430"/>
      <c r="BM247" s="430"/>
      <c r="BN247" s="430"/>
      <c r="BO247" s="430"/>
      <c r="BP247" s="430"/>
      <c r="BQ247" s="430"/>
      <c r="BR247" s="430"/>
      <c r="BS247" s="430"/>
      <c r="BT247" s="430"/>
      <c r="BU247" s="430"/>
      <c r="BV247" s="430"/>
      <c r="BW247" s="430"/>
      <c r="BX247" s="430"/>
      <c r="BY247" s="430"/>
      <c r="BZ247" s="430"/>
      <c r="CA247" s="430"/>
      <c r="CB247" s="430"/>
      <c r="CC247" s="430"/>
      <c r="CD247" s="430"/>
      <c r="CE247" s="430"/>
      <c r="CF247" s="430"/>
      <c r="CG247" s="430"/>
      <c r="CH247" s="430"/>
      <c r="CI247" s="430"/>
      <c r="CJ247" s="430"/>
      <c r="CK247" s="430"/>
      <c r="CL247" s="430"/>
    </row>
    <row r="248" spans="63:90" ht="14.25" customHeight="1">
      <c r="BK248" s="430"/>
      <c r="BL248" s="430"/>
      <c r="BM248" s="430"/>
      <c r="BN248" s="430"/>
      <c r="BO248" s="430"/>
      <c r="BP248" s="430"/>
      <c r="BQ248" s="430"/>
      <c r="BR248" s="430"/>
      <c r="BS248" s="430"/>
      <c r="BT248" s="430"/>
      <c r="BU248" s="430"/>
      <c r="BV248" s="430"/>
      <c r="BW248" s="430"/>
      <c r="BX248" s="430"/>
      <c r="BY248" s="430"/>
      <c r="BZ248" s="430"/>
      <c r="CA248" s="430"/>
      <c r="CB248" s="430"/>
      <c r="CC248" s="430"/>
      <c r="CD248" s="430"/>
      <c r="CE248" s="430"/>
      <c r="CF248" s="430"/>
      <c r="CG248" s="430"/>
      <c r="CH248" s="430"/>
      <c r="CI248" s="430"/>
      <c r="CJ248" s="430"/>
      <c r="CK248" s="430"/>
      <c r="CL248" s="430"/>
    </row>
    <row r="249" spans="63:90" ht="14.25" customHeight="1">
      <c r="BK249" s="430"/>
      <c r="BL249" s="430"/>
      <c r="BM249" s="430"/>
      <c r="BN249" s="430"/>
      <c r="BO249" s="430"/>
      <c r="BP249" s="430"/>
      <c r="BQ249" s="430"/>
      <c r="BR249" s="430"/>
      <c r="BS249" s="430"/>
      <c r="BT249" s="430"/>
      <c r="BU249" s="430"/>
      <c r="BV249" s="430"/>
      <c r="BW249" s="430"/>
      <c r="BX249" s="430"/>
      <c r="BY249" s="430"/>
      <c r="BZ249" s="430"/>
      <c r="CA249" s="430"/>
      <c r="CB249" s="430"/>
      <c r="CC249" s="430"/>
      <c r="CD249" s="430"/>
      <c r="CE249" s="430"/>
      <c r="CF249" s="430"/>
      <c r="CG249" s="430"/>
      <c r="CH249" s="430"/>
      <c r="CI249" s="430"/>
      <c r="CJ249" s="430"/>
      <c r="CK249" s="430"/>
      <c r="CL249" s="430"/>
    </row>
    <row r="250" spans="63:90" ht="14.25" customHeight="1">
      <c r="BK250" s="430"/>
      <c r="BL250" s="430"/>
      <c r="BM250" s="430"/>
      <c r="BN250" s="430"/>
      <c r="BO250" s="430"/>
      <c r="BP250" s="430"/>
      <c r="BQ250" s="430"/>
      <c r="BR250" s="430"/>
      <c r="BS250" s="430"/>
      <c r="BT250" s="430"/>
      <c r="BU250" s="430"/>
      <c r="BV250" s="430"/>
      <c r="BW250" s="430"/>
      <c r="BX250" s="430"/>
      <c r="BY250" s="430"/>
      <c r="BZ250" s="430"/>
      <c r="CA250" s="430"/>
      <c r="CB250" s="430"/>
      <c r="CC250" s="430"/>
      <c r="CD250" s="430"/>
      <c r="CE250" s="430"/>
      <c r="CF250" s="430"/>
      <c r="CG250" s="430"/>
      <c r="CH250" s="430"/>
      <c r="CI250" s="430"/>
      <c r="CJ250" s="430"/>
      <c r="CK250" s="430"/>
      <c r="CL250" s="430"/>
    </row>
    <row r="251" spans="63:90" ht="14.25" customHeight="1">
      <c r="BK251" s="430"/>
      <c r="BL251" s="430"/>
      <c r="BM251" s="430"/>
      <c r="BN251" s="430"/>
      <c r="BO251" s="430"/>
      <c r="BP251" s="430"/>
      <c r="BQ251" s="430"/>
      <c r="BR251" s="430"/>
      <c r="BS251" s="430"/>
      <c r="BT251" s="430"/>
      <c r="BU251" s="430"/>
      <c r="BV251" s="430"/>
      <c r="BW251" s="430"/>
      <c r="BX251" s="430"/>
      <c r="BY251" s="430"/>
      <c r="BZ251" s="430"/>
      <c r="CA251" s="430"/>
      <c r="CB251" s="430"/>
      <c r="CC251" s="430"/>
      <c r="CD251" s="430"/>
      <c r="CE251" s="430"/>
      <c r="CF251" s="430"/>
      <c r="CG251" s="430"/>
      <c r="CH251" s="430"/>
      <c r="CI251" s="430"/>
      <c r="CJ251" s="430"/>
      <c r="CK251" s="430"/>
      <c r="CL251" s="430"/>
    </row>
    <row r="252" spans="63:90" ht="14.25" customHeight="1">
      <c r="BK252" s="430"/>
      <c r="BL252" s="430"/>
      <c r="BM252" s="430"/>
      <c r="BN252" s="430"/>
      <c r="BO252" s="430"/>
      <c r="BP252" s="430"/>
      <c r="BQ252" s="430"/>
      <c r="BR252" s="430"/>
      <c r="BS252" s="430"/>
      <c r="BT252" s="430"/>
      <c r="BU252" s="430"/>
      <c r="BV252" s="430"/>
      <c r="BW252" s="430"/>
      <c r="BX252" s="430"/>
      <c r="BY252" s="430"/>
      <c r="BZ252" s="430"/>
      <c r="CA252" s="430"/>
      <c r="CB252" s="430"/>
      <c r="CC252" s="430"/>
      <c r="CD252" s="430"/>
      <c r="CE252" s="430"/>
      <c r="CF252" s="430"/>
      <c r="CG252" s="430"/>
      <c r="CH252" s="430"/>
      <c r="CI252" s="430"/>
      <c r="CJ252" s="430"/>
      <c r="CK252" s="430"/>
      <c r="CL252" s="430"/>
    </row>
    <row r="253" spans="63:90" ht="14.25" customHeight="1">
      <c r="BK253" s="430"/>
      <c r="BL253" s="430"/>
      <c r="BM253" s="430"/>
      <c r="BN253" s="430"/>
      <c r="BO253" s="430"/>
      <c r="BP253" s="430"/>
      <c r="BQ253" s="430"/>
      <c r="BR253" s="430"/>
      <c r="BS253" s="430"/>
      <c r="BT253" s="430"/>
      <c r="BU253" s="430"/>
      <c r="BV253" s="430"/>
      <c r="BW253" s="430"/>
      <c r="BX253" s="430"/>
      <c r="BY253" s="430"/>
      <c r="BZ253" s="430"/>
      <c r="CA253" s="430"/>
      <c r="CB253" s="430"/>
      <c r="CC253" s="430"/>
      <c r="CD253" s="430"/>
      <c r="CE253" s="430"/>
      <c r="CF253" s="430"/>
      <c r="CG253" s="430"/>
      <c r="CH253" s="430"/>
      <c r="CI253" s="430"/>
      <c r="CJ253" s="430"/>
      <c r="CK253" s="430"/>
      <c r="CL253" s="430"/>
    </row>
    <row r="254" spans="63:90" ht="14.25" customHeight="1">
      <c r="BK254" s="430"/>
      <c r="BL254" s="430"/>
      <c r="BM254" s="430"/>
      <c r="BN254" s="430"/>
      <c r="BO254" s="430"/>
      <c r="BP254" s="430"/>
      <c r="BQ254" s="430"/>
      <c r="BR254" s="430"/>
      <c r="BS254" s="430"/>
      <c r="BT254" s="430"/>
      <c r="BU254" s="430"/>
      <c r="BV254" s="430"/>
      <c r="BW254" s="430"/>
      <c r="BX254" s="430"/>
      <c r="BY254" s="430"/>
      <c r="BZ254" s="430"/>
      <c r="CA254" s="430"/>
      <c r="CB254" s="430"/>
      <c r="CC254" s="430"/>
      <c r="CD254" s="430"/>
      <c r="CE254" s="430"/>
      <c r="CF254" s="430"/>
      <c r="CG254" s="430"/>
      <c r="CH254" s="430"/>
      <c r="CI254" s="430"/>
      <c r="CJ254" s="430"/>
      <c r="CK254" s="430"/>
      <c r="CL254" s="430"/>
    </row>
    <row r="255" spans="63:90" ht="14.25" customHeight="1">
      <c r="BK255" s="430"/>
      <c r="BL255" s="430"/>
      <c r="BM255" s="430"/>
      <c r="BN255" s="430"/>
      <c r="BO255" s="430"/>
      <c r="BP255" s="430"/>
      <c r="BQ255" s="430"/>
      <c r="BR255" s="430"/>
      <c r="BS255" s="430"/>
      <c r="BT255" s="430"/>
      <c r="BU255" s="430"/>
      <c r="BV255" s="430"/>
      <c r="BW255" s="430"/>
      <c r="BX255" s="430"/>
      <c r="BY255" s="430"/>
      <c r="BZ255" s="430"/>
      <c r="CA255" s="430"/>
      <c r="CB255" s="430"/>
      <c r="CC255" s="430"/>
      <c r="CD255" s="430"/>
      <c r="CE255" s="430"/>
      <c r="CF255" s="430"/>
      <c r="CG255" s="430"/>
      <c r="CH255" s="430"/>
      <c r="CI255" s="430"/>
      <c r="CJ255" s="430"/>
      <c r="CK255" s="430"/>
      <c r="CL255" s="430"/>
    </row>
    <row r="256" spans="63:90" ht="14.25" customHeight="1">
      <c r="BK256" s="430"/>
      <c r="BL256" s="430"/>
      <c r="BM256" s="430"/>
      <c r="BN256" s="430"/>
      <c r="BO256" s="430"/>
      <c r="BP256" s="430"/>
      <c r="BQ256" s="430"/>
      <c r="BR256" s="430"/>
      <c r="BS256" s="430"/>
      <c r="BT256" s="430"/>
      <c r="BU256" s="430"/>
      <c r="BV256" s="430"/>
      <c r="BW256" s="430"/>
      <c r="BX256" s="430"/>
      <c r="BY256" s="430"/>
      <c r="BZ256" s="430"/>
      <c r="CA256" s="430"/>
      <c r="CB256" s="430"/>
      <c r="CC256" s="430"/>
      <c r="CD256" s="430"/>
      <c r="CE256" s="430"/>
      <c r="CF256" s="430"/>
      <c r="CG256" s="430"/>
      <c r="CH256" s="430"/>
      <c r="CI256" s="430"/>
      <c r="CJ256" s="430"/>
      <c r="CK256" s="430"/>
      <c r="CL256" s="430"/>
    </row>
    <row r="257" spans="63:90" ht="14.25" customHeight="1">
      <c r="BK257" s="430"/>
      <c r="BL257" s="430"/>
      <c r="BM257" s="430"/>
      <c r="BN257" s="430"/>
      <c r="BO257" s="430"/>
      <c r="BP257" s="430"/>
      <c r="BQ257" s="430"/>
      <c r="BR257" s="430"/>
      <c r="BS257" s="430"/>
      <c r="BT257" s="430"/>
      <c r="BU257" s="430"/>
      <c r="BV257" s="430"/>
      <c r="BW257" s="430"/>
      <c r="BX257" s="430"/>
      <c r="BY257" s="430"/>
      <c r="BZ257" s="430"/>
      <c r="CA257" s="430"/>
      <c r="CB257" s="430"/>
      <c r="CC257" s="430"/>
      <c r="CD257" s="430"/>
      <c r="CE257" s="430"/>
      <c r="CF257" s="430"/>
      <c r="CG257" s="430"/>
      <c r="CH257" s="430"/>
      <c r="CI257" s="430"/>
      <c r="CJ257" s="430"/>
      <c r="CK257" s="430"/>
      <c r="CL257" s="430"/>
    </row>
    <row r="258" spans="63:90" ht="14.25" customHeight="1">
      <c r="BK258" s="430"/>
      <c r="BL258" s="430"/>
      <c r="BM258" s="430"/>
      <c r="BN258" s="430"/>
      <c r="BO258" s="430"/>
      <c r="BP258" s="430"/>
      <c r="BQ258" s="430"/>
      <c r="BR258" s="430"/>
      <c r="BS258" s="430"/>
      <c r="BT258" s="430"/>
      <c r="BU258" s="430"/>
      <c r="BV258" s="430"/>
      <c r="BW258" s="430"/>
      <c r="BX258" s="430"/>
      <c r="BY258" s="430"/>
      <c r="BZ258" s="430"/>
      <c r="CA258" s="430"/>
      <c r="CB258" s="430"/>
      <c r="CC258" s="430"/>
      <c r="CD258" s="430"/>
      <c r="CE258" s="430"/>
      <c r="CF258" s="430"/>
      <c r="CG258" s="430"/>
      <c r="CH258" s="430"/>
      <c r="CI258" s="430"/>
      <c r="CJ258" s="430"/>
      <c r="CK258" s="430"/>
      <c r="CL258" s="430"/>
    </row>
    <row r="259" spans="63:90" ht="14.25" customHeight="1">
      <c r="BK259" s="430"/>
      <c r="BL259" s="430"/>
      <c r="BM259" s="430"/>
      <c r="BN259" s="430"/>
      <c r="BO259" s="430"/>
      <c r="BP259" s="430"/>
      <c r="BQ259" s="430"/>
      <c r="BR259" s="430"/>
      <c r="BS259" s="430"/>
      <c r="BT259" s="430"/>
      <c r="BU259" s="430"/>
      <c r="BV259" s="430"/>
      <c r="BW259" s="430"/>
      <c r="BX259" s="430"/>
      <c r="BY259" s="430"/>
      <c r="BZ259" s="430"/>
      <c r="CA259" s="430"/>
      <c r="CB259" s="430"/>
      <c r="CC259" s="430"/>
      <c r="CD259" s="430"/>
      <c r="CE259" s="430"/>
      <c r="CF259" s="430"/>
      <c r="CG259" s="430"/>
      <c r="CH259" s="430"/>
      <c r="CI259" s="430"/>
      <c r="CJ259" s="430"/>
      <c r="CK259" s="430"/>
      <c r="CL259" s="430"/>
    </row>
    <row r="260" spans="63:90" ht="14.25" customHeight="1">
      <c r="BK260" s="430"/>
      <c r="BL260" s="430"/>
      <c r="BM260" s="430"/>
      <c r="BN260" s="430"/>
      <c r="BO260" s="430"/>
      <c r="BP260" s="430"/>
      <c r="BQ260" s="430"/>
      <c r="BR260" s="430"/>
      <c r="BS260" s="430"/>
      <c r="BT260" s="430"/>
      <c r="BU260" s="430"/>
      <c r="BV260" s="430"/>
      <c r="BW260" s="430"/>
      <c r="BX260" s="430"/>
      <c r="BY260" s="430"/>
      <c r="BZ260" s="430"/>
      <c r="CA260" s="430"/>
      <c r="CB260" s="430"/>
      <c r="CC260" s="430"/>
      <c r="CD260" s="430"/>
      <c r="CE260" s="430"/>
      <c r="CF260" s="430"/>
      <c r="CG260" s="430"/>
      <c r="CH260" s="430"/>
      <c r="CI260" s="430"/>
      <c r="CJ260" s="430"/>
      <c r="CK260" s="430"/>
      <c r="CL260" s="430"/>
    </row>
    <row r="261" spans="63:90" ht="14.25" customHeight="1">
      <c r="BK261" s="430"/>
      <c r="BL261" s="430"/>
      <c r="BM261" s="430"/>
      <c r="BN261" s="430"/>
      <c r="BO261" s="430"/>
      <c r="BP261" s="430"/>
      <c r="BQ261" s="430"/>
      <c r="BR261" s="430"/>
      <c r="BS261" s="430"/>
      <c r="BT261" s="430"/>
      <c r="BU261" s="430"/>
      <c r="BV261" s="430"/>
      <c r="BW261" s="430"/>
      <c r="BX261" s="430"/>
      <c r="BY261" s="430"/>
      <c r="BZ261" s="430"/>
      <c r="CA261" s="430"/>
      <c r="CB261" s="430"/>
      <c r="CC261" s="430"/>
      <c r="CD261" s="430"/>
      <c r="CE261" s="430"/>
      <c r="CF261" s="430"/>
      <c r="CG261" s="430"/>
      <c r="CH261" s="430"/>
      <c r="CI261" s="430"/>
      <c r="CJ261" s="430"/>
      <c r="CK261" s="430"/>
      <c r="CL261" s="430"/>
    </row>
    <row r="262" spans="63:90" ht="14.25" customHeight="1">
      <c r="BK262" s="430"/>
      <c r="BL262" s="430"/>
      <c r="BM262" s="430"/>
      <c r="BN262" s="430"/>
      <c r="BO262" s="430"/>
      <c r="BP262" s="430"/>
      <c r="BQ262" s="430"/>
      <c r="BR262" s="430"/>
      <c r="BS262" s="430"/>
      <c r="BT262" s="430"/>
      <c r="BU262" s="430"/>
      <c r="BV262" s="430"/>
      <c r="BW262" s="430"/>
      <c r="BX262" s="430"/>
      <c r="BY262" s="430"/>
      <c r="BZ262" s="430"/>
      <c r="CA262" s="430"/>
      <c r="CB262" s="430"/>
      <c r="CC262" s="430"/>
      <c r="CD262" s="430"/>
      <c r="CE262" s="430"/>
      <c r="CF262" s="430"/>
      <c r="CG262" s="430"/>
      <c r="CH262" s="430"/>
      <c r="CI262" s="430"/>
      <c r="CJ262" s="430"/>
      <c r="CK262" s="430"/>
      <c r="CL262" s="430"/>
    </row>
    <row r="263" spans="63:90" ht="14.25" customHeight="1">
      <c r="BK263" s="430"/>
      <c r="BL263" s="430"/>
      <c r="BM263" s="430"/>
      <c r="BN263" s="430"/>
      <c r="BO263" s="430"/>
      <c r="BP263" s="430"/>
      <c r="BQ263" s="430"/>
      <c r="BR263" s="430"/>
      <c r="BS263" s="430"/>
      <c r="BT263" s="430"/>
      <c r="BU263" s="430"/>
      <c r="BV263" s="430"/>
      <c r="BW263" s="430"/>
      <c r="BX263" s="430"/>
      <c r="BY263" s="430"/>
      <c r="BZ263" s="430"/>
      <c r="CA263" s="430"/>
      <c r="CB263" s="430"/>
      <c r="CC263" s="430"/>
      <c r="CD263" s="430"/>
      <c r="CE263" s="430"/>
      <c r="CF263" s="430"/>
      <c r="CG263" s="430"/>
      <c r="CH263" s="430"/>
      <c r="CI263" s="430"/>
      <c r="CJ263" s="430"/>
      <c r="CK263" s="430"/>
      <c r="CL263" s="430"/>
    </row>
    <row r="264" spans="63:90" ht="14.25" customHeight="1">
      <c r="BK264" s="430"/>
      <c r="BL264" s="430"/>
      <c r="BM264" s="430"/>
      <c r="BN264" s="430"/>
      <c r="BO264" s="430"/>
      <c r="BP264" s="430"/>
      <c r="BQ264" s="430"/>
      <c r="BR264" s="430"/>
      <c r="BS264" s="430"/>
      <c r="BT264" s="430"/>
      <c r="BU264" s="430"/>
      <c r="BV264" s="430"/>
      <c r="BW264" s="430"/>
      <c r="BX264" s="430"/>
      <c r="BY264" s="430"/>
      <c r="BZ264" s="430"/>
      <c r="CA264" s="430"/>
      <c r="CB264" s="430"/>
      <c r="CC264" s="430"/>
      <c r="CD264" s="430"/>
      <c r="CE264" s="430"/>
      <c r="CF264" s="430"/>
      <c r="CG264" s="430"/>
      <c r="CH264" s="430"/>
      <c r="CI264" s="430"/>
      <c r="CJ264" s="430"/>
      <c r="CK264" s="430"/>
      <c r="CL264" s="430"/>
    </row>
    <row r="265" spans="63:90" ht="14.25" customHeight="1">
      <c r="BK265" s="430"/>
      <c r="BL265" s="430"/>
      <c r="BM265" s="430"/>
      <c r="BN265" s="430"/>
      <c r="BO265" s="430"/>
      <c r="BP265" s="430"/>
      <c r="BQ265" s="430"/>
      <c r="BR265" s="430"/>
      <c r="BS265" s="430"/>
      <c r="BT265" s="430"/>
      <c r="BU265" s="430"/>
      <c r="BV265" s="430"/>
      <c r="BW265" s="430"/>
      <c r="BX265" s="430"/>
      <c r="BY265" s="430"/>
      <c r="BZ265" s="430"/>
      <c r="CA265" s="430"/>
      <c r="CB265" s="430"/>
      <c r="CC265" s="430"/>
      <c r="CD265" s="430"/>
      <c r="CE265" s="430"/>
      <c r="CF265" s="430"/>
      <c r="CG265" s="430"/>
      <c r="CH265" s="430"/>
      <c r="CI265" s="430"/>
      <c r="CJ265" s="430"/>
      <c r="CK265" s="430"/>
      <c r="CL265" s="430"/>
    </row>
    <row r="266" spans="63:90" ht="14.25" customHeight="1">
      <c r="BK266" s="430"/>
      <c r="BL266" s="430"/>
      <c r="BM266" s="430"/>
      <c r="BN266" s="430"/>
      <c r="BO266" s="430"/>
      <c r="BP266" s="430"/>
      <c r="BQ266" s="430"/>
      <c r="BR266" s="430"/>
      <c r="BS266" s="430"/>
      <c r="BT266" s="430"/>
      <c r="BU266" s="430"/>
      <c r="BV266" s="430"/>
      <c r="BW266" s="430"/>
      <c r="BX266" s="430"/>
      <c r="BY266" s="430"/>
      <c r="BZ266" s="430"/>
      <c r="CA266" s="430"/>
      <c r="CB266" s="430"/>
      <c r="CC266" s="430"/>
      <c r="CD266" s="430"/>
      <c r="CE266" s="430"/>
      <c r="CF266" s="430"/>
      <c r="CG266" s="430"/>
      <c r="CH266" s="430"/>
      <c r="CI266" s="430"/>
      <c r="CJ266" s="430"/>
      <c r="CK266" s="430"/>
      <c r="CL266" s="430"/>
    </row>
    <row r="267" spans="63:90" ht="14.25" customHeight="1">
      <c r="BK267" s="430"/>
      <c r="BL267" s="430"/>
      <c r="BM267" s="430"/>
      <c r="BN267" s="430"/>
      <c r="BO267" s="430"/>
      <c r="BP267" s="430"/>
      <c r="BQ267" s="430"/>
      <c r="BR267" s="430"/>
      <c r="BS267" s="430"/>
      <c r="BT267" s="430"/>
      <c r="BU267" s="430"/>
      <c r="BV267" s="430"/>
      <c r="BW267" s="430"/>
      <c r="BX267" s="430"/>
      <c r="BY267" s="430"/>
      <c r="BZ267" s="430"/>
      <c r="CA267" s="430"/>
      <c r="CB267" s="430"/>
      <c r="CC267" s="430"/>
      <c r="CD267" s="430"/>
      <c r="CE267" s="430"/>
      <c r="CF267" s="430"/>
      <c r="CG267" s="430"/>
      <c r="CH267" s="430"/>
      <c r="CI267" s="430"/>
      <c r="CJ267" s="430"/>
      <c r="CK267" s="430"/>
      <c r="CL267" s="430"/>
    </row>
    <row r="268" spans="63:90" ht="14.25" customHeight="1">
      <c r="BK268" s="430"/>
      <c r="BL268" s="430"/>
      <c r="BM268" s="430"/>
      <c r="BN268" s="430"/>
      <c r="BO268" s="430"/>
      <c r="BP268" s="430"/>
      <c r="BQ268" s="430"/>
      <c r="BR268" s="430"/>
      <c r="BS268" s="430"/>
      <c r="BT268" s="430"/>
      <c r="BU268" s="430"/>
      <c r="BV268" s="430"/>
      <c r="BW268" s="430"/>
      <c r="BX268" s="430"/>
      <c r="BY268" s="430"/>
      <c r="BZ268" s="430"/>
      <c r="CA268" s="430"/>
      <c r="CB268" s="430"/>
      <c r="CC268" s="430"/>
      <c r="CD268" s="430"/>
      <c r="CE268" s="430"/>
      <c r="CF268" s="430"/>
      <c r="CG268" s="430"/>
      <c r="CH268" s="430"/>
      <c r="CI268" s="430"/>
      <c r="CJ268" s="430"/>
      <c r="CK268" s="430"/>
      <c r="CL268" s="430"/>
    </row>
    <row r="269" spans="63:90" ht="14.25" customHeight="1">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c r="CE269" s="430"/>
      <c r="CF269" s="430"/>
      <c r="CG269" s="430"/>
      <c r="CH269" s="430"/>
      <c r="CI269" s="430"/>
      <c r="CJ269" s="430"/>
      <c r="CK269" s="430"/>
      <c r="CL269" s="430"/>
    </row>
    <row r="270" spans="63:90" ht="14.25" customHeight="1">
      <c r="BK270" s="430"/>
      <c r="BL270" s="430"/>
      <c r="BM270" s="430"/>
      <c r="BN270" s="430"/>
      <c r="BO270" s="430"/>
      <c r="BP270" s="430"/>
      <c r="BQ270" s="430"/>
      <c r="BR270" s="430"/>
      <c r="BS270" s="430"/>
      <c r="BT270" s="430"/>
      <c r="BU270" s="430"/>
      <c r="BV270" s="430"/>
      <c r="BW270" s="430"/>
      <c r="BX270" s="430"/>
      <c r="BY270" s="430"/>
      <c r="BZ270" s="430"/>
      <c r="CA270" s="430"/>
      <c r="CB270" s="430"/>
      <c r="CC270" s="430"/>
      <c r="CD270" s="430"/>
      <c r="CE270" s="430"/>
      <c r="CF270" s="430"/>
      <c r="CG270" s="430"/>
      <c r="CH270" s="430"/>
      <c r="CI270" s="430"/>
      <c r="CJ270" s="430"/>
      <c r="CK270" s="430"/>
      <c r="CL270" s="430"/>
    </row>
    <row r="271" spans="63:90" ht="14.25" customHeight="1">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c r="CE271" s="430"/>
      <c r="CF271" s="430"/>
      <c r="CG271" s="430"/>
      <c r="CH271" s="430"/>
      <c r="CI271" s="430"/>
      <c r="CJ271" s="430"/>
      <c r="CK271" s="430"/>
      <c r="CL271" s="430"/>
    </row>
    <row r="272" spans="63:90" ht="14.25" customHeight="1">
      <c r="BK272" s="430"/>
      <c r="BL272" s="430"/>
      <c r="BM272" s="430"/>
      <c r="BN272" s="430"/>
      <c r="BO272" s="430"/>
      <c r="BP272" s="430"/>
      <c r="BQ272" s="430"/>
      <c r="BR272" s="430"/>
      <c r="BS272" s="430"/>
      <c r="BT272" s="430"/>
      <c r="BU272" s="430"/>
      <c r="BV272" s="430"/>
      <c r="BW272" s="430"/>
      <c r="BX272" s="430"/>
      <c r="BY272" s="430"/>
      <c r="BZ272" s="430"/>
      <c r="CA272" s="430"/>
      <c r="CB272" s="430"/>
      <c r="CC272" s="430"/>
      <c r="CD272" s="430"/>
      <c r="CE272" s="430"/>
      <c r="CF272" s="430"/>
      <c r="CG272" s="430"/>
      <c r="CH272" s="430"/>
      <c r="CI272" s="430"/>
      <c r="CJ272" s="430"/>
      <c r="CK272" s="430"/>
      <c r="CL272" s="430"/>
    </row>
    <row r="273" spans="63:90" ht="14.25" customHeight="1">
      <c r="BK273" s="430"/>
      <c r="BL273" s="430"/>
      <c r="BM273" s="430"/>
      <c r="BN273" s="430"/>
      <c r="BO273" s="430"/>
      <c r="BP273" s="430"/>
      <c r="BQ273" s="430"/>
      <c r="BR273" s="430"/>
      <c r="BS273" s="430"/>
      <c r="BT273" s="430"/>
      <c r="BU273" s="430"/>
      <c r="BV273" s="430"/>
      <c r="BW273" s="430"/>
      <c r="BX273" s="430"/>
      <c r="BY273" s="430"/>
      <c r="BZ273" s="430"/>
      <c r="CA273" s="430"/>
      <c r="CB273" s="430"/>
      <c r="CC273" s="430"/>
      <c r="CD273" s="430"/>
      <c r="CE273" s="430"/>
      <c r="CF273" s="430"/>
      <c r="CG273" s="430"/>
      <c r="CH273" s="430"/>
      <c r="CI273" s="430"/>
      <c r="CJ273" s="430"/>
      <c r="CK273" s="430"/>
      <c r="CL273" s="430"/>
    </row>
    <row r="274" spans="63:90" ht="14.25" customHeight="1">
      <c r="BK274" s="430"/>
      <c r="BL274" s="430"/>
      <c r="BM274" s="430"/>
      <c r="BN274" s="430"/>
      <c r="BO274" s="430"/>
      <c r="BP274" s="430"/>
      <c r="BQ274" s="430"/>
      <c r="BR274" s="430"/>
      <c r="BS274" s="430"/>
      <c r="BT274" s="430"/>
      <c r="BU274" s="430"/>
      <c r="BV274" s="430"/>
      <c r="BW274" s="430"/>
      <c r="BX274" s="430"/>
      <c r="BY274" s="430"/>
      <c r="BZ274" s="430"/>
      <c r="CA274" s="430"/>
      <c r="CB274" s="430"/>
      <c r="CC274" s="430"/>
      <c r="CD274" s="430"/>
      <c r="CE274" s="430"/>
      <c r="CF274" s="430"/>
      <c r="CG274" s="430"/>
      <c r="CH274" s="430"/>
      <c r="CI274" s="430"/>
      <c r="CJ274" s="430"/>
      <c r="CK274" s="430"/>
      <c r="CL274" s="430"/>
    </row>
    <row r="275" spans="63:90" ht="14.25" customHeight="1">
      <c r="BK275" s="430"/>
      <c r="BL275" s="430"/>
      <c r="BM275" s="430"/>
      <c r="BN275" s="430"/>
      <c r="BO275" s="430"/>
      <c r="BP275" s="430"/>
      <c r="BQ275" s="430"/>
      <c r="BR275" s="430"/>
      <c r="BS275" s="430"/>
      <c r="BT275" s="430"/>
      <c r="BU275" s="430"/>
      <c r="BV275" s="430"/>
      <c r="BW275" s="430"/>
      <c r="BX275" s="430"/>
      <c r="BY275" s="430"/>
      <c r="BZ275" s="430"/>
      <c r="CA275" s="430"/>
      <c r="CB275" s="430"/>
      <c r="CC275" s="430"/>
      <c r="CD275" s="430"/>
      <c r="CE275" s="430"/>
      <c r="CF275" s="430"/>
      <c r="CG275" s="430"/>
      <c r="CH275" s="430"/>
      <c r="CI275" s="430"/>
      <c r="CJ275" s="430"/>
      <c r="CK275" s="430"/>
      <c r="CL275" s="430"/>
    </row>
    <row r="276" spans="63:90" ht="14.25" customHeight="1">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c r="CE276" s="430"/>
      <c r="CF276" s="430"/>
      <c r="CG276" s="430"/>
      <c r="CH276" s="430"/>
      <c r="CI276" s="430"/>
      <c r="CJ276" s="430"/>
      <c r="CK276" s="430"/>
      <c r="CL276" s="430"/>
    </row>
    <row r="277" spans="63:90" ht="14.25" customHeight="1">
      <c r="BK277" s="430"/>
      <c r="BL277" s="430"/>
      <c r="BM277" s="430"/>
      <c r="BN277" s="430"/>
      <c r="BO277" s="430"/>
      <c r="BP277" s="430"/>
      <c r="BQ277" s="430"/>
      <c r="BR277" s="430"/>
      <c r="BS277" s="430"/>
      <c r="BT277" s="430"/>
      <c r="BU277" s="430"/>
      <c r="BV277" s="430"/>
      <c r="BW277" s="430"/>
      <c r="BX277" s="430"/>
      <c r="BY277" s="430"/>
      <c r="BZ277" s="430"/>
      <c r="CA277" s="430"/>
      <c r="CB277" s="430"/>
      <c r="CC277" s="430"/>
      <c r="CD277" s="430"/>
      <c r="CE277" s="430"/>
      <c r="CF277" s="430"/>
      <c r="CG277" s="430"/>
      <c r="CH277" s="430"/>
      <c r="CI277" s="430"/>
      <c r="CJ277" s="430"/>
      <c r="CK277" s="430"/>
      <c r="CL277" s="430"/>
    </row>
    <row r="278" spans="63:90" ht="14.25" customHeight="1">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c r="CE278" s="430"/>
      <c r="CF278" s="430"/>
      <c r="CG278" s="430"/>
      <c r="CH278" s="430"/>
      <c r="CI278" s="430"/>
      <c r="CJ278" s="430"/>
      <c r="CK278" s="430"/>
      <c r="CL278" s="430"/>
    </row>
    <row r="279" spans="63:90" ht="14.25" customHeight="1">
      <c r="BK279" s="430"/>
      <c r="BL279" s="430"/>
      <c r="BM279" s="430"/>
      <c r="BN279" s="430"/>
      <c r="BO279" s="430"/>
      <c r="BP279" s="430"/>
      <c r="BQ279" s="430"/>
      <c r="BR279" s="430"/>
      <c r="BS279" s="430"/>
      <c r="BT279" s="430"/>
      <c r="BU279" s="430"/>
      <c r="BV279" s="430"/>
      <c r="BW279" s="430"/>
      <c r="BX279" s="430"/>
      <c r="BY279" s="430"/>
      <c r="BZ279" s="430"/>
      <c r="CA279" s="430"/>
      <c r="CB279" s="430"/>
      <c r="CC279" s="430"/>
      <c r="CD279" s="430"/>
      <c r="CE279" s="430"/>
      <c r="CF279" s="430"/>
      <c r="CG279" s="430"/>
      <c r="CH279" s="430"/>
      <c r="CI279" s="430"/>
      <c r="CJ279" s="430"/>
      <c r="CK279" s="430"/>
      <c r="CL279" s="430"/>
    </row>
    <row r="280" spans="63:90" ht="14.25" customHeight="1">
      <c r="BK280" s="430"/>
      <c r="BL280" s="430"/>
      <c r="BM280" s="430"/>
      <c r="BN280" s="430"/>
      <c r="BO280" s="430"/>
      <c r="BP280" s="430"/>
      <c r="BQ280" s="430"/>
      <c r="BR280" s="430"/>
      <c r="BS280" s="430"/>
      <c r="BT280" s="430"/>
      <c r="BU280" s="430"/>
      <c r="BV280" s="430"/>
      <c r="BW280" s="430"/>
      <c r="BX280" s="430"/>
      <c r="BY280" s="430"/>
      <c r="BZ280" s="430"/>
      <c r="CA280" s="430"/>
      <c r="CB280" s="430"/>
      <c r="CC280" s="430"/>
      <c r="CD280" s="430"/>
      <c r="CE280" s="430"/>
      <c r="CF280" s="430"/>
      <c r="CG280" s="430"/>
      <c r="CH280" s="430"/>
      <c r="CI280" s="430"/>
      <c r="CJ280" s="430"/>
      <c r="CK280" s="430"/>
      <c r="CL280" s="430"/>
    </row>
    <row r="281" spans="63:90" ht="14.25" customHeight="1">
      <c r="BK281" s="430"/>
      <c r="BL281" s="430"/>
      <c r="BM281" s="430"/>
      <c r="BN281" s="430"/>
      <c r="BO281" s="430"/>
      <c r="BP281" s="430"/>
      <c r="BQ281" s="430"/>
      <c r="BR281" s="430"/>
      <c r="BS281" s="430"/>
      <c r="BT281" s="430"/>
      <c r="BU281" s="430"/>
      <c r="BV281" s="430"/>
      <c r="BW281" s="430"/>
      <c r="BX281" s="430"/>
      <c r="BY281" s="430"/>
      <c r="BZ281" s="430"/>
      <c r="CA281" s="430"/>
      <c r="CB281" s="430"/>
      <c r="CC281" s="430"/>
      <c r="CD281" s="430"/>
      <c r="CE281" s="430"/>
      <c r="CF281" s="430"/>
      <c r="CG281" s="430"/>
      <c r="CH281" s="430"/>
      <c r="CI281" s="430"/>
      <c r="CJ281" s="430"/>
      <c r="CK281" s="430"/>
      <c r="CL281" s="430"/>
    </row>
    <row r="282" spans="63:90" ht="14.25" customHeight="1">
      <c r="BK282" s="430"/>
      <c r="BL282" s="430"/>
      <c r="BM282" s="430"/>
      <c r="BN282" s="430"/>
      <c r="BO282" s="430"/>
      <c r="BP282" s="430"/>
      <c r="BQ282" s="430"/>
      <c r="BR282" s="430"/>
      <c r="BS282" s="430"/>
      <c r="BT282" s="430"/>
      <c r="BU282" s="430"/>
      <c r="BV282" s="430"/>
      <c r="BW282" s="430"/>
      <c r="BX282" s="430"/>
      <c r="BY282" s="430"/>
      <c r="BZ282" s="430"/>
      <c r="CA282" s="430"/>
      <c r="CB282" s="430"/>
      <c r="CC282" s="430"/>
      <c r="CD282" s="430"/>
      <c r="CE282" s="430"/>
      <c r="CF282" s="430"/>
      <c r="CG282" s="430"/>
      <c r="CH282" s="430"/>
      <c r="CI282" s="430"/>
      <c r="CJ282" s="430"/>
      <c r="CK282" s="430"/>
      <c r="CL282" s="430"/>
    </row>
    <row r="283" spans="63:90" ht="14.25" customHeight="1">
      <c r="BK283" s="430"/>
      <c r="BL283" s="430"/>
      <c r="BM283" s="430"/>
      <c r="BN283" s="430"/>
      <c r="BO283" s="430"/>
      <c r="BP283" s="430"/>
      <c r="BQ283" s="430"/>
      <c r="BR283" s="430"/>
      <c r="BS283" s="430"/>
      <c r="BT283" s="430"/>
      <c r="BU283" s="430"/>
      <c r="BV283" s="430"/>
      <c r="BW283" s="430"/>
      <c r="BX283" s="430"/>
      <c r="BY283" s="430"/>
      <c r="BZ283" s="430"/>
      <c r="CA283" s="430"/>
      <c r="CB283" s="430"/>
      <c r="CC283" s="430"/>
      <c r="CD283" s="430"/>
      <c r="CE283" s="430"/>
      <c r="CF283" s="430"/>
      <c r="CG283" s="430"/>
      <c r="CH283" s="430"/>
      <c r="CI283" s="430"/>
      <c r="CJ283" s="430"/>
      <c r="CK283" s="430"/>
      <c r="CL283" s="430"/>
    </row>
    <row r="284" spans="63:90" ht="14.25" customHeight="1">
      <c r="BK284" s="430"/>
      <c r="BL284" s="430"/>
      <c r="BM284" s="430"/>
      <c r="BN284" s="430"/>
      <c r="BO284" s="430"/>
      <c r="BP284" s="430"/>
      <c r="BQ284" s="430"/>
      <c r="BR284" s="430"/>
      <c r="BS284" s="430"/>
      <c r="BT284" s="430"/>
      <c r="BU284" s="430"/>
      <c r="BV284" s="430"/>
      <c r="BW284" s="430"/>
      <c r="BX284" s="430"/>
      <c r="BY284" s="430"/>
      <c r="BZ284" s="430"/>
      <c r="CA284" s="430"/>
      <c r="CB284" s="430"/>
      <c r="CC284" s="430"/>
      <c r="CD284" s="430"/>
      <c r="CE284" s="430"/>
      <c r="CF284" s="430"/>
      <c r="CG284" s="430"/>
      <c r="CH284" s="430"/>
      <c r="CI284" s="430"/>
      <c r="CJ284" s="430"/>
      <c r="CK284" s="430"/>
      <c r="CL284" s="430"/>
    </row>
    <row r="285" spans="63:90" ht="14.25" customHeight="1">
      <c r="BK285" s="430"/>
      <c r="BL285" s="430"/>
      <c r="BM285" s="430"/>
      <c r="BN285" s="430"/>
      <c r="BO285" s="430"/>
      <c r="BP285" s="430"/>
      <c r="BQ285" s="430"/>
      <c r="BR285" s="430"/>
      <c r="BS285" s="430"/>
      <c r="BT285" s="430"/>
      <c r="BU285" s="430"/>
      <c r="BV285" s="430"/>
      <c r="BW285" s="430"/>
      <c r="BX285" s="430"/>
      <c r="BY285" s="430"/>
      <c r="BZ285" s="430"/>
      <c r="CA285" s="430"/>
      <c r="CB285" s="430"/>
      <c r="CC285" s="430"/>
      <c r="CD285" s="430"/>
      <c r="CE285" s="430"/>
      <c r="CF285" s="430"/>
      <c r="CG285" s="430"/>
      <c r="CH285" s="430"/>
      <c r="CI285" s="430"/>
      <c r="CJ285" s="430"/>
      <c r="CK285" s="430"/>
      <c r="CL285" s="430"/>
    </row>
    <row r="286" spans="63:90" ht="14.25" customHeight="1">
      <c r="BK286" s="430"/>
      <c r="BL286" s="430"/>
      <c r="BM286" s="430"/>
      <c r="BN286" s="430"/>
      <c r="BO286" s="430"/>
      <c r="BP286" s="430"/>
      <c r="BQ286" s="430"/>
      <c r="BR286" s="430"/>
      <c r="BS286" s="430"/>
      <c r="BT286" s="430"/>
      <c r="BU286" s="430"/>
      <c r="BV286" s="430"/>
      <c r="BW286" s="430"/>
      <c r="BX286" s="430"/>
      <c r="BY286" s="430"/>
      <c r="BZ286" s="430"/>
      <c r="CA286" s="430"/>
      <c r="CB286" s="430"/>
      <c r="CC286" s="430"/>
      <c r="CD286" s="430"/>
      <c r="CE286" s="430"/>
      <c r="CF286" s="430"/>
      <c r="CG286" s="430"/>
      <c r="CH286" s="430"/>
      <c r="CI286" s="430"/>
      <c r="CJ286" s="430"/>
      <c r="CK286" s="430"/>
      <c r="CL286" s="430"/>
    </row>
    <row r="287" spans="63:90" ht="14.25" customHeight="1">
      <c r="BK287" s="430"/>
      <c r="BL287" s="430"/>
      <c r="BM287" s="430"/>
      <c r="BN287" s="430"/>
      <c r="BO287" s="430"/>
      <c r="BP287" s="430"/>
      <c r="BQ287" s="430"/>
      <c r="BR287" s="430"/>
      <c r="BS287" s="430"/>
      <c r="BT287" s="430"/>
      <c r="BU287" s="430"/>
      <c r="BV287" s="430"/>
      <c r="BW287" s="430"/>
      <c r="BX287" s="430"/>
      <c r="BY287" s="430"/>
      <c r="BZ287" s="430"/>
      <c r="CA287" s="430"/>
      <c r="CB287" s="430"/>
      <c r="CC287" s="430"/>
      <c r="CD287" s="430"/>
      <c r="CE287" s="430"/>
      <c r="CF287" s="430"/>
      <c r="CG287" s="430"/>
      <c r="CH287" s="430"/>
      <c r="CI287" s="430"/>
      <c r="CJ287" s="430"/>
      <c r="CK287" s="430"/>
      <c r="CL287" s="430"/>
    </row>
    <row r="288" spans="63:90" ht="14.25" customHeight="1">
      <c r="BK288" s="430"/>
      <c r="BL288" s="430"/>
      <c r="BM288" s="430"/>
      <c r="BN288" s="430"/>
      <c r="BO288" s="430"/>
      <c r="BP288" s="430"/>
      <c r="BQ288" s="430"/>
      <c r="BR288" s="430"/>
      <c r="BS288" s="430"/>
      <c r="BT288" s="430"/>
      <c r="BU288" s="430"/>
      <c r="BV288" s="430"/>
      <c r="BW288" s="430"/>
      <c r="BX288" s="430"/>
      <c r="BY288" s="430"/>
      <c r="BZ288" s="430"/>
      <c r="CA288" s="430"/>
      <c r="CB288" s="430"/>
      <c r="CC288" s="430"/>
      <c r="CD288" s="430"/>
      <c r="CE288" s="430"/>
      <c r="CF288" s="430"/>
      <c r="CG288" s="430"/>
      <c r="CH288" s="430"/>
      <c r="CI288" s="430"/>
      <c r="CJ288" s="430"/>
      <c r="CK288" s="430"/>
      <c r="CL288" s="430"/>
    </row>
    <row r="289" spans="63:90" ht="14.25" customHeight="1">
      <c r="BK289" s="430"/>
      <c r="BL289" s="430"/>
      <c r="BM289" s="430"/>
      <c r="BN289" s="430"/>
      <c r="BO289" s="430"/>
      <c r="BP289" s="430"/>
      <c r="BQ289" s="430"/>
      <c r="BR289" s="430"/>
      <c r="BS289" s="430"/>
      <c r="BT289" s="430"/>
      <c r="BU289" s="430"/>
      <c r="BV289" s="430"/>
      <c r="BW289" s="430"/>
      <c r="BX289" s="430"/>
      <c r="BY289" s="430"/>
      <c r="BZ289" s="430"/>
      <c r="CA289" s="430"/>
      <c r="CB289" s="430"/>
      <c r="CC289" s="430"/>
      <c r="CD289" s="430"/>
      <c r="CE289" s="430"/>
      <c r="CF289" s="430"/>
      <c r="CG289" s="430"/>
      <c r="CH289" s="430"/>
      <c r="CI289" s="430"/>
      <c r="CJ289" s="430"/>
      <c r="CK289" s="430"/>
      <c r="CL289" s="430"/>
    </row>
    <row r="290" spans="63:90" ht="14.25" customHeight="1">
      <c r="BK290" s="430"/>
      <c r="BL290" s="430"/>
      <c r="BM290" s="430"/>
      <c r="BN290" s="430"/>
      <c r="BO290" s="430"/>
      <c r="BP290" s="430"/>
      <c r="BQ290" s="430"/>
      <c r="BR290" s="430"/>
      <c r="BS290" s="430"/>
      <c r="BT290" s="430"/>
      <c r="BU290" s="430"/>
      <c r="BV290" s="430"/>
      <c r="BW290" s="430"/>
      <c r="BX290" s="430"/>
      <c r="BY290" s="430"/>
      <c r="BZ290" s="430"/>
      <c r="CA290" s="430"/>
      <c r="CB290" s="430"/>
      <c r="CC290" s="430"/>
      <c r="CD290" s="430"/>
      <c r="CE290" s="430"/>
      <c r="CF290" s="430"/>
      <c r="CG290" s="430"/>
      <c r="CH290" s="430"/>
      <c r="CI290" s="430"/>
      <c r="CJ290" s="430"/>
      <c r="CK290" s="430"/>
      <c r="CL290" s="430"/>
    </row>
    <row r="291" spans="63:90" ht="14.25" customHeight="1">
      <c r="BK291" s="430"/>
      <c r="BL291" s="430"/>
      <c r="BM291" s="430"/>
      <c r="BN291" s="430"/>
      <c r="BO291" s="430"/>
      <c r="BP291" s="430"/>
      <c r="BQ291" s="430"/>
      <c r="BR291" s="430"/>
      <c r="BS291" s="430"/>
      <c r="BT291" s="430"/>
      <c r="BU291" s="430"/>
      <c r="BV291" s="430"/>
      <c r="BW291" s="430"/>
      <c r="BX291" s="430"/>
      <c r="BY291" s="430"/>
      <c r="BZ291" s="430"/>
      <c r="CA291" s="430"/>
      <c r="CB291" s="430"/>
      <c r="CC291" s="430"/>
      <c r="CD291" s="430"/>
      <c r="CE291" s="430"/>
      <c r="CF291" s="430"/>
      <c r="CG291" s="430"/>
      <c r="CH291" s="430"/>
      <c r="CI291" s="430"/>
      <c r="CJ291" s="430"/>
      <c r="CK291" s="430"/>
      <c r="CL291" s="430"/>
    </row>
    <row r="292" spans="63:90" ht="14.25" customHeight="1">
      <c r="BK292" s="430"/>
      <c r="BL292" s="430"/>
      <c r="BM292" s="430"/>
      <c r="BN292" s="430"/>
      <c r="BO292" s="430"/>
      <c r="BP292" s="430"/>
      <c r="BQ292" s="430"/>
      <c r="BR292" s="430"/>
      <c r="BS292" s="430"/>
      <c r="BT292" s="430"/>
      <c r="BU292" s="430"/>
      <c r="BV292" s="430"/>
      <c r="BW292" s="430"/>
      <c r="BX292" s="430"/>
      <c r="BY292" s="430"/>
      <c r="BZ292" s="430"/>
      <c r="CA292" s="430"/>
      <c r="CB292" s="430"/>
      <c r="CC292" s="430"/>
      <c r="CD292" s="430"/>
      <c r="CE292" s="430"/>
      <c r="CF292" s="430"/>
      <c r="CG292" s="430"/>
      <c r="CH292" s="430"/>
      <c r="CI292" s="430"/>
      <c r="CJ292" s="430"/>
      <c r="CK292" s="430"/>
      <c r="CL292" s="430"/>
    </row>
    <row r="293" spans="63:90" ht="14.25" customHeight="1">
      <c r="BK293" s="430"/>
      <c r="BL293" s="430"/>
      <c r="BM293" s="430"/>
      <c r="BN293" s="430"/>
      <c r="BO293" s="430"/>
      <c r="BP293" s="430"/>
      <c r="BQ293" s="430"/>
      <c r="BR293" s="430"/>
      <c r="BS293" s="430"/>
      <c r="BT293" s="430"/>
      <c r="BU293" s="430"/>
      <c r="BV293" s="430"/>
      <c r="BW293" s="430"/>
      <c r="BX293" s="430"/>
      <c r="BY293" s="430"/>
      <c r="BZ293" s="430"/>
      <c r="CA293" s="430"/>
      <c r="CB293" s="430"/>
      <c r="CC293" s="430"/>
      <c r="CD293" s="430"/>
      <c r="CE293" s="430"/>
      <c r="CF293" s="430"/>
      <c r="CG293" s="430"/>
      <c r="CH293" s="430"/>
      <c r="CI293" s="430"/>
      <c r="CJ293" s="430"/>
      <c r="CK293" s="430"/>
      <c r="CL293" s="430"/>
    </row>
    <row r="294" spans="63:90" ht="14.25" customHeight="1">
      <c r="BK294" s="430"/>
      <c r="BL294" s="430"/>
      <c r="BM294" s="430"/>
      <c r="BN294" s="430"/>
      <c r="BO294" s="430"/>
      <c r="BP294" s="430"/>
      <c r="BQ294" s="430"/>
      <c r="BR294" s="430"/>
      <c r="BS294" s="430"/>
      <c r="BT294" s="430"/>
      <c r="BU294" s="430"/>
      <c r="BV294" s="430"/>
      <c r="BW294" s="430"/>
      <c r="BX294" s="430"/>
      <c r="BY294" s="430"/>
      <c r="BZ294" s="430"/>
      <c r="CA294" s="430"/>
      <c r="CB294" s="430"/>
      <c r="CC294" s="430"/>
      <c r="CD294" s="430"/>
      <c r="CE294" s="430"/>
      <c r="CF294" s="430"/>
      <c r="CG294" s="430"/>
      <c r="CH294" s="430"/>
      <c r="CI294" s="430"/>
      <c r="CJ294" s="430"/>
      <c r="CK294" s="430"/>
      <c r="CL294" s="430"/>
    </row>
    <row r="295" spans="63:90" ht="14.25" customHeight="1">
      <c r="BK295" s="430"/>
      <c r="BL295" s="430"/>
      <c r="BM295" s="430"/>
      <c r="BN295" s="430"/>
      <c r="BO295" s="430"/>
      <c r="BP295" s="430"/>
      <c r="BQ295" s="430"/>
      <c r="BR295" s="430"/>
      <c r="BS295" s="430"/>
      <c r="BT295" s="430"/>
      <c r="BU295" s="430"/>
      <c r="BV295" s="430"/>
      <c r="BW295" s="430"/>
      <c r="BX295" s="430"/>
      <c r="BY295" s="430"/>
      <c r="BZ295" s="430"/>
      <c r="CA295" s="430"/>
      <c r="CB295" s="430"/>
      <c r="CC295" s="430"/>
      <c r="CD295" s="430"/>
      <c r="CE295" s="430"/>
      <c r="CF295" s="430"/>
      <c r="CG295" s="430"/>
      <c r="CH295" s="430"/>
      <c r="CI295" s="430"/>
      <c r="CJ295" s="430"/>
      <c r="CK295" s="430"/>
      <c r="CL295" s="430"/>
    </row>
    <row r="296" spans="63:90" ht="14.25" customHeight="1">
      <c r="BK296" s="430"/>
      <c r="BL296" s="430"/>
      <c r="BM296" s="430"/>
      <c r="BN296" s="430"/>
      <c r="BO296" s="430"/>
      <c r="BP296" s="430"/>
      <c r="BQ296" s="430"/>
      <c r="BR296" s="430"/>
      <c r="BS296" s="430"/>
      <c r="BT296" s="430"/>
      <c r="BU296" s="430"/>
      <c r="BV296" s="430"/>
      <c r="BW296" s="430"/>
      <c r="BX296" s="430"/>
      <c r="BY296" s="430"/>
      <c r="BZ296" s="430"/>
      <c r="CA296" s="430"/>
      <c r="CB296" s="430"/>
      <c r="CC296" s="430"/>
      <c r="CD296" s="430"/>
      <c r="CE296" s="430"/>
      <c r="CF296" s="430"/>
      <c r="CG296" s="430"/>
      <c r="CH296" s="430"/>
      <c r="CI296" s="430"/>
      <c r="CJ296" s="430"/>
      <c r="CK296" s="430"/>
      <c r="CL296" s="430"/>
    </row>
    <row r="297" spans="63:90" ht="14.25" customHeight="1">
      <c r="BK297" s="430"/>
      <c r="BL297" s="430"/>
      <c r="BM297" s="430"/>
      <c r="BN297" s="430"/>
      <c r="BO297" s="430"/>
      <c r="BP297" s="430"/>
      <c r="BQ297" s="430"/>
      <c r="BR297" s="430"/>
      <c r="BS297" s="430"/>
      <c r="BT297" s="430"/>
      <c r="BU297" s="430"/>
      <c r="BV297" s="430"/>
      <c r="BW297" s="430"/>
      <c r="BX297" s="430"/>
      <c r="BY297" s="430"/>
      <c r="BZ297" s="430"/>
      <c r="CA297" s="430"/>
      <c r="CB297" s="430"/>
      <c r="CC297" s="430"/>
      <c r="CD297" s="430"/>
      <c r="CE297" s="430"/>
      <c r="CF297" s="430"/>
      <c r="CG297" s="430"/>
      <c r="CH297" s="430"/>
      <c r="CI297" s="430"/>
      <c r="CJ297" s="430"/>
      <c r="CK297" s="430"/>
      <c r="CL297" s="430"/>
    </row>
    <row r="298" spans="63:90" ht="14.25" customHeight="1">
      <c r="BK298" s="430"/>
      <c r="BL298" s="430"/>
      <c r="BM298" s="430"/>
      <c r="BN298" s="430"/>
      <c r="BO298" s="430"/>
      <c r="BP298" s="430"/>
      <c r="BQ298" s="430"/>
      <c r="BR298" s="430"/>
      <c r="BS298" s="430"/>
      <c r="BT298" s="430"/>
      <c r="BU298" s="430"/>
      <c r="BV298" s="430"/>
      <c r="BW298" s="430"/>
      <c r="BX298" s="430"/>
      <c r="BY298" s="430"/>
      <c r="BZ298" s="430"/>
      <c r="CA298" s="430"/>
      <c r="CB298" s="430"/>
      <c r="CC298" s="430"/>
      <c r="CD298" s="430"/>
      <c r="CE298" s="430"/>
      <c r="CF298" s="430"/>
      <c r="CG298" s="430"/>
      <c r="CH298" s="430"/>
      <c r="CI298" s="430"/>
      <c r="CJ298" s="430"/>
      <c r="CK298" s="430"/>
      <c r="CL298" s="430"/>
    </row>
    <row r="299" spans="63:90" ht="14.25" customHeight="1">
      <c r="BK299" s="430"/>
      <c r="BL299" s="430"/>
      <c r="BM299" s="430"/>
      <c r="BN299" s="430"/>
      <c r="BO299" s="430"/>
      <c r="BP299" s="430"/>
      <c r="BQ299" s="430"/>
      <c r="BR299" s="430"/>
      <c r="BS299" s="430"/>
      <c r="BT299" s="430"/>
      <c r="BU299" s="430"/>
      <c r="BV299" s="430"/>
      <c r="BW299" s="430"/>
      <c r="BX299" s="430"/>
      <c r="BY299" s="430"/>
      <c r="BZ299" s="430"/>
      <c r="CA299" s="430"/>
      <c r="CB299" s="430"/>
      <c r="CC299" s="430"/>
      <c r="CD299" s="430"/>
      <c r="CE299" s="430"/>
      <c r="CF299" s="430"/>
      <c r="CG299" s="430"/>
      <c r="CH299" s="430"/>
      <c r="CI299" s="430"/>
      <c r="CJ299" s="430"/>
      <c r="CK299" s="430"/>
      <c r="CL299" s="430"/>
    </row>
    <row r="300" spans="63:90" ht="14.25" customHeight="1">
      <c r="BK300" s="430"/>
      <c r="BL300" s="430"/>
      <c r="BM300" s="430"/>
      <c r="BN300" s="430"/>
      <c r="BO300" s="430"/>
      <c r="BP300" s="430"/>
      <c r="BQ300" s="430"/>
      <c r="BR300" s="430"/>
      <c r="BS300" s="430"/>
      <c r="BT300" s="430"/>
      <c r="BU300" s="430"/>
      <c r="BV300" s="430"/>
      <c r="BW300" s="430"/>
      <c r="BX300" s="430"/>
      <c r="BY300" s="430"/>
      <c r="BZ300" s="430"/>
      <c r="CA300" s="430"/>
      <c r="CB300" s="430"/>
      <c r="CC300" s="430"/>
      <c r="CD300" s="430"/>
      <c r="CE300" s="430"/>
      <c r="CF300" s="430"/>
      <c r="CG300" s="430"/>
      <c r="CH300" s="430"/>
      <c r="CI300" s="430"/>
      <c r="CJ300" s="430"/>
      <c r="CK300" s="430"/>
      <c r="CL300" s="430"/>
    </row>
    <row r="301" spans="63:90" ht="14.25" customHeight="1">
      <c r="BK301" s="430"/>
      <c r="BL301" s="430"/>
      <c r="BM301" s="430"/>
      <c r="BN301" s="430"/>
      <c r="BO301" s="430"/>
      <c r="BP301" s="430"/>
      <c r="BQ301" s="430"/>
      <c r="BR301" s="430"/>
      <c r="BS301" s="430"/>
      <c r="BT301" s="430"/>
      <c r="BU301" s="430"/>
      <c r="BV301" s="430"/>
      <c r="BW301" s="430"/>
      <c r="BX301" s="430"/>
      <c r="BY301" s="430"/>
      <c r="BZ301" s="430"/>
      <c r="CA301" s="430"/>
      <c r="CB301" s="430"/>
      <c r="CC301" s="430"/>
      <c r="CD301" s="430"/>
      <c r="CE301" s="430"/>
      <c r="CF301" s="430"/>
      <c r="CG301" s="430"/>
      <c r="CH301" s="430"/>
      <c r="CI301" s="430"/>
      <c r="CJ301" s="430"/>
      <c r="CK301" s="430"/>
      <c r="CL301" s="430"/>
    </row>
    <row r="302" spans="63:90" ht="14.25" customHeight="1">
      <c r="BK302" s="430"/>
      <c r="BL302" s="430"/>
      <c r="BM302" s="430"/>
      <c r="BN302" s="430"/>
      <c r="BO302" s="430"/>
      <c r="BP302" s="430"/>
      <c r="BQ302" s="430"/>
      <c r="BR302" s="430"/>
      <c r="BS302" s="430"/>
      <c r="BT302" s="430"/>
      <c r="BU302" s="430"/>
      <c r="BV302" s="430"/>
      <c r="BW302" s="430"/>
      <c r="BX302" s="430"/>
      <c r="BY302" s="430"/>
      <c r="BZ302" s="430"/>
      <c r="CA302" s="430"/>
      <c r="CB302" s="430"/>
      <c r="CC302" s="430"/>
      <c r="CD302" s="430"/>
      <c r="CE302" s="430"/>
      <c r="CF302" s="430"/>
      <c r="CG302" s="430"/>
      <c r="CH302" s="430"/>
      <c r="CI302" s="430"/>
      <c r="CJ302" s="430"/>
      <c r="CK302" s="430"/>
      <c r="CL302" s="430"/>
    </row>
    <row r="303" spans="63:90" ht="14.25" customHeight="1">
      <c r="BK303" s="430"/>
      <c r="BL303" s="430"/>
      <c r="BM303" s="430"/>
      <c r="BN303" s="430"/>
      <c r="BO303" s="430"/>
      <c r="BP303" s="430"/>
      <c r="BQ303" s="430"/>
      <c r="BR303" s="430"/>
      <c r="BS303" s="430"/>
      <c r="BT303" s="430"/>
      <c r="BU303" s="430"/>
      <c r="BV303" s="430"/>
      <c r="BW303" s="430"/>
      <c r="BX303" s="430"/>
      <c r="BY303" s="430"/>
      <c r="BZ303" s="430"/>
      <c r="CA303" s="430"/>
      <c r="CB303" s="430"/>
      <c r="CC303" s="430"/>
      <c r="CD303" s="430"/>
      <c r="CE303" s="430"/>
      <c r="CF303" s="430"/>
      <c r="CG303" s="430"/>
      <c r="CH303" s="430"/>
      <c r="CI303" s="430"/>
      <c r="CJ303" s="430"/>
      <c r="CK303" s="430"/>
      <c r="CL303" s="430"/>
    </row>
    <row r="304" spans="63:90" ht="14.25" customHeight="1">
      <c r="BK304" s="430"/>
      <c r="BL304" s="430"/>
      <c r="BM304" s="430"/>
      <c r="BN304" s="430"/>
      <c r="BO304" s="430"/>
      <c r="BP304" s="430"/>
      <c r="BQ304" s="430"/>
      <c r="BR304" s="430"/>
      <c r="BS304" s="430"/>
      <c r="BT304" s="430"/>
      <c r="BU304" s="430"/>
      <c r="BV304" s="430"/>
      <c r="BW304" s="430"/>
      <c r="BX304" s="430"/>
      <c r="BY304" s="430"/>
      <c r="BZ304" s="430"/>
      <c r="CA304" s="430"/>
      <c r="CB304" s="430"/>
      <c r="CC304" s="430"/>
      <c r="CD304" s="430"/>
      <c r="CE304" s="430"/>
      <c r="CF304" s="430"/>
      <c r="CG304" s="430"/>
      <c r="CH304" s="430"/>
      <c r="CI304" s="430"/>
      <c r="CJ304" s="430"/>
      <c r="CK304" s="430"/>
      <c r="CL304" s="430"/>
    </row>
    <row r="305" spans="63:90" ht="14.25" customHeight="1">
      <c r="BK305" s="430"/>
      <c r="BL305" s="430"/>
      <c r="BM305" s="430"/>
      <c r="BN305" s="430"/>
      <c r="BO305" s="430"/>
      <c r="BP305" s="430"/>
      <c r="BQ305" s="430"/>
      <c r="BR305" s="430"/>
      <c r="BS305" s="430"/>
      <c r="BT305" s="430"/>
      <c r="BU305" s="430"/>
      <c r="BV305" s="430"/>
      <c r="BW305" s="430"/>
      <c r="BX305" s="430"/>
      <c r="BY305" s="430"/>
      <c r="BZ305" s="430"/>
      <c r="CA305" s="430"/>
      <c r="CB305" s="430"/>
      <c r="CC305" s="430"/>
      <c r="CD305" s="430"/>
      <c r="CE305" s="430"/>
      <c r="CF305" s="430"/>
      <c r="CG305" s="430"/>
      <c r="CH305" s="430"/>
      <c r="CI305" s="430"/>
      <c r="CJ305" s="430"/>
      <c r="CK305" s="430"/>
      <c r="CL305" s="430"/>
    </row>
    <row r="306" spans="63:90" ht="14.25" customHeight="1">
      <c r="BK306" s="430"/>
      <c r="BL306" s="430"/>
      <c r="BM306" s="430"/>
      <c r="BN306" s="430"/>
      <c r="BO306" s="430"/>
      <c r="BP306" s="430"/>
      <c r="BQ306" s="430"/>
      <c r="BR306" s="430"/>
      <c r="BS306" s="430"/>
      <c r="BT306" s="430"/>
      <c r="BU306" s="430"/>
      <c r="BV306" s="430"/>
      <c r="BW306" s="430"/>
      <c r="BX306" s="430"/>
      <c r="BY306" s="430"/>
      <c r="BZ306" s="430"/>
      <c r="CA306" s="430"/>
      <c r="CB306" s="430"/>
      <c r="CC306" s="430"/>
      <c r="CD306" s="430"/>
      <c r="CE306" s="430"/>
      <c r="CF306" s="430"/>
      <c r="CG306" s="430"/>
      <c r="CH306" s="430"/>
      <c r="CI306" s="430"/>
      <c r="CJ306" s="430"/>
      <c r="CK306" s="430"/>
      <c r="CL306" s="430"/>
    </row>
    <row r="307" spans="63:90" ht="14.25" customHeight="1">
      <c r="BK307" s="430"/>
      <c r="BL307" s="430"/>
      <c r="BM307" s="430"/>
      <c r="BN307" s="430"/>
      <c r="BO307" s="430"/>
      <c r="BP307" s="430"/>
      <c r="BQ307" s="430"/>
      <c r="BR307" s="430"/>
      <c r="BS307" s="430"/>
      <c r="BT307" s="430"/>
      <c r="BU307" s="430"/>
      <c r="BV307" s="430"/>
      <c r="BW307" s="430"/>
      <c r="BX307" s="430"/>
      <c r="BY307" s="430"/>
      <c r="BZ307" s="430"/>
      <c r="CA307" s="430"/>
      <c r="CB307" s="430"/>
      <c r="CC307" s="430"/>
      <c r="CD307" s="430"/>
      <c r="CE307" s="430"/>
      <c r="CF307" s="430"/>
      <c r="CG307" s="430"/>
      <c r="CH307" s="430"/>
      <c r="CI307" s="430"/>
      <c r="CJ307" s="430"/>
      <c r="CK307" s="430"/>
      <c r="CL307" s="430"/>
    </row>
    <row r="308" spans="63:90" ht="14.25" customHeight="1">
      <c r="BK308" s="430"/>
      <c r="BL308" s="430"/>
      <c r="BM308" s="430"/>
      <c r="BN308" s="430"/>
      <c r="BO308" s="430"/>
      <c r="BP308" s="430"/>
      <c r="BQ308" s="430"/>
      <c r="BR308" s="430"/>
      <c r="BS308" s="430"/>
      <c r="BT308" s="430"/>
      <c r="BU308" s="430"/>
      <c r="BV308" s="430"/>
      <c r="BW308" s="430"/>
      <c r="BX308" s="430"/>
      <c r="BY308" s="430"/>
      <c r="BZ308" s="430"/>
      <c r="CA308" s="430"/>
      <c r="CB308" s="430"/>
      <c r="CC308" s="430"/>
      <c r="CD308" s="430"/>
      <c r="CE308" s="430"/>
      <c r="CF308" s="430"/>
      <c r="CG308" s="430"/>
      <c r="CH308" s="430"/>
      <c r="CI308" s="430"/>
      <c r="CJ308" s="430"/>
      <c r="CK308" s="430"/>
      <c r="CL308" s="430"/>
    </row>
    <row r="309" spans="63:90" ht="14.25" customHeight="1">
      <c r="BK309" s="430"/>
      <c r="BL309" s="430"/>
      <c r="BM309" s="430"/>
      <c r="BN309" s="430"/>
      <c r="BO309" s="430"/>
      <c r="BP309" s="430"/>
      <c r="BQ309" s="430"/>
      <c r="BR309" s="430"/>
      <c r="BS309" s="430"/>
      <c r="BT309" s="430"/>
      <c r="BU309" s="430"/>
      <c r="BV309" s="430"/>
      <c r="BW309" s="430"/>
      <c r="BX309" s="430"/>
      <c r="BY309" s="430"/>
      <c r="BZ309" s="430"/>
      <c r="CA309" s="430"/>
      <c r="CB309" s="430"/>
      <c r="CC309" s="430"/>
      <c r="CD309" s="430"/>
      <c r="CE309" s="430"/>
      <c r="CF309" s="430"/>
      <c r="CG309" s="430"/>
      <c r="CH309" s="430"/>
      <c r="CI309" s="430"/>
      <c r="CJ309" s="430"/>
      <c r="CK309" s="430"/>
      <c r="CL309" s="430"/>
    </row>
    <row r="310" spans="63:90" ht="14.25" customHeight="1">
      <c r="BK310" s="430"/>
      <c r="BL310" s="430"/>
      <c r="BM310" s="430"/>
      <c r="BN310" s="430"/>
      <c r="BO310" s="430"/>
      <c r="BP310" s="430"/>
      <c r="BQ310" s="430"/>
      <c r="BR310" s="430"/>
      <c r="BS310" s="430"/>
      <c r="BT310" s="430"/>
      <c r="BU310" s="430"/>
      <c r="BV310" s="430"/>
      <c r="BW310" s="430"/>
      <c r="BX310" s="430"/>
      <c r="BY310" s="430"/>
      <c r="BZ310" s="430"/>
      <c r="CA310" s="430"/>
      <c r="CB310" s="430"/>
      <c r="CC310" s="430"/>
      <c r="CD310" s="430"/>
      <c r="CE310" s="430"/>
      <c r="CF310" s="430"/>
      <c r="CG310" s="430"/>
      <c r="CH310" s="430"/>
      <c r="CI310" s="430"/>
      <c r="CJ310" s="430"/>
      <c r="CK310" s="430"/>
      <c r="CL310" s="430"/>
    </row>
    <row r="311" spans="63:90" ht="14.25" customHeight="1">
      <c r="BK311" s="430"/>
      <c r="BL311" s="430"/>
      <c r="BM311" s="430"/>
      <c r="BN311" s="430"/>
      <c r="BO311" s="430"/>
      <c r="BP311" s="430"/>
      <c r="BQ311" s="430"/>
      <c r="BR311" s="430"/>
      <c r="BS311" s="430"/>
      <c r="BT311" s="430"/>
      <c r="BU311" s="430"/>
      <c r="BV311" s="430"/>
      <c r="BW311" s="430"/>
      <c r="BX311" s="430"/>
      <c r="BY311" s="430"/>
      <c r="BZ311" s="430"/>
      <c r="CA311" s="430"/>
      <c r="CB311" s="430"/>
      <c r="CC311" s="430"/>
      <c r="CD311" s="430"/>
      <c r="CE311" s="430"/>
      <c r="CF311" s="430"/>
      <c r="CG311" s="430"/>
      <c r="CH311" s="430"/>
      <c r="CI311" s="430"/>
      <c r="CJ311" s="430"/>
      <c r="CK311" s="430"/>
      <c r="CL311" s="430"/>
    </row>
    <row r="312" spans="63:90" ht="14.25" customHeight="1">
      <c r="BK312" s="430"/>
      <c r="BL312" s="430"/>
      <c r="BM312" s="430"/>
      <c r="BN312" s="430"/>
      <c r="BO312" s="430"/>
      <c r="BP312" s="430"/>
      <c r="BQ312" s="430"/>
      <c r="BR312" s="430"/>
      <c r="BS312" s="430"/>
      <c r="BT312" s="430"/>
      <c r="BU312" s="430"/>
      <c r="BV312" s="430"/>
      <c r="BW312" s="430"/>
      <c r="BX312" s="430"/>
      <c r="BY312" s="430"/>
      <c r="BZ312" s="430"/>
      <c r="CA312" s="430"/>
      <c r="CB312" s="430"/>
      <c r="CC312" s="430"/>
      <c r="CD312" s="430"/>
      <c r="CE312" s="430"/>
      <c r="CF312" s="430"/>
      <c r="CG312" s="430"/>
      <c r="CH312" s="430"/>
      <c r="CI312" s="430"/>
      <c r="CJ312" s="430"/>
      <c r="CK312" s="430"/>
      <c r="CL312" s="430"/>
    </row>
    <row r="313" spans="63:90" ht="14.25" customHeight="1">
      <c r="BK313" s="430"/>
      <c r="BL313" s="430"/>
      <c r="BM313" s="430"/>
      <c r="BN313" s="430"/>
      <c r="BO313" s="430"/>
      <c r="BP313" s="430"/>
      <c r="BQ313" s="430"/>
      <c r="BR313" s="430"/>
      <c r="BS313" s="430"/>
      <c r="BT313" s="430"/>
      <c r="BU313" s="430"/>
      <c r="BV313" s="430"/>
      <c r="BW313" s="430"/>
      <c r="BX313" s="430"/>
      <c r="BY313" s="430"/>
      <c r="BZ313" s="430"/>
      <c r="CA313" s="430"/>
      <c r="CB313" s="430"/>
      <c r="CC313" s="430"/>
      <c r="CD313" s="430"/>
      <c r="CE313" s="430"/>
      <c r="CF313" s="430"/>
      <c r="CG313" s="430"/>
      <c r="CH313" s="430"/>
      <c r="CI313" s="430"/>
      <c r="CJ313" s="430"/>
      <c r="CK313" s="430"/>
      <c r="CL313" s="430"/>
    </row>
    <row r="314" spans="63:90" ht="14.25" customHeight="1">
      <c r="BK314" s="430"/>
      <c r="BL314" s="430"/>
      <c r="BM314" s="430"/>
      <c r="BN314" s="430"/>
      <c r="BO314" s="430"/>
      <c r="BP314" s="430"/>
      <c r="BQ314" s="430"/>
      <c r="BR314" s="430"/>
      <c r="BS314" s="430"/>
      <c r="BT314" s="430"/>
      <c r="BU314" s="430"/>
      <c r="BV314" s="430"/>
      <c r="BW314" s="430"/>
      <c r="BX314" s="430"/>
      <c r="BY314" s="430"/>
      <c r="BZ314" s="430"/>
      <c r="CA314" s="430"/>
      <c r="CB314" s="430"/>
      <c r="CC314" s="430"/>
      <c r="CD314" s="430"/>
      <c r="CE314" s="430"/>
      <c r="CF314" s="430"/>
      <c r="CG314" s="430"/>
      <c r="CH314" s="430"/>
      <c r="CI314" s="430"/>
      <c r="CJ314" s="430"/>
      <c r="CK314" s="430"/>
      <c r="CL314" s="430"/>
    </row>
    <row r="315" spans="63:90" ht="14.25" customHeight="1">
      <c r="BK315" s="430"/>
      <c r="BL315" s="430"/>
      <c r="BM315" s="430"/>
      <c r="BN315" s="430"/>
      <c r="BO315" s="430"/>
      <c r="BP315" s="430"/>
      <c r="BQ315" s="430"/>
      <c r="BR315" s="430"/>
      <c r="BS315" s="430"/>
      <c r="BT315" s="430"/>
      <c r="BU315" s="430"/>
      <c r="BV315" s="430"/>
      <c r="BW315" s="430"/>
      <c r="BX315" s="430"/>
      <c r="BY315" s="430"/>
      <c r="BZ315" s="430"/>
      <c r="CA315" s="430"/>
      <c r="CB315" s="430"/>
      <c r="CC315" s="430"/>
      <c r="CD315" s="430"/>
      <c r="CE315" s="430"/>
      <c r="CF315" s="430"/>
      <c r="CG315" s="430"/>
      <c r="CH315" s="430"/>
      <c r="CI315" s="430"/>
      <c r="CJ315" s="430"/>
      <c r="CK315" s="430"/>
      <c r="CL315" s="430"/>
    </row>
    <row r="316" spans="63:90" ht="14.25" customHeight="1">
      <c r="BK316" s="430"/>
      <c r="BL316" s="430"/>
      <c r="BM316" s="430"/>
      <c r="BN316" s="430"/>
      <c r="BO316" s="430"/>
      <c r="BP316" s="430"/>
      <c r="BQ316" s="430"/>
      <c r="BR316" s="430"/>
      <c r="BS316" s="430"/>
      <c r="BT316" s="430"/>
      <c r="BU316" s="430"/>
      <c r="BV316" s="430"/>
      <c r="BW316" s="430"/>
      <c r="BX316" s="430"/>
      <c r="BY316" s="430"/>
      <c r="BZ316" s="430"/>
      <c r="CA316" s="430"/>
      <c r="CB316" s="430"/>
      <c r="CC316" s="430"/>
      <c r="CD316" s="430"/>
      <c r="CE316" s="430"/>
      <c r="CF316" s="430"/>
      <c r="CG316" s="430"/>
      <c r="CH316" s="430"/>
      <c r="CI316" s="430"/>
      <c r="CJ316" s="430"/>
      <c r="CK316" s="430"/>
      <c r="CL316" s="430"/>
    </row>
    <row r="317" spans="63:90" ht="14.25" customHeight="1">
      <c r="BK317" s="430"/>
      <c r="BL317" s="430"/>
      <c r="BM317" s="430"/>
      <c r="BN317" s="430"/>
      <c r="BO317" s="430"/>
      <c r="BP317" s="430"/>
      <c r="BQ317" s="430"/>
      <c r="BR317" s="430"/>
      <c r="BS317" s="430"/>
      <c r="BT317" s="430"/>
      <c r="BU317" s="430"/>
      <c r="BV317" s="430"/>
      <c r="BW317" s="430"/>
      <c r="BX317" s="430"/>
      <c r="BY317" s="430"/>
      <c r="BZ317" s="430"/>
      <c r="CA317" s="430"/>
      <c r="CB317" s="430"/>
      <c r="CC317" s="430"/>
      <c r="CD317" s="430"/>
      <c r="CE317" s="430"/>
      <c r="CF317" s="430"/>
      <c r="CG317" s="430"/>
      <c r="CH317" s="430"/>
      <c r="CI317" s="430"/>
      <c r="CJ317" s="430"/>
      <c r="CK317" s="430"/>
      <c r="CL317" s="430"/>
    </row>
    <row r="318" spans="63:90" ht="14.25" customHeight="1">
      <c r="BK318" s="430"/>
      <c r="BL318" s="430"/>
      <c r="BM318" s="430"/>
      <c r="BN318" s="430"/>
      <c r="BO318" s="430"/>
      <c r="BP318" s="430"/>
      <c r="BQ318" s="430"/>
      <c r="BR318" s="430"/>
      <c r="BS318" s="430"/>
      <c r="BT318" s="430"/>
      <c r="BU318" s="430"/>
      <c r="BV318" s="430"/>
      <c r="BW318" s="430"/>
      <c r="BX318" s="430"/>
      <c r="BY318" s="430"/>
      <c r="BZ318" s="430"/>
      <c r="CA318" s="430"/>
      <c r="CB318" s="430"/>
      <c r="CC318" s="430"/>
      <c r="CD318" s="430"/>
      <c r="CE318" s="430"/>
      <c r="CF318" s="430"/>
      <c r="CG318" s="430"/>
      <c r="CH318" s="430"/>
      <c r="CI318" s="430"/>
      <c r="CJ318" s="430"/>
      <c r="CK318" s="430"/>
      <c r="CL318" s="430"/>
    </row>
    <row r="319" spans="63:90" ht="14.25" customHeight="1">
      <c r="BK319" s="430"/>
      <c r="BL319" s="430"/>
      <c r="BM319" s="430"/>
      <c r="BN319" s="430"/>
      <c r="BO319" s="430"/>
      <c r="BP319" s="430"/>
      <c r="BQ319" s="430"/>
      <c r="BR319" s="430"/>
      <c r="BS319" s="430"/>
      <c r="BT319" s="430"/>
      <c r="BU319" s="430"/>
      <c r="BV319" s="430"/>
      <c r="BW319" s="430"/>
      <c r="BX319" s="430"/>
      <c r="BY319" s="430"/>
      <c r="BZ319" s="430"/>
      <c r="CA319" s="430"/>
      <c r="CB319" s="430"/>
      <c r="CC319" s="430"/>
      <c r="CD319" s="430"/>
      <c r="CE319" s="430"/>
      <c r="CF319" s="430"/>
      <c r="CG319" s="430"/>
      <c r="CH319" s="430"/>
      <c r="CI319" s="430"/>
      <c r="CJ319" s="430"/>
      <c r="CK319" s="430"/>
      <c r="CL319" s="430"/>
    </row>
    <row r="320" spans="63:90" ht="14.25" customHeight="1">
      <c r="BK320" s="430"/>
      <c r="BL320" s="430"/>
      <c r="BM320" s="430"/>
      <c r="BN320" s="430"/>
      <c r="BO320" s="430"/>
      <c r="BP320" s="430"/>
      <c r="BQ320" s="430"/>
      <c r="BR320" s="430"/>
      <c r="BS320" s="430"/>
      <c r="BT320" s="430"/>
      <c r="BU320" s="430"/>
      <c r="BV320" s="430"/>
      <c r="BW320" s="430"/>
      <c r="BX320" s="430"/>
      <c r="BY320" s="430"/>
      <c r="BZ320" s="430"/>
      <c r="CA320" s="430"/>
      <c r="CB320" s="430"/>
      <c r="CC320" s="430"/>
      <c r="CD320" s="430"/>
      <c r="CE320" s="430"/>
      <c r="CF320" s="430"/>
      <c r="CG320" s="430"/>
      <c r="CH320" s="430"/>
      <c r="CI320" s="430"/>
      <c r="CJ320" s="430"/>
      <c r="CK320" s="430"/>
      <c r="CL320" s="430"/>
    </row>
    <row r="321" spans="63:90" ht="14.25" customHeight="1">
      <c r="BK321" s="430"/>
      <c r="BL321" s="430"/>
      <c r="BM321" s="430"/>
      <c r="BN321" s="430"/>
      <c r="BO321" s="430"/>
      <c r="BP321" s="430"/>
      <c r="BQ321" s="430"/>
      <c r="BR321" s="430"/>
      <c r="BS321" s="430"/>
      <c r="BT321" s="430"/>
      <c r="BU321" s="430"/>
      <c r="BV321" s="430"/>
      <c r="BW321" s="430"/>
      <c r="BX321" s="430"/>
      <c r="BY321" s="430"/>
      <c r="BZ321" s="430"/>
      <c r="CA321" s="430"/>
      <c r="CB321" s="430"/>
      <c r="CC321" s="430"/>
      <c r="CD321" s="430"/>
      <c r="CE321" s="430"/>
      <c r="CF321" s="430"/>
      <c r="CG321" s="430"/>
      <c r="CH321" s="430"/>
      <c r="CI321" s="430"/>
      <c r="CJ321" s="430"/>
      <c r="CK321" s="430"/>
      <c r="CL321" s="430"/>
    </row>
    <row r="322" spans="63:90" ht="14.25" customHeight="1">
      <c r="BK322" s="430"/>
      <c r="BL322" s="430"/>
      <c r="BM322" s="430"/>
      <c r="BN322" s="430"/>
      <c r="BO322" s="430"/>
      <c r="BP322" s="430"/>
      <c r="BQ322" s="430"/>
      <c r="BR322" s="430"/>
      <c r="BS322" s="430"/>
      <c r="BT322" s="430"/>
      <c r="BU322" s="430"/>
      <c r="BV322" s="430"/>
      <c r="BW322" s="430"/>
      <c r="BX322" s="430"/>
      <c r="BY322" s="430"/>
      <c r="BZ322" s="430"/>
      <c r="CA322" s="430"/>
      <c r="CB322" s="430"/>
      <c r="CC322" s="430"/>
      <c r="CD322" s="430"/>
      <c r="CE322" s="430"/>
      <c r="CF322" s="430"/>
      <c r="CG322" s="430"/>
      <c r="CH322" s="430"/>
      <c r="CI322" s="430"/>
      <c r="CJ322" s="430"/>
      <c r="CK322" s="430"/>
      <c r="CL322" s="430"/>
    </row>
    <row r="323" spans="63:90" ht="14.25" customHeight="1">
      <c r="BK323" s="430"/>
      <c r="BL323" s="430"/>
      <c r="BM323" s="430"/>
      <c r="BN323" s="430"/>
      <c r="BO323" s="430"/>
      <c r="BP323" s="430"/>
      <c r="BQ323" s="430"/>
      <c r="BR323" s="430"/>
      <c r="BS323" s="430"/>
      <c r="BT323" s="430"/>
      <c r="BU323" s="430"/>
      <c r="BV323" s="430"/>
      <c r="BW323" s="430"/>
      <c r="BX323" s="430"/>
      <c r="BY323" s="430"/>
      <c r="BZ323" s="430"/>
      <c r="CA323" s="430"/>
      <c r="CB323" s="430"/>
      <c r="CC323" s="430"/>
      <c r="CD323" s="430"/>
      <c r="CE323" s="430"/>
      <c r="CF323" s="430"/>
      <c r="CG323" s="430"/>
      <c r="CH323" s="430"/>
      <c r="CI323" s="430"/>
      <c r="CJ323" s="430"/>
      <c r="CK323" s="430"/>
      <c r="CL323" s="430"/>
    </row>
    <row r="324" spans="63:90" ht="14.25" customHeight="1">
      <c r="BK324" s="430"/>
      <c r="BL324" s="430"/>
      <c r="BM324" s="430"/>
      <c r="BN324" s="430"/>
      <c r="BO324" s="430"/>
      <c r="BP324" s="430"/>
      <c r="BQ324" s="430"/>
      <c r="BR324" s="430"/>
      <c r="BS324" s="430"/>
      <c r="BT324" s="430"/>
      <c r="BU324" s="430"/>
      <c r="BV324" s="430"/>
      <c r="BW324" s="430"/>
      <c r="BX324" s="430"/>
      <c r="BY324" s="430"/>
      <c r="BZ324" s="430"/>
      <c r="CA324" s="430"/>
      <c r="CB324" s="430"/>
      <c r="CC324" s="430"/>
      <c r="CD324" s="430"/>
      <c r="CE324" s="430"/>
      <c r="CF324" s="430"/>
      <c r="CG324" s="430"/>
      <c r="CH324" s="430"/>
      <c r="CI324" s="430"/>
      <c r="CJ324" s="430"/>
      <c r="CK324" s="430"/>
      <c r="CL324" s="430"/>
    </row>
    <row r="325" spans="63:90" ht="14.25" customHeight="1">
      <c r="BK325" s="430"/>
      <c r="BL325" s="430"/>
      <c r="BM325" s="430"/>
      <c r="BN325" s="430"/>
      <c r="BO325" s="430"/>
      <c r="BP325" s="430"/>
      <c r="BQ325" s="430"/>
      <c r="BR325" s="430"/>
      <c r="BS325" s="430"/>
      <c r="BT325" s="430"/>
      <c r="BU325" s="430"/>
      <c r="BV325" s="430"/>
      <c r="BW325" s="430"/>
      <c r="BX325" s="430"/>
      <c r="BY325" s="430"/>
      <c r="BZ325" s="430"/>
      <c r="CA325" s="430"/>
      <c r="CB325" s="430"/>
      <c r="CC325" s="430"/>
      <c r="CD325" s="430"/>
      <c r="CE325" s="430"/>
      <c r="CF325" s="430"/>
      <c r="CG325" s="430"/>
      <c r="CH325" s="430"/>
      <c r="CI325" s="430"/>
      <c r="CJ325" s="430"/>
      <c r="CK325" s="430"/>
      <c r="CL325" s="430"/>
    </row>
    <row r="326" spans="63:90" ht="14.25" customHeight="1">
      <c r="BK326" s="430"/>
      <c r="BL326" s="430"/>
      <c r="BM326" s="430"/>
      <c r="BN326" s="430"/>
      <c r="BO326" s="430"/>
      <c r="BP326" s="430"/>
      <c r="BQ326" s="430"/>
      <c r="BR326" s="430"/>
      <c r="BS326" s="430"/>
      <c r="BT326" s="430"/>
      <c r="BU326" s="430"/>
      <c r="BV326" s="430"/>
      <c r="BW326" s="430"/>
      <c r="BX326" s="430"/>
      <c r="BY326" s="430"/>
      <c r="BZ326" s="430"/>
      <c r="CA326" s="430"/>
      <c r="CB326" s="430"/>
      <c r="CC326" s="430"/>
      <c r="CD326" s="430"/>
      <c r="CE326" s="430"/>
      <c r="CF326" s="430"/>
      <c r="CG326" s="430"/>
      <c r="CH326" s="430"/>
      <c r="CI326" s="430"/>
      <c r="CJ326" s="430"/>
      <c r="CK326" s="430"/>
      <c r="CL326" s="430"/>
    </row>
    <row r="327" spans="63:90" ht="14.25" customHeight="1">
      <c r="BK327" s="430"/>
      <c r="BL327" s="430"/>
      <c r="BM327" s="430"/>
      <c r="BN327" s="430"/>
      <c r="BO327" s="430"/>
      <c r="BP327" s="430"/>
      <c r="BQ327" s="430"/>
      <c r="BR327" s="430"/>
      <c r="BS327" s="430"/>
      <c r="BT327" s="430"/>
      <c r="BU327" s="430"/>
      <c r="BV327" s="430"/>
      <c r="BW327" s="430"/>
      <c r="BX327" s="430"/>
      <c r="BY327" s="430"/>
      <c r="BZ327" s="430"/>
      <c r="CA327" s="430"/>
      <c r="CB327" s="430"/>
      <c r="CC327" s="430"/>
      <c r="CD327" s="430"/>
      <c r="CE327" s="430"/>
      <c r="CF327" s="430"/>
      <c r="CG327" s="430"/>
      <c r="CH327" s="430"/>
      <c r="CI327" s="430"/>
      <c r="CJ327" s="430"/>
      <c r="CK327" s="430"/>
      <c r="CL327" s="430"/>
    </row>
    <row r="328" spans="63:90" ht="14.25" customHeight="1">
      <c r="BK328" s="430"/>
      <c r="BL328" s="430"/>
      <c r="BM328" s="430"/>
      <c r="BN328" s="430"/>
      <c r="BO328" s="430"/>
      <c r="BP328" s="430"/>
      <c r="BQ328" s="430"/>
      <c r="BR328" s="430"/>
      <c r="BS328" s="430"/>
      <c r="BT328" s="430"/>
      <c r="BU328" s="430"/>
      <c r="BV328" s="430"/>
      <c r="BW328" s="430"/>
      <c r="BX328" s="430"/>
      <c r="BY328" s="430"/>
      <c r="BZ328" s="430"/>
      <c r="CA328" s="430"/>
      <c r="CB328" s="430"/>
      <c r="CC328" s="430"/>
      <c r="CD328" s="430"/>
      <c r="CE328" s="430"/>
      <c r="CF328" s="430"/>
      <c r="CG328" s="430"/>
      <c r="CH328" s="430"/>
      <c r="CI328" s="430"/>
      <c r="CJ328" s="430"/>
      <c r="CK328" s="430"/>
      <c r="CL328" s="430"/>
    </row>
    <row r="329" spans="63:90" ht="14.25" customHeight="1">
      <c r="BK329" s="430"/>
      <c r="BL329" s="430"/>
      <c r="BM329" s="430"/>
      <c r="BN329" s="430"/>
      <c r="BO329" s="430"/>
      <c r="BP329" s="430"/>
      <c r="BQ329" s="430"/>
      <c r="BR329" s="430"/>
      <c r="BS329" s="430"/>
      <c r="BT329" s="430"/>
      <c r="BU329" s="430"/>
      <c r="BV329" s="430"/>
      <c r="BW329" s="430"/>
      <c r="BX329" s="430"/>
      <c r="BY329" s="430"/>
      <c r="BZ329" s="430"/>
      <c r="CA329" s="430"/>
      <c r="CB329" s="430"/>
      <c r="CC329" s="430"/>
      <c r="CD329" s="430"/>
      <c r="CE329" s="430"/>
      <c r="CF329" s="430"/>
      <c r="CG329" s="430"/>
      <c r="CH329" s="430"/>
      <c r="CI329" s="430"/>
      <c r="CJ329" s="430"/>
      <c r="CK329" s="430"/>
      <c r="CL329" s="430"/>
    </row>
    <row r="330" spans="63:90" ht="14.25" customHeight="1">
      <c r="BK330" s="430"/>
      <c r="BL330" s="430"/>
      <c r="BM330" s="430"/>
      <c r="BN330" s="430"/>
      <c r="BO330" s="430"/>
      <c r="BP330" s="430"/>
      <c r="BQ330" s="430"/>
      <c r="BR330" s="430"/>
      <c r="BS330" s="430"/>
      <c r="BT330" s="430"/>
      <c r="BU330" s="430"/>
      <c r="BV330" s="430"/>
      <c r="BW330" s="430"/>
      <c r="BX330" s="430"/>
      <c r="BY330" s="430"/>
      <c r="BZ330" s="430"/>
      <c r="CA330" s="430"/>
      <c r="CB330" s="430"/>
      <c r="CC330" s="430"/>
      <c r="CD330" s="430"/>
      <c r="CE330" s="430"/>
      <c r="CF330" s="430"/>
      <c r="CG330" s="430"/>
      <c r="CH330" s="430"/>
      <c r="CI330" s="430"/>
      <c r="CJ330" s="430"/>
      <c r="CK330" s="430"/>
      <c r="CL330" s="430"/>
    </row>
    <row r="331" spans="63:90" ht="14.25" customHeight="1">
      <c r="BK331" s="430"/>
      <c r="BL331" s="430"/>
      <c r="BM331" s="430"/>
      <c r="BN331" s="430"/>
      <c r="BO331" s="430"/>
      <c r="BP331" s="430"/>
      <c r="BQ331" s="430"/>
      <c r="BR331" s="430"/>
      <c r="BS331" s="430"/>
      <c r="BT331" s="430"/>
      <c r="BU331" s="430"/>
      <c r="BV331" s="430"/>
      <c r="BW331" s="430"/>
      <c r="BX331" s="430"/>
      <c r="BY331" s="430"/>
      <c r="BZ331" s="430"/>
      <c r="CA331" s="430"/>
      <c r="CB331" s="430"/>
      <c r="CC331" s="430"/>
      <c r="CD331" s="430"/>
      <c r="CE331" s="430"/>
      <c r="CF331" s="430"/>
      <c r="CG331" s="430"/>
      <c r="CH331" s="430"/>
      <c r="CI331" s="430"/>
      <c r="CJ331" s="430"/>
      <c r="CK331" s="430"/>
      <c r="CL331" s="430"/>
    </row>
    <row r="332" spans="63:90" ht="14.25" customHeight="1">
      <c r="BK332" s="430"/>
      <c r="BL332" s="430"/>
      <c r="BM332" s="430"/>
      <c r="BN332" s="430"/>
      <c r="BO332" s="430"/>
      <c r="BP332" s="430"/>
      <c r="BQ332" s="430"/>
      <c r="BR332" s="430"/>
      <c r="BS332" s="430"/>
      <c r="BT332" s="430"/>
      <c r="BU332" s="430"/>
      <c r="BV332" s="430"/>
      <c r="BW332" s="430"/>
      <c r="BX332" s="430"/>
      <c r="BY332" s="430"/>
      <c r="BZ332" s="430"/>
      <c r="CA332" s="430"/>
      <c r="CB332" s="430"/>
      <c r="CC332" s="430"/>
      <c r="CD332" s="430"/>
      <c r="CE332" s="430"/>
      <c r="CF332" s="430"/>
      <c r="CG332" s="430"/>
      <c r="CH332" s="430"/>
      <c r="CI332" s="430"/>
      <c r="CJ332" s="430"/>
      <c r="CK332" s="430"/>
      <c r="CL332" s="430"/>
    </row>
    <row r="333" spans="63:90" ht="14.25" customHeight="1">
      <c r="BK333" s="430"/>
      <c r="BL333" s="430"/>
      <c r="BM333" s="430"/>
      <c r="BN333" s="430"/>
      <c r="BO333" s="430"/>
      <c r="BP333" s="430"/>
      <c r="BQ333" s="430"/>
      <c r="BR333" s="430"/>
      <c r="BS333" s="430"/>
      <c r="BT333" s="430"/>
      <c r="BU333" s="430"/>
      <c r="BV333" s="430"/>
      <c r="BW333" s="430"/>
      <c r="BX333" s="430"/>
      <c r="BY333" s="430"/>
      <c r="BZ333" s="430"/>
      <c r="CA333" s="430"/>
      <c r="CB333" s="430"/>
      <c r="CC333" s="430"/>
      <c r="CD333" s="430"/>
      <c r="CE333" s="430"/>
      <c r="CF333" s="430"/>
      <c r="CG333" s="430"/>
      <c r="CH333" s="430"/>
      <c r="CI333" s="430"/>
      <c r="CJ333" s="430"/>
      <c r="CK333" s="430"/>
      <c r="CL333" s="430"/>
    </row>
    <row r="334" spans="63:90" ht="14.25" customHeight="1">
      <c r="BK334" s="430"/>
      <c r="BL334" s="430"/>
      <c r="BM334" s="430"/>
      <c r="BN334" s="430"/>
      <c r="BO334" s="430"/>
      <c r="BP334" s="430"/>
      <c r="BQ334" s="430"/>
      <c r="BR334" s="430"/>
      <c r="BS334" s="430"/>
      <c r="BT334" s="430"/>
      <c r="BU334" s="430"/>
      <c r="BV334" s="430"/>
      <c r="BW334" s="430"/>
      <c r="BX334" s="430"/>
      <c r="BY334" s="430"/>
      <c r="BZ334" s="430"/>
      <c r="CA334" s="430"/>
      <c r="CB334" s="430"/>
      <c r="CC334" s="430"/>
      <c r="CD334" s="430"/>
      <c r="CE334" s="430"/>
      <c r="CF334" s="430"/>
      <c r="CG334" s="430"/>
      <c r="CH334" s="430"/>
      <c r="CI334" s="430"/>
      <c r="CJ334" s="430"/>
      <c r="CK334" s="430"/>
      <c r="CL334" s="430"/>
    </row>
    <row r="335" spans="63:90" ht="14.25" customHeight="1">
      <c r="BK335" s="430"/>
      <c r="BL335" s="430"/>
      <c r="BM335" s="430"/>
      <c r="BN335" s="430"/>
      <c r="BO335" s="430"/>
      <c r="BP335" s="430"/>
      <c r="BQ335" s="430"/>
      <c r="BR335" s="430"/>
      <c r="BS335" s="430"/>
      <c r="BT335" s="430"/>
      <c r="BU335" s="430"/>
      <c r="BV335" s="430"/>
      <c r="BW335" s="430"/>
      <c r="BX335" s="430"/>
      <c r="BY335" s="430"/>
      <c r="BZ335" s="430"/>
      <c r="CA335" s="430"/>
      <c r="CB335" s="430"/>
      <c r="CC335" s="430"/>
      <c r="CD335" s="430"/>
      <c r="CE335" s="430"/>
      <c r="CF335" s="430"/>
      <c r="CG335" s="430"/>
      <c r="CH335" s="430"/>
      <c r="CI335" s="430"/>
      <c r="CJ335" s="430"/>
      <c r="CK335" s="430"/>
      <c r="CL335" s="430"/>
    </row>
    <row r="336" spans="63:90" ht="14.25" customHeight="1">
      <c r="BK336" s="430"/>
      <c r="BL336" s="430"/>
      <c r="BM336" s="430"/>
      <c r="BN336" s="430"/>
      <c r="BO336" s="430"/>
      <c r="BP336" s="430"/>
      <c r="BQ336" s="430"/>
      <c r="BR336" s="430"/>
      <c r="BS336" s="430"/>
      <c r="BT336" s="430"/>
      <c r="BU336" s="430"/>
      <c r="BV336" s="430"/>
      <c r="BW336" s="430"/>
      <c r="BX336" s="430"/>
      <c r="BY336" s="430"/>
      <c r="BZ336" s="430"/>
      <c r="CA336" s="430"/>
      <c r="CB336" s="430"/>
      <c r="CC336" s="430"/>
      <c r="CD336" s="430"/>
      <c r="CE336" s="430"/>
      <c r="CF336" s="430"/>
      <c r="CG336" s="430"/>
      <c r="CH336" s="430"/>
      <c r="CI336" s="430"/>
      <c r="CJ336" s="430"/>
      <c r="CK336" s="430"/>
      <c r="CL336" s="430"/>
    </row>
    <row r="337" spans="63:90" ht="14.25" customHeight="1">
      <c r="BK337" s="430"/>
      <c r="BL337" s="430"/>
      <c r="BM337" s="430"/>
      <c r="BN337" s="430"/>
      <c r="BO337" s="430"/>
      <c r="BP337" s="430"/>
      <c r="BQ337" s="430"/>
      <c r="BR337" s="430"/>
      <c r="BS337" s="430"/>
      <c r="BT337" s="430"/>
      <c r="BU337" s="430"/>
      <c r="BV337" s="430"/>
      <c r="BW337" s="430"/>
      <c r="BX337" s="430"/>
      <c r="BY337" s="430"/>
      <c r="BZ337" s="430"/>
      <c r="CA337" s="430"/>
      <c r="CB337" s="430"/>
      <c r="CC337" s="430"/>
      <c r="CD337" s="430"/>
      <c r="CE337" s="430"/>
      <c r="CF337" s="430"/>
      <c r="CG337" s="430"/>
      <c r="CH337" s="430"/>
      <c r="CI337" s="430"/>
      <c r="CJ337" s="430"/>
      <c r="CK337" s="430"/>
      <c r="CL337" s="430"/>
    </row>
    <row r="338" spans="63:90" ht="14.25" customHeight="1">
      <c r="BK338" s="430"/>
      <c r="BL338" s="430"/>
      <c r="BM338" s="430"/>
      <c r="BN338" s="430"/>
      <c r="BO338" s="430"/>
      <c r="BP338" s="430"/>
      <c r="BQ338" s="430"/>
      <c r="BR338" s="430"/>
      <c r="BS338" s="430"/>
      <c r="BT338" s="430"/>
      <c r="BU338" s="430"/>
      <c r="BV338" s="430"/>
      <c r="BW338" s="430"/>
      <c r="BX338" s="430"/>
      <c r="BY338" s="430"/>
      <c r="BZ338" s="430"/>
      <c r="CA338" s="430"/>
      <c r="CB338" s="430"/>
      <c r="CC338" s="430"/>
      <c r="CD338" s="430"/>
      <c r="CE338" s="430"/>
      <c r="CF338" s="430"/>
      <c r="CG338" s="430"/>
      <c r="CH338" s="430"/>
      <c r="CI338" s="430"/>
      <c r="CJ338" s="430"/>
      <c r="CK338" s="430"/>
      <c r="CL338" s="430"/>
    </row>
    <row r="339" spans="63:90" ht="14.25" customHeight="1">
      <c r="BK339" s="430"/>
      <c r="BL339" s="430"/>
      <c r="BM339" s="430"/>
      <c r="BN339" s="430"/>
      <c r="BO339" s="430"/>
      <c r="BP339" s="430"/>
      <c r="BQ339" s="430"/>
      <c r="BR339" s="430"/>
      <c r="BS339" s="430"/>
      <c r="BT339" s="430"/>
      <c r="BU339" s="430"/>
      <c r="BV339" s="430"/>
      <c r="BW339" s="430"/>
      <c r="BX339" s="430"/>
      <c r="BY339" s="430"/>
      <c r="BZ339" s="430"/>
      <c r="CA339" s="430"/>
      <c r="CB339" s="430"/>
      <c r="CC339" s="430"/>
      <c r="CD339" s="430"/>
      <c r="CE339" s="430"/>
      <c r="CF339" s="430"/>
      <c r="CG339" s="430"/>
      <c r="CH339" s="430"/>
      <c r="CI339" s="430"/>
      <c r="CJ339" s="430"/>
      <c r="CK339" s="430"/>
      <c r="CL339" s="430"/>
    </row>
    <row r="340" spans="63:90" ht="14.25" customHeight="1">
      <c r="BK340" s="430"/>
      <c r="BL340" s="430"/>
      <c r="BM340" s="430"/>
      <c r="BN340" s="430"/>
      <c r="BO340" s="430"/>
      <c r="BP340" s="430"/>
      <c r="BQ340" s="430"/>
      <c r="BR340" s="430"/>
      <c r="BS340" s="430"/>
      <c r="BT340" s="430"/>
      <c r="BU340" s="430"/>
      <c r="BV340" s="430"/>
      <c r="BW340" s="430"/>
      <c r="BX340" s="430"/>
      <c r="BY340" s="430"/>
      <c r="BZ340" s="430"/>
      <c r="CA340" s="430"/>
      <c r="CB340" s="430"/>
      <c r="CC340" s="430"/>
      <c r="CD340" s="430"/>
      <c r="CE340" s="430"/>
      <c r="CF340" s="430"/>
      <c r="CG340" s="430"/>
      <c r="CH340" s="430"/>
      <c r="CI340" s="430"/>
      <c r="CJ340" s="430"/>
      <c r="CK340" s="430"/>
      <c r="CL340" s="430"/>
    </row>
    <row r="341" spans="63:90" ht="14.25" customHeight="1">
      <c r="BK341" s="430"/>
      <c r="BL341" s="430"/>
      <c r="BM341" s="430"/>
      <c r="BN341" s="430"/>
      <c r="BO341" s="430"/>
      <c r="BP341" s="430"/>
      <c r="BQ341" s="430"/>
      <c r="BR341" s="430"/>
      <c r="BS341" s="430"/>
      <c r="BT341" s="430"/>
      <c r="BU341" s="430"/>
      <c r="BV341" s="430"/>
      <c r="BW341" s="430"/>
      <c r="BX341" s="430"/>
      <c r="BY341" s="430"/>
      <c r="BZ341" s="430"/>
      <c r="CA341" s="430"/>
      <c r="CB341" s="430"/>
      <c r="CC341" s="430"/>
      <c r="CD341" s="430"/>
      <c r="CE341" s="430"/>
      <c r="CF341" s="430"/>
      <c r="CG341" s="430"/>
      <c r="CH341" s="430"/>
      <c r="CI341" s="430"/>
      <c r="CJ341" s="430"/>
      <c r="CK341" s="430"/>
      <c r="CL341" s="430"/>
    </row>
    <row r="342" spans="63:90" ht="14.25" customHeight="1">
      <c r="BK342" s="430"/>
      <c r="BL342" s="430"/>
      <c r="BM342" s="430"/>
      <c r="BN342" s="430"/>
      <c r="BO342" s="430"/>
      <c r="BP342" s="430"/>
      <c r="BQ342" s="430"/>
      <c r="BR342" s="430"/>
      <c r="BS342" s="430"/>
      <c r="BT342" s="430"/>
      <c r="BU342" s="430"/>
      <c r="BV342" s="430"/>
      <c r="BW342" s="430"/>
      <c r="BX342" s="430"/>
      <c r="BY342" s="430"/>
      <c r="BZ342" s="430"/>
      <c r="CA342" s="430"/>
      <c r="CB342" s="430"/>
      <c r="CC342" s="430"/>
      <c r="CD342" s="430"/>
      <c r="CE342" s="430"/>
      <c r="CF342" s="430"/>
      <c r="CG342" s="430"/>
      <c r="CH342" s="430"/>
      <c r="CI342" s="430"/>
      <c r="CJ342" s="430"/>
      <c r="CK342" s="430"/>
      <c r="CL342" s="430"/>
    </row>
    <row r="343" spans="63:90" ht="14.25" customHeight="1">
      <c r="BK343" s="430"/>
      <c r="BL343" s="430"/>
      <c r="BM343" s="430"/>
      <c r="BN343" s="430"/>
      <c r="BO343" s="430"/>
      <c r="BP343" s="430"/>
      <c r="BQ343" s="430"/>
      <c r="BR343" s="430"/>
      <c r="BS343" s="430"/>
      <c r="BT343" s="430"/>
      <c r="BU343" s="430"/>
      <c r="BV343" s="430"/>
      <c r="BW343" s="430"/>
      <c r="BX343" s="430"/>
      <c r="BY343" s="430"/>
      <c r="BZ343" s="430"/>
      <c r="CA343" s="430"/>
      <c r="CB343" s="430"/>
      <c r="CC343" s="430"/>
      <c r="CD343" s="430"/>
      <c r="CE343" s="430"/>
      <c r="CF343" s="430"/>
      <c r="CG343" s="430"/>
      <c r="CH343" s="430"/>
      <c r="CI343" s="430"/>
      <c r="CJ343" s="430"/>
      <c r="CK343" s="430"/>
      <c r="CL343" s="430"/>
    </row>
    <row r="344" spans="63:90" ht="14.25" customHeight="1">
      <c r="BK344" s="430"/>
      <c r="BL344" s="430"/>
      <c r="BM344" s="430"/>
      <c r="BN344" s="430"/>
      <c r="BO344" s="430"/>
      <c r="BP344" s="430"/>
      <c r="BQ344" s="430"/>
      <c r="BR344" s="430"/>
      <c r="BS344" s="430"/>
      <c r="BT344" s="430"/>
      <c r="BU344" s="430"/>
      <c r="BV344" s="430"/>
      <c r="BW344" s="430"/>
      <c r="BX344" s="430"/>
      <c r="BY344" s="430"/>
      <c r="BZ344" s="430"/>
      <c r="CA344" s="430"/>
      <c r="CB344" s="430"/>
      <c r="CC344" s="430"/>
      <c r="CD344" s="430"/>
      <c r="CE344" s="430"/>
      <c r="CF344" s="430"/>
      <c r="CG344" s="430"/>
      <c r="CH344" s="430"/>
      <c r="CI344" s="430"/>
      <c r="CJ344" s="430"/>
      <c r="CK344" s="430"/>
      <c r="CL344" s="430"/>
    </row>
    <row r="345" spans="63:90" ht="14.25" customHeight="1">
      <c r="BK345" s="430"/>
      <c r="BL345" s="430"/>
      <c r="BM345" s="430"/>
      <c r="BN345" s="430"/>
      <c r="BO345" s="430"/>
      <c r="BP345" s="430"/>
      <c r="BQ345" s="430"/>
      <c r="BR345" s="430"/>
      <c r="BS345" s="430"/>
      <c r="BT345" s="430"/>
      <c r="BU345" s="430"/>
      <c r="BV345" s="430"/>
      <c r="BW345" s="430"/>
      <c r="BX345" s="430"/>
      <c r="BY345" s="430"/>
      <c r="BZ345" s="430"/>
      <c r="CA345" s="430"/>
      <c r="CB345" s="430"/>
      <c r="CC345" s="430"/>
      <c r="CD345" s="430"/>
      <c r="CE345" s="430"/>
      <c r="CF345" s="430"/>
      <c r="CG345" s="430"/>
      <c r="CH345" s="430"/>
      <c r="CI345" s="430"/>
      <c r="CJ345" s="430"/>
      <c r="CK345" s="430"/>
      <c r="CL345" s="430"/>
    </row>
    <row r="346" spans="63:90" ht="14.25" customHeight="1">
      <c r="BK346" s="430"/>
      <c r="BL346" s="430"/>
      <c r="BM346" s="430"/>
      <c r="BN346" s="430"/>
      <c r="BO346" s="430"/>
      <c r="BP346" s="430"/>
      <c r="BQ346" s="430"/>
      <c r="BR346" s="430"/>
      <c r="BS346" s="430"/>
      <c r="BT346" s="430"/>
      <c r="BU346" s="430"/>
      <c r="BV346" s="430"/>
      <c r="BW346" s="430"/>
      <c r="BX346" s="430"/>
      <c r="BY346" s="430"/>
      <c r="BZ346" s="430"/>
      <c r="CA346" s="430"/>
      <c r="CB346" s="430"/>
      <c r="CC346" s="430"/>
      <c r="CD346" s="430"/>
      <c r="CE346" s="430"/>
      <c r="CF346" s="430"/>
      <c r="CG346" s="430"/>
      <c r="CH346" s="430"/>
      <c r="CI346" s="430"/>
      <c r="CJ346" s="430"/>
      <c r="CK346" s="430"/>
      <c r="CL346" s="430"/>
    </row>
    <row r="347" spans="63:90" ht="14.25" customHeight="1">
      <c r="BK347" s="430"/>
      <c r="BL347" s="430"/>
      <c r="BM347" s="430"/>
      <c r="BN347" s="430"/>
      <c r="BO347" s="430"/>
      <c r="BP347" s="430"/>
      <c r="BQ347" s="430"/>
      <c r="BR347" s="430"/>
      <c r="BS347" s="430"/>
      <c r="BT347" s="430"/>
      <c r="BU347" s="430"/>
      <c r="BV347" s="430"/>
      <c r="BW347" s="430"/>
      <c r="BX347" s="430"/>
      <c r="BY347" s="430"/>
      <c r="BZ347" s="430"/>
      <c r="CA347" s="430"/>
      <c r="CB347" s="430"/>
      <c r="CC347" s="430"/>
      <c r="CD347" s="430"/>
      <c r="CE347" s="430"/>
      <c r="CF347" s="430"/>
      <c r="CG347" s="430"/>
      <c r="CH347" s="430"/>
      <c r="CI347" s="430"/>
      <c r="CJ347" s="430"/>
      <c r="CK347" s="430"/>
      <c r="CL347" s="430"/>
    </row>
    <row r="348" spans="63:90" ht="14.25" customHeight="1">
      <c r="BK348" s="430"/>
      <c r="BL348" s="430"/>
      <c r="BM348" s="430"/>
      <c r="BN348" s="430"/>
      <c r="BO348" s="430"/>
      <c r="BP348" s="430"/>
      <c r="BQ348" s="430"/>
      <c r="BR348" s="430"/>
      <c r="BS348" s="430"/>
      <c r="BT348" s="430"/>
      <c r="BU348" s="430"/>
      <c r="BV348" s="430"/>
      <c r="BW348" s="430"/>
      <c r="BX348" s="430"/>
      <c r="BY348" s="430"/>
      <c r="BZ348" s="430"/>
      <c r="CA348" s="430"/>
      <c r="CB348" s="430"/>
      <c r="CC348" s="430"/>
      <c r="CD348" s="430"/>
      <c r="CE348" s="430"/>
      <c r="CF348" s="430"/>
      <c r="CG348" s="430"/>
      <c r="CH348" s="430"/>
      <c r="CI348" s="430"/>
      <c r="CJ348" s="430"/>
      <c r="CK348" s="430"/>
      <c r="CL348" s="430"/>
    </row>
    <row r="349" spans="63:90" ht="14.25" customHeight="1">
      <c r="BK349" s="430"/>
      <c r="BL349" s="430"/>
      <c r="BM349" s="430"/>
      <c r="BN349" s="430"/>
      <c r="BO349" s="430"/>
      <c r="BP349" s="430"/>
      <c r="BQ349" s="430"/>
      <c r="BR349" s="430"/>
      <c r="BS349" s="430"/>
      <c r="BT349" s="430"/>
      <c r="BU349" s="430"/>
      <c r="BV349" s="430"/>
      <c r="BW349" s="430"/>
      <c r="BX349" s="430"/>
      <c r="BY349" s="430"/>
      <c r="BZ349" s="430"/>
      <c r="CA349" s="430"/>
      <c r="CB349" s="430"/>
      <c r="CC349" s="430"/>
      <c r="CD349" s="430"/>
      <c r="CE349" s="430"/>
      <c r="CF349" s="430"/>
      <c r="CG349" s="430"/>
      <c r="CH349" s="430"/>
      <c r="CI349" s="430"/>
      <c r="CJ349" s="430"/>
      <c r="CK349" s="430"/>
      <c r="CL349" s="430"/>
    </row>
    <row r="350" spans="63:90" ht="14.25" customHeight="1">
      <c r="BK350" s="430"/>
      <c r="BL350" s="430"/>
      <c r="BM350" s="430"/>
      <c r="BN350" s="430"/>
      <c r="BO350" s="430"/>
      <c r="BP350" s="430"/>
      <c r="BQ350" s="430"/>
      <c r="BR350" s="430"/>
      <c r="BS350" s="430"/>
      <c r="BT350" s="430"/>
      <c r="BU350" s="430"/>
      <c r="BV350" s="430"/>
      <c r="BW350" s="430"/>
      <c r="BX350" s="430"/>
      <c r="BY350" s="430"/>
      <c r="BZ350" s="430"/>
      <c r="CA350" s="430"/>
      <c r="CB350" s="430"/>
      <c r="CC350" s="430"/>
      <c r="CD350" s="430"/>
      <c r="CE350" s="430"/>
      <c r="CF350" s="430"/>
      <c r="CG350" s="430"/>
      <c r="CH350" s="430"/>
      <c r="CI350" s="430"/>
      <c r="CJ350" s="430"/>
      <c r="CK350" s="430"/>
      <c r="CL350" s="430"/>
    </row>
    <row r="351" spans="63:90" ht="14.25" customHeight="1">
      <c r="BK351" s="430"/>
      <c r="BL351" s="430"/>
      <c r="BM351" s="430"/>
      <c r="BN351" s="430"/>
      <c r="BO351" s="430"/>
      <c r="BP351" s="430"/>
      <c r="BQ351" s="430"/>
      <c r="BR351" s="430"/>
      <c r="BS351" s="430"/>
      <c r="BT351" s="430"/>
      <c r="BU351" s="430"/>
      <c r="BV351" s="430"/>
      <c r="BW351" s="430"/>
      <c r="BX351" s="430"/>
      <c r="BY351" s="430"/>
      <c r="BZ351" s="430"/>
      <c r="CA351" s="430"/>
      <c r="CB351" s="430"/>
      <c r="CC351" s="430"/>
      <c r="CD351" s="430"/>
      <c r="CE351" s="430"/>
      <c r="CF351" s="430"/>
      <c r="CG351" s="430"/>
      <c r="CH351" s="430"/>
      <c r="CI351" s="430"/>
      <c r="CJ351" s="430"/>
      <c r="CK351" s="430"/>
      <c r="CL351" s="430"/>
    </row>
    <row r="352" spans="63:90" ht="14.25" customHeight="1">
      <c r="BK352" s="430"/>
      <c r="BL352" s="430"/>
      <c r="BM352" s="430"/>
      <c r="BN352" s="430"/>
      <c r="BO352" s="430"/>
      <c r="BP352" s="430"/>
      <c r="BQ352" s="430"/>
      <c r="BR352" s="430"/>
      <c r="BS352" s="430"/>
      <c r="BT352" s="430"/>
      <c r="BU352" s="430"/>
      <c r="BV352" s="430"/>
      <c r="BW352" s="430"/>
      <c r="BX352" s="430"/>
      <c r="BY352" s="430"/>
      <c r="BZ352" s="430"/>
      <c r="CA352" s="430"/>
      <c r="CB352" s="430"/>
      <c r="CC352" s="430"/>
      <c r="CD352" s="430"/>
      <c r="CE352" s="430"/>
      <c r="CF352" s="430"/>
      <c r="CG352" s="430"/>
      <c r="CH352" s="430"/>
      <c r="CI352" s="430"/>
      <c r="CJ352" s="430"/>
      <c r="CK352" s="430"/>
      <c r="CL352" s="430"/>
    </row>
    <row r="353" spans="63:90" ht="14.25" customHeight="1">
      <c r="BK353" s="430"/>
      <c r="BL353" s="430"/>
      <c r="BM353" s="430"/>
      <c r="BN353" s="430"/>
      <c r="BO353" s="430"/>
      <c r="BP353" s="430"/>
      <c r="BQ353" s="430"/>
      <c r="BR353" s="430"/>
      <c r="BS353" s="430"/>
      <c r="BT353" s="430"/>
      <c r="BU353" s="430"/>
      <c r="BV353" s="430"/>
      <c r="BW353" s="430"/>
      <c r="BX353" s="430"/>
      <c r="BY353" s="430"/>
      <c r="BZ353" s="430"/>
      <c r="CA353" s="430"/>
      <c r="CB353" s="430"/>
      <c r="CC353" s="430"/>
      <c r="CD353" s="430"/>
      <c r="CE353" s="430"/>
      <c r="CF353" s="430"/>
      <c r="CG353" s="430"/>
      <c r="CH353" s="430"/>
      <c r="CI353" s="430"/>
      <c r="CJ353" s="430"/>
      <c r="CK353" s="430"/>
      <c r="CL353" s="430"/>
    </row>
    <row r="354" spans="63:90" ht="14.25" customHeight="1">
      <c r="BK354" s="430"/>
      <c r="BL354" s="430"/>
      <c r="BM354" s="430"/>
      <c r="BN354" s="430"/>
      <c r="BO354" s="430"/>
      <c r="BP354" s="430"/>
      <c r="BQ354" s="430"/>
      <c r="BR354" s="430"/>
      <c r="BS354" s="430"/>
      <c r="BT354" s="430"/>
      <c r="BU354" s="430"/>
      <c r="BV354" s="430"/>
      <c r="BW354" s="430"/>
      <c r="BX354" s="430"/>
      <c r="BY354" s="430"/>
      <c r="BZ354" s="430"/>
      <c r="CA354" s="430"/>
      <c r="CB354" s="430"/>
      <c r="CC354" s="430"/>
      <c r="CD354" s="430"/>
      <c r="CE354" s="430"/>
      <c r="CF354" s="430"/>
      <c r="CG354" s="430"/>
      <c r="CH354" s="430"/>
      <c r="CI354" s="430"/>
      <c r="CJ354" s="430"/>
      <c r="CK354" s="430"/>
      <c r="CL354" s="430"/>
    </row>
    <row r="355" spans="63:90" ht="14.25" customHeight="1">
      <c r="BK355" s="430"/>
      <c r="BL355" s="430"/>
      <c r="BM355" s="430"/>
      <c r="BN355" s="430"/>
      <c r="BO355" s="430"/>
      <c r="BP355" s="430"/>
      <c r="BQ355" s="430"/>
      <c r="BR355" s="430"/>
      <c r="BS355" s="430"/>
      <c r="BT355" s="430"/>
      <c r="BU355" s="430"/>
      <c r="BV355" s="430"/>
      <c r="BW355" s="430"/>
      <c r="BX355" s="430"/>
      <c r="BY355" s="430"/>
      <c r="BZ355" s="430"/>
      <c r="CA355" s="430"/>
      <c r="CB355" s="430"/>
      <c r="CC355" s="430"/>
      <c r="CD355" s="430"/>
      <c r="CE355" s="430"/>
      <c r="CF355" s="430"/>
      <c r="CG355" s="430"/>
      <c r="CH355" s="430"/>
      <c r="CI355" s="430"/>
      <c r="CJ355" s="430"/>
      <c r="CK355" s="430"/>
      <c r="CL355" s="430"/>
    </row>
    <row r="356" spans="63:90" ht="14.25" customHeight="1">
      <c r="BK356" s="430"/>
      <c r="BL356" s="430"/>
      <c r="BM356" s="430"/>
      <c r="BN356" s="430"/>
      <c r="BO356" s="430"/>
      <c r="BP356" s="430"/>
      <c r="BQ356" s="430"/>
      <c r="BR356" s="430"/>
      <c r="BS356" s="430"/>
      <c r="BT356" s="430"/>
      <c r="BU356" s="430"/>
      <c r="BV356" s="430"/>
      <c r="BW356" s="430"/>
      <c r="BX356" s="430"/>
      <c r="BY356" s="430"/>
      <c r="BZ356" s="430"/>
      <c r="CA356" s="430"/>
      <c r="CB356" s="430"/>
      <c r="CC356" s="430"/>
      <c r="CD356" s="430"/>
      <c r="CE356" s="430"/>
      <c r="CF356" s="430"/>
      <c r="CG356" s="430"/>
      <c r="CH356" s="430"/>
      <c r="CI356" s="430"/>
      <c r="CJ356" s="430"/>
      <c r="CK356" s="430"/>
      <c r="CL356" s="430"/>
    </row>
    <row r="357" spans="63:90" ht="14.25" customHeight="1">
      <c r="BK357" s="430"/>
      <c r="BL357" s="430"/>
      <c r="BM357" s="430"/>
      <c r="BN357" s="430"/>
      <c r="BO357" s="430"/>
      <c r="BP357" s="430"/>
      <c r="BQ357" s="430"/>
      <c r="BR357" s="430"/>
      <c r="BS357" s="430"/>
      <c r="BT357" s="430"/>
      <c r="BU357" s="430"/>
      <c r="BV357" s="430"/>
      <c r="BW357" s="430"/>
      <c r="BX357" s="430"/>
      <c r="BY357" s="430"/>
      <c r="BZ357" s="430"/>
      <c r="CA357" s="430"/>
      <c r="CB357" s="430"/>
      <c r="CC357" s="430"/>
      <c r="CD357" s="430"/>
      <c r="CE357" s="430"/>
      <c r="CF357" s="430"/>
      <c r="CG357" s="430"/>
      <c r="CH357" s="430"/>
      <c r="CI357" s="430"/>
      <c r="CJ357" s="430"/>
      <c r="CK357" s="430"/>
      <c r="CL357" s="430"/>
    </row>
    <row r="358" spans="63:90" ht="14.25" customHeight="1">
      <c r="BK358" s="430"/>
      <c r="BL358" s="430"/>
      <c r="BM358" s="430"/>
      <c r="BN358" s="430"/>
      <c r="BO358" s="430"/>
      <c r="BP358" s="430"/>
      <c r="BQ358" s="430"/>
      <c r="BR358" s="430"/>
      <c r="BS358" s="430"/>
      <c r="BT358" s="430"/>
      <c r="BU358" s="430"/>
      <c r="BV358" s="430"/>
      <c r="BW358" s="430"/>
      <c r="BX358" s="430"/>
      <c r="BY358" s="430"/>
      <c r="BZ358" s="430"/>
      <c r="CA358" s="430"/>
      <c r="CB358" s="430"/>
      <c r="CC358" s="430"/>
      <c r="CD358" s="430"/>
      <c r="CE358" s="430"/>
      <c r="CF358" s="430"/>
      <c r="CG358" s="430"/>
      <c r="CH358" s="430"/>
      <c r="CI358" s="430"/>
      <c r="CJ358" s="430"/>
      <c r="CK358" s="430"/>
      <c r="CL358" s="430"/>
    </row>
    <row r="359" spans="63:90" ht="14.25" customHeight="1">
      <c r="BK359" s="430"/>
      <c r="BL359" s="430"/>
      <c r="BM359" s="430"/>
      <c r="BN359" s="430"/>
      <c r="BO359" s="430"/>
      <c r="BP359" s="430"/>
      <c r="BQ359" s="430"/>
      <c r="BR359" s="430"/>
      <c r="BS359" s="430"/>
      <c r="BT359" s="430"/>
      <c r="BU359" s="430"/>
      <c r="BV359" s="430"/>
      <c r="BW359" s="430"/>
      <c r="BX359" s="430"/>
      <c r="BY359" s="430"/>
      <c r="BZ359" s="430"/>
      <c r="CA359" s="430"/>
      <c r="CB359" s="430"/>
      <c r="CC359" s="430"/>
      <c r="CD359" s="430"/>
      <c r="CE359" s="430"/>
      <c r="CF359" s="430"/>
      <c r="CG359" s="430"/>
      <c r="CH359" s="430"/>
      <c r="CI359" s="430"/>
      <c r="CJ359" s="430"/>
      <c r="CK359" s="430"/>
      <c r="CL359" s="430"/>
    </row>
    <row r="360" spans="63:90" ht="14.25" customHeight="1">
      <c r="BK360" s="430"/>
      <c r="BL360" s="430"/>
      <c r="BM360" s="430"/>
      <c r="BN360" s="430"/>
      <c r="BO360" s="430"/>
      <c r="BP360" s="430"/>
      <c r="BQ360" s="430"/>
      <c r="BR360" s="430"/>
      <c r="BS360" s="430"/>
      <c r="BT360" s="430"/>
      <c r="BU360" s="430"/>
      <c r="BV360" s="430"/>
      <c r="BW360" s="430"/>
      <c r="BX360" s="430"/>
      <c r="BY360" s="430"/>
      <c r="BZ360" s="430"/>
      <c r="CA360" s="430"/>
      <c r="CB360" s="430"/>
      <c r="CC360" s="430"/>
      <c r="CD360" s="430"/>
      <c r="CE360" s="430"/>
      <c r="CF360" s="430"/>
      <c r="CG360" s="430"/>
      <c r="CH360" s="430"/>
      <c r="CI360" s="430"/>
      <c r="CJ360" s="430"/>
      <c r="CK360" s="430"/>
      <c r="CL360" s="430"/>
    </row>
    <row r="361" spans="63:90" ht="14.25" customHeight="1">
      <c r="BK361" s="430"/>
      <c r="BL361" s="430"/>
      <c r="BM361" s="430"/>
      <c r="BN361" s="430"/>
      <c r="BO361" s="430"/>
      <c r="BP361" s="430"/>
      <c r="BQ361" s="430"/>
      <c r="BR361" s="430"/>
      <c r="BS361" s="430"/>
      <c r="BT361" s="430"/>
      <c r="BU361" s="430"/>
      <c r="BV361" s="430"/>
      <c r="BW361" s="430"/>
      <c r="BX361" s="430"/>
      <c r="BY361" s="430"/>
      <c r="BZ361" s="430"/>
      <c r="CA361" s="430"/>
      <c r="CB361" s="430"/>
      <c r="CC361" s="430"/>
      <c r="CD361" s="430"/>
      <c r="CE361" s="430"/>
      <c r="CF361" s="430"/>
      <c r="CG361" s="430"/>
      <c r="CH361" s="430"/>
      <c r="CI361" s="430"/>
      <c r="CJ361" s="430"/>
      <c r="CK361" s="430"/>
      <c r="CL361" s="430"/>
    </row>
    <row r="362" spans="63:90" ht="14.25" customHeight="1">
      <c r="BK362" s="430"/>
      <c r="BL362" s="430"/>
      <c r="BM362" s="430"/>
      <c r="BN362" s="430"/>
      <c r="BO362" s="430"/>
      <c r="BP362" s="430"/>
      <c r="BQ362" s="430"/>
      <c r="BR362" s="430"/>
      <c r="BS362" s="430"/>
      <c r="BT362" s="430"/>
      <c r="BU362" s="430"/>
      <c r="BV362" s="430"/>
      <c r="BW362" s="430"/>
      <c r="BX362" s="430"/>
      <c r="BY362" s="430"/>
      <c r="BZ362" s="430"/>
      <c r="CA362" s="430"/>
      <c r="CB362" s="430"/>
      <c r="CC362" s="430"/>
      <c r="CD362" s="430"/>
      <c r="CE362" s="430"/>
      <c r="CF362" s="430"/>
      <c r="CG362" s="430"/>
      <c r="CH362" s="430"/>
      <c r="CI362" s="430"/>
      <c r="CJ362" s="430"/>
      <c r="CK362" s="430"/>
      <c r="CL362" s="430"/>
    </row>
    <row r="363" spans="63:90" ht="14.25" customHeight="1">
      <c r="BK363" s="430"/>
      <c r="BL363" s="430"/>
      <c r="BM363" s="430"/>
      <c r="BN363" s="430"/>
      <c r="BO363" s="430"/>
      <c r="BP363" s="430"/>
      <c r="BQ363" s="430"/>
      <c r="BR363" s="430"/>
      <c r="BS363" s="430"/>
      <c r="BT363" s="430"/>
      <c r="BU363" s="430"/>
      <c r="BV363" s="430"/>
      <c r="BW363" s="430"/>
      <c r="BX363" s="430"/>
      <c r="BY363" s="430"/>
      <c r="BZ363" s="430"/>
      <c r="CA363" s="430"/>
      <c r="CB363" s="430"/>
      <c r="CC363" s="430"/>
      <c r="CD363" s="430"/>
      <c r="CE363" s="430"/>
      <c r="CF363" s="430"/>
      <c r="CG363" s="430"/>
      <c r="CH363" s="430"/>
      <c r="CI363" s="430"/>
      <c r="CJ363" s="430"/>
      <c r="CK363" s="430"/>
      <c r="CL363" s="430"/>
    </row>
    <row r="364" spans="63:90" ht="14.25" customHeight="1">
      <c r="BK364" s="430"/>
      <c r="BL364" s="430"/>
      <c r="BM364" s="430"/>
      <c r="BN364" s="430"/>
      <c r="BO364" s="430"/>
      <c r="BP364" s="430"/>
      <c r="BQ364" s="430"/>
      <c r="BR364" s="430"/>
      <c r="BS364" s="430"/>
      <c r="BT364" s="430"/>
      <c r="BU364" s="430"/>
      <c r="BV364" s="430"/>
      <c r="BW364" s="430"/>
      <c r="BX364" s="430"/>
      <c r="BY364" s="430"/>
      <c r="BZ364" s="430"/>
      <c r="CA364" s="430"/>
      <c r="CB364" s="430"/>
      <c r="CC364" s="430"/>
      <c r="CD364" s="430"/>
      <c r="CE364" s="430"/>
      <c r="CF364" s="430"/>
      <c r="CG364" s="430"/>
      <c r="CH364" s="430"/>
      <c r="CI364" s="430"/>
      <c r="CJ364" s="430"/>
      <c r="CK364" s="430"/>
      <c r="CL364" s="430"/>
    </row>
    <row r="365" spans="63:90" ht="14.25" customHeight="1">
      <c r="BK365" s="430"/>
      <c r="BL365" s="430"/>
      <c r="BM365" s="430"/>
      <c r="BN365" s="430"/>
      <c r="BO365" s="430"/>
      <c r="BP365" s="430"/>
      <c r="BQ365" s="430"/>
      <c r="BR365" s="430"/>
      <c r="BS365" s="430"/>
      <c r="BT365" s="430"/>
      <c r="BU365" s="430"/>
      <c r="BV365" s="430"/>
      <c r="BW365" s="430"/>
      <c r="BX365" s="430"/>
      <c r="BY365" s="430"/>
      <c r="BZ365" s="430"/>
      <c r="CA365" s="430"/>
      <c r="CB365" s="430"/>
      <c r="CC365" s="430"/>
      <c r="CD365" s="430"/>
      <c r="CE365" s="430"/>
      <c r="CF365" s="430"/>
      <c r="CG365" s="430"/>
      <c r="CH365" s="430"/>
      <c r="CI365" s="430"/>
      <c r="CJ365" s="430"/>
      <c r="CK365" s="430"/>
      <c r="CL365" s="430"/>
    </row>
    <row r="366" spans="63:90" ht="14.25" customHeight="1">
      <c r="BK366" s="430"/>
      <c r="BL366" s="430"/>
      <c r="BM366" s="430"/>
      <c r="BN366" s="430"/>
      <c r="BO366" s="430"/>
      <c r="BP366" s="430"/>
      <c r="BQ366" s="430"/>
      <c r="BR366" s="430"/>
      <c r="BS366" s="430"/>
      <c r="BT366" s="430"/>
      <c r="BU366" s="430"/>
      <c r="BV366" s="430"/>
      <c r="BW366" s="430"/>
      <c r="BX366" s="430"/>
      <c r="BY366" s="430"/>
      <c r="BZ366" s="430"/>
      <c r="CA366" s="430"/>
      <c r="CB366" s="430"/>
      <c r="CC366" s="430"/>
      <c r="CD366" s="430"/>
      <c r="CE366" s="430"/>
      <c r="CF366" s="430"/>
      <c r="CG366" s="430"/>
      <c r="CH366" s="430"/>
      <c r="CI366" s="430"/>
      <c r="CJ366" s="430"/>
      <c r="CK366" s="430"/>
      <c r="CL366" s="430"/>
    </row>
    <row r="367" spans="63:90" ht="14.25" customHeight="1">
      <c r="BK367" s="430"/>
      <c r="BL367" s="430"/>
      <c r="BM367" s="430"/>
      <c r="BN367" s="430"/>
      <c r="BO367" s="430"/>
      <c r="BP367" s="430"/>
      <c r="BQ367" s="430"/>
      <c r="BR367" s="430"/>
      <c r="BS367" s="430"/>
      <c r="BT367" s="430"/>
      <c r="BU367" s="430"/>
      <c r="BV367" s="430"/>
      <c r="BW367" s="430"/>
      <c r="BX367" s="430"/>
      <c r="BY367" s="430"/>
      <c r="BZ367" s="430"/>
      <c r="CA367" s="430"/>
      <c r="CB367" s="430"/>
      <c r="CC367" s="430"/>
      <c r="CD367" s="430"/>
      <c r="CE367" s="430"/>
      <c r="CF367" s="430"/>
      <c r="CG367" s="430"/>
      <c r="CH367" s="430"/>
      <c r="CI367" s="430"/>
      <c r="CJ367" s="430"/>
      <c r="CK367" s="430"/>
      <c r="CL367" s="430"/>
    </row>
    <row r="368" spans="63:90" ht="14.25" customHeight="1">
      <c r="BK368" s="430"/>
      <c r="BL368" s="430"/>
      <c r="BM368" s="430"/>
      <c r="BN368" s="430"/>
      <c r="BO368" s="430"/>
      <c r="BP368" s="430"/>
      <c r="BQ368" s="430"/>
      <c r="BR368" s="430"/>
      <c r="BS368" s="430"/>
      <c r="BT368" s="430"/>
      <c r="BU368" s="430"/>
      <c r="BV368" s="430"/>
      <c r="BW368" s="430"/>
      <c r="BX368" s="430"/>
      <c r="BY368" s="430"/>
      <c r="BZ368" s="430"/>
      <c r="CA368" s="430"/>
      <c r="CB368" s="430"/>
      <c r="CC368" s="430"/>
      <c r="CD368" s="430"/>
      <c r="CE368" s="430"/>
      <c r="CF368" s="430"/>
      <c r="CG368" s="430"/>
      <c r="CH368" s="430"/>
      <c r="CI368" s="430"/>
      <c r="CJ368" s="430"/>
      <c r="CK368" s="430"/>
      <c r="CL368" s="430"/>
    </row>
    <row r="369" spans="63:90" ht="14.25" customHeight="1">
      <c r="BK369" s="430"/>
      <c r="BL369" s="430"/>
      <c r="BM369" s="430"/>
      <c r="BN369" s="430"/>
      <c r="BO369" s="430"/>
      <c r="BP369" s="430"/>
      <c r="BQ369" s="430"/>
      <c r="BR369" s="430"/>
      <c r="BS369" s="430"/>
      <c r="BT369" s="430"/>
      <c r="BU369" s="430"/>
      <c r="BV369" s="430"/>
      <c r="BW369" s="430"/>
      <c r="BX369" s="430"/>
      <c r="BY369" s="430"/>
      <c r="BZ369" s="430"/>
      <c r="CA369" s="430"/>
      <c r="CB369" s="430"/>
      <c r="CC369" s="430"/>
      <c r="CD369" s="430"/>
      <c r="CE369" s="430"/>
      <c r="CF369" s="430"/>
      <c r="CG369" s="430"/>
      <c r="CH369" s="430"/>
      <c r="CI369" s="430"/>
      <c r="CJ369" s="430"/>
      <c r="CK369" s="430"/>
      <c r="CL369" s="430"/>
    </row>
    <row r="370" spans="63:90" ht="14.25" customHeight="1">
      <c r="BK370" s="430"/>
      <c r="BL370" s="430"/>
      <c r="BM370" s="430"/>
      <c r="BN370" s="430"/>
      <c r="BO370" s="430"/>
      <c r="BP370" s="430"/>
      <c r="BQ370" s="430"/>
      <c r="BR370" s="430"/>
      <c r="BS370" s="430"/>
      <c r="BT370" s="430"/>
      <c r="BU370" s="430"/>
      <c r="BV370" s="430"/>
      <c r="BW370" s="430"/>
      <c r="BX370" s="430"/>
      <c r="BY370" s="430"/>
      <c r="BZ370" s="430"/>
      <c r="CA370" s="430"/>
      <c r="CB370" s="430"/>
      <c r="CC370" s="430"/>
      <c r="CD370" s="430"/>
      <c r="CE370" s="430"/>
      <c r="CF370" s="430"/>
      <c r="CG370" s="430"/>
      <c r="CH370" s="430"/>
      <c r="CI370" s="430"/>
      <c r="CJ370" s="430"/>
      <c r="CK370" s="430"/>
      <c r="CL370" s="430"/>
    </row>
    <row r="371" spans="63:90" ht="14.25" customHeight="1">
      <c r="BK371" s="430"/>
      <c r="BL371" s="430"/>
      <c r="BM371" s="430"/>
      <c r="BN371" s="430"/>
      <c r="BO371" s="430"/>
      <c r="BP371" s="430"/>
      <c r="BQ371" s="430"/>
      <c r="BR371" s="430"/>
      <c r="BS371" s="430"/>
      <c r="BT371" s="430"/>
      <c r="BU371" s="430"/>
      <c r="BV371" s="430"/>
      <c r="BW371" s="430"/>
      <c r="BX371" s="430"/>
      <c r="BY371" s="430"/>
      <c r="BZ371" s="430"/>
      <c r="CA371" s="430"/>
      <c r="CB371" s="430"/>
      <c r="CC371" s="430"/>
      <c r="CD371" s="430"/>
      <c r="CE371" s="430"/>
      <c r="CF371" s="430"/>
      <c r="CG371" s="430"/>
      <c r="CH371" s="430"/>
      <c r="CI371" s="430"/>
      <c r="CJ371" s="430"/>
      <c r="CK371" s="430"/>
      <c r="CL371" s="430"/>
    </row>
    <row r="372" spans="63:90" ht="14.25" customHeight="1">
      <c r="BK372" s="430"/>
      <c r="BL372" s="430"/>
      <c r="BM372" s="430"/>
      <c r="BN372" s="430"/>
      <c r="BO372" s="430"/>
      <c r="BP372" s="430"/>
      <c r="BQ372" s="430"/>
      <c r="BR372" s="430"/>
      <c r="BS372" s="430"/>
      <c r="BT372" s="430"/>
      <c r="BU372" s="430"/>
      <c r="BV372" s="430"/>
      <c r="BW372" s="430"/>
      <c r="BX372" s="430"/>
      <c r="BY372" s="430"/>
      <c r="BZ372" s="430"/>
      <c r="CA372" s="430"/>
      <c r="CB372" s="430"/>
      <c r="CC372" s="430"/>
      <c r="CD372" s="430"/>
      <c r="CE372" s="430"/>
      <c r="CF372" s="430"/>
      <c r="CG372" s="430"/>
      <c r="CH372" s="430"/>
      <c r="CI372" s="430"/>
      <c r="CJ372" s="430"/>
      <c r="CK372" s="430"/>
      <c r="CL372" s="430"/>
    </row>
    <row r="373" spans="63:90" ht="14.25" customHeight="1">
      <c r="BK373" s="430"/>
      <c r="BL373" s="430"/>
      <c r="BM373" s="430"/>
      <c r="BN373" s="430"/>
      <c r="BO373" s="430"/>
      <c r="BP373" s="430"/>
      <c r="BQ373" s="430"/>
      <c r="BR373" s="430"/>
      <c r="BS373" s="430"/>
      <c r="BT373" s="430"/>
      <c r="BU373" s="430"/>
      <c r="BV373" s="430"/>
      <c r="BW373" s="430"/>
      <c r="BX373" s="430"/>
      <c r="BY373" s="430"/>
      <c r="BZ373" s="430"/>
      <c r="CA373" s="430"/>
      <c r="CB373" s="430"/>
      <c r="CC373" s="430"/>
      <c r="CD373" s="430"/>
      <c r="CE373" s="430"/>
      <c r="CF373" s="430"/>
      <c r="CG373" s="430"/>
      <c r="CH373" s="430"/>
      <c r="CI373" s="430"/>
      <c r="CJ373" s="430"/>
      <c r="CK373" s="430"/>
      <c r="CL373" s="430"/>
    </row>
    <row r="374" spans="63:90" ht="14.25" customHeight="1">
      <c r="BK374" s="430"/>
      <c r="BL374" s="430"/>
      <c r="BM374" s="430"/>
      <c r="BN374" s="430"/>
      <c r="BO374" s="430"/>
      <c r="BP374" s="430"/>
      <c r="BQ374" s="430"/>
      <c r="BR374" s="430"/>
      <c r="BS374" s="430"/>
      <c r="BT374" s="430"/>
      <c r="BU374" s="430"/>
      <c r="BV374" s="430"/>
      <c r="BW374" s="430"/>
      <c r="BX374" s="430"/>
      <c r="BY374" s="430"/>
      <c r="BZ374" s="430"/>
      <c r="CA374" s="430"/>
      <c r="CB374" s="430"/>
      <c r="CC374" s="430"/>
      <c r="CD374" s="430"/>
      <c r="CE374" s="430"/>
      <c r="CF374" s="430"/>
      <c r="CG374" s="430"/>
      <c r="CH374" s="430"/>
      <c r="CI374" s="430"/>
      <c r="CJ374" s="430"/>
      <c r="CK374" s="430"/>
      <c r="CL374" s="430"/>
    </row>
    <row r="375" spans="63:90" ht="14.25" customHeight="1">
      <c r="BK375" s="430"/>
      <c r="BL375" s="430"/>
      <c r="BM375" s="430"/>
      <c r="BN375" s="430"/>
      <c r="BO375" s="430"/>
      <c r="BP375" s="430"/>
      <c r="BQ375" s="430"/>
      <c r="BR375" s="430"/>
      <c r="BS375" s="430"/>
      <c r="BT375" s="430"/>
      <c r="BU375" s="430"/>
      <c r="BV375" s="430"/>
      <c r="BW375" s="430"/>
      <c r="BX375" s="430"/>
      <c r="BY375" s="430"/>
      <c r="BZ375" s="430"/>
      <c r="CA375" s="430"/>
      <c r="CB375" s="430"/>
      <c r="CC375" s="430"/>
      <c r="CD375" s="430"/>
      <c r="CE375" s="430"/>
      <c r="CF375" s="430"/>
      <c r="CG375" s="430"/>
      <c r="CH375" s="430"/>
      <c r="CI375" s="430"/>
      <c r="CJ375" s="430"/>
      <c r="CK375" s="430"/>
      <c r="CL375" s="430"/>
    </row>
    <row r="376" spans="63:90" ht="14.25" customHeight="1">
      <c r="BK376" s="430"/>
      <c r="BL376" s="430"/>
      <c r="BM376" s="430"/>
      <c r="BN376" s="430"/>
      <c r="BO376" s="430"/>
      <c r="BP376" s="430"/>
      <c r="BQ376" s="430"/>
      <c r="BR376" s="430"/>
      <c r="BS376" s="430"/>
      <c r="BT376" s="430"/>
      <c r="BU376" s="430"/>
      <c r="BV376" s="430"/>
      <c r="BW376" s="430"/>
      <c r="BX376" s="430"/>
      <c r="BY376" s="430"/>
      <c r="BZ376" s="430"/>
      <c r="CA376" s="430"/>
      <c r="CB376" s="430"/>
      <c r="CC376" s="430"/>
      <c r="CD376" s="430"/>
      <c r="CE376" s="430"/>
      <c r="CF376" s="430"/>
      <c r="CG376" s="430"/>
      <c r="CH376" s="430"/>
      <c r="CI376" s="430"/>
      <c r="CJ376" s="430"/>
      <c r="CK376" s="430"/>
      <c r="CL376" s="430"/>
    </row>
    <row r="377" spans="63:90" ht="14.25" customHeight="1">
      <c r="BK377" s="430"/>
      <c r="BL377" s="430"/>
      <c r="BM377" s="430"/>
      <c r="BN377" s="430"/>
      <c r="BO377" s="430"/>
      <c r="BP377" s="430"/>
      <c r="BQ377" s="430"/>
      <c r="BR377" s="430"/>
      <c r="BS377" s="430"/>
      <c r="BT377" s="430"/>
      <c r="BU377" s="430"/>
      <c r="BV377" s="430"/>
      <c r="BW377" s="430"/>
      <c r="BX377" s="430"/>
      <c r="BY377" s="430"/>
      <c r="BZ377" s="430"/>
      <c r="CA377" s="430"/>
      <c r="CB377" s="430"/>
      <c r="CC377" s="430"/>
      <c r="CD377" s="430"/>
      <c r="CE377" s="430"/>
      <c r="CF377" s="430"/>
      <c r="CG377" s="430"/>
      <c r="CH377" s="430"/>
      <c r="CI377" s="430"/>
      <c r="CJ377" s="430"/>
      <c r="CK377" s="430"/>
      <c r="CL377" s="430"/>
    </row>
    <row r="378" spans="63:90" ht="14.25" customHeight="1">
      <c r="BK378" s="430"/>
      <c r="BL378" s="430"/>
      <c r="BM378" s="430"/>
      <c r="BN378" s="430"/>
      <c r="BO378" s="430"/>
      <c r="BP378" s="430"/>
      <c r="BQ378" s="430"/>
      <c r="BR378" s="430"/>
      <c r="BS378" s="430"/>
      <c r="BT378" s="430"/>
      <c r="BU378" s="430"/>
      <c r="BV378" s="430"/>
      <c r="BW378" s="430"/>
      <c r="BX378" s="430"/>
      <c r="BY378" s="430"/>
      <c r="BZ378" s="430"/>
      <c r="CA378" s="430"/>
      <c r="CB378" s="430"/>
      <c r="CC378" s="430"/>
      <c r="CD378" s="430"/>
      <c r="CE378" s="430"/>
      <c r="CF378" s="430"/>
      <c r="CG378" s="430"/>
      <c r="CH378" s="430"/>
      <c r="CI378" s="430"/>
      <c r="CJ378" s="430"/>
      <c r="CK378" s="430"/>
      <c r="CL378" s="430"/>
    </row>
    <row r="379" spans="63:90" ht="14.25" customHeight="1">
      <c r="BK379" s="430"/>
      <c r="BL379" s="430"/>
      <c r="BM379" s="430"/>
      <c r="BN379" s="430"/>
      <c r="BO379" s="430"/>
      <c r="BP379" s="430"/>
      <c r="BQ379" s="430"/>
      <c r="BR379" s="430"/>
      <c r="BS379" s="430"/>
      <c r="BT379" s="430"/>
      <c r="BU379" s="430"/>
      <c r="BV379" s="430"/>
      <c r="BW379" s="430"/>
      <c r="BX379" s="430"/>
      <c r="BY379" s="430"/>
      <c r="BZ379" s="430"/>
      <c r="CA379" s="430"/>
      <c r="CB379" s="430"/>
      <c r="CC379" s="430"/>
      <c r="CD379" s="430"/>
      <c r="CE379" s="430"/>
      <c r="CF379" s="430"/>
      <c r="CG379" s="430"/>
      <c r="CH379" s="430"/>
      <c r="CI379" s="430"/>
      <c r="CJ379" s="430"/>
      <c r="CK379" s="430"/>
      <c r="CL379" s="430"/>
    </row>
    <row r="380" spans="63:90" ht="14.25" customHeight="1">
      <c r="BK380" s="430"/>
      <c r="BL380" s="430"/>
      <c r="BM380" s="430"/>
      <c r="BN380" s="430"/>
      <c r="BO380" s="430"/>
      <c r="BP380" s="430"/>
      <c r="BQ380" s="430"/>
      <c r="BR380" s="430"/>
      <c r="BS380" s="430"/>
      <c r="BT380" s="430"/>
      <c r="BU380" s="430"/>
      <c r="BV380" s="430"/>
      <c r="BW380" s="430"/>
      <c r="BX380" s="430"/>
      <c r="BY380" s="430"/>
      <c r="BZ380" s="430"/>
      <c r="CA380" s="430"/>
      <c r="CB380" s="430"/>
      <c r="CC380" s="430"/>
      <c r="CD380" s="430"/>
      <c r="CE380" s="430"/>
      <c r="CF380" s="430"/>
      <c r="CG380" s="430"/>
      <c r="CH380" s="430"/>
      <c r="CI380" s="430"/>
      <c r="CJ380" s="430"/>
      <c r="CK380" s="430"/>
      <c r="CL380" s="430"/>
    </row>
    <row r="381" spans="63:90" ht="14.25" customHeight="1">
      <c r="BK381" s="430"/>
      <c r="BL381" s="430"/>
      <c r="BM381" s="430"/>
      <c r="BN381" s="430"/>
      <c r="BO381" s="430"/>
      <c r="BP381" s="430"/>
      <c r="BQ381" s="430"/>
      <c r="BR381" s="430"/>
      <c r="BS381" s="430"/>
      <c r="BT381" s="430"/>
      <c r="BU381" s="430"/>
      <c r="BV381" s="430"/>
      <c r="BW381" s="430"/>
      <c r="BX381" s="430"/>
      <c r="BY381" s="430"/>
      <c r="BZ381" s="430"/>
      <c r="CA381" s="430"/>
      <c r="CB381" s="430"/>
      <c r="CC381" s="430"/>
      <c r="CD381" s="430"/>
      <c r="CE381" s="430"/>
      <c r="CF381" s="430"/>
      <c r="CG381" s="430"/>
      <c r="CH381" s="430"/>
      <c r="CI381" s="430"/>
      <c r="CJ381" s="430"/>
      <c r="CK381" s="430"/>
      <c r="CL381" s="430"/>
    </row>
    <row r="382" spans="63:90" ht="14.25" customHeight="1">
      <c r="BK382" s="430"/>
      <c r="BL382" s="430"/>
      <c r="BM382" s="430"/>
      <c r="BN382" s="430"/>
      <c r="BO382" s="430"/>
      <c r="BP382" s="430"/>
      <c r="BQ382" s="430"/>
      <c r="BR382" s="430"/>
      <c r="BS382" s="430"/>
      <c r="BT382" s="430"/>
      <c r="BU382" s="430"/>
      <c r="BV382" s="430"/>
      <c r="BW382" s="430"/>
      <c r="BX382" s="430"/>
      <c r="BY382" s="430"/>
      <c r="BZ382" s="430"/>
      <c r="CA382" s="430"/>
      <c r="CB382" s="430"/>
      <c r="CC382" s="430"/>
      <c r="CD382" s="430"/>
      <c r="CE382" s="430"/>
      <c r="CF382" s="430"/>
      <c r="CG382" s="430"/>
      <c r="CH382" s="430"/>
      <c r="CI382" s="430"/>
      <c r="CJ382" s="430"/>
      <c r="CK382" s="430"/>
      <c r="CL382" s="430"/>
    </row>
    <row r="383" spans="63:90" ht="14.25" customHeight="1">
      <c r="BK383" s="430"/>
      <c r="BL383" s="430"/>
      <c r="BM383" s="430"/>
      <c r="BN383" s="430"/>
      <c r="BO383" s="430"/>
      <c r="BP383" s="430"/>
      <c r="BQ383" s="430"/>
      <c r="BR383" s="430"/>
      <c r="BS383" s="430"/>
      <c r="BT383" s="430"/>
      <c r="BU383" s="430"/>
      <c r="BV383" s="430"/>
      <c r="BW383" s="430"/>
      <c r="BX383" s="430"/>
      <c r="BY383" s="430"/>
      <c r="BZ383" s="430"/>
      <c r="CA383" s="430"/>
      <c r="CB383" s="430"/>
      <c r="CC383" s="430"/>
      <c r="CD383" s="430"/>
      <c r="CE383" s="430"/>
      <c r="CF383" s="430"/>
      <c r="CG383" s="430"/>
      <c r="CH383" s="430"/>
      <c r="CI383" s="430"/>
      <c r="CJ383" s="430"/>
      <c r="CK383" s="430"/>
      <c r="CL383" s="430"/>
    </row>
    <row r="384" spans="63:90" ht="14.25" customHeight="1">
      <c r="BK384" s="430"/>
      <c r="BL384" s="430"/>
      <c r="BM384" s="430"/>
      <c r="BN384" s="430"/>
      <c r="BO384" s="430"/>
      <c r="BP384" s="430"/>
      <c r="BQ384" s="430"/>
      <c r="BR384" s="430"/>
      <c r="BS384" s="430"/>
      <c r="BT384" s="430"/>
      <c r="BU384" s="430"/>
      <c r="BV384" s="430"/>
      <c r="BW384" s="430"/>
      <c r="BX384" s="430"/>
      <c r="BY384" s="430"/>
      <c r="BZ384" s="430"/>
      <c r="CA384" s="430"/>
      <c r="CB384" s="430"/>
      <c r="CC384" s="430"/>
      <c r="CD384" s="430"/>
      <c r="CE384" s="430"/>
      <c r="CF384" s="430"/>
      <c r="CG384" s="430"/>
      <c r="CH384" s="430"/>
      <c r="CI384" s="430"/>
      <c r="CJ384" s="430"/>
      <c r="CK384" s="430"/>
      <c r="CL384" s="430"/>
    </row>
    <row r="385" spans="63:90" ht="14.25" customHeight="1">
      <c r="BK385" s="430"/>
      <c r="BL385" s="430"/>
      <c r="BM385" s="430"/>
      <c r="BN385" s="430"/>
      <c r="BO385" s="430"/>
      <c r="BP385" s="430"/>
      <c r="BQ385" s="430"/>
      <c r="BR385" s="430"/>
      <c r="BS385" s="430"/>
      <c r="BT385" s="430"/>
      <c r="BU385" s="430"/>
      <c r="BV385" s="430"/>
      <c r="BW385" s="430"/>
      <c r="BX385" s="430"/>
      <c r="BY385" s="430"/>
      <c r="BZ385" s="430"/>
      <c r="CA385" s="430"/>
      <c r="CB385" s="430"/>
      <c r="CC385" s="430"/>
      <c r="CD385" s="430"/>
      <c r="CE385" s="430"/>
      <c r="CF385" s="430"/>
      <c r="CG385" s="430"/>
      <c r="CH385" s="430"/>
      <c r="CI385" s="430"/>
      <c r="CJ385" s="430"/>
      <c r="CK385" s="430"/>
      <c r="CL385" s="430"/>
    </row>
    <row r="386" spans="63:90" ht="14.25" customHeight="1">
      <c r="BK386" s="430"/>
      <c r="BL386" s="430"/>
      <c r="BM386" s="430"/>
      <c r="BN386" s="430"/>
      <c r="BO386" s="430"/>
      <c r="BP386" s="430"/>
      <c r="BQ386" s="430"/>
      <c r="BR386" s="430"/>
      <c r="BS386" s="430"/>
      <c r="BT386" s="430"/>
      <c r="BU386" s="430"/>
      <c r="BV386" s="430"/>
      <c r="BW386" s="430"/>
      <c r="BX386" s="430"/>
      <c r="BY386" s="430"/>
      <c r="BZ386" s="430"/>
      <c r="CA386" s="430"/>
      <c r="CB386" s="430"/>
      <c r="CC386" s="430"/>
      <c r="CD386" s="430"/>
      <c r="CE386" s="430"/>
      <c r="CF386" s="430"/>
      <c r="CG386" s="430"/>
      <c r="CH386" s="430"/>
      <c r="CI386" s="430"/>
      <c r="CJ386" s="430"/>
      <c r="CK386" s="430"/>
      <c r="CL386" s="430"/>
    </row>
    <row r="387" spans="63:90" ht="14.25" customHeight="1">
      <c r="BK387" s="430"/>
      <c r="BL387" s="430"/>
      <c r="BM387" s="430"/>
      <c r="BN387" s="430"/>
      <c r="BO387" s="430"/>
      <c r="BP387" s="430"/>
      <c r="BQ387" s="430"/>
      <c r="BR387" s="430"/>
      <c r="BS387" s="430"/>
      <c r="BT387" s="430"/>
      <c r="BU387" s="430"/>
      <c r="BV387" s="430"/>
      <c r="BW387" s="430"/>
      <c r="BX387" s="430"/>
      <c r="BY387" s="430"/>
      <c r="BZ387" s="430"/>
      <c r="CA387" s="430"/>
      <c r="CB387" s="430"/>
      <c r="CC387" s="430"/>
      <c r="CD387" s="430"/>
      <c r="CE387" s="430"/>
      <c r="CF387" s="430"/>
      <c r="CG387" s="430"/>
      <c r="CH387" s="430"/>
      <c r="CI387" s="430"/>
      <c r="CJ387" s="430"/>
      <c r="CK387" s="430"/>
      <c r="CL387" s="430"/>
    </row>
    <row r="388" spans="63:90" ht="14.25" customHeight="1">
      <c r="BK388" s="430"/>
      <c r="BL388" s="430"/>
      <c r="BM388" s="430"/>
      <c r="BN388" s="430"/>
      <c r="BO388" s="430"/>
      <c r="BP388" s="430"/>
      <c r="BQ388" s="430"/>
      <c r="BR388" s="430"/>
      <c r="BS388" s="430"/>
      <c r="BT388" s="430"/>
      <c r="BU388" s="430"/>
      <c r="BV388" s="430"/>
      <c r="BW388" s="430"/>
      <c r="BX388" s="430"/>
      <c r="BY388" s="430"/>
      <c r="BZ388" s="430"/>
      <c r="CA388" s="430"/>
      <c r="CB388" s="430"/>
      <c r="CC388" s="430"/>
      <c r="CD388" s="430"/>
      <c r="CE388" s="430"/>
      <c r="CF388" s="430"/>
      <c r="CG388" s="430"/>
      <c r="CH388" s="430"/>
      <c r="CI388" s="430"/>
      <c r="CJ388" s="430"/>
      <c r="CK388" s="430"/>
      <c r="CL388" s="430"/>
    </row>
    <row r="389" spans="63:90" ht="14.25" customHeight="1">
      <c r="BK389" s="430"/>
      <c r="BL389" s="430"/>
      <c r="BM389" s="430"/>
      <c r="BN389" s="430"/>
      <c r="BO389" s="430"/>
      <c r="BP389" s="430"/>
      <c r="BQ389" s="430"/>
      <c r="BR389" s="430"/>
      <c r="BS389" s="430"/>
      <c r="BT389" s="430"/>
      <c r="BU389" s="430"/>
      <c r="BV389" s="430"/>
      <c r="BW389" s="430"/>
      <c r="BX389" s="430"/>
      <c r="BY389" s="430"/>
      <c r="BZ389" s="430"/>
      <c r="CA389" s="430"/>
      <c r="CB389" s="430"/>
      <c r="CC389" s="430"/>
      <c r="CD389" s="430"/>
      <c r="CE389" s="430"/>
      <c r="CF389" s="430"/>
      <c r="CG389" s="430"/>
      <c r="CH389" s="430"/>
      <c r="CI389" s="430"/>
      <c r="CJ389" s="430"/>
      <c r="CK389" s="430"/>
      <c r="CL389" s="430"/>
    </row>
    <row r="390" spans="63:90" ht="14.25" customHeight="1">
      <c r="BK390" s="430"/>
      <c r="BL390" s="430"/>
      <c r="BM390" s="430"/>
      <c r="BN390" s="430"/>
      <c r="BO390" s="430"/>
      <c r="BP390" s="430"/>
      <c r="BQ390" s="430"/>
      <c r="BR390" s="430"/>
      <c r="BS390" s="430"/>
      <c r="BT390" s="430"/>
      <c r="BU390" s="430"/>
      <c r="BV390" s="430"/>
      <c r="BW390" s="430"/>
      <c r="BX390" s="430"/>
      <c r="BY390" s="430"/>
      <c r="BZ390" s="430"/>
      <c r="CA390" s="430"/>
      <c r="CB390" s="430"/>
      <c r="CC390" s="430"/>
      <c r="CD390" s="430"/>
      <c r="CE390" s="430"/>
      <c r="CF390" s="430"/>
      <c r="CG390" s="430"/>
      <c r="CH390" s="430"/>
      <c r="CI390" s="430"/>
      <c r="CJ390" s="430"/>
      <c r="CK390" s="430"/>
      <c r="CL390" s="430"/>
    </row>
    <row r="391" spans="63:90" ht="14.25" customHeight="1">
      <c r="BK391" s="430"/>
      <c r="BL391" s="430"/>
      <c r="BM391" s="430"/>
      <c r="BN391" s="430"/>
      <c r="BO391" s="430"/>
      <c r="BP391" s="430"/>
      <c r="BQ391" s="430"/>
      <c r="BR391" s="430"/>
      <c r="BS391" s="430"/>
      <c r="BT391" s="430"/>
      <c r="BU391" s="430"/>
      <c r="BV391" s="430"/>
      <c r="BW391" s="430"/>
      <c r="BX391" s="430"/>
      <c r="BY391" s="430"/>
      <c r="BZ391" s="430"/>
      <c r="CA391" s="430"/>
      <c r="CB391" s="430"/>
      <c r="CC391" s="430"/>
      <c r="CD391" s="430"/>
      <c r="CE391" s="430"/>
      <c r="CF391" s="430"/>
      <c r="CG391" s="430"/>
      <c r="CH391" s="430"/>
      <c r="CI391" s="430"/>
      <c r="CJ391" s="430"/>
      <c r="CK391" s="430"/>
      <c r="CL391" s="430"/>
    </row>
    <row r="392" spans="63:90" ht="14.25" customHeight="1">
      <c r="BK392" s="430"/>
      <c r="BL392" s="430"/>
      <c r="BM392" s="430"/>
      <c r="BN392" s="430"/>
      <c r="BO392" s="430"/>
      <c r="BP392" s="430"/>
      <c r="BQ392" s="430"/>
      <c r="BR392" s="430"/>
      <c r="BS392" s="430"/>
      <c r="BT392" s="430"/>
      <c r="BU392" s="430"/>
      <c r="BV392" s="430"/>
      <c r="BW392" s="430"/>
      <c r="BX392" s="430"/>
      <c r="BY392" s="430"/>
      <c r="BZ392" s="430"/>
      <c r="CA392" s="430"/>
      <c r="CB392" s="430"/>
      <c r="CC392" s="430"/>
      <c r="CD392" s="430"/>
      <c r="CE392" s="430"/>
      <c r="CF392" s="430"/>
      <c r="CG392" s="430"/>
      <c r="CH392" s="430"/>
      <c r="CI392" s="430"/>
      <c r="CJ392" s="430"/>
      <c r="CK392" s="430"/>
      <c r="CL392" s="430"/>
    </row>
    <row r="393" spans="63:90" ht="14.25" customHeight="1">
      <c r="BK393" s="430"/>
      <c r="BL393" s="430"/>
      <c r="BM393" s="430"/>
      <c r="BN393" s="430"/>
      <c r="BO393" s="430"/>
      <c r="BP393" s="430"/>
      <c r="BQ393" s="430"/>
      <c r="BR393" s="430"/>
      <c r="BS393" s="430"/>
      <c r="BT393" s="430"/>
      <c r="BU393" s="430"/>
      <c r="BV393" s="430"/>
      <c r="BW393" s="430"/>
      <c r="BX393" s="430"/>
      <c r="BY393" s="430"/>
      <c r="BZ393" s="430"/>
      <c r="CA393" s="430"/>
      <c r="CB393" s="430"/>
      <c r="CC393" s="430"/>
      <c r="CD393" s="430"/>
      <c r="CE393" s="430"/>
      <c r="CF393" s="430"/>
      <c r="CG393" s="430"/>
      <c r="CH393" s="430"/>
      <c r="CI393" s="430"/>
      <c r="CJ393" s="430"/>
      <c r="CK393" s="430"/>
      <c r="CL393" s="430"/>
    </row>
    <row r="394" spans="63:90" ht="14.25" customHeight="1">
      <c r="BK394" s="430"/>
      <c r="BL394" s="430"/>
      <c r="BM394" s="430"/>
      <c r="BN394" s="430"/>
      <c r="BO394" s="430"/>
      <c r="BP394" s="430"/>
      <c r="BQ394" s="430"/>
      <c r="BR394" s="430"/>
      <c r="BS394" s="430"/>
      <c r="BT394" s="430"/>
      <c r="BU394" s="430"/>
      <c r="BV394" s="430"/>
      <c r="BW394" s="430"/>
      <c r="BX394" s="430"/>
      <c r="BY394" s="430"/>
      <c r="BZ394" s="430"/>
      <c r="CA394" s="430"/>
      <c r="CB394" s="430"/>
      <c r="CC394" s="430"/>
      <c r="CD394" s="430"/>
      <c r="CE394" s="430"/>
      <c r="CF394" s="430"/>
      <c r="CG394" s="430"/>
      <c r="CH394" s="430"/>
      <c r="CI394" s="430"/>
      <c r="CJ394" s="430"/>
      <c r="CK394" s="430"/>
      <c r="CL394" s="430"/>
    </row>
    <row r="395" spans="63:90" ht="14.25" customHeight="1">
      <c r="BK395" s="430"/>
      <c r="BL395" s="430"/>
      <c r="BM395" s="430"/>
      <c r="BN395" s="430"/>
      <c r="BO395" s="430"/>
      <c r="BP395" s="430"/>
      <c r="BQ395" s="430"/>
      <c r="BR395" s="430"/>
      <c r="BS395" s="430"/>
      <c r="BT395" s="430"/>
      <c r="BU395" s="430"/>
      <c r="BV395" s="430"/>
      <c r="BW395" s="430"/>
      <c r="BX395" s="430"/>
      <c r="BY395" s="430"/>
      <c r="BZ395" s="430"/>
      <c r="CA395" s="430"/>
      <c r="CB395" s="430"/>
      <c r="CC395" s="430"/>
      <c r="CD395" s="430"/>
      <c r="CE395" s="430"/>
      <c r="CF395" s="430"/>
      <c r="CG395" s="430"/>
      <c r="CH395" s="430"/>
      <c r="CI395" s="430"/>
      <c r="CJ395" s="430"/>
      <c r="CK395" s="430"/>
      <c r="CL395" s="430"/>
    </row>
    <row r="396" spans="63:90" ht="14.25" customHeight="1">
      <c r="BK396" s="430"/>
      <c r="BL396" s="430"/>
      <c r="BM396" s="430"/>
      <c r="BN396" s="430"/>
      <c r="BO396" s="430"/>
      <c r="BP396" s="430"/>
      <c r="BQ396" s="430"/>
      <c r="BR396" s="430"/>
      <c r="BS396" s="430"/>
      <c r="BT396" s="430"/>
      <c r="BU396" s="430"/>
      <c r="BV396" s="430"/>
      <c r="BW396" s="430"/>
      <c r="BX396" s="430"/>
      <c r="BY396" s="430"/>
      <c r="BZ396" s="430"/>
      <c r="CA396" s="430"/>
      <c r="CB396" s="430"/>
      <c r="CC396" s="430"/>
      <c r="CD396" s="430"/>
      <c r="CE396" s="430"/>
      <c r="CF396" s="430"/>
      <c r="CG396" s="430"/>
      <c r="CH396" s="430"/>
      <c r="CI396" s="430"/>
      <c r="CJ396" s="430"/>
      <c r="CK396" s="430"/>
      <c r="CL396" s="430"/>
    </row>
    <row r="397" spans="63:90" ht="14.25" customHeight="1">
      <c r="BK397" s="430"/>
      <c r="BL397" s="430"/>
      <c r="BM397" s="430"/>
      <c r="BN397" s="430"/>
      <c r="BO397" s="430"/>
      <c r="BP397" s="430"/>
      <c r="BQ397" s="430"/>
      <c r="BR397" s="430"/>
      <c r="BS397" s="430"/>
      <c r="BT397" s="430"/>
      <c r="BU397" s="430"/>
      <c r="BV397" s="430"/>
      <c r="BW397" s="430"/>
      <c r="BX397" s="430"/>
      <c r="BY397" s="430"/>
      <c r="BZ397" s="430"/>
      <c r="CA397" s="430"/>
      <c r="CB397" s="430"/>
      <c r="CC397" s="430"/>
      <c r="CD397" s="430"/>
      <c r="CE397" s="430"/>
      <c r="CF397" s="430"/>
      <c r="CG397" s="430"/>
      <c r="CH397" s="430"/>
      <c r="CI397" s="430"/>
      <c r="CJ397" s="430"/>
      <c r="CK397" s="430"/>
      <c r="CL397" s="430"/>
    </row>
    <row r="398" spans="63:90" ht="14.25" customHeight="1">
      <c r="BK398" s="430"/>
      <c r="BL398" s="430"/>
      <c r="BM398" s="430"/>
      <c r="BN398" s="430"/>
      <c r="BO398" s="430"/>
      <c r="BP398" s="430"/>
      <c r="BQ398" s="430"/>
      <c r="BR398" s="430"/>
      <c r="BS398" s="430"/>
      <c r="BT398" s="430"/>
      <c r="BU398" s="430"/>
      <c r="BV398" s="430"/>
      <c r="BW398" s="430"/>
      <c r="BX398" s="430"/>
      <c r="BY398" s="430"/>
      <c r="BZ398" s="430"/>
      <c r="CA398" s="430"/>
      <c r="CB398" s="430"/>
      <c r="CC398" s="430"/>
      <c r="CD398" s="430"/>
      <c r="CE398" s="430"/>
      <c r="CF398" s="430"/>
      <c r="CG398" s="430"/>
      <c r="CH398" s="430"/>
      <c r="CI398" s="430"/>
      <c r="CJ398" s="430"/>
      <c r="CK398" s="430"/>
      <c r="CL398" s="430"/>
    </row>
    <row r="399" spans="63:90" ht="14.25" customHeight="1">
      <c r="BK399" s="430"/>
      <c r="BL399" s="430"/>
      <c r="BM399" s="430"/>
      <c r="BN399" s="430"/>
      <c r="BO399" s="430"/>
      <c r="BP399" s="430"/>
      <c r="BQ399" s="430"/>
      <c r="BR399" s="430"/>
      <c r="BS399" s="430"/>
      <c r="BT399" s="430"/>
      <c r="BU399" s="430"/>
      <c r="BV399" s="430"/>
      <c r="BW399" s="430"/>
      <c r="BX399" s="430"/>
      <c r="BY399" s="430"/>
      <c r="BZ399" s="430"/>
      <c r="CA399" s="430"/>
      <c r="CB399" s="430"/>
      <c r="CC399" s="430"/>
      <c r="CD399" s="430"/>
      <c r="CE399" s="430"/>
      <c r="CF399" s="430"/>
      <c r="CG399" s="430"/>
      <c r="CH399" s="430"/>
      <c r="CI399" s="430"/>
      <c r="CJ399" s="430"/>
      <c r="CK399" s="430"/>
      <c r="CL399" s="430"/>
    </row>
    <row r="400" spans="63:90" ht="14.25" customHeight="1">
      <c r="BK400" s="430"/>
      <c r="BL400" s="430"/>
      <c r="BM400" s="430"/>
      <c r="BN400" s="430"/>
      <c r="BO400" s="430"/>
      <c r="BP400" s="430"/>
      <c r="BQ400" s="430"/>
      <c r="BR400" s="430"/>
      <c r="BS400" s="430"/>
      <c r="BT400" s="430"/>
      <c r="BU400" s="430"/>
      <c r="BV400" s="430"/>
      <c r="BW400" s="430"/>
      <c r="BX400" s="430"/>
      <c r="BY400" s="430"/>
      <c r="BZ400" s="430"/>
      <c r="CA400" s="430"/>
      <c r="CB400" s="430"/>
      <c r="CC400" s="430"/>
      <c r="CD400" s="430"/>
      <c r="CE400" s="430"/>
      <c r="CF400" s="430"/>
      <c r="CG400" s="430"/>
      <c r="CH400" s="430"/>
      <c r="CI400" s="430"/>
      <c r="CJ400" s="430"/>
      <c r="CK400" s="430"/>
      <c r="CL400" s="430"/>
    </row>
    <row r="401" spans="63:90" ht="14.25" customHeight="1">
      <c r="BK401" s="430"/>
      <c r="BL401" s="430"/>
      <c r="BM401" s="430"/>
      <c r="BN401" s="430"/>
      <c r="BO401" s="430"/>
      <c r="BP401" s="430"/>
      <c r="BQ401" s="430"/>
      <c r="BR401" s="430"/>
      <c r="BS401" s="430"/>
      <c r="BT401" s="430"/>
      <c r="BU401" s="430"/>
      <c r="BV401" s="430"/>
      <c r="BW401" s="430"/>
      <c r="BX401" s="430"/>
      <c r="BY401" s="430"/>
      <c r="BZ401" s="430"/>
      <c r="CA401" s="430"/>
      <c r="CB401" s="430"/>
      <c r="CC401" s="430"/>
      <c r="CD401" s="430"/>
      <c r="CE401" s="430"/>
      <c r="CF401" s="430"/>
      <c r="CG401" s="430"/>
      <c r="CH401" s="430"/>
      <c r="CI401" s="430"/>
      <c r="CJ401" s="430"/>
      <c r="CK401" s="430"/>
      <c r="CL401" s="430"/>
    </row>
    <row r="402" spans="63:90" ht="14.25" customHeight="1">
      <c r="BK402" s="430"/>
      <c r="BL402" s="430"/>
      <c r="BM402" s="430"/>
      <c r="BN402" s="430"/>
      <c r="BO402" s="430"/>
      <c r="BP402" s="430"/>
      <c r="BQ402" s="430"/>
      <c r="BR402" s="430"/>
      <c r="BS402" s="430"/>
      <c r="BT402" s="430"/>
      <c r="BU402" s="430"/>
      <c r="BV402" s="430"/>
      <c r="BW402" s="430"/>
      <c r="BX402" s="430"/>
      <c r="BY402" s="430"/>
      <c r="BZ402" s="430"/>
      <c r="CA402" s="430"/>
      <c r="CB402" s="430"/>
      <c r="CC402" s="430"/>
      <c r="CD402" s="430"/>
      <c r="CE402" s="430"/>
      <c r="CF402" s="430"/>
      <c r="CG402" s="430"/>
      <c r="CH402" s="430"/>
      <c r="CI402" s="430"/>
      <c r="CJ402" s="430"/>
      <c r="CK402" s="430"/>
      <c r="CL402" s="430"/>
    </row>
    <row r="403" spans="63:90" ht="14.25" customHeight="1">
      <c r="BK403" s="430"/>
      <c r="BL403" s="430"/>
      <c r="BM403" s="430"/>
      <c r="BN403" s="430"/>
      <c r="BO403" s="430"/>
      <c r="BP403" s="430"/>
      <c r="BQ403" s="430"/>
      <c r="BR403" s="430"/>
      <c r="BS403" s="430"/>
      <c r="BT403" s="430"/>
      <c r="BU403" s="430"/>
      <c r="BV403" s="430"/>
      <c r="BW403" s="430"/>
      <c r="BX403" s="430"/>
      <c r="BY403" s="430"/>
      <c r="BZ403" s="430"/>
      <c r="CA403" s="430"/>
      <c r="CB403" s="430"/>
      <c r="CC403" s="430"/>
      <c r="CD403" s="430"/>
      <c r="CE403" s="430"/>
      <c r="CF403" s="430"/>
      <c r="CG403" s="430"/>
      <c r="CH403" s="430"/>
      <c r="CI403" s="430"/>
      <c r="CJ403" s="430"/>
      <c r="CK403" s="430"/>
      <c r="CL403" s="430"/>
    </row>
    <row r="404" spans="63:90" ht="14.25" customHeight="1">
      <c r="BK404" s="430"/>
      <c r="BL404" s="430"/>
      <c r="BM404" s="430"/>
      <c r="BN404" s="430"/>
      <c r="BO404" s="430"/>
      <c r="BP404" s="430"/>
      <c r="BQ404" s="430"/>
      <c r="BR404" s="430"/>
      <c r="BS404" s="430"/>
      <c r="BT404" s="430"/>
      <c r="BU404" s="430"/>
      <c r="BV404" s="430"/>
      <c r="BW404" s="430"/>
      <c r="BX404" s="430"/>
      <c r="BY404" s="430"/>
      <c r="BZ404" s="430"/>
      <c r="CA404" s="430"/>
      <c r="CB404" s="430"/>
      <c r="CC404" s="430"/>
      <c r="CD404" s="430"/>
      <c r="CE404" s="430"/>
      <c r="CF404" s="430"/>
      <c r="CG404" s="430"/>
      <c r="CH404" s="430"/>
      <c r="CI404" s="430"/>
      <c r="CJ404" s="430"/>
      <c r="CK404" s="430"/>
      <c r="CL404" s="430"/>
    </row>
    <row r="405" spans="63:90" ht="14.25" customHeight="1">
      <c r="BK405" s="430"/>
      <c r="BL405" s="430"/>
      <c r="BM405" s="430"/>
      <c r="BN405" s="430"/>
      <c r="BO405" s="430"/>
      <c r="BP405" s="430"/>
      <c r="BQ405" s="430"/>
      <c r="BR405" s="430"/>
      <c r="BS405" s="430"/>
      <c r="BT405" s="430"/>
      <c r="BU405" s="430"/>
      <c r="BV405" s="430"/>
      <c r="BW405" s="430"/>
      <c r="BX405" s="430"/>
      <c r="BY405" s="430"/>
      <c r="BZ405" s="430"/>
      <c r="CA405" s="430"/>
      <c r="CB405" s="430"/>
      <c r="CC405" s="430"/>
      <c r="CD405" s="430"/>
      <c r="CE405" s="430"/>
      <c r="CF405" s="430"/>
      <c r="CG405" s="430"/>
      <c r="CH405" s="430"/>
      <c r="CI405" s="430"/>
      <c r="CJ405" s="430"/>
      <c r="CK405" s="430"/>
      <c r="CL405" s="430"/>
    </row>
    <row r="406" spans="63:90" ht="14.25" customHeight="1">
      <c r="BK406" s="430"/>
      <c r="BL406" s="430"/>
      <c r="BM406" s="430"/>
      <c r="BN406" s="430"/>
      <c r="BO406" s="430"/>
      <c r="BP406" s="430"/>
      <c r="BQ406" s="430"/>
      <c r="BR406" s="430"/>
      <c r="BS406" s="430"/>
      <c r="BT406" s="430"/>
      <c r="BU406" s="430"/>
      <c r="BV406" s="430"/>
      <c r="BW406" s="430"/>
      <c r="BX406" s="430"/>
      <c r="BY406" s="430"/>
      <c r="BZ406" s="430"/>
      <c r="CA406" s="430"/>
      <c r="CB406" s="430"/>
      <c r="CC406" s="430"/>
      <c r="CD406" s="430"/>
      <c r="CE406" s="430"/>
      <c r="CF406" s="430"/>
      <c r="CG406" s="430"/>
      <c r="CH406" s="430"/>
      <c r="CI406" s="430"/>
      <c r="CJ406" s="430"/>
      <c r="CK406" s="430"/>
      <c r="CL406" s="430"/>
    </row>
    <row r="407" spans="63:90" ht="14.25" customHeight="1">
      <c r="BK407" s="430"/>
      <c r="BL407" s="430"/>
      <c r="BM407" s="430"/>
      <c r="BN407" s="430"/>
      <c r="BO407" s="430"/>
      <c r="BP407" s="430"/>
      <c r="BQ407" s="430"/>
      <c r="BR407" s="430"/>
      <c r="BS407" s="430"/>
      <c r="BT407" s="430"/>
      <c r="BU407" s="430"/>
      <c r="BV407" s="430"/>
      <c r="BW407" s="430"/>
      <c r="BX407" s="430"/>
      <c r="BY407" s="430"/>
      <c r="BZ407" s="430"/>
      <c r="CA407" s="430"/>
      <c r="CB407" s="430"/>
      <c r="CC407" s="430"/>
      <c r="CD407" s="430"/>
      <c r="CE407" s="430"/>
      <c r="CF407" s="430"/>
      <c r="CG407" s="430"/>
      <c r="CH407" s="430"/>
      <c r="CI407" s="430"/>
      <c r="CJ407" s="430"/>
      <c r="CK407" s="430"/>
      <c r="CL407" s="430"/>
    </row>
    <row r="408" spans="63:90" ht="14.25" customHeight="1">
      <c r="BK408" s="430"/>
      <c r="BL408" s="430"/>
      <c r="BM408" s="430"/>
      <c r="BN408" s="430"/>
      <c r="BO408" s="430"/>
      <c r="BP408" s="430"/>
      <c r="BQ408" s="430"/>
      <c r="BR408" s="430"/>
      <c r="BS408" s="430"/>
      <c r="BT408" s="430"/>
      <c r="BU408" s="430"/>
      <c r="BV408" s="430"/>
      <c r="BW408" s="430"/>
      <c r="BX408" s="430"/>
      <c r="BY408" s="430"/>
      <c r="BZ408" s="430"/>
      <c r="CA408" s="430"/>
      <c r="CB408" s="430"/>
      <c r="CC408" s="430"/>
      <c r="CD408" s="430"/>
      <c r="CE408" s="430"/>
      <c r="CF408" s="430"/>
      <c r="CG408" s="430"/>
      <c r="CH408" s="430"/>
      <c r="CI408" s="430"/>
      <c r="CJ408" s="430"/>
      <c r="CK408" s="430"/>
      <c r="CL408" s="430"/>
    </row>
    <row r="409" spans="63:90" ht="14.25" customHeight="1">
      <c r="BK409" s="430"/>
      <c r="BL409" s="430"/>
      <c r="BM409" s="430"/>
      <c r="BN409" s="430"/>
      <c r="BO409" s="430"/>
      <c r="BP409" s="430"/>
      <c r="BQ409" s="430"/>
      <c r="BR409" s="430"/>
      <c r="BS409" s="430"/>
      <c r="BT409" s="430"/>
      <c r="BU409" s="430"/>
      <c r="BV409" s="430"/>
      <c r="BW409" s="430"/>
      <c r="BX409" s="430"/>
      <c r="BY409" s="430"/>
      <c r="BZ409" s="430"/>
      <c r="CA409" s="430"/>
      <c r="CB409" s="430"/>
      <c r="CC409" s="430"/>
      <c r="CD409" s="430"/>
      <c r="CE409" s="430"/>
      <c r="CF409" s="430"/>
      <c r="CG409" s="430"/>
      <c r="CH409" s="430"/>
      <c r="CI409" s="430"/>
      <c r="CJ409" s="430"/>
      <c r="CK409" s="430"/>
      <c r="CL409" s="430"/>
    </row>
    <row r="410" spans="63:90" ht="14.25" customHeight="1">
      <c r="BK410" s="430"/>
      <c r="BL410" s="430"/>
      <c r="BM410" s="430"/>
      <c r="BN410" s="430"/>
      <c r="BO410" s="430"/>
      <c r="BP410" s="430"/>
      <c r="BQ410" s="430"/>
      <c r="BR410" s="430"/>
      <c r="BS410" s="430"/>
      <c r="BT410" s="430"/>
      <c r="BU410" s="430"/>
      <c r="BV410" s="430"/>
      <c r="BW410" s="430"/>
      <c r="BX410" s="430"/>
      <c r="BY410" s="430"/>
      <c r="BZ410" s="430"/>
      <c r="CA410" s="430"/>
      <c r="CB410" s="430"/>
      <c r="CC410" s="430"/>
      <c r="CD410" s="430"/>
      <c r="CE410" s="430"/>
      <c r="CF410" s="430"/>
      <c r="CG410" s="430"/>
      <c r="CH410" s="430"/>
      <c r="CI410" s="430"/>
      <c r="CJ410" s="430"/>
      <c r="CK410" s="430"/>
      <c r="CL410" s="430"/>
    </row>
    <row r="411" spans="63:90" ht="14.25" customHeight="1">
      <c r="BK411" s="430"/>
      <c r="BL411" s="430"/>
      <c r="BM411" s="430"/>
      <c r="BN411" s="430"/>
      <c r="BO411" s="430"/>
      <c r="BP411" s="430"/>
      <c r="BQ411" s="430"/>
      <c r="BR411" s="430"/>
      <c r="BS411" s="430"/>
      <c r="BT411" s="430"/>
      <c r="BU411" s="430"/>
      <c r="BV411" s="430"/>
      <c r="BW411" s="430"/>
      <c r="BX411" s="430"/>
      <c r="BY411" s="430"/>
      <c r="BZ411" s="430"/>
      <c r="CA411" s="430"/>
      <c r="CB411" s="430"/>
      <c r="CC411" s="430"/>
      <c r="CD411" s="430"/>
      <c r="CE411" s="430"/>
      <c r="CF411" s="430"/>
      <c r="CG411" s="430"/>
      <c r="CH411" s="430"/>
      <c r="CI411" s="430"/>
      <c r="CJ411" s="430"/>
      <c r="CK411" s="430"/>
      <c r="CL411" s="430"/>
    </row>
    <row r="412" spans="63:90" ht="14.25" customHeight="1">
      <c r="BK412" s="430"/>
      <c r="BL412" s="430"/>
      <c r="BM412" s="430"/>
      <c r="BN412" s="430"/>
      <c r="BO412" s="430"/>
      <c r="BP412" s="430"/>
      <c r="BQ412" s="430"/>
      <c r="BR412" s="430"/>
      <c r="BS412" s="430"/>
      <c r="BT412" s="430"/>
      <c r="BU412" s="430"/>
      <c r="BV412" s="430"/>
      <c r="BW412" s="430"/>
      <c r="BX412" s="430"/>
      <c r="BY412" s="430"/>
      <c r="BZ412" s="430"/>
      <c r="CA412" s="430"/>
      <c r="CB412" s="430"/>
      <c r="CC412" s="430"/>
      <c r="CD412" s="430"/>
      <c r="CE412" s="430"/>
      <c r="CF412" s="430"/>
      <c r="CG412" s="430"/>
      <c r="CH412" s="430"/>
      <c r="CI412" s="430"/>
      <c r="CJ412" s="430"/>
      <c r="CK412" s="430"/>
      <c r="CL412" s="430"/>
    </row>
    <row r="413" spans="63:90" ht="14.25" customHeight="1">
      <c r="BK413" s="430"/>
      <c r="BL413" s="430"/>
      <c r="BM413" s="430"/>
      <c r="BN413" s="430"/>
      <c r="BO413" s="430"/>
      <c r="BP413" s="430"/>
      <c r="BQ413" s="430"/>
      <c r="BR413" s="430"/>
      <c r="BS413" s="430"/>
      <c r="BT413" s="430"/>
      <c r="BU413" s="430"/>
      <c r="BV413" s="430"/>
      <c r="BW413" s="430"/>
      <c r="BX413" s="430"/>
      <c r="BY413" s="430"/>
      <c r="BZ413" s="430"/>
      <c r="CA413" s="430"/>
      <c r="CB413" s="430"/>
      <c r="CC413" s="430"/>
      <c r="CD413" s="430"/>
      <c r="CE413" s="430"/>
      <c r="CF413" s="430"/>
      <c r="CG413" s="430"/>
      <c r="CH413" s="430"/>
      <c r="CI413" s="430"/>
      <c r="CJ413" s="430"/>
      <c r="CK413" s="430"/>
      <c r="CL413" s="430"/>
    </row>
    <row r="414" spans="63:90" ht="14.25" customHeight="1">
      <c r="BK414" s="430"/>
      <c r="BL414" s="430"/>
      <c r="BM414" s="430"/>
      <c r="BN414" s="430"/>
      <c r="BO414" s="430"/>
      <c r="BP414" s="430"/>
      <c r="BQ414" s="430"/>
      <c r="BR414" s="430"/>
      <c r="BS414" s="430"/>
      <c r="BT414" s="430"/>
      <c r="BU414" s="430"/>
      <c r="BV414" s="430"/>
      <c r="BW414" s="430"/>
      <c r="BX414" s="430"/>
      <c r="BY414" s="430"/>
      <c r="BZ414" s="430"/>
      <c r="CA414" s="430"/>
      <c r="CB414" s="430"/>
      <c r="CC414" s="430"/>
      <c r="CD414" s="430"/>
      <c r="CE414" s="430"/>
      <c r="CF414" s="430"/>
      <c r="CG414" s="430"/>
      <c r="CH414" s="430"/>
      <c r="CI414" s="430"/>
      <c r="CJ414" s="430"/>
      <c r="CK414" s="430"/>
      <c r="CL414" s="430"/>
    </row>
    <row r="415" spans="63:90" ht="14.25" customHeight="1">
      <c r="BK415" s="430"/>
      <c r="BL415" s="430"/>
      <c r="BM415" s="430"/>
      <c r="BN415" s="430"/>
      <c r="BO415" s="430"/>
      <c r="BP415" s="430"/>
      <c r="BQ415" s="430"/>
      <c r="BR415" s="430"/>
      <c r="BS415" s="430"/>
      <c r="BT415" s="430"/>
      <c r="BU415" s="430"/>
      <c r="BV415" s="430"/>
      <c r="BW415" s="430"/>
      <c r="BX415" s="430"/>
      <c r="BY415" s="430"/>
      <c r="BZ415" s="430"/>
      <c r="CA415" s="430"/>
      <c r="CB415" s="430"/>
      <c r="CC415" s="430"/>
      <c r="CD415" s="430"/>
      <c r="CE415" s="430"/>
      <c r="CF415" s="430"/>
      <c r="CG415" s="430"/>
      <c r="CH415" s="430"/>
      <c r="CI415" s="430"/>
      <c r="CJ415" s="430"/>
      <c r="CK415" s="430"/>
      <c r="CL415" s="430"/>
    </row>
    <row r="416" spans="63:90" ht="14.25" customHeight="1">
      <c r="BK416" s="430"/>
      <c r="BL416" s="430"/>
      <c r="BM416" s="430"/>
      <c r="BN416" s="430"/>
      <c r="BO416" s="430"/>
      <c r="BP416" s="430"/>
      <c r="BQ416" s="430"/>
      <c r="BR416" s="430"/>
      <c r="BS416" s="430"/>
      <c r="BT416" s="430"/>
      <c r="BU416" s="430"/>
      <c r="BV416" s="430"/>
      <c r="BW416" s="430"/>
      <c r="BX416" s="430"/>
      <c r="BY416" s="430"/>
      <c r="BZ416" s="430"/>
      <c r="CA416" s="430"/>
      <c r="CB416" s="430"/>
      <c r="CC416" s="430"/>
      <c r="CD416" s="430"/>
      <c r="CE416" s="430"/>
      <c r="CF416" s="430"/>
      <c r="CG416" s="430"/>
      <c r="CH416" s="430"/>
      <c r="CI416" s="430"/>
      <c r="CJ416" s="430"/>
      <c r="CK416" s="430"/>
      <c r="CL416" s="430"/>
    </row>
    <row r="417" spans="63:90" ht="14.25" customHeight="1">
      <c r="BK417" s="430"/>
      <c r="BL417" s="430"/>
      <c r="BM417" s="430"/>
      <c r="BN417" s="430"/>
      <c r="BO417" s="430"/>
      <c r="BP417" s="430"/>
      <c r="BQ417" s="430"/>
      <c r="BR417" s="430"/>
      <c r="BS417" s="430"/>
      <c r="BT417" s="430"/>
      <c r="BU417" s="430"/>
      <c r="BV417" s="430"/>
      <c r="BW417" s="430"/>
      <c r="BX417" s="430"/>
      <c r="BY417" s="430"/>
      <c r="BZ417" s="430"/>
      <c r="CA417" s="430"/>
      <c r="CB417" s="430"/>
      <c r="CC417" s="430"/>
      <c r="CD417" s="430"/>
      <c r="CE417" s="430"/>
      <c r="CF417" s="430"/>
      <c r="CG417" s="430"/>
      <c r="CH417" s="430"/>
      <c r="CI417" s="430"/>
      <c r="CJ417" s="430"/>
      <c r="CK417" s="430"/>
      <c r="CL417" s="430"/>
    </row>
    <row r="418" spans="63:90" ht="14.25" customHeight="1">
      <c r="BK418" s="430"/>
      <c r="BL418" s="430"/>
      <c r="BM418" s="430"/>
      <c r="BN418" s="430"/>
      <c r="BO418" s="430"/>
      <c r="BP418" s="430"/>
      <c r="BQ418" s="430"/>
      <c r="BR418" s="430"/>
      <c r="BS418" s="430"/>
      <c r="BT418" s="430"/>
      <c r="BU418" s="430"/>
      <c r="BV418" s="430"/>
      <c r="BW418" s="430"/>
      <c r="BX418" s="430"/>
      <c r="BY418" s="430"/>
      <c r="BZ418" s="430"/>
      <c r="CA418" s="430"/>
      <c r="CB418" s="430"/>
      <c r="CC418" s="430"/>
      <c r="CD418" s="430"/>
      <c r="CE418" s="430"/>
      <c r="CF418" s="430"/>
      <c r="CG418" s="430"/>
      <c r="CH418" s="430"/>
      <c r="CI418" s="430"/>
      <c r="CJ418" s="430"/>
      <c r="CK418" s="430"/>
      <c r="CL418" s="430"/>
    </row>
    <row r="419" spans="63:90" ht="14.25" customHeight="1">
      <c r="BK419" s="430"/>
      <c r="BL419" s="430"/>
      <c r="BM419" s="430"/>
      <c r="BN419" s="430"/>
      <c r="BO419" s="430"/>
      <c r="BP419" s="430"/>
      <c r="BQ419" s="430"/>
      <c r="BR419" s="430"/>
      <c r="BS419" s="430"/>
      <c r="BT419" s="430"/>
      <c r="BU419" s="430"/>
      <c r="BV419" s="430"/>
      <c r="BW419" s="430"/>
      <c r="BX419" s="430"/>
      <c r="BY419" s="430"/>
      <c r="BZ419" s="430"/>
      <c r="CA419" s="430"/>
      <c r="CB419" s="430"/>
      <c r="CC419" s="430"/>
      <c r="CD419" s="430"/>
      <c r="CE419" s="430"/>
      <c r="CF419" s="430"/>
      <c r="CG419" s="430"/>
      <c r="CH419" s="430"/>
      <c r="CI419" s="430"/>
      <c r="CJ419" s="430"/>
      <c r="CK419" s="430"/>
      <c r="CL419" s="430"/>
    </row>
    <row r="420" spans="63:90" ht="14.25" customHeight="1">
      <c r="BK420" s="430"/>
      <c r="BL420" s="430"/>
      <c r="BM420" s="430"/>
      <c r="BN420" s="430"/>
      <c r="BO420" s="430"/>
      <c r="BP420" s="430"/>
      <c r="BQ420" s="430"/>
      <c r="BR420" s="430"/>
      <c r="BS420" s="430"/>
      <c r="BT420" s="430"/>
      <c r="BU420" s="430"/>
      <c r="BV420" s="430"/>
      <c r="BW420" s="430"/>
      <c r="BX420" s="430"/>
      <c r="BY420" s="430"/>
      <c r="BZ420" s="430"/>
      <c r="CA420" s="430"/>
      <c r="CB420" s="430"/>
      <c r="CC420" s="430"/>
      <c r="CD420" s="430"/>
      <c r="CE420" s="430"/>
      <c r="CF420" s="430"/>
      <c r="CG420" s="430"/>
      <c r="CH420" s="430"/>
      <c r="CI420" s="430"/>
      <c r="CJ420" s="430"/>
      <c r="CK420" s="430"/>
      <c r="CL420" s="430"/>
    </row>
    <row r="421" spans="63:90" ht="14.25" customHeight="1">
      <c r="BK421" s="430"/>
      <c r="BL421" s="430"/>
      <c r="BM421" s="430"/>
      <c r="BN421" s="430"/>
      <c r="BO421" s="430"/>
      <c r="BP421" s="430"/>
      <c r="BQ421" s="430"/>
      <c r="BR421" s="430"/>
      <c r="BS421" s="430"/>
      <c r="BT421" s="430"/>
      <c r="BU421" s="430"/>
      <c r="BV421" s="430"/>
      <c r="BW421" s="430"/>
      <c r="BX421" s="430"/>
      <c r="BY421" s="430"/>
      <c r="BZ421" s="430"/>
      <c r="CA421" s="430"/>
      <c r="CB421" s="430"/>
      <c r="CC421" s="430"/>
      <c r="CD421" s="430"/>
      <c r="CE421" s="430"/>
      <c r="CF421" s="430"/>
      <c r="CG421" s="430"/>
      <c r="CH421" s="430"/>
      <c r="CI421" s="430"/>
      <c r="CJ421" s="430"/>
      <c r="CK421" s="430"/>
      <c r="CL421" s="430"/>
    </row>
    <row r="422" spans="63:90" ht="14.25" customHeight="1">
      <c r="BK422" s="430"/>
      <c r="BL422" s="430"/>
      <c r="BM422" s="430"/>
      <c r="BN422" s="430"/>
      <c r="BO422" s="430"/>
      <c r="BP422" s="430"/>
      <c r="BQ422" s="430"/>
      <c r="BR422" s="430"/>
      <c r="BS422" s="430"/>
      <c r="BT422" s="430"/>
      <c r="BU422" s="430"/>
      <c r="BV422" s="430"/>
      <c r="BW422" s="430"/>
      <c r="BX422" s="430"/>
      <c r="BY422" s="430"/>
      <c r="BZ422" s="430"/>
      <c r="CA422" s="430"/>
      <c r="CB422" s="430"/>
      <c r="CC422" s="430"/>
      <c r="CD422" s="430"/>
      <c r="CE422" s="430"/>
      <c r="CF422" s="430"/>
      <c r="CG422" s="430"/>
      <c r="CH422" s="430"/>
      <c r="CI422" s="430"/>
      <c r="CJ422" s="430"/>
      <c r="CK422" s="430"/>
      <c r="CL422" s="430"/>
    </row>
    <row r="423" spans="63:90" ht="14.25" customHeight="1">
      <c r="BK423" s="430"/>
      <c r="BL423" s="430"/>
      <c r="BM423" s="430"/>
      <c r="BN423" s="430"/>
      <c r="BO423" s="430"/>
      <c r="BP423" s="430"/>
      <c r="BQ423" s="430"/>
      <c r="BR423" s="430"/>
      <c r="BS423" s="430"/>
      <c r="BT423" s="430"/>
      <c r="BU423" s="430"/>
      <c r="BV423" s="430"/>
      <c r="BW423" s="430"/>
      <c r="BX423" s="430"/>
      <c r="BY423" s="430"/>
      <c r="BZ423" s="430"/>
      <c r="CA423" s="430"/>
      <c r="CB423" s="430"/>
      <c r="CC423" s="430"/>
      <c r="CD423" s="430"/>
      <c r="CE423" s="430"/>
      <c r="CF423" s="430"/>
      <c r="CG423" s="430"/>
      <c r="CH423" s="430"/>
      <c r="CI423" s="430"/>
      <c r="CJ423" s="430"/>
      <c r="CK423" s="430"/>
      <c r="CL423" s="430"/>
    </row>
    <row r="424" spans="63:90" ht="14.25" customHeight="1">
      <c r="BK424" s="430"/>
      <c r="BL424" s="430"/>
      <c r="BM424" s="430"/>
      <c r="BN424" s="430"/>
      <c r="BO424" s="430"/>
      <c r="BP424" s="430"/>
      <c r="BQ424" s="430"/>
      <c r="BR424" s="430"/>
      <c r="BS424" s="430"/>
      <c r="BT424" s="430"/>
      <c r="BU424" s="430"/>
      <c r="BV424" s="430"/>
      <c r="BW424" s="430"/>
      <c r="BX424" s="430"/>
      <c r="BY424" s="430"/>
      <c r="BZ424" s="430"/>
      <c r="CA424" s="430"/>
      <c r="CB424" s="430"/>
      <c r="CC424" s="430"/>
      <c r="CD424" s="430"/>
      <c r="CE424" s="430"/>
      <c r="CF424" s="430"/>
      <c r="CG424" s="430"/>
      <c r="CH424" s="430"/>
      <c r="CI424" s="430"/>
      <c r="CJ424" s="430"/>
      <c r="CK424" s="430"/>
      <c r="CL424" s="430"/>
    </row>
    <row r="425" spans="63:90" ht="14.25" customHeight="1">
      <c r="BK425" s="430"/>
      <c r="BL425" s="430"/>
      <c r="BM425" s="430"/>
      <c r="BN425" s="430"/>
      <c r="BO425" s="430"/>
      <c r="BP425" s="430"/>
      <c r="BQ425" s="430"/>
      <c r="BR425" s="430"/>
      <c r="BS425" s="430"/>
      <c r="BT425" s="430"/>
      <c r="BU425" s="430"/>
      <c r="BV425" s="430"/>
      <c r="BW425" s="430"/>
      <c r="BX425" s="430"/>
      <c r="BY425" s="430"/>
      <c r="BZ425" s="430"/>
      <c r="CA425" s="430"/>
      <c r="CB425" s="430"/>
      <c r="CC425" s="430"/>
      <c r="CD425" s="430"/>
      <c r="CE425" s="430"/>
      <c r="CF425" s="430"/>
      <c r="CG425" s="430"/>
      <c r="CH425" s="430"/>
      <c r="CI425" s="430"/>
      <c r="CJ425" s="430"/>
      <c r="CK425" s="430"/>
      <c r="CL425" s="430"/>
    </row>
    <row r="426" spans="63:90" ht="14.25" customHeight="1">
      <c r="BK426" s="430"/>
      <c r="BL426" s="430"/>
      <c r="BM426" s="430"/>
      <c r="BN426" s="430"/>
      <c r="BO426" s="430"/>
      <c r="BP426" s="430"/>
      <c r="BQ426" s="430"/>
      <c r="BR426" s="430"/>
      <c r="BS426" s="430"/>
      <c r="BT426" s="430"/>
      <c r="BU426" s="430"/>
      <c r="BV426" s="430"/>
      <c r="BW426" s="430"/>
      <c r="BX426" s="430"/>
      <c r="BY426" s="430"/>
      <c r="BZ426" s="430"/>
      <c r="CA426" s="430"/>
      <c r="CB426" s="430"/>
      <c r="CC426" s="430"/>
      <c r="CD426" s="430"/>
      <c r="CE426" s="430"/>
      <c r="CF426" s="430"/>
      <c r="CG426" s="430"/>
      <c r="CH426" s="430"/>
      <c r="CI426" s="430"/>
      <c r="CJ426" s="430"/>
      <c r="CK426" s="430"/>
      <c r="CL426" s="430"/>
    </row>
    <row r="427" spans="63:90" ht="14.25" customHeight="1">
      <c r="BK427" s="430"/>
      <c r="BL427" s="430"/>
      <c r="BM427" s="430"/>
      <c r="BN427" s="430"/>
      <c r="BO427" s="430"/>
      <c r="BP427" s="430"/>
      <c r="BQ427" s="430"/>
      <c r="BR427" s="430"/>
      <c r="BS427" s="430"/>
      <c r="BT427" s="430"/>
      <c r="BU427" s="430"/>
      <c r="BV427" s="430"/>
      <c r="BW427" s="430"/>
      <c r="BX427" s="430"/>
      <c r="BY427" s="430"/>
      <c r="BZ427" s="430"/>
      <c r="CA427" s="430"/>
      <c r="CB427" s="430"/>
      <c r="CC427" s="430"/>
      <c r="CD427" s="430"/>
      <c r="CE427" s="430"/>
      <c r="CF427" s="430"/>
      <c r="CG427" s="430"/>
      <c r="CH427" s="430"/>
      <c r="CI427" s="430"/>
      <c r="CJ427" s="430"/>
      <c r="CK427" s="430"/>
      <c r="CL427" s="430"/>
    </row>
    <row r="428" spans="63:90" ht="14.25" customHeight="1">
      <c r="BK428" s="430"/>
      <c r="BL428" s="430"/>
      <c r="BM428" s="430"/>
      <c r="BN428" s="430"/>
      <c r="BO428" s="430"/>
      <c r="BP428" s="430"/>
      <c r="BQ428" s="430"/>
      <c r="BR428" s="430"/>
      <c r="BS428" s="430"/>
      <c r="BT428" s="430"/>
      <c r="BU428" s="430"/>
      <c r="BV428" s="430"/>
      <c r="BW428" s="430"/>
      <c r="BX428" s="430"/>
      <c r="BY428" s="430"/>
      <c r="BZ428" s="430"/>
      <c r="CA428" s="430"/>
      <c r="CB428" s="430"/>
      <c r="CC428" s="430"/>
      <c r="CD428" s="430"/>
      <c r="CE428" s="430"/>
      <c r="CF428" s="430"/>
      <c r="CG428" s="430"/>
      <c r="CH428" s="430"/>
      <c r="CI428" s="430"/>
      <c r="CJ428" s="430"/>
      <c r="CK428" s="430"/>
      <c r="CL428" s="430"/>
    </row>
    <row r="429" spans="63:90" ht="14.25" customHeight="1">
      <c r="BK429" s="430"/>
      <c r="BL429" s="430"/>
      <c r="BM429" s="430"/>
      <c r="BN429" s="430"/>
      <c r="BO429" s="430"/>
      <c r="BP429" s="430"/>
      <c r="BQ429" s="430"/>
      <c r="BR429" s="430"/>
      <c r="BS429" s="430"/>
      <c r="BT429" s="430"/>
      <c r="BU429" s="430"/>
      <c r="BV429" s="430"/>
      <c r="BW429" s="430"/>
      <c r="BX429" s="430"/>
      <c r="BY429" s="430"/>
      <c r="BZ429" s="430"/>
      <c r="CA429" s="430"/>
      <c r="CB429" s="430"/>
      <c r="CC429" s="430"/>
      <c r="CD429" s="430"/>
      <c r="CE429" s="430"/>
      <c r="CF429" s="430"/>
      <c r="CG429" s="430"/>
      <c r="CH429" s="430"/>
      <c r="CI429" s="430"/>
      <c r="CJ429" s="430"/>
      <c r="CK429" s="430"/>
      <c r="CL429" s="430"/>
    </row>
    <row r="430" spans="63:90" ht="14.25" customHeight="1">
      <c r="BK430" s="430"/>
      <c r="BL430" s="430"/>
      <c r="BM430" s="430"/>
      <c r="BN430" s="430"/>
      <c r="BO430" s="430"/>
      <c r="BP430" s="430"/>
      <c r="BQ430" s="430"/>
      <c r="BR430" s="430"/>
      <c r="BS430" s="430"/>
      <c r="BT430" s="430"/>
      <c r="BU430" s="430"/>
      <c r="BV430" s="430"/>
      <c r="BW430" s="430"/>
      <c r="BX430" s="430"/>
      <c r="BY430" s="430"/>
      <c r="BZ430" s="430"/>
      <c r="CA430" s="430"/>
      <c r="CB430" s="430"/>
      <c r="CC430" s="430"/>
      <c r="CD430" s="430"/>
      <c r="CE430" s="430"/>
      <c r="CF430" s="430"/>
      <c r="CG430" s="430"/>
      <c r="CH430" s="430"/>
      <c r="CI430" s="430"/>
      <c r="CJ430" s="430"/>
      <c r="CK430" s="430"/>
      <c r="CL430" s="430"/>
    </row>
    <row r="431" spans="63:90" ht="14.25" customHeight="1">
      <c r="BK431" s="430"/>
      <c r="BL431" s="430"/>
      <c r="BM431" s="430"/>
      <c r="BN431" s="430"/>
      <c r="BO431" s="430"/>
      <c r="BP431" s="430"/>
      <c r="BQ431" s="430"/>
      <c r="BR431" s="430"/>
      <c r="BS431" s="430"/>
      <c r="BT431" s="430"/>
      <c r="BU431" s="430"/>
      <c r="BV431" s="430"/>
      <c r="BW431" s="430"/>
      <c r="BX431" s="430"/>
      <c r="BY431" s="430"/>
      <c r="BZ431" s="430"/>
      <c r="CA431" s="430"/>
      <c r="CB431" s="430"/>
      <c r="CC431" s="430"/>
      <c r="CD431" s="430"/>
      <c r="CE431" s="430"/>
      <c r="CF431" s="430"/>
      <c r="CG431" s="430"/>
      <c r="CH431" s="430"/>
      <c r="CI431" s="430"/>
      <c r="CJ431" s="430"/>
      <c r="CK431" s="430"/>
      <c r="CL431" s="430"/>
    </row>
    <row r="432" spans="63:90" ht="14.25" customHeight="1">
      <c r="BK432" s="430"/>
      <c r="BL432" s="430"/>
      <c r="BM432" s="430"/>
      <c r="BN432" s="430"/>
      <c r="BO432" s="430"/>
      <c r="BP432" s="430"/>
      <c r="BQ432" s="430"/>
      <c r="BR432" s="430"/>
      <c r="BS432" s="430"/>
      <c r="BT432" s="430"/>
      <c r="BU432" s="430"/>
      <c r="BV432" s="430"/>
      <c r="BW432" s="430"/>
      <c r="BX432" s="430"/>
      <c r="BY432" s="430"/>
      <c r="BZ432" s="430"/>
      <c r="CA432" s="430"/>
      <c r="CB432" s="430"/>
      <c r="CC432" s="430"/>
      <c r="CD432" s="430"/>
      <c r="CE432" s="430"/>
      <c r="CF432" s="430"/>
      <c r="CG432" s="430"/>
      <c r="CH432" s="430"/>
      <c r="CI432" s="430"/>
      <c r="CJ432" s="430"/>
      <c r="CK432" s="430"/>
      <c r="CL432" s="430"/>
    </row>
    <row r="433" spans="63:90" ht="14.25" customHeight="1">
      <c r="BK433" s="430"/>
      <c r="BL433" s="430"/>
      <c r="BM433" s="430"/>
      <c r="BN433" s="430"/>
      <c r="BO433" s="430"/>
      <c r="BP433" s="430"/>
      <c r="BQ433" s="430"/>
      <c r="BR433" s="430"/>
      <c r="BS433" s="430"/>
      <c r="BT433" s="430"/>
      <c r="BU433" s="430"/>
      <c r="BV433" s="430"/>
      <c r="BW433" s="430"/>
      <c r="BX433" s="430"/>
      <c r="BY433" s="430"/>
      <c r="BZ433" s="430"/>
      <c r="CA433" s="430"/>
      <c r="CB433" s="430"/>
      <c r="CC433" s="430"/>
      <c r="CD433" s="430"/>
      <c r="CE433" s="430"/>
      <c r="CF433" s="430"/>
      <c r="CG433" s="430"/>
      <c r="CH433" s="430"/>
      <c r="CI433" s="430"/>
      <c r="CJ433" s="430"/>
      <c r="CK433" s="430"/>
      <c r="CL433" s="430"/>
    </row>
    <row r="434" spans="63:90" ht="14.25" customHeight="1">
      <c r="BK434" s="430"/>
      <c r="BL434" s="430"/>
      <c r="BM434" s="430"/>
      <c r="BN434" s="430"/>
      <c r="BO434" s="430"/>
      <c r="BP434" s="430"/>
      <c r="BQ434" s="430"/>
      <c r="BR434" s="430"/>
      <c r="BS434" s="430"/>
      <c r="BT434" s="430"/>
      <c r="BU434" s="430"/>
      <c r="BV434" s="430"/>
      <c r="BW434" s="430"/>
      <c r="BX434" s="430"/>
      <c r="BY434" s="430"/>
      <c r="BZ434" s="430"/>
      <c r="CA434" s="430"/>
      <c r="CB434" s="430"/>
      <c r="CC434" s="430"/>
      <c r="CD434" s="430"/>
      <c r="CE434" s="430"/>
      <c r="CF434" s="430"/>
      <c r="CG434" s="430"/>
      <c r="CH434" s="430"/>
      <c r="CI434" s="430"/>
      <c r="CJ434" s="430"/>
      <c r="CK434" s="430"/>
      <c r="CL434" s="430"/>
    </row>
    <row r="435" spans="63:90" ht="14.25" customHeight="1">
      <c r="BK435" s="430"/>
      <c r="BL435" s="430"/>
      <c r="BM435" s="430"/>
      <c r="BN435" s="430"/>
      <c r="BO435" s="430"/>
      <c r="BP435" s="430"/>
      <c r="BQ435" s="430"/>
      <c r="BR435" s="430"/>
      <c r="BS435" s="430"/>
      <c r="BT435" s="430"/>
      <c r="BU435" s="430"/>
      <c r="BV435" s="430"/>
      <c r="BW435" s="430"/>
      <c r="BX435" s="430"/>
      <c r="BY435" s="430"/>
      <c r="BZ435" s="430"/>
      <c r="CA435" s="430"/>
      <c r="CB435" s="430"/>
      <c r="CC435" s="430"/>
      <c r="CD435" s="430"/>
      <c r="CE435" s="430"/>
      <c r="CF435" s="430"/>
      <c r="CG435" s="430"/>
      <c r="CH435" s="430"/>
      <c r="CI435" s="430"/>
      <c r="CJ435" s="430"/>
      <c r="CK435" s="430"/>
      <c r="CL435" s="430"/>
    </row>
    <row r="436" spans="63:90" ht="14.25" customHeight="1">
      <c r="BK436" s="430"/>
      <c r="BL436" s="430"/>
      <c r="BM436" s="430"/>
      <c r="BN436" s="430"/>
      <c r="BO436" s="430"/>
      <c r="BP436" s="430"/>
      <c r="BQ436" s="430"/>
      <c r="BR436" s="430"/>
      <c r="BS436" s="430"/>
      <c r="BT436" s="430"/>
      <c r="BU436" s="430"/>
      <c r="BV436" s="430"/>
      <c r="BW436" s="430"/>
      <c r="BX436" s="430"/>
      <c r="BY436" s="430"/>
      <c r="BZ436" s="430"/>
      <c r="CA436" s="430"/>
      <c r="CB436" s="430"/>
      <c r="CC436" s="430"/>
      <c r="CD436" s="430"/>
      <c r="CE436" s="430"/>
      <c r="CF436" s="430"/>
      <c r="CG436" s="430"/>
      <c r="CH436" s="430"/>
      <c r="CI436" s="430"/>
      <c r="CJ436" s="430"/>
      <c r="CK436" s="430"/>
      <c r="CL436" s="430"/>
    </row>
    <row r="437" spans="63:90" ht="14.25" customHeight="1">
      <c r="BK437" s="430"/>
      <c r="BL437" s="430"/>
      <c r="BM437" s="430"/>
      <c r="BN437" s="430"/>
      <c r="BO437" s="430"/>
      <c r="BP437" s="430"/>
      <c r="BQ437" s="430"/>
      <c r="BR437" s="430"/>
      <c r="BS437" s="430"/>
      <c r="BT437" s="430"/>
      <c r="BU437" s="430"/>
      <c r="BV437" s="430"/>
      <c r="BW437" s="430"/>
      <c r="BX437" s="430"/>
      <c r="BY437" s="430"/>
      <c r="BZ437" s="430"/>
      <c r="CA437" s="430"/>
      <c r="CB437" s="430"/>
      <c r="CC437" s="430"/>
      <c r="CD437" s="430"/>
      <c r="CE437" s="430"/>
      <c r="CF437" s="430"/>
      <c r="CG437" s="430"/>
      <c r="CH437" s="430"/>
      <c r="CI437" s="430"/>
      <c r="CJ437" s="430"/>
      <c r="CK437" s="430"/>
      <c r="CL437" s="430"/>
    </row>
    <row r="438" spans="63:90" ht="14.25" customHeight="1">
      <c r="BK438" s="430"/>
      <c r="BL438" s="430"/>
      <c r="BM438" s="430"/>
      <c r="BN438" s="430"/>
      <c r="BO438" s="430"/>
      <c r="BP438" s="430"/>
      <c r="BQ438" s="430"/>
      <c r="BR438" s="430"/>
      <c r="BS438" s="430"/>
      <c r="BT438" s="430"/>
      <c r="BU438" s="430"/>
      <c r="BV438" s="430"/>
      <c r="BW438" s="430"/>
      <c r="BX438" s="430"/>
      <c r="BY438" s="430"/>
      <c r="BZ438" s="430"/>
      <c r="CA438" s="430"/>
      <c r="CB438" s="430"/>
      <c r="CC438" s="430"/>
      <c r="CD438" s="430"/>
      <c r="CE438" s="430"/>
      <c r="CF438" s="430"/>
      <c r="CG438" s="430"/>
      <c r="CH438" s="430"/>
      <c r="CI438" s="430"/>
      <c r="CJ438" s="430"/>
      <c r="CK438" s="430"/>
      <c r="CL438" s="430"/>
    </row>
    <row r="439" spans="63:90" ht="14.25" customHeight="1">
      <c r="BK439" s="430"/>
      <c r="BL439" s="430"/>
      <c r="BM439" s="430"/>
      <c r="BN439" s="430"/>
      <c r="BO439" s="430"/>
      <c r="BP439" s="430"/>
      <c r="BQ439" s="430"/>
      <c r="BR439" s="430"/>
      <c r="BS439" s="430"/>
      <c r="BT439" s="430"/>
      <c r="BU439" s="430"/>
      <c r="BV439" s="430"/>
      <c r="BW439" s="430"/>
      <c r="BX439" s="430"/>
      <c r="BY439" s="430"/>
      <c r="BZ439" s="430"/>
      <c r="CA439" s="430"/>
      <c r="CB439" s="430"/>
      <c r="CC439" s="430"/>
      <c r="CD439" s="430"/>
      <c r="CE439" s="430"/>
      <c r="CF439" s="430"/>
      <c r="CG439" s="430"/>
      <c r="CH439" s="430"/>
      <c r="CI439" s="430"/>
      <c r="CJ439" s="430"/>
      <c r="CK439" s="430"/>
      <c r="CL439" s="430"/>
    </row>
    <row r="440" spans="63:90" ht="14.25" customHeight="1">
      <c r="BK440" s="430"/>
      <c r="BL440" s="430"/>
      <c r="BM440" s="430"/>
      <c r="BN440" s="430"/>
      <c r="BO440" s="430"/>
      <c r="BP440" s="430"/>
      <c r="BQ440" s="430"/>
      <c r="BR440" s="430"/>
      <c r="BS440" s="430"/>
      <c r="BT440" s="430"/>
      <c r="BU440" s="430"/>
      <c r="BV440" s="430"/>
      <c r="BW440" s="430"/>
      <c r="BX440" s="430"/>
      <c r="BY440" s="430"/>
      <c r="BZ440" s="430"/>
      <c r="CA440" s="430"/>
      <c r="CB440" s="430"/>
      <c r="CC440" s="430"/>
      <c r="CD440" s="430"/>
      <c r="CE440" s="430"/>
      <c r="CF440" s="430"/>
      <c r="CG440" s="430"/>
      <c r="CH440" s="430"/>
      <c r="CI440" s="430"/>
      <c r="CJ440" s="430"/>
      <c r="CK440" s="430"/>
      <c r="CL440" s="430"/>
    </row>
    <row r="441" spans="63:90" ht="14.25" customHeight="1">
      <c r="BK441" s="430"/>
      <c r="BL441" s="430"/>
      <c r="BM441" s="430"/>
      <c r="BN441" s="430"/>
      <c r="BO441" s="430"/>
      <c r="BP441" s="430"/>
      <c r="BQ441" s="430"/>
      <c r="BR441" s="430"/>
      <c r="BS441" s="430"/>
      <c r="BT441" s="430"/>
      <c r="BU441" s="430"/>
      <c r="BV441" s="430"/>
      <c r="BW441" s="430"/>
      <c r="BX441" s="430"/>
      <c r="BY441" s="430"/>
      <c r="BZ441" s="430"/>
      <c r="CA441" s="430"/>
      <c r="CB441" s="430"/>
      <c r="CC441" s="430"/>
      <c r="CD441" s="430"/>
      <c r="CE441" s="430"/>
      <c r="CF441" s="430"/>
      <c r="CG441" s="430"/>
      <c r="CH441" s="430"/>
      <c r="CI441" s="430"/>
      <c r="CJ441" s="430"/>
      <c r="CK441" s="430"/>
      <c r="CL441" s="430"/>
    </row>
    <row r="442" spans="63:90" ht="14.25" customHeight="1">
      <c r="BK442" s="430"/>
      <c r="BL442" s="430"/>
      <c r="BM442" s="430"/>
      <c r="BN442" s="430"/>
      <c r="BO442" s="430"/>
      <c r="BP442" s="430"/>
      <c r="BQ442" s="430"/>
      <c r="BR442" s="430"/>
      <c r="BS442" s="430"/>
      <c r="BT442" s="430"/>
      <c r="BU442" s="430"/>
      <c r="BV442" s="430"/>
      <c r="BW442" s="430"/>
      <c r="BX442" s="430"/>
      <c r="BY442" s="430"/>
      <c r="BZ442" s="430"/>
      <c r="CA442" s="430"/>
      <c r="CB442" s="430"/>
      <c r="CC442" s="430"/>
      <c r="CD442" s="430"/>
      <c r="CE442" s="430"/>
      <c r="CF442" s="430"/>
      <c r="CG442" s="430"/>
      <c r="CH442" s="430"/>
      <c r="CI442" s="430"/>
      <c r="CJ442" s="430"/>
      <c r="CK442" s="430"/>
      <c r="CL442" s="430"/>
    </row>
    <row r="443" spans="63:90" ht="14.25" customHeight="1">
      <c r="BK443" s="430"/>
      <c r="BL443" s="430"/>
      <c r="BM443" s="430"/>
      <c r="BN443" s="430"/>
      <c r="BO443" s="430"/>
      <c r="BP443" s="430"/>
      <c r="BQ443" s="430"/>
      <c r="BR443" s="430"/>
      <c r="BS443" s="430"/>
      <c r="BT443" s="430"/>
      <c r="BU443" s="430"/>
      <c r="BV443" s="430"/>
      <c r="BW443" s="430"/>
      <c r="BX443" s="430"/>
      <c r="BY443" s="430"/>
      <c r="BZ443" s="430"/>
      <c r="CA443" s="430"/>
      <c r="CB443" s="430"/>
      <c r="CC443" s="430"/>
      <c r="CD443" s="430"/>
      <c r="CE443" s="430"/>
      <c r="CF443" s="430"/>
      <c r="CG443" s="430"/>
      <c r="CH443" s="430"/>
      <c r="CI443" s="430"/>
      <c r="CJ443" s="430"/>
      <c r="CK443" s="430"/>
      <c r="CL443" s="430"/>
    </row>
    <row r="444" spans="63:90" ht="14.25" customHeight="1">
      <c r="BK444" s="430"/>
      <c r="BL444" s="430"/>
      <c r="BM444" s="430"/>
      <c r="BN444" s="430"/>
      <c r="BO444" s="430"/>
      <c r="BP444" s="430"/>
      <c r="BQ444" s="430"/>
      <c r="BR444" s="430"/>
      <c r="BS444" s="430"/>
      <c r="BT444" s="430"/>
      <c r="BU444" s="430"/>
      <c r="BV444" s="430"/>
      <c r="BW444" s="430"/>
      <c r="BX444" s="430"/>
      <c r="BY444" s="430"/>
      <c r="BZ444" s="430"/>
      <c r="CA444" s="430"/>
      <c r="CB444" s="430"/>
      <c r="CC444" s="430"/>
      <c r="CD444" s="430"/>
      <c r="CE444" s="430"/>
      <c r="CF444" s="430"/>
      <c r="CG444" s="430"/>
      <c r="CH444" s="430"/>
      <c r="CI444" s="430"/>
      <c r="CJ444" s="430"/>
      <c r="CK444" s="430"/>
      <c r="CL444" s="430"/>
    </row>
    <row r="445" spans="63:90" ht="14.25" customHeight="1">
      <c r="BK445" s="430"/>
      <c r="BL445" s="430"/>
      <c r="BM445" s="430"/>
      <c r="BN445" s="430"/>
      <c r="BO445" s="430"/>
      <c r="BP445" s="430"/>
      <c r="BQ445" s="430"/>
      <c r="BR445" s="430"/>
      <c r="BS445" s="430"/>
      <c r="BT445" s="430"/>
      <c r="BU445" s="430"/>
      <c r="BV445" s="430"/>
      <c r="BW445" s="430"/>
      <c r="BX445" s="430"/>
      <c r="BY445" s="430"/>
      <c r="BZ445" s="430"/>
      <c r="CA445" s="430"/>
      <c r="CB445" s="430"/>
      <c r="CC445" s="430"/>
      <c r="CD445" s="430"/>
      <c r="CE445" s="430"/>
      <c r="CF445" s="430"/>
      <c r="CG445" s="430"/>
      <c r="CH445" s="430"/>
      <c r="CI445" s="430"/>
      <c r="CJ445" s="430"/>
      <c r="CK445" s="430"/>
      <c r="CL445" s="430"/>
    </row>
    <row r="446" spans="63:90" ht="14.25" customHeight="1">
      <c r="BK446" s="430"/>
      <c r="BL446" s="430"/>
      <c r="BM446" s="430"/>
      <c r="BN446" s="430"/>
      <c r="BO446" s="430"/>
      <c r="BP446" s="430"/>
      <c r="BQ446" s="430"/>
      <c r="BR446" s="430"/>
      <c r="BS446" s="430"/>
      <c r="BT446" s="430"/>
      <c r="BU446" s="430"/>
      <c r="BV446" s="430"/>
      <c r="BW446" s="430"/>
      <c r="BX446" s="430"/>
      <c r="BY446" s="430"/>
      <c r="BZ446" s="430"/>
      <c r="CA446" s="430"/>
      <c r="CB446" s="430"/>
      <c r="CC446" s="430"/>
      <c r="CD446" s="430"/>
      <c r="CE446" s="430"/>
      <c r="CF446" s="430"/>
      <c r="CG446" s="430"/>
      <c r="CH446" s="430"/>
      <c r="CI446" s="430"/>
      <c r="CJ446" s="430"/>
      <c r="CK446" s="430"/>
      <c r="CL446" s="430"/>
    </row>
    <row r="447" spans="63:90" ht="14.25" customHeight="1">
      <c r="BK447" s="430"/>
      <c r="BL447" s="430"/>
      <c r="BM447" s="430"/>
      <c r="BN447" s="430"/>
      <c r="BO447" s="430"/>
      <c r="BP447" s="430"/>
      <c r="BQ447" s="430"/>
      <c r="BR447" s="430"/>
      <c r="BS447" s="430"/>
      <c r="BT447" s="430"/>
      <c r="BU447" s="430"/>
      <c r="BV447" s="430"/>
      <c r="BW447" s="430"/>
      <c r="BX447" s="430"/>
      <c r="BY447" s="430"/>
      <c r="BZ447" s="430"/>
      <c r="CA447" s="430"/>
      <c r="CB447" s="430"/>
      <c r="CC447" s="430"/>
      <c r="CD447" s="430"/>
      <c r="CE447" s="430"/>
      <c r="CF447" s="430"/>
      <c r="CG447" s="430"/>
      <c r="CH447" s="430"/>
      <c r="CI447" s="430"/>
      <c r="CJ447" s="430"/>
      <c r="CK447" s="430"/>
      <c r="CL447" s="430"/>
    </row>
    <row r="448" spans="63:90" ht="14.25" customHeight="1">
      <c r="BK448" s="430"/>
      <c r="BL448" s="430"/>
      <c r="BM448" s="430"/>
      <c r="BN448" s="430"/>
      <c r="BO448" s="430"/>
      <c r="BP448" s="430"/>
      <c r="BQ448" s="430"/>
      <c r="BR448" s="430"/>
      <c r="BS448" s="430"/>
      <c r="BT448" s="430"/>
      <c r="BU448" s="430"/>
      <c r="BV448" s="430"/>
      <c r="BW448" s="430"/>
      <c r="BX448" s="430"/>
      <c r="BY448" s="430"/>
      <c r="BZ448" s="430"/>
      <c r="CA448" s="430"/>
      <c r="CB448" s="430"/>
      <c r="CC448" s="430"/>
      <c r="CD448" s="430"/>
      <c r="CE448" s="430"/>
      <c r="CF448" s="430"/>
      <c r="CG448" s="430"/>
      <c r="CH448" s="430"/>
      <c r="CI448" s="430"/>
      <c r="CJ448" s="430"/>
      <c r="CK448" s="430"/>
      <c r="CL448" s="430"/>
    </row>
    <row r="449" spans="63:90" ht="14.25" customHeight="1">
      <c r="BK449" s="430"/>
      <c r="BL449" s="430"/>
      <c r="BM449" s="430"/>
      <c r="BN449" s="430"/>
      <c r="BO449" s="430"/>
      <c r="BP449" s="430"/>
      <c r="BQ449" s="430"/>
      <c r="BR449" s="430"/>
      <c r="BS449" s="430"/>
      <c r="BT449" s="430"/>
      <c r="BU449" s="430"/>
      <c r="BV449" s="430"/>
      <c r="BW449" s="430"/>
      <c r="BX449" s="430"/>
      <c r="BY449" s="430"/>
      <c r="BZ449" s="430"/>
      <c r="CA449" s="430"/>
      <c r="CB449" s="430"/>
      <c r="CC449" s="430"/>
      <c r="CD449" s="430"/>
      <c r="CE449" s="430"/>
      <c r="CF449" s="430"/>
      <c r="CG449" s="430"/>
      <c r="CH449" s="430"/>
      <c r="CI449" s="430"/>
      <c r="CJ449" s="430"/>
      <c r="CK449" s="430"/>
      <c r="CL449" s="430"/>
    </row>
    <row r="450" spans="63:90" ht="14.25" customHeight="1">
      <c r="BK450" s="430"/>
      <c r="BL450" s="430"/>
      <c r="BM450" s="430"/>
      <c r="BN450" s="430"/>
      <c r="BO450" s="430"/>
      <c r="BP450" s="430"/>
      <c r="BQ450" s="430"/>
      <c r="BR450" s="430"/>
      <c r="BS450" s="430"/>
      <c r="BT450" s="430"/>
      <c r="BU450" s="430"/>
      <c r="BV450" s="430"/>
      <c r="BW450" s="430"/>
      <c r="BX450" s="430"/>
      <c r="BY450" s="430"/>
      <c r="BZ450" s="430"/>
      <c r="CA450" s="430"/>
      <c r="CB450" s="430"/>
      <c r="CC450" s="430"/>
      <c r="CD450" s="430"/>
      <c r="CE450" s="430"/>
      <c r="CF450" s="430"/>
      <c r="CG450" s="430"/>
      <c r="CH450" s="430"/>
      <c r="CI450" s="430"/>
      <c r="CJ450" s="430"/>
      <c r="CK450" s="430"/>
      <c r="CL450" s="430"/>
    </row>
    <row r="451" spans="63:90" ht="14.25" customHeight="1">
      <c r="BK451" s="430"/>
      <c r="BL451" s="430"/>
      <c r="BM451" s="430"/>
      <c r="BN451" s="430"/>
      <c r="BO451" s="430"/>
      <c r="BP451" s="430"/>
      <c r="BQ451" s="430"/>
      <c r="BR451" s="430"/>
      <c r="BS451" s="430"/>
      <c r="BT451" s="430"/>
      <c r="BU451" s="430"/>
      <c r="BV451" s="430"/>
      <c r="BW451" s="430"/>
      <c r="BX451" s="430"/>
      <c r="BY451" s="430"/>
      <c r="BZ451" s="430"/>
      <c r="CA451" s="430"/>
      <c r="CB451" s="430"/>
      <c r="CC451" s="430"/>
      <c r="CD451" s="430"/>
      <c r="CE451" s="430"/>
      <c r="CF451" s="430"/>
      <c r="CG451" s="430"/>
      <c r="CH451" s="430"/>
      <c r="CI451" s="430"/>
      <c r="CJ451" s="430"/>
      <c r="CK451" s="430"/>
      <c r="CL451" s="430"/>
    </row>
    <row r="452" spans="63:90" ht="14.25" customHeight="1">
      <c r="BK452" s="430"/>
      <c r="BL452" s="430"/>
      <c r="BM452" s="430"/>
      <c r="BN452" s="430"/>
      <c r="BO452" s="430"/>
      <c r="BP452" s="430"/>
      <c r="BQ452" s="430"/>
      <c r="BR452" s="430"/>
      <c r="BS452" s="430"/>
      <c r="BT452" s="430"/>
      <c r="BU452" s="430"/>
      <c r="BV452" s="430"/>
      <c r="BW452" s="430"/>
      <c r="BX452" s="430"/>
      <c r="BY452" s="430"/>
      <c r="BZ452" s="430"/>
      <c r="CA452" s="430"/>
      <c r="CB452" s="430"/>
      <c r="CC452" s="430"/>
      <c r="CD452" s="430"/>
      <c r="CE452" s="430"/>
      <c r="CF452" s="430"/>
      <c r="CG452" s="430"/>
      <c r="CH452" s="430"/>
      <c r="CI452" s="430"/>
      <c r="CJ452" s="430"/>
      <c r="CK452" s="430"/>
      <c r="CL452" s="430"/>
    </row>
    <row r="453" spans="63:90" ht="14.25" customHeight="1">
      <c r="BK453" s="430"/>
      <c r="BL453" s="430"/>
      <c r="BM453" s="430"/>
      <c r="BN453" s="430"/>
      <c r="BO453" s="430"/>
      <c r="BP453" s="430"/>
      <c r="BQ453" s="430"/>
      <c r="BR453" s="430"/>
      <c r="BS453" s="430"/>
      <c r="BT453" s="430"/>
      <c r="BU453" s="430"/>
      <c r="BV453" s="430"/>
      <c r="BW453" s="430"/>
      <c r="BX453" s="430"/>
      <c r="BY453" s="430"/>
      <c r="BZ453" s="430"/>
      <c r="CA453" s="430"/>
      <c r="CB453" s="430"/>
      <c r="CC453" s="430"/>
      <c r="CD453" s="430"/>
      <c r="CE453" s="430"/>
      <c r="CF453" s="430"/>
      <c r="CG453" s="430"/>
      <c r="CH453" s="430"/>
      <c r="CI453" s="430"/>
      <c r="CJ453" s="430"/>
      <c r="CK453" s="430"/>
      <c r="CL453" s="430"/>
    </row>
    <row r="454" spans="63:90" ht="14.25" customHeight="1">
      <c r="BK454" s="430"/>
      <c r="BL454" s="430"/>
      <c r="BM454" s="430"/>
      <c r="BN454" s="430"/>
      <c r="BO454" s="430"/>
      <c r="BP454" s="430"/>
      <c r="BQ454" s="430"/>
      <c r="BR454" s="430"/>
      <c r="BS454" s="430"/>
      <c r="BT454" s="430"/>
      <c r="BU454" s="430"/>
      <c r="BV454" s="430"/>
      <c r="BW454" s="430"/>
      <c r="BX454" s="430"/>
      <c r="BY454" s="430"/>
      <c r="BZ454" s="430"/>
      <c r="CA454" s="430"/>
      <c r="CB454" s="430"/>
      <c r="CC454" s="430"/>
      <c r="CD454" s="430"/>
      <c r="CE454" s="430"/>
      <c r="CF454" s="430"/>
      <c r="CG454" s="430"/>
      <c r="CH454" s="430"/>
      <c r="CI454" s="430"/>
      <c r="CJ454" s="430"/>
      <c r="CK454" s="430"/>
      <c r="CL454" s="430"/>
    </row>
    <row r="455" spans="63:90" ht="14.25" customHeight="1">
      <c r="BK455" s="430"/>
      <c r="BL455" s="430"/>
      <c r="BM455" s="430"/>
      <c r="BN455" s="430"/>
      <c r="BO455" s="430"/>
      <c r="BP455" s="430"/>
      <c r="BQ455" s="430"/>
      <c r="BR455" s="430"/>
      <c r="BS455" s="430"/>
      <c r="BT455" s="430"/>
      <c r="BU455" s="430"/>
      <c r="BV455" s="430"/>
      <c r="BW455" s="430"/>
      <c r="BX455" s="430"/>
      <c r="BY455" s="430"/>
      <c r="BZ455" s="430"/>
      <c r="CA455" s="430"/>
      <c r="CB455" s="430"/>
      <c r="CC455" s="430"/>
      <c r="CD455" s="430"/>
      <c r="CE455" s="430"/>
      <c r="CF455" s="430"/>
      <c r="CG455" s="430"/>
      <c r="CH455" s="430"/>
      <c r="CI455" s="430"/>
      <c r="CJ455" s="430"/>
      <c r="CK455" s="430"/>
      <c r="CL455" s="430"/>
    </row>
    <row r="456" spans="63:90" ht="14.25" customHeight="1">
      <c r="BK456" s="430"/>
      <c r="BL456" s="430"/>
      <c r="BM456" s="430"/>
      <c r="BN456" s="430"/>
      <c r="BO456" s="430"/>
      <c r="BP456" s="430"/>
      <c r="BQ456" s="430"/>
      <c r="BR456" s="430"/>
      <c r="BS456" s="430"/>
      <c r="BT456" s="430"/>
      <c r="BU456" s="430"/>
      <c r="BV456" s="430"/>
      <c r="BW456" s="430"/>
      <c r="BX456" s="430"/>
      <c r="BY456" s="430"/>
      <c r="BZ456" s="430"/>
      <c r="CA456" s="430"/>
      <c r="CB456" s="430"/>
      <c r="CC456" s="430"/>
      <c r="CD456" s="430"/>
      <c r="CE456" s="430"/>
      <c r="CF456" s="430"/>
      <c r="CG456" s="430"/>
      <c r="CH456" s="430"/>
      <c r="CI456" s="430"/>
      <c r="CJ456" s="430"/>
      <c r="CK456" s="430"/>
      <c r="CL456" s="430"/>
    </row>
    <row r="457" spans="63:90" ht="14.25" customHeight="1">
      <c r="BK457" s="430"/>
      <c r="BL457" s="430"/>
      <c r="BM457" s="430"/>
      <c r="BN457" s="430"/>
      <c r="BO457" s="430"/>
      <c r="BP457" s="430"/>
      <c r="BQ457" s="430"/>
      <c r="BR457" s="430"/>
      <c r="BS457" s="430"/>
      <c r="BT457" s="430"/>
      <c r="BU457" s="430"/>
      <c r="BV457" s="430"/>
      <c r="BW457" s="430"/>
      <c r="BX457" s="430"/>
      <c r="BY457" s="430"/>
      <c r="BZ457" s="430"/>
      <c r="CA457" s="430"/>
      <c r="CB457" s="430"/>
      <c r="CC457" s="430"/>
      <c r="CD457" s="430"/>
      <c r="CE457" s="430"/>
      <c r="CF457" s="430"/>
      <c r="CG457" s="430"/>
      <c r="CH457" s="430"/>
      <c r="CI457" s="430"/>
      <c r="CJ457" s="430"/>
      <c r="CK457" s="430"/>
      <c r="CL457" s="430"/>
    </row>
    <row r="458" spans="63:90" ht="14.25" customHeight="1">
      <c r="BK458" s="430"/>
      <c r="BL458" s="430"/>
      <c r="BM458" s="430"/>
      <c r="BN458" s="430"/>
      <c r="BO458" s="430"/>
      <c r="BP458" s="430"/>
      <c r="BQ458" s="430"/>
      <c r="BR458" s="430"/>
      <c r="BS458" s="430"/>
      <c r="BT458" s="430"/>
      <c r="BU458" s="430"/>
      <c r="BV458" s="430"/>
      <c r="BW458" s="430"/>
      <c r="BX458" s="430"/>
      <c r="BY458" s="430"/>
      <c r="BZ458" s="430"/>
      <c r="CA458" s="430"/>
      <c r="CB458" s="430"/>
      <c r="CC458" s="430"/>
      <c r="CD458" s="430"/>
      <c r="CE458" s="430"/>
      <c r="CF458" s="430"/>
      <c r="CG458" s="430"/>
      <c r="CH458" s="430"/>
      <c r="CI458" s="430"/>
      <c r="CJ458" s="430"/>
      <c r="CK458" s="430"/>
      <c r="CL458" s="430"/>
    </row>
    <row r="459" spans="63:90" ht="14.25" customHeight="1">
      <c r="BK459" s="430"/>
      <c r="BL459" s="430"/>
      <c r="BM459" s="430"/>
      <c r="BN459" s="430"/>
      <c r="BO459" s="430"/>
      <c r="BP459" s="430"/>
      <c r="BQ459" s="430"/>
      <c r="BR459" s="430"/>
      <c r="BS459" s="430"/>
      <c r="BT459" s="430"/>
      <c r="BU459" s="430"/>
      <c r="BV459" s="430"/>
      <c r="BW459" s="430"/>
      <c r="BX459" s="430"/>
      <c r="BY459" s="430"/>
      <c r="BZ459" s="430"/>
      <c r="CA459" s="430"/>
      <c r="CB459" s="430"/>
      <c r="CC459" s="430"/>
      <c r="CD459" s="430"/>
      <c r="CE459" s="430"/>
      <c r="CF459" s="430"/>
      <c r="CG459" s="430"/>
      <c r="CH459" s="430"/>
      <c r="CI459" s="430"/>
      <c r="CJ459" s="430"/>
      <c r="CK459" s="430"/>
      <c r="CL459" s="430"/>
    </row>
    <row r="460" spans="63:90" ht="14.25" customHeight="1">
      <c r="BK460" s="430"/>
      <c r="BL460" s="430"/>
      <c r="BM460" s="430"/>
      <c r="BN460" s="430"/>
      <c r="BO460" s="430"/>
      <c r="BP460" s="430"/>
      <c r="BQ460" s="430"/>
      <c r="BR460" s="430"/>
      <c r="BS460" s="430"/>
      <c r="BT460" s="430"/>
      <c r="BU460" s="430"/>
      <c r="BV460" s="430"/>
      <c r="BW460" s="430"/>
      <c r="BX460" s="430"/>
      <c r="BY460" s="430"/>
      <c r="BZ460" s="430"/>
      <c r="CA460" s="430"/>
      <c r="CB460" s="430"/>
      <c r="CC460" s="430"/>
      <c r="CD460" s="430"/>
      <c r="CE460" s="430"/>
      <c r="CF460" s="430"/>
      <c r="CG460" s="430"/>
      <c r="CH460" s="430"/>
      <c r="CI460" s="430"/>
      <c r="CJ460" s="430"/>
      <c r="CK460" s="430"/>
      <c r="CL460" s="430"/>
    </row>
    <row r="461" spans="63:90" ht="14.25" customHeight="1">
      <c r="BK461" s="430"/>
      <c r="BL461" s="430"/>
      <c r="BM461" s="430"/>
      <c r="BN461" s="430"/>
      <c r="BO461" s="430"/>
      <c r="BP461" s="430"/>
      <c r="BQ461" s="430"/>
      <c r="BR461" s="430"/>
      <c r="BS461" s="430"/>
      <c r="BT461" s="430"/>
      <c r="BU461" s="430"/>
      <c r="BV461" s="430"/>
      <c r="BW461" s="430"/>
      <c r="BX461" s="430"/>
      <c r="BY461" s="430"/>
      <c r="BZ461" s="430"/>
      <c r="CA461" s="430"/>
      <c r="CB461" s="430"/>
      <c r="CC461" s="430"/>
      <c r="CD461" s="430"/>
      <c r="CE461" s="430"/>
      <c r="CF461" s="430"/>
      <c r="CG461" s="430"/>
      <c r="CH461" s="430"/>
      <c r="CI461" s="430"/>
      <c r="CJ461" s="430"/>
      <c r="CK461" s="430"/>
      <c r="CL461" s="430"/>
    </row>
    <row r="462" spans="63:90" ht="14.25" customHeight="1">
      <c r="BK462" s="430"/>
      <c r="BL462" s="430"/>
      <c r="BM462" s="430"/>
      <c r="BN462" s="430"/>
      <c r="BO462" s="430"/>
      <c r="BP462" s="430"/>
      <c r="BQ462" s="430"/>
      <c r="BR462" s="430"/>
      <c r="BS462" s="430"/>
      <c r="BT462" s="430"/>
      <c r="BU462" s="430"/>
      <c r="BV462" s="430"/>
      <c r="BW462" s="430"/>
      <c r="BX462" s="430"/>
      <c r="BY462" s="430"/>
      <c r="BZ462" s="430"/>
      <c r="CA462" s="430"/>
      <c r="CB462" s="430"/>
      <c r="CC462" s="430"/>
      <c r="CD462" s="430"/>
      <c r="CE462" s="430"/>
      <c r="CF462" s="430"/>
      <c r="CG462" s="430"/>
      <c r="CH462" s="430"/>
      <c r="CI462" s="430"/>
      <c r="CJ462" s="430"/>
      <c r="CK462" s="430"/>
      <c r="CL462" s="430"/>
    </row>
    <row r="463" spans="63:90" ht="14.25" customHeight="1">
      <c r="BK463" s="430"/>
      <c r="BL463" s="430"/>
      <c r="BM463" s="430"/>
      <c r="BN463" s="430"/>
      <c r="BO463" s="430"/>
      <c r="BP463" s="430"/>
      <c r="BQ463" s="430"/>
      <c r="BR463" s="430"/>
      <c r="BS463" s="430"/>
      <c r="BT463" s="430"/>
      <c r="BU463" s="430"/>
      <c r="BV463" s="430"/>
      <c r="BW463" s="430"/>
      <c r="BX463" s="430"/>
      <c r="BY463" s="430"/>
      <c r="BZ463" s="430"/>
      <c r="CA463" s="430"/>
      <c r="CB463" s="430"/>
      <c r="CC463" s="430"/>
      <c r="CD463" s="430"/>
      <c r="CE463" s="430"/>
      <c r="CF463" s="430"/>
      <c r="CG463" s="430"/>
      <c r="CH463" s="430"/>
      <c r="CI463" s="430"/>
      <c r="CJ463" s="430"/>
      <c r="CK463" s="430"/>
      <c r="CL463" s="430"/>
    </row>
    <row r="464" spans="63:90" ht="14.25" customHeight="1">
      <c r="BK464" s="430"/>
      <c r="BL464" s="430"/>
      <c r="BM464" s="430"/>
      <c r="BN464" s="430"/>
      <c r="BO464" s="430"/>
      <c r="BP464" s="430"/>
      <c r="BQ464" s="430"/>
      <c r="BR464" s="430"/>
      <c r="BS464" s="430"/>
      <c r="BT464" s="430"/>
      <c r="BU464" s="430"/>
      <c r="BV464" s="430"/>
      <c r="BW464" s="430"/>
      <c r="BX464" s="430"/>
      <c r="BY464" s="430"/>
      <c r="BZ464" s="430"/>
      <c r="CA464" s="430"/>
      <c r="CB464" s="430"/>
      <c r="CC464" s="430"/>
      <c r="CD464" s="430"/>
      <c r="CE464" s="430"/>
      <c r="CF464" s="430"/>
      <c r="CG464" s="430"/>
      <c r="CH464" s="430"/>
      <c r="CI464" s="430"/>
      <c r="CJ464" s="430"/>
      <c r="CK464" s="430"/>
      <c r="CL464" s="430"/>
    </row>
    <row r="465" spans="63:90" ht="14.25" customHeight="1">
      <c r="BK465" s="430"/>
      <c r="BL465" s="430"/>
      <c r="BM465" s="430"/>
      <c r="BN465" s="430"/>
      <c r="BO465" s="430"/>
      <c r="BP465" s="430"/>
      <c r="BQ465" s="430"/>
      <c r="BR465" s="430"/>
      <c r="BS465" s="430"/>
      <c r="BT465" s="430"/>
      <c r="BU465" s="430"/>
      <c r="BV465" s="430"/>
      <c r="BW465" s="430"/>
      <c r="BX465" s="430"/>
      <c r="BY465" s="430"/>
      <c r="BZ465" s="430"/>
      <c r="CA465" s="430"/>
      <c r="CB465" s="430"/>
      <c r="CC465" s="430"/>
      <c r="CD465" s="430"/>
      <c r="CE465" s="430"/>
      <c r="CF465" s="430"/>
      <c r="CG465" s="430"/>
      <c r="CH465" s="430"/>
      <c r="CI465" s="430"/>
      <c r="CJ465" s="430"/>
      <c r="CK465" s="430"/>
      <c r="CL465" s="430"/>
    </row>
    <row r="466" spans="63:90" ht="14.25" customHeight="1">
      <c r="BK466" s="430"/>
      <c r="BL466" s="430"/>
      <c r="BM466" s="430"/>
      <c r="BN466" s="430"/>
      <c r="BO466" s="430"/>
      <c r="BP466" s="430"/>
      <c r="BQ466" s="430"/>
      <c r="BR466" s="430"/>
      <c r="BS466" s="430"/>
      <c r="BT466" s="430"/>
      <c r="BU466" s="430"/>
      <c r="BV466" s="430"/>
      <c r="BW466" s="430"/>
      <c r="BX466" s="430"/>
      <c r="BY466" s="430"/>
      <c r="BZ466" s="430"/>
      <c r="CA466" s="430"/>
      <c r="CB466" s="430"/>
      <c r="CC466" s="430"/>
      <c r="CD466" s="430"/>
      <c r="CE466" s="430"/>
      <c r="CF466" s="430"/>
      <c r="CG466" s="430"/>
      <c r="CH466" s="430"/>
      <c r="CI466" s="430"/>
      <c r="CJ466" s="430"/>
      <c r="CK466" s="430"/>
      <c r="CL466" s="430"/>
    </row>
    <row r="467" spans="63:90" ht="14.25" customHeight="1">
      <c r="BK467" s="430"/>
      <c r="BL467" s="430"/>
      <c r="BM467" s="430"/>
      <c r="BN467" s="430"/>
      <c r="BO467" s="430"/>
      <c r="BP467" s="430"/>
      <c r="BQ467" s="430"/>
      <c r="BR467" s="430"/>
      <c r="BS467" s="430"/>
      <c r="BT467" s="430"/>
      <c r="BU467" s="430"/>
      <c r="BV467" s="430"/>
      <c r="BW467" s="430"/>
      <c r="BX467" s="430"/>
      <c r="BY467" s="430"/>
      <c r="BZ467" s="430"/>
      <c r="CA467" s="430"/>
      <c r="CB467" s="430"/>
      <c r="CC467" s="430"/>
      <c r="CD467" s="430"/>
      <c r="CE467" s="430"/>
      <c r="CF467" s="430"/>
      <c r="CG467" s="430"/>
      <c r="CH467" s="430"/>
      <c r="CI467" s="430"/>
      <c r="CJ467" s="430"/>
      <c r="CK467" s="430"/>
      <c r="CL467" s="430"/>
    </row>
    <row r="468" spans="63:90" ht="14.25" customHeight="1">
      <c r="BK468" s="430"/>
      <c r="BL468" s="430"/>
      <c r="BM468" s="430"/>
      <c r="BN468" s="430"/>
      <c r="BO468" s="430"/>
      <c r="BP468" s="430"/>
      <c r="BQ468" s="430"/>
      <c r="BR468" s="430"/>
      <c r="BS468" s="430"/>
      <c r="BT468" s="430"/>
      <c r="BU468" s="430"/>
      <c r="BV468" s="430"/>
      <c r="BW468" s="430"/>
      <c r="BX468" s="430"/>
      <c r="BY468" s="430"/>
      <c r="BZ468" s="430"/>
      <c r="CA468" s="430"/>
      <c r="CB468" s="430"/>
      <c r="CC468" s="430"/>
      <c r="CD468" s="430"/>
      <c r="CE468" s="430"/>
      <c r="CF468" s="430"/>
      <c r="CG468" s="430"/>
      <c r="CH468" s="430"/>
      <c r="CI468" s="430"/>
      <c r="CJ468" s="430"/>
      <c r="CK468" s="430"/>
      <c r="CL468" s="430"/>
    </row>
    <row r="469" spans="63:90" ht="14.25" customHeight="1">
      <c r="BK469" s="430"/>
      <c r="BL469" s="430"/>
      <c r="BM469" s="430"/>
      <c r="BN469" s="430"/>
      <c r="BO469" s="430"/>
      <c r="BP469" s="430"/>
      <c r="BQ469" s="430"/>
      <c r="BR469" s="430"/>
      <c r="BS469" s="430"/>
      <c r="BT469" s="430"/>
      <c r="BU469" s="430"/>
      <c r="BV469" s="430"/>
      <c r="BW469" s="430"/>
      <c r="BX469" s="430"/>
      <c r="BY469" s="430"/>
      <c r="BZ469" s="430"/>
      <c r="CA469" s="430"/>
      <c r="CB469" s="430"/>
      <c r="CC469" s="430"/>
      <c r="CD469" s="430"/>
      <c r="CE469" s="430"/>
      <c r="CF469" s="430"/>
      <c r="CG469" s="430"/>
      <c r="CH469" s="430"/>
      <c r="CI469" s="430"/>
      <c r="CJ469" s="430"/>
      <c r="CK469" s="430"/>
      <c r="CL469" s="430"/>
    </row>
    <row r="470" spans="63:90" ht="14.25" customHeight="1">
      <c r="BK470" s="430"/>
      <c r="BL470" s="430"/>
      <c r="BM470" s="430"/>
      <c r="BN470" s="430"/>
      <c r="BO470" s="430"/>
      <c r="BP470" s="430"/>
      <c r="BQ470" s="430"/>
      <c r="BR470" s="430"/>
      <c r="BS470" s="430"/>
      <c r="BT470" s="430"/>
      <c r="BU470" s="430"/>
      <c r="BV470" s="430"/>
      <c r="BW470" s="430"/>
      <c r="BX470" s="430"/>
      <c r="BY470" s="430"/>
      <c r="BZ470" s="430"/>
      <c r="CA470" s="430"/>
      <c r="CB470" s="430"/>
      <c r="CC470" s="430"/>
      <c r="CD470" s="430"/>
      <c r="CE470" s="430"/>
      <c r="CF470" s="430"/>
      <c r="CG470" s="430"/>
      <c r="CH470" s="430"/>
      <c r="CI470" s="430"/>
      <c r="CJ470" s="430"/>
      <c r="CK470" s="430"/>
      <c r="CL470" s="430"/>
    </row>
    <row r="471" spans="63:90" ht="14.25" customHeight="1">
      <c r="BK471" s="430"/>
      <c r="BL471" s="430"/>
      <c r="BM471" s="430"/>
      <c r="BN471" s="430"/>
      <c r="BO471" s="430"/>
      <c r="BP471" s="430"/>
      <c r="BQ471" s="430"/>
      <c r="BR471" s="430"/>
      <c r="BS471" s="430"/>
      <c r="BT471" s="430"/>
      <c r="BU471" s="430"/>
      <c r="BV471" s="430"/>
      <c r="BW471" s="430"/>
      <c r="BX471" s="430"/>
      <c r="BY471" s="430"/>
      <c r="BZ471" s="430"/>
      <c r="CA471" s="430"/>
      <c r="CB471" s="430"/>
      <c r="CC471" s="430"/>
      <c r="CD471" s="430"/>
      <c r="CE471" s="430"/>
      <c r="CF471" s="430"/>
      <c r="CG471" s="430"/>
      <c r="CH471" s="430"/>
      <c r="CI471" s="430"/>
      <c r="CJ471" s="430"/>
      <c r="CK471" s="430"/>
      <c r="CL471" s="430"/>
    </row>
    <row r="472" spans="63:90" ht="14.25" customHeight="1">
      <c r="BK472" s="430"/>
      <c r="BL472" s="430"/>
      <c r="BM472" s="430"/>
      <c r="BN472" s="430"/>
      <c r="BO472" s="430"/>
      <c r="BP472" s="430"/>
      <c r="BQ472" s="430"/>
      <c r="BR472" s="430"/>
      <c r="BS472" s="430"/>
      <c r="BT472" s="430"/>
      <c r="BU472" s="430"/>
      <c r="BV472" s="430"/>
      <c r="BW472" s="430"/>
      <c r="BX472" s="430"/>
      <c r="BY472" s="430"/>
      <c r="BZ472" s="430"/>
      <c r="CA472" s="430"/>
      <c r="CB472" s="430"/>
      <c r="CC472" s="430"/>
      <c r="CD472" s="430"/>
      <c r="CE472" s="430"/>
      <c r="CF472" s="430"/>
      <c r="CG472" s="430"/>
      <c r="CH472" s="430"/>
      <c r="CI472" s="430"/>
      <c r="CJ472" s="430"/>
      <c r="CK472" s="430"/>
      <c r="CL472" s="430"/>
    </row>
    <row r="473" spans="63:90" ht="14.25" customHeight="1">
      <c r="BK473" s="430"/>
      <c r="BL473" s="430"/>
      <c r="BM473" s="430"/>
      <c r="BN473" s="430"/>
      <c r="BO473" s="430"/>
      <c r="BP473" s="430"/>
      <c r="BQ473" s="430"/>
      <c r="BR473" s="430"/>
      <c r="BS473" s="430"/>
      <c r="BT473" s="430"/>
      <c r="BU473" s="430"/>
      <c r="BV473" s="430"/>
      <c r="BW473" s="430"/>
      <c r="BX473" s="430"/>
      <c r="BY473" s="430"/>
      <c r="BZ473" s="430"/>
      <c r="CA473" s="430"/>
      <c r="CB473" s="430"/>
      <c r="CC473" s="430"/>
      <c r="CD473" s="430"/>
      <c r="CE473" s="430"/>
      <c r="CF473" s="430"/>
      <c r="CG473" s="430"/>
      <c r="CH473" s="430"/>
      <c r="CI473" s="430"/>
      <c r="CJ473" s="430"/>
      <c r="CK473" s="430"/>
      <c r="CL473" s="430"/>
    </row>
    <row r="474" spans="63:90" ht="14.25" customHeight="1">
      <c r="BK474" s="430"/>
      <c r="BL474" s="430"/>
      <c r="BM474" s="430"/>
      <c r="BN474" s="430"/>
      <c r="BO474" s="430"/>
      <c r="BP474" s="430"/>
      <c r="BQ474" s="430"/>
      <c r="BR474" s="430"/>
      <c r="BS474" s="430"/>
      <c r="BT474" s="430"/>
      <c r="BU474" s="430"/>
      <c r="BV474" s="430"/>
      <c r="BW474" s="430"/>
      <c r="BX474" s="430"/>
      <c r="BY474" s="430"/>
      <c r="BZ474" s="430"/>
      <c r="CA474" s="430"/>
      <c r="CB474" s="430"/>
      <c r="CC474" s="430"/>
      <c r="CD474" s="430"/>
      <c r="CE474" s="430"/>
      <c r="CF474" s="430"/>
      <c r="CG474" s="430"/>
      <c r="CH474" s="430"/>
      <c r="CI474" s="430"/>
      <c r="CJ474" s="430"/>
      <c r="CK474" s="430"/>
      <c r="CL474" s="430"/>
    </row>
    <row r="475" spans="63:90" ht="14.25" customHeight="1">
      <c r="BK475" s="430"/>
      <c r="BL475" s="430"/>
      <c r="BM475" s="430"/>
      <c r="BN475" s="430"/>
      <c r="BO475" s="430"/>
      <c r="BP475" s="430"/>
      <c r="BQ475" s="430"/>
      <c r="BR475" s="430"/>
      <c r="BS475" s="430"/>
      <c r="BT475" s="430"/>
      <c r="BU475" s="430"/>
      <c r="BV475" s="430"/>
      <c r="BW475" s="430"/>
      <c r="BX475" s="430"/>
      <c r="BY475" s="430"/>
      <c r="BZ475" s="430"/>
      <c r="CA475" s="430"/>
      <c r="CB475" s="430"/>
      <c r="CC475" s="430"/>
      <c r="CD475" s="430"/>
      <c r="CE475" s="430"/>
      <c r="CF475" s="430"/>
      <c r="CG475" s="430"/>
      <c r="CH475" s="430"/>
      <c r="CI475" s="430"/>
      <c r="CJ475" s="430"/>
      <c r="CK475" s="430"/>
      <c r="CL475" s="430"/>
    </row>
    <row r="476" spans="63:90" ht="14.25" customHeight="1">
      <c r="BK476" s="430"/>
      <c r="BL476" s="430"/>
      <c r="BM476" s="430"/>
      <c r="BN476" s="430"/>
      <c r="BO476" s="430"/>
      <c r="BP476" s="430"/>
      <c r="BQ476" s="430"/>
      <c r="BR476" s="430"/>
      <c r="BS476" s="430"/>
      <c r="BT476" s="430"/>
      <c r="BU476" s="430"/>
      <c r="BV476" s="430"/>
      <c r="BW476" s="430"/>
      <c r="BX476" s="430"/>
      <c r="BY476" s="430"/>
      <c r="BZ476" s="430"/>
      <c r="CA476" s="430"/>
      <c r="CB476" s="430"/>
      <c r="CC476" s="430"/>
      <c r="CD476" s="430"/>
      <c r="CE476" s="430"/>
      <c r="CF476" s="430"/>
      <c r="CG476" s="430"/>
      <c r="CH476" s="430"/>
      <c r="CI476" s="430"/>
      <c r="CJ476" s="430"/>
      <c r="CK476" s="430"/>
      <c r="CL476" s="430"/>
    </row>
    <row r="477" spans="63:90" ht="14.25" customHeight="1">
      <c r="BK477" s="430"/>
      <c r="BL477" s="430"/>
      <c r="BM477" s="430"/>
      <c r="BN477" s="430"/>
      <c r="BO477" s="430"/>
      <c r="BP477" s="430"/>
      <c r="BQ477" s="430"/>
      <c r="BR477" s="430"/>
      <c r="BS477" s="430"/>
      <c r="BT477" s="430"/>
      <c r="BU477" s="430"/>
      <c r="BV477" s="430"/>
      <c r="BW477" s="430"/>
      <c r="BX477" s="430"/>
      <c r="BY477" s="430"/>
      <c r="BZ477" s="430"/>
      <c r="CA477" s="430"/>
      <c r="CB477" s="430"/>
      <c r="CC477" s="430"/>
      <c r="CD477" s="430"/>
      <c r="CE477" s="430"/>
      <c r="CF477" s="430"/>
      <c r="CG477" s="430"/>
      <c r="CH477" s="430"/>
      <c r="CI477" s="430"/>
      <c r="CJ477" s="430"/>
      <c r="CK477" s="430"/>
      <c r="CL477" s="430"/>
    </row>
    <row r="478" spans="63:90" ht="14.25" customHeight="1">
      <c r="BK478" s="430"/>
      <c r="BL478" s="430"/>
      <c r="BM478" s="430"/>
      <c r="BN478" s="430"/>
      <c r="BO478" s="430"/>
      <c r="BP478" s="430"/>
      <c r="BQ478" s="430"/>
      <c r="BR478" s="430"/>
      <c r="BS478" s="430"/>
      <c r="BT478" s="430"/>
      <c r="BU478" s="430"/>
      <c r="BV478" s="430"/>
      <c r="BW478" s="430"/>
      <c r="BX478" s="430"/>
      <c r="BY478" s="430"/>
      <c r="BZ478" s="430"/>
      <c r="CA478" s="430"/>
      <c r="CB478" s="430"/>
      <c r="CC478" s="430"/>
      <c r="CD478" s="430"/>
      <c r="CE478" s="430"/>
      <c r="CF478" s="430"/>
      <c r="CG478" s="430"/>
      <c r="CH478" s="430"/>
      <c r="CI478" s="430"/>
      <c r="CJ478" s="430"/>
      <c r="CK478" s="430"/>
      <c r="CL478" s="430"/>
    </row>
    <row r="479" spans="63:90" ht="14.25" customHeight="1">
      <c r="BK479" s="430"/>
      <c r="BL479" s="430"/>
      <c r="BM479" s="430"/>
      <c r="BN479" s="430"/>
      <c r="BO479" s="430"/>
      <c r="BP479" s="430"/>
      <c r="BQ479" s="430"/>
      <c r="BR479" s="430"/>
      <c r="BS479" s="430"/>
      <c r="BT479" s="430"/>
      <c r="BU479" s="430"/>
      <c r="BV479" s="430"/>
      <c r="BW479" s="430"/>
      <c r="BX479" s="430"/>
      <c r="BY479" s="430"/>
      <c r="BZ479" s="430"/>
      <c r="CA479" s="430"/>
      <c r="CB479" s="430"/>
      <c r="CC479" s="430"/>
      <c r="CD479" s="430"/>
      <c r="CE479" s="430"/>
      <c r="CF479" s="430"/>
      <c r="CG479" s="430"/>
      <c r="CH479" s="430"/>
      <c r="CI479" s="430"/>
      <c r="CJ479" s="430"/>
      <c r="CK479" s="430"/>
      <c r="CL479" s="430"/>
    </row>
    <row r="480" spans="63:90" ht="14.25" customHeight="1">
      <c r="BK480" s="430"/>
      <c r="BL480" s="430"/>
      <c r="BM480" s="430"/>
      <c r="BN480" s="430"/>
      <c r="BO480" s="430"/>
      <c r="BP480" s="430"/>
      <c r="BQ480" s="430"/>
      <c r="BR480" s="430"/>
      <c r="BS480" s="430"/>
      <c r="BT480" s="430"/>
      <c r="BU480" s="430"/>
      <c r="BV480" s="430"/>
      <c r="BW480" s="430"/>
      <c r="BX480" s="430"/>
      <c r="BY480" s="430"/>
      <c r="BZ480" s="430"/>
      <c r="CA480" s="430"/>
      <c r="CB480" s="430"/>
      <c r="CC480" s="430"/>
      <c r="CD480" s="430"/>
      <c r="CE480" s="430"/>
      <c r="CF480" s="430"/>
      <c r="CG480" s="430"/>
      <c r="CH480" s="430"/>
      <c r="CI480" s="430"/>
      <c r="CJ480" s="430"/>
      <c r="CK480" s="430"/>
      <c r="CL480" s="430"/>
    </row>
    <row r="481" spans="63:90" ht="14.25" customHeight="1">
      <c r="BK481" s="430"/>
      <c r="BL481" s="430"/>
      <c r="BM481" s="430"/>
      <c r="BN481" s="430"/>
      <c r="BO481" s="430"/>
      <c r="BP481" s="430"/>
      <c r="BQ481" s="430"/>
      <c r="BR481" s="430"/>
      <c r="BS481" s="430"/>
      <c r="BT481" s="430"/>
      <c r="BU481" s="430"/>
      <c r="BV481" s="430"/>
      <c r="BW481" s="430"/>
      <c r="BX481" s="430"/>
      <c r="BY481" s="430"/>
      <c r="BZ481" s="430"/>
      <c r="CA481" s="430"/>
      <c r="CB481" s="430"/>
      <c r="CC481" s="430"/>
      <c r="CD481" s="430"/>
      <c r="CE481" s="430"/>
      <c r="CF481" s="430"/>
      <c r="CG481" s="430"/>
      <c r="CH481" s="430"/>
      <c r="CI481" s="430"/>
      <c r="CJ481" s="430"/>
      <c r="CK481" s="430"/>
      <c r="CL481" s="430"/>
    </row>
    <row r="482" spans="63:90" ht="14.25" customHeight="1">
      <c r="BK482" s="430"/>
      <c r="BL482" s="430"/>
      <c r="BM482" s="430"/>
      <c r="BN482" s="430"/>
      <c r="BO482" s="430"/>
      <c r="BP482" s="430"/>
      <c r="BQ482" s="430"/>
      <c r="BR482" s="430"/>
      <c r="BS482" s="430"/>
      <c r="BT482" s="430"/>
      <c r="BU482" s="430"/>
      <c r="BV482" s="430"/>
      <c r="BW482" s="430"/>
      <c r="BX482" s="430"/>
      <c r="BY482" s="430"/>
      <c r="BZ482" s="430"/>
      <c r="CA482" s="430"/>
      <c r="CB482" s="430"/>
      <c r="CC482" s="430"/>
      <c r="CD482" s="430"/>
      <c r="CE482" s="430"/>
      <c r="CF482" s="430"/>
      <c r="CG482" s="430"/>
      <c r="CH482" s="430"/>
      <c r="CI482" s="430"/>
      <c r="CJ482" s="430"/>
      <c r="CK482" s="430"/>
      <c r="CL482" s="430"/>
    </row>
    <row r="483" spans="63:90" ht="14.25" customHeight="1">
      <c r="BK483" s="430"/>
      <c r="BL483" s="430"/>
      <c r="BM483" s="430"/>
      <c r="BN483" s="430"/>
      <c r="BO483" s="430"/>
      <c r="BP483" s="430"/>
      <c r="BQ483" s="430"/>
      <c r="BR483" s="430"/>
      <c r="BS483" s="430"/>
      <c r="BT483" s="430"/>
      <c r="BU483" s="430"/>
      <c r="BV483" s="430"/>
      <c r="BW483" s="430"/>
      <c r="BX483" s="430"/>
      <c r="BY483" s="430"/>
      <c r="BZ483" s="430"/>
      <c r="CA483" s="430"/>
      <c r="CB483" s="430"/>
      <c r="CC483" s="430"/>
      <c r="CD483" s="430"/>
      <c r="CE483" s="430"/>
      <c r="CF483" s="430"/>
      <c r="CG483" s="430"/>
      <c r="CH483" s="430"/>
      <c r="CI483" s="430"/>
      <c r="CJ483" s="430"/>
      <c r="CK483" s="430"/>
      <c r="CL483" s="430"/>
    </row>
    <row r="484" spans="63:90" ht="14.25" customHeight="1">
      <c r="BK484" s="430"/>
      <c r="BL484" s="430"/>
      <c r="BM484" s="430"/>
      <c r="BN484" s="430"/>
      <c r="BO484" s="430"/>
      <c r="BP484" s="430"/>
      <c r="BQ484" s="430"/>
      <c r="BR484" s="430"/>
      <c r="BS484" s="430"/>
      <c r="BT484" s="430"/>
      <c r="BU484" s="430"/>
      <c r="BV484" s="430"/>
      <c r="BW484" s="430"/>
      <c r="BX484" s="430"/>
      <c r="BY484" s="430"/>
      <c r="BZ484" s="430"/>
      <c r="CA484" s="430"/>
      <c r="CB484" s="430"/>
      <c r="CC484" s="430"/>
      <c r="CD484" s="430"/>
      <c r="CE484" s="430"/>
      <c r="CF484" s="430"/>
      <c r="CG484" s="430"/>
      <c r="CH484" s="430"/>
      <c r="CI484" s="430"/>
      <c r="CJ484" s="430"/>
      <c r="CK484" s="430"/>
      <c r="CL484" s="430"/>
    </row>
    <row r="485" spans="63:90" ht="14.25" customHeight="1">
      <c r="BK485" s="430"/>
      <c r="BL485" s="430"/>
      <c r="BM485" s="430"/>
      <c r="BN485" s="430"/>
      <c r="BO485" s="430"/>
      <c r="BP485" s="430"/>
      <c r="BQ485" s="430"/>
      <c r="BR485" s="430"/>
      <c r="BS485" s="430"/>
      <c r="BT485" s="430"/>
      <c r="BU485" s="430"/>
      <c r="BV485" s="430"/>
      <c r="BW485" s="430"/>
      <c r="BX485" s="430"/>
      <c r="BY485" s="430"/>
      <c r="BZ485" s="430"/>
      <c r="CA485" s="430"/>
      <c r="CB485" s="430"/>
      <c r="CC485" s="430"/>
      <c r="CD485" s="430"/>
      <c r="CE485" s="430"/>
      <c r="CF485" s="430"/>
      <c r="CG485" s="430"/>
      <c r="CH485" s="430"/>
      <c r="CI485" s="430"/>
      <c r="CJ485" s="430"/>
      <c r="CK485" s="430"/>
      <c r="CL485" s="430"/>
    </row>
    <row r="486" spans="63:90" ht="14.25" customHeight="1">
      <c r="BK486" s="430"/>
      <c r="BL486" s="430"/>
      <c r="BM486" s="430"/>
      <c r="BN486" s="430"/>
      <c r="BO486" s="430"/>
      <c r="BP486" s="430"/>
      <c r="BQ486" s="430"/>
      <c r="BR486" s="430"/>
      <c r="BS486" s="430"/>
      <c r="BT486" s="430"/>
      <c r="BU486" s="430"/>
      <c r="BV486" s="430"/>
      <c r="BW486" s="430"/>
      <c r="BX486" s="430"/>
      <c r="BY486" s="430"/>
      <c r="BZ486" s="430"/>
      <c r="CA486" s="430"/>
      <c r="CB486" s="430"/>
      <c r="CC486" s="430"/>
      <c r="CD486" s="430"/>
      <c r="CE486" s="430"/>
      <c r="CF486" s="430"/>
      <c r="CG486" s="430"/>
      <c r="CH486" s="430"/>
      <c r="CI486" s="430"/>
      <c r="CJ486" s="430"/>
      <c r="CK486" s="430"/>
      <c r="CL486" s="430"/>
    </row>
    <row r="487" spans="63:90" ht="14.25" customHeight="1">
      <c r="BK487" s="430"/>
      <c r="BL487" s="430"/>
      <c r="BM487" s="430"/>
      <c r="BN487" s="430"/>
      <c r="BO487" s="430"/>
      <c r="BP487" s="430"/>
      <c r="BQ487" s="430"/>
      <c r="BR487" s="430"/>
      <c r="BS487" s="430"/>
      <c r="BT487" s="430"/>
      <c r="BU487" s="430"/>
      <c r="BV487" s="430"/>
      <c r="BW487" s="430"/>
      <c r="BX487" s="430"/>
      <c r="BY487" s="430"/>
      <c r="BZ487" s="430"/>
      <c r="CA487" s="430"/>
      <c r="CB487" s="430"/>
      <c r="CC487" s="430"/>
      <c r="CD487" s="430"/>
      <c r="CE487" s="430"/>
      <c r="CF487" s="430"/>
      <c r="CG487" s="430"/>
      <c r="CH487" s="430"/>
      <c r="CI487" s="430"/>
      <c r="CJ487" s="430"/>
      <c r="CK487" s="430"/>
      <c r="CL487" s="430"/>
    </row>
    <row r="488" spans="63:90" ht="14.25" customHeight="1">
      <c r="BK488" s="430"/>
      <c r="BL488" s="430"/>
      <c r="BM488" s="430"/>
      <c r="BN488" s="430"/>
      <c r="BO488" s="430"/>
      <c r="BP488" s="430"/>
      <c r="BQ488" s="430"/>
      <c r="BR488" s="430"/>
      <c r="BS488" s="430"/>
      <c r="BT488" s="430"/>
      <c r="BU488" s="430"/>
      <c r="BV488" s="430"/>
      <c r="BW488" s="430"/>
      <c r="BX488" s="430"/>
      <c r="BY488" s="430"/>
      <c r="BZ488" s="430"/>
      <c r="CA488" s="430"/>
      <c r="CB488" s="430"/>
      <c r="CC488" s="430"/>
      <c r="CD488" s="430"/>
      <c r="CE488" s="430"/>
      <c r="CF488" s="430"/>
      <c r="CG488" s="430"/>
      <c r="CH488" s="430"/>
      <c r="CI488" s="430"/>
      <c r="CJ488" s="430"/>
      <c r="CK488" s="430"/>
      <c r="CL488" s="430"/>
    </row>
    <row r="489" spans="63:90" ht="14.25" customHeight="1">
      <c r="BK489" s="430"/>
      <c r="BL489" s="430"/>
      <c r="BM489" s="430"/>
      <c r="BN489" s="430"/>
      <c r="BO489" s="430"/>
      <c r="BP489" s="430"/>
      <c r="BQ489" s="430"/>
      <c r="BR489" s="430"/>
      <c r="BS489" s="430"/>
      <c r="BT489" s="430"/>
      <c r="BU489" s="430"/>
      <c r="BV489" s="430"/>
      <c r="BW489" s="430"/>
      <c r="BX489" s="430"/>
      <c r="BY489" s="430"/>
      <c r="BZ489" s="430"/>
      <c r="CA489" s="430"/>
      <c r="CB489" s="430"/>
      <c r="CC489" s="430"/>
      <c r="CD489" s="430"/>
      <c r="CE489" s="430"/>
      <c r="CF489" s="430"/>
      <c r="CG489" s="430"/>
      <c r="CH489" s="430"/>
      <c r="CI489" s="430"/>
      <c r="CJ489" s="430"/>
      <c r="CK489" s="430"/>
      <c r="CL489" s="430"/>
    </row>
    <row r="490" spans="63:90" ht="14.25" customHeight="1">
      <c r="BK490" s="430"/>
      <c r="BL490" s="430"/>
      <c r="BM490" s="430"/>
      <c r="BN490" s="430"/>
      <c r="BO490" s="430"/>
      <c r="BP490" s="430"/>
      <c r="BQ490" s="430"/>
      <c r="BR490" s="430"/>
      <c r="BS490" s="430"/>
      <c r="BT490" s="430"/>
      <c r="BU490" s="430"/>
      <c r="BV490" s="430"/>
      <c r="BW490" s="430"/>
      <c r="BX490" s="430"/>
      <c r="BY490" s="430"/>
      <c r="BZ490" s="430"/>
      <c r="CA490" s="430"/>
      <c r="CB490" s="430"/>
      <c r="CC490" s="430"/>
      <c r="CD490" s="430"/>
      <c r="CE490" s="430"/>
      <c r="CF490" s="430"/>
      <c r="CG490" s="430"/>
      <c r="CH490" s="430"/>
      <c r="CI490" s="430"/>
      <c r="CJ490" s="430"/>
      <c r="CK490" s="430"/>
      <c r="CL490" s="430"/>
    </row>
    <row r="491" spans="63:90" ht="14.25" customHeight="1">
      <c r="BK491" s="430"/>
      <c r="BL491" s="430"/>
      <c r="BM491" s="430"/>
      <c r="BN491" s="430"/>
      <c r="BO491" s="430"/>
      <c r="BP491" s="430"/>
      <c r="BQ491" s="430"/>
      <c r="BR491" s="430"/>
      <c r="BS491" s="430"/>
      <c r="BT491" s="430"/>
      <c r="BU491" s="430"/>
      <c r="BV491" s="430"/>
      <c r="BW491" s="430"/>
      <c r="BX491" s="430"/>
      <c r="BY491" s="430"/>
      <c r="BZ491" s="430"/>
      <c r="CA491" s="430"/>
      <c r="CB491" s="430"/>
      <c r="CC491" s="430"/>
      <c r="CD491" s="430"/>
      <c r="CE491" s="430"/>
      <c r="CF491" s="430"/>
      <c r="CG491" s="430"/>
      <c r="CH491" s="430"/>
      <c r="CI491" s="430"/>
      <c r="CJ491" s="430"/>
      <c r="CK491" s="430"/>
      <c r="CL491" s="430"/>
    </row>
    <row r="492" spans="63:90" ht="14.25" customHeight="1">
      <c r="BK492" s="430"/>
      <c r="BL492" s="430"/>
      <c r="BM492" s="430"/>
      <c r="BN492" s="430"/>
      <c r="BO492" s="430"/>
      <c r="BP492" s="430"/>
      <c r="BQ492" s="430"/>
      <c r="BR492" s="430"/>
      <c r="BS492" s="430"/>
      <c r="BT492" s="430"/>
      <c r="BU492" s="430"/>
      <c r="BV492" s="430"/>
      <c r="BW492" s="430"/>
      <c r="BX492" s="430"/>
      <c r="BY492" s="430"/>
      <c r="BZ492" s="430"/>
      <c r="CA492" s="430"/>
      <c r="CB492" s="430"/>
      <c r="CC492" s="430"/>
      <c r="CD492" s="430"/>
      <c r="CE492" s="430"/>
      <c r="CF492" s="430"/>
      <c r="CG492" s="430"/>
      <c r="CH492" s="430"/>
      <c r="CI492" s="430"/>
      <c r="CJ492" s="430"/>
      <c r="CK492" s="430"/>
      <c r="CL492" s="430"/>
    </row>
    <row r="493" spans="63:90" ht="14.25" customHeight="1">
      <c r="BK493" s="430"/>
      <c r="BL493" s="430"/>
      <c r="BM493" s="430"/>
      <c r="BN493" s="430"/>
      <c r="BO493" s="430"/>
      <c r="BP493" s="430"/>
      <c r="BQ493" s="430"/>
      <c r="BR493" s="430"/>
      <c r="BS493" s="430"/>
      <c r="BT493" s="430"/>
      <c r="BU493" s="430"/>
      <c r="BV493" s="430"/>
      <c r="BW493" s="430"/>
      <c r="BX493" s="430"/>
      <c r="BY493" s="430"/>
      <c r="BZ493" s="430"/>
      <c r="CA493" s="430"/>
      <c r="CB493" s="430"/>
      <c r="CC493" s="430"/>
      <c r="CD493" s="430"/>
      <c r="CE493" s="430"/>
      <c r="CF493" s="430"/>
      <c r="CG493" s="430"/>
      <c r="CH493" s="430"/>
      <c r="CI493" s="430"/>
      <c r="CJ493" s="430"/>
      <c r="CK493" s="430"/>
      <c r="CL493" s="430"/>
    </row>
    <row r="494" spans="63:90" ht="14.25" customHeight="1">
      <c r="BK494" s="430"/>
      <c r="BL494" s="430"/>
      <c r="BM494" s="430"/>
      <c r="BN494" s="430"/>
      <c r="BO494" s="430"/>
      <c r="BP494" s="430"/>
      <c r="BQ494" s="430"/>
      <c r="BR494" s="430"/>
      <c r="BS494" s="430"/>
      <c r="BT494" s="430"/>
      <c r="BU494" s="430"/>
      <c r="BV494" s="430"/>
      <c r="BW494" s="430"/>
      <c r="BX494" s="430"/>
      <c r="BY494" s="430"/>
      <c r="BZ494" s="430"/>
      <c r="CA494" s="430"/>
      <c r="CB494" s="430"/>
      <c r="CC494" s="430"/>
      <c r="CD494" s="430"/>
      <c r="CE494" s="430"/>
      <c r="CF494" s="430"/>
      <c r="CG494" s="430"/>
      <c r="CH494" s="430"/>
      <c r="CI494" s="430"/>
      <c r="CJ494" s="430"/>
      <c r="CK494" s="430"/>
      <c r="CL494" s="430"/>
    </row>
    <row r="495" spans="63:90" ht="14.25" customHeight="1">
      <c r="BK495" s="430"/>
      <c r="BL495" s="430"/>
      <c r="BM495" s="430"/>
      <c r="BN495" s="430"/>
      <c r="BO495" s="430"/>
      <c r="BP495" s="430"/>
      <c r="BQ495" s="430"/>
      <c r="BR495" s="430"/>
      <c r="BS495" s="430"/>
      <c r="BT495" s="430"/>
      <c r="BU495" s="430"/>
      <c r="BV495" s="430"/>
      <c r="BW495" s="430"/>
      <c r="BX495" s="430"/>
      <c r="BY495" s="430"/>
      <c r="BZ495" s="430"/>
      <c r="CA495" s="430"/>
      <c r="CB495" s="430"/>
      <c r="CC495" s="430"/>
      <c r="CD495" s="430"/>
      <c r="CE495" s="430"/>
      <c r="CF495" s="430"/>
      <c r="CG495" s="430"/>
      <c r="CH495" s="430"/>
      <c r="CI495" s="430"/>
      <c r="CJ495" s="430"/>
      <c r="CK495" s="430"/>
      <c r="CL495" s="430"/>
    </row>
    <row r="496" spans="63:90" ht="14.25" customHeight="1">
      <c r="BK496" s="430"/>
      <c r="BL496" s="430"/>
      <c r="BM496" s="430"/>
      <c r="BN496" s="430"/>
      <c r="BO496" s="430"/>
      <c r="BP496" s="430"/>
      <c r="BQ496" s="430"/>
      <c r="BR496" s="430"/>
      <c r="BS496" s="430"/>
      <c r="BT496" s="430"/>
      <c r="BU496" s="430"/>
      <c r="BV496" s="430"/>
      <c r="BW496" s="430"/>
      <c r="BX496" s="430"/>
      <c r="BY496" s="430"/>
      <c r="BZ496" s="430"/>
      <c r="CA496" s="430"/>
      <c r="CB496" s="430"/>
      <c r="CC496" s="430"/>
      <c r="CD496" s="430"/>
      <c r="CE496" s="430"/>
      <c r="CF496" s="430"/>
      <c r="CG496" s="430"/>
      <c r="CH496" s="430"/>
      <c r="CI496" s="430"/>
      <c r="CJ496" s="430"/>
      <c r="CK496" s="430"/>
      <c r="CL496" s="430"/>
    </row>
    <row r="497" spans="63:90" ht="14.25" customHeight="1">
      <c r="BK497" s="430"/>
      <c r="BL497" s="430"/>
      <c r="BM497" s="430"/>
      <c r="BN497" s="430"/>
      <c r="BO497" s="430"/>
      <c r="BP497" s="430"/>
      <c r="BQ497" s="430"/>
      <c r="BR497" s="430"/>
      <c r="BS497" s="430"/>
      <c r="BT497" s="430"/>
      <c r="BU497" s="430"/>
      <c r="BV497" s="430"/>
      <c r="BW497" s="430"/>
      <c r="BX497" s="430"/>
      <c r="BY497" s="430"/>
      <c r="BZ497" s="430"/>
      <c r="CA497" s="430"/>
      <c r="CB497" s="430"/>
      <c r="CC497" s="430"/>
      <c r="CD497" s="430"/>
      <c r="CE497" s="430"/>
      <c r="CF497" s="430"/>
      <c r="CG497" s="430"/>
      <c r="CH497" s="430"/>
      <c r="CI497" s="430"/>
      <c r="CJ497" s="430"/>
      <c r="CK497" s="430"/>
      <c r="CL497" s="430"/>
    </row>
    <row r="498" spans="63:90" ht="14.25" customHeight="1">
      <c r="BK498" s="430"/>
      <c r="BL498" s="430"/>
      <c r="BM498" s="430"/>
      <c r="BN498" s="430"/>
      <c r="BO498" s="430"/>
      <c r="BP498" s="430"/>
      <c r="BQ498" s="430"/>
      <c r="BR498" s="430"/>
      <c r="BS498" s="430"/>
      <c r="BT498" s="430"/>
      <c r="BU498" s="430"/>
      <c r="BV498" s="430"/>
      <c r="BW498" s="430"/>
      <c r="BX498" s="430"/>
      <c r="BY498" s="430"/>
      <c r="BZ498" s="430"/>
      <c r="CA498" s="430"/>
      <c r="CB498" s="430"/>
      <c r="CC498" s="430"/>
      <c r="CD498" s="430"/>
      <c r="CE498" s="430"/>
      <c r="CF498" s="430"/>
      <c r="CG498" s="430"/>
      <c r="CH498" s="430"/>
      <c r="CI498" s="430"/>
      <c r="CJ498" s="430"/>
      <c r="CK498" s="430"/>
      <c r="CL498" s="430"/>
    </row>
    <row r="499" spans="63:90" ht="14.25" customHeight="1">
      <c r="BK499" s="430"/>
      <c r="BL499" s="430"/>
      <c r="BM499" s="430"/>
      <c r="BN499" s="430"/>
      <c r="BO499" s="430"/>
      <c r="BP499" s="430"/>
      <c r="BQ499" s="430"/>
      <c r="BR499" s="430"/>
      <c r="BS499" s="430"/>
      <c r="BT499" s="430"/>
      <c r="BU499" s="430"/>
      <c r="BV499" s="430"/>
      <c r="BW499" s="430"/>
      <c r="BX499" s="430"/>
      <c r="BY499" s="430"/>
      <c r="BZ499" s="430"/>
      <c r="CA499" s="430"/>
      <c r="CB499" s="430"/>
      <c r="CC499" s="430"/>
      <c r="CD499" s="430"/>
      <c r="CE499" s="430"/>
      <c r="CF499" s="430"/>
      <c r="CG499" s="430"/>
      <c r="CH499" s="430"/>
      <c r="CI499" s="430"/>
      <c r="CJ499" s="430"/>
      <c r="CK499" s="430"/>
      <c r="CL499" s="430"/>
    </row>
    <row r="500" spans="63:90" ht="14.25" customHeight="1">
      <c r="BK500" s="430"/>
      <c r="BL500" s="430"/>
      <c r="BM500" s="430"/>
      <c r="BN500" s="430"/>
      <c r="BO500" s="430"/>
      <c r="BP500" s="430"/>
      <c r="BQ500" s="430"/>
      <c r="BR500" s="430"/>
      <c r="BS500" s="430"/>
      <c r="BT500" s="430"/>
      <c r="BU500" s="430"/>
      <c r="BV500" s="430"/>
      <c r="BW500" s="430"/>
      <c r="BX500" s="430"/>
      <c r="BY500" s="430"/>
      <c r="BZ500" s="430"/>
      <c r="CA500" s="430"/>
      <c r="CB500" s="430"/>
      <c r="CC500" s="430"/>
      <c r="CD500" s="430"/>
      <c r="CE500" s="430"/>
      <c r="CF500" s="430"/>
      <c r="CG500" s="430"/>
      <c r="CH500" s="430"/>
      <c r="CI500" s="430"/>
      <c r="CJ500" s="430"/>
      <c r="CK500" s="430"/>
      <c r="CL500" s="430"/>
    </row>
    <row r="501" spans="63:90" ht="14.25" customHeight="1">
      <c r="BK501" s="430"/>
      <c r="BL501" s="430"/>
      <c r="BM501" s="430"/>
      <c r="BN501" s="430"/>
      <c r="BO501" s="430"/>
      <c r="BP501" s="430"/>
      <c r="BQ501" s="430"/>
      <c r="BR501" s="430"/>
      <c r="BS501" s="430"/>
      <c r="BT501" s="430"/>
      <c r="BU501" s="430"/>
      <c r="BV501" s="430"/>
      <c r="BW501" s="430"/>
      <c r="BX501" s="430"/>
      <c r="BY501" s="430"/>
      <c r="BZ501" s="430"/>
      <c r="CA501" s="430"/>
      <c r="CB501" s="430"/>
      <c r="CC501" s="430"/>
      <c r="CD501" s="430"/>
      <c r="CE501" s="430"/>
      <c r="CF501" s="430"/>
      <c r="CG501" s="430"/>
      <c r="CH501" s="430"/>
      <c r="CI501" s="430"/>
      <c r="CJ501" s="430"/>
      <c r="CK501" s="430"/>
      <c r="CL501" s="430"/>
    </row>
    <row r="502" spans="63:90" ht="14.25" customHeight="1">
      <c r="BK502" s="430"/>
      <c r="BL502" s="430"/>
      <c r="BM502" s="430"/>
      <c r="BN502" s="430"/>
      <c r="BO502" s="430"/>
      <c r="BP502" s="430"/>
      <c r="BQ502" s="430"/>
      <c r="BR502" s="430"/>
      <c r="BS502" s="430"/>
      <c r="BT502" s="430"/>
      <c r="BU502" s="430"/>
      <c r="BV502" s="430"/>
      <c r="BW502" s="430"/>
      <c r="BX502" s="430"/>
      <c r="BY502" s="430"/>
      <c r="BZ502" s="430"/>
      <c r="CA502" s="430"/>
      <c r="CB502" s="430"/>
      <c r="CC502" s="430"/>
      <c r="CD502" s="430"/>
      <c r="CE502" s="430"/>
      <c r="CF502" s="430"/>
      <c r="CG502" s="430"/>
      <c r="CH502" s="430"/>
      <c r="CI502" s="430"/>
      <c r="CJ502" s="430"/>
      <c r="CK502" s="430"/>
      <c r="CL502" s="430"/>
    </row>
    <row r="503" spans="63:90" ht="14.25" customHeight="1">
      <c r="BK503" s="430"/>
      <c r="BL503" s="430"/>
      <c r="BM503" s="430"/>
      <c r="BN503" s="430"/>
      <c r="BO503" s="430"/>
      <c r="BP503" s="430"/>
      <c r="BQ503" s="430"/>
      <c r="BR503" s="430"/>
      <c r="BS503" s="430"/>
      <c r="BT503" s="430"/>
      <c r="BU503" s="430"/>
      <c r="BV503" s="430"/>
      <c r="BW503" s="430"/>
      <c r="BX503" s="430"/>
      <c r="BY503" s="430"/>
      <c r="BZ503" s="430"/>
      <c r="CA503" s="430"/>
      <c r="CB503" s="430"/>
      <c r="CC503" s="430"/>
      <c r="CD503" s="430"/>
      <c r="CE503" s="430"/>
      <c r="CF503" s="430"/>
      <c r="CG503" s="430"/>
      <c r="CH503" s="430"/>
      <c r="CI503" s="430"/>
      <c r="CJ503" s="430"/>
      <c r="CK503" s="430"/>
      <c r="CL503" s="430"/>
    </row>
    <row r="504" spans="63:90" ht="14.25" customHeight="1">
      <c r="BK504" s="430"/>
      <c r="BL504" s="430"/>
      <c r="BM504" s="430"/>
      <c r="BN504" s="430"/>
      <c r="BO504" s="430"/>
      <c r="BP504" s="430"/>
      <c r="BQ504" s="430"/>
      <c r="BR504" s="430"/>
      <c r="BS504" s="430"/>
      <c r="BT504" s="430"/>
      <c r="BU504" s="430"/>
      <c r="BV504" s="430"/>
      <c r="BW504" s="430"/>
      <c r="BX504" s="430"/>
      <c r="BY504" s="430"/>
      <c r="BZ504" s="430"/>
      <c r="CA504" s="430"/>
      <c r="CB504" s="430"/>
      <c r="CC504" s="430"/>
      <c r="CD504" s="430"/>
      <c r="CE504" s="430"/>
      <c r="CF504" s="430"/>
      <c r="CG504" s="430"/>
      <c r="CH504" s="430"/>
      <c r="CI504" s="430"/>
      <c r="CJ504" s="430"/>
      <c r="CK504" s="430"/>
      <c r="CL504" s="430"/>
    </row>
    <row r="505" spans="63:90" ht="14.25" customHeight="1">
      <c r="BK505" s="430"/>
      <c r="BL505" s="430"/>
      <c r="BM505" s="430"/>
      <c r="BN505" s="430"/>
      <c r="BO505" s="430"/>
      <c r="BP505" s="430"/>
      <c r="BQ505" s="430"/>
      <c r="BR505" s="430"/>
      <c r="BS505" s="430"/>
      <c r="BT505" s="430"/>
      <c r="BU505" s="430"/>
      <c r="BV505" s="430"/>
      <c r="BW505" s="430"/>
      <c r="BX505" s="430"/>
      <c r="BY505" s="430"/>
      <c r="BZ505" s="430"/>
      <c r="CA505" s="430"/>
      <c r="CB505" s="430"/>
      <c r="CC505" s="430"/>
      <c r="CD505" s="430"/>
      <c r="CE505" s="430"/>
      <c r="CF505" s="430"/>
      <c r="CG505" s="430"/>
      <c r="CH505" s="430"/>
      <c r="CI505" s="430"/>
      <c r="CJ505" s="430"/>
      <c r="CK505" s="430"/>
      <c r="CL505" s="430"/>
    </row>
    <row r="506" spans="63:90" ht="14.25" customHeight="1">
      <c r="BK506" s="430"/>
      <c r="BL506" s="430"/>
      <c r="BM506" s="430"/>
      <c r="BN506" s="430"/>
      <c r="BO506" s="430"/>
      <c r="BP506" s="430"/>
      <c r="BQ506" s="430"/>
      <c r="BR506" s="430"/>
      <c r="BS506" s="430"/>
      <c r="BT506" s="430"/>
      <c r="BU506" s="430"/>
      <c r="BV506" s="430"/>
      <c r="BW506" s="430"/>
      <c r="BX506" s="430"/>
      <c r="BY506" s="430"/>
      <c r="BZ506" s="430"/>
      <c r="CA506" s="430"/>
      <c r="CB506" s="430"/>
      <c r="CC506" s="430"/>
      <c r="CD506" s="430"/>
      <c r="CE506" s="430"/>
      <c r="CF506" s="430"/>
      <c r="CG506" s="430"/>
      <c r="CH506" s="430"/>
      <c r="CI506" s="430"/>
      <c r="CJ506" s="430"/>
      <c r="CK506" s="430"/>
      <c r="CL506" s="430"/>
    </row>
    <row r="507" spans="63:90" ht="14.25" customHeight="1">
      <c r="BK507" s="430"/>
      <c r="BL507" s="430"/>
      <c r="BM507" s="430"/>
      <c r="BN507" s="430"/>
      <c r="BO507" s="430"/>
      <c r="BP507" s="430"/>
      <c r="BQ507" s="430"/>
      <c r="BR507" s="430"/>
      <c r="BS507" s="430"/>
      <c r="BT507" s="430"/>
      <c r="BU507" s="430"/>
      <c r="BV507" s="430"/>
      <c r="BW507" s="430"/>
      <c r="BX507" s="430"/>
      <c r="BY507" s="430"/>
      <c r="BZ507" s="430"/>
      <c r="CA507" s="430"/>
      <c r="CB507" s="430"/>
      <c r="CC507" s="430"/>
      <c r="CD507" s="430"/>
      <c r="CE507" s="430"/>
      <c r="CF507" s="430"/>
      <c r="CG507" s="430"/>
      <c r="CH507" s="430"/>
      <c r="CI507" s="430"/>
      <c r="CJ507" s="430"/>
      <c r="CK507" s="430"/>
      <c r="CL507" s="430"/>
    </row>
    <row r="508" spans="63:90" ht="14.25" customHeight="1">
      <c r="BK508" s="430"/>
      <c r="BL508" s="430"/>
      <c r="BM508" s="430"/>
      <c r="BN508" s="430"/>
      <c r="BO508" s="430"/>
      <c r="BP508" s="430"/>
      <c r="BQ508" s="430"/>
      <c r="BR508" s="430"/>
      <c r="BS508" s="430"/>
      <c r="BT508" s="430"/>
      <c r="BU508" s="430"/>
      <c r="BV508" s="430"/>
      <c r="BW508" s="430"/>
      <c r="BX508" s="430"/>
      <c r="BY508" s="430"/>
      <c r="BZ508" s="430"/>
      <c r="CA508" s="430"/>
      <c r="CB508" s="430"/>
      <c r="CC508" s="430"/>
      <c r="CD508" s="430"/>
      <c r="CE508" s="430"/>
      <c r="CF508" s="430"/>
      <c r="CG508" s="430"/>
      <c r="CH508" s="430"/>
      <c r="CI508" s="430"/>
      <c r="CJ508" s="430"/>
      <c r="CK508" s="430"/>
      <c r="CL508" s="430"/>
    </row>
    <row r="509" spans="63:90" ht="14.25" customHeight="1">
      <c r="BK509" s="430"/>
      <c r="BL509" s="430"/>
      <c r="BM509" s="430"/>
      <c r="BN509" s="430"/>
      <c r="BO509" s="430"/>
      <c r="BP509" s="430"/>
      <c r="BQ509" s="430"/>
      <c r="BR509" s="430"/>
      <c r="BS509" s="430"/>
      <c r="BT509" s="430"/>
      <c r="BU509" s="430"/>
      <c r="BV509" s="430"/>
      <c r="BW509" s="430"/>
      <c r="BX509" s="430"/>
      <c r="BY509" s="430"/>
      <c r="BZ509" s="430"/>
      <c r="CA509" s="430"/>
      <c r="CB509" s="430"/>
      <c r="CC509" s="430"/>
      <c r="CD509" s="430"/>
      <c r="CE509" s="430"/>
      <c r="CF509" s="430"/>
      <c r="CG509" s="430"/>
      <c r="CH509" s="430"/>
      <c r="CI509" s="430"/>
      <c r="CJ509" s="430"/>
      <c r="CK509" s="430"/>
      <c r="CL509" s="430"/>
    </row>
    <row r="510" spans="63:90" ht="14.25" customHeight="1">
      <c r="BK510" s="430"/>
      <c r="BL510" s="430"/>
      <c r="BM510" s="430"/>
      <c r="BN510" s="430"/>
      <c r="BO510" s="430"/>
      <c r="BP510" s="430"/>
      <c r="BQ510" s="430"/>
      <c r="BR510" s="430"/>
      <c r="BS510" s="430"/>
      <c r="BT510" s="430"/>
      <c r="BU510" s="430"/>
      <c r="BV510" s="430"/>
      <c r="BW510" s="430"/>
      <c r="BX510" s="430"/>
      <c r="BY510" s="430"/>
      <c r="BZ510" s="430"/>
      <c r="CA510" s="430"/>
      <c r="CB510" s="430"/>
      <c r="CC510" s="430"/>
      <c r="CD510" s="430"/>
      <c r="CE510" s="430"/>
      <c r="CF510" s="430"/>
      <c r="CG510" s="430"/>
      <c r="CH510" s="430"/>
      <c r="CI510" s="430"/>
      <c r="CJ510" s="430"/>
      <c r="CK510" s="430"/>
      <c r="CL510" s="430"/>
    </row>
    <row r="511" spans="63:90" ht="14.25" customHeight="1">
      <c r="BK511" s="430"/>
      <c r="BL511" s="430"/>
      <c r="BM511" s="430"/>
      <c r="BN511" s="430"/>
      <c r="BO511" s="430"/>
      <c r="BP511" s="430"/>
      <c r="BQ511" s="430"/>
      <c r="BR511" s="430"/>
      <c r="BS511" s="430"/>
      <c r="BT511" s="430"/>
      <c r="BU511" s="430"/>
      <c r="BV511" s="430"/>
      <c r="BW511" s="430"/>
      <c r="BX511" s="430"/>
      <c r="BY511" s="430"/>
      <c r="BZ511" s="430"/>
      <c r="CA511" s="430"/>
      <c r="CB511" s="430"/>
      <c r="CC511" s="430"/>
      <c r="CD511" s="430"/>
      <c r="CE511" s="430"/>
      <c r="CF511" s="430"/>
      <c r="CG511" s="430"/>
      <c r="CH511" s="430"/>
      <c r="CI511" s="430"/>
      <c r="CJ511" s="430"/>
      <c r="CK511" s="430"/>
      <c r="CL511" s="430"/>
    </row>
    <row r="512" spans="63:90" ht="14.25" customHeight="1">
      <c r="BK512" s="430"/>
      <c r="BL512" s="430"/>
      <c r="BM512" s="430"/>
      <c r="BN512" s="430"/>
      <c r="BO512" s="430"/>
      <c r="BP512" s="430"/>
      <c r="BQ512" s="430"/>
      <c r="BR512" s="430"/>
      <c r="BS512" s="430"/>
      <c r="BT512" s="430"/>
      <c r="BU512" s="430"/>
      <c r="BV512" s="430"/>
      <c r="BW512" s="430"/>
      <c r="BX512" s="430"/>
      <c r="BY512" s="430"/>
      <c r="BZ512" s="430"/>
      <c r="CA512" s="430"/>
      <c r="CB512" s="430"/>
      <c r="CC512" s="430"/>
      <c r="CD512" s="430"/>
      <c r="CE512" s="430"/>
      <c r="CF512" s="430"/>
      <c r="CG512" s="430"/>
      <c r="CH512" s="430"/>
      <c r="CI512" s="430"/>
      <c r="CJ512" s="430"/>
      <c r="CK512" s="430"/>
      <c r="CL512" s="430"/>
    </row>
    <row r="513" spans="63:90" ht="14.25" customHeight="1">
      <c r="BK513" s="430"/>
      <c r="BL513" s="430"/>
      <c r="BM513" s="430"/>
      <c r="BN513" s="430"/>
      <c r="BO513" s="430"/>
      <c r="BP513" s="430"/>
      <c r="BQ513" s="430"/>
      <c r="BR513" s="430"/>
      <c r="BS513" s="430"/>
      <c r="BT513" s="430"/>
      <c r="BU513" s="430"/>
      <c r="BV513" s="430"/>
      <c r="BW513" s="430"/>
      <c r="BX513" s="430"/>
      <c r="BY513" s="430"/>
      <c r="BZ513" s="430"/>
      <c r="CA513" s="430"/>
      <c r="CB513" s="430"/>
      <c r="CC513" s="430"/>
      <c r="CD513" s="430"/>
      <c r="CE513" s="430"/>
      <c r="CF513" s="430"/>
      <c r="CG513" s="430"/>
      <c r="CH513" s="430"/>
      <c r="CI513" s="430"/>
      <c r="CJ513" s="430"/>
      <c r="CK513" s="430"/>
      <c r="CL513" s="430"/>
    </row>
    <row r="514" spans="63:90" ht="14.25" customHeight="1">
      <c r="BK514" s="430"/>
      <c r="BL514" s="430"/>
      <c r="BM514" s="430"/>
      <c r="BN514" s="430"/>
      <c r="BO514" s="430"/>
      <c r="BP514" s="430"/>
      <c r="BQ514" s="430"/>
      <c r="BR514" s="430"/>
      <c r="BS514" s="430"/>
      <c r="BT514" s="430"/>
      <c r="BU514" s="430"/>
      <c r="BV514" s="430"/>
      <c r="BW514" s="430"/>
      <c r="BX514" s="430"/>
      <c r="BY514" s="430"/>
      <c r="BZ514" s="430"/>
      <c r="CA514" s="430"/>
      <c r="CB514" s="430"/>
      <c r="CC514" s="430"/>
      <c r="CD514" s="430"/>
      <c r="CE514" s="430"/>
      <c r="CF514" s="430"/>
      <c r="CG514" s="430"/>
      <c r="CH514" s="430"/>
      <c r="CI514" s="430"/>
      <c r="CJ514" s="430"/>
      <c r="CK514" s="430"/>
      <c r="CL514" s="430"/>
    </row>
    <row r="515" spans="63:90" ht="14.25" customHeight="1">
      <c r="BK515" s="430"/>
      <c r="BL515" s="430"/>
      <c r="BM515" s="430"/>
      <c r="BN515" s="430"/>
      <c r="BO515" s="430"/>
      <c r="BP515" s="430"/>
      <c r="BQ515" s="430"/>
      <c r="BR515" s="430"/>
      <c r="BS515" s="430"/>
      <c r="BT515" s="430"/>
      <c r="BU515" s="430"/>
      <c r="BV515" s="430"/>
      <c r="BW515" s="430"/>
      <c r="BX515" s="430"/>
      <c r="BY515" s="430"/>
      <c r="BZ515" s="430"/>
      <c r="CA515" s="430"/>
      <c r="CB515" s="430"/>
      <c r="CC515" s="430"/>
      <c r="CD515" s="430"/>
      <c r="CE515" s="430"/>
      <c r="CF515" s="430"/>
      <c r="CG515" s="430"/>
      <c r="CH515" s="430"/>
      <c r="CI515" s="430"/>
      <c r="CJ515" s="430"/>
      <c r="CK515" s="430"/>
      <c r="CL515" s="430"/>
    </row>
    <row r="516" spans="63:90" ht="14.25" customHeight="1">
      <c r="BK516" s="430"/>
      <c r="BL516" s="430"/>
      <c r="BM516" s="430"/>
      <c r="BN516" s="430"/>
      <c r="BO516" s="430"/>
      <c r="BP516" s="430"/>
      <c r="BQ516" s="430"/>
      <c r="BR516" s="430"/>
      <c r="BS516" s="430"/>
      <c r="BT516" s="430"/>
      <c r="BU516" s="430"/>
      <c r="BV516" s="430"/>
      <c r="BW516" s="430"/>
      <c r="BX516" s="430"/>
      <c r="BY516" s="430"/>
      <c r="BZ516" s="430"/>
      <c r="CA516" s="430"/>
      <c r="CB516" s="430"/>
      <c r="CC516" s="430"/>
      <c r="CD516" s="430"/>
      <c r="CE516" s="430"/>
      <c r="CF516" s="430"/>
      <c r="CG516" s="430"/>
      <c r="CH516" s="430"/>
      <c r="CI516" s="430"/>
      <c r="CJ516" s="430"/>
      <c r="CK516" s="430"/>
      <c r="CL516" s="430"/>
    </row>
    <row r="517" spans="63:90" ht="14.25" customHeight="1">
      <c r="BK517" s="430"/>
      <c r="BL517" s="430"/>
      <c r="BM517" s="430"/>
      <c r="BN517" s="430"/>
      <c r="BO517" s="430"/>
      <c r="BP517" s="430"/>
      <c r="BQ517" s="430"/>
      <c r="BR517" s="430"/>
      <c r="BS517" s="430"/>
      <c r="BT517" s="430"/>
      <c r="BU517" s="430"/>
      <c r="BV517" s="430"/>
      <c r="BW517" s="430"/>
      <c r="BX517" s="430"/>
      <c r="BY517" s="430"/>
      <c r="BZ517" s="430"/>
      <c r="CA517" s="430"/>
      <c r="CB517" s="430"/>
      <c r="CC517" s="430"/>
      <c r="CD517" s="430"/>
      <c r="CE517" s="430"/>
      <c r="CF517" s="430"/>
      <c r="CG517" s="430"/>
      <c r="CH517" s="430"/>
      <c r="CI517" s="430"/>
      <c r="CJ517" s="430"/>
      <c r="CK517" s="430"/>
      <c r="CL517" s="430"/>
    </row>
    <row r="518" spans="63:90" ht="14.25" customHeight="1">
      <c r="BK518" s="430"/>
      <c r="BL518" s="430"/>
      <c r="BM518" s="430"/>
      <c r="BN518" s="430"/>
      <c r="BO518" s="430"/>
      <c r="BP518" s="430"/>
      <c r="BQ518" s="430"/>
      <c r="BR518" s="430"/>
      <c r="BS518" s="430"/>
      <c r="BT518" s="430"/>
      <c r="BU518" s="430"/>
      <c r="BV518" s="430"/>
      <c r="BW518" s="430"/>
      <c r="BX518" s="430"/>
      <c r="BY518" s="430"/>
      <c r="BZ518" s="430"/>
      <c r="CA518" s="430"/>
      <c r="CB518" s="430"/>
      <c r="CC518" s="430"/>
      <c r="CD518" s="430"/>
      <c r="CE518" s="430"/>
      <c r="CF518" s="430"/>
      <c r="CG518" s="430"/>
      <c r="CH518" s="430"/>
      <c r="CI518" s="430"/>
      <c r="CJ518" s="430"/>
      <c r="CK518" s="430"/>
      <c r="CL518" s="430"/>
    </row>
    <row r="519" spans="63:90" ht="14.25" customHeight="1">
      <c r="BK519" s="430"/>
      <c r="BL519" s="430"/>
      <c r="BM519" s="430"/>
      <c r="BN519" s="430"/>
      <c r="BO519" s="430"/>
      <c r="BP519" s="430"/>
      <c r="BQ519" s="430"/>
      <c r="BR519" s="430"/>
      <c r="BS519" s="430"/>
      <c r="BT519" s="430"/>
      <c r="BU519" s="430"/>
      <c r="BV519" s="430"/>
      <c r="BW519" s="430"/>
      <c r="BX519" s="430"/>
      <c r="BY519" s="430"/>
      <c r="BZ519" s="430"/>
      <c r="CA519" s="430"/>
      <c r="CB519" s="430"/>
      <c r="CC519" s="430"/>
      <c r="CD519" s="430"/>
      <c r="CE519" s="430"/>
      <c r="CF519" s="430"/>
      <c r="CG519" s="430"/>
      <c r="CH519" s="430"/>
      <c r="CI519" s="430"/>
      <c r="CJ519" s="430"/>
      <c r="CK519" s="430"/>
      <c r="CL519" s="430"/>
    </row>
    <row r="520" spans="63:90" ht="14.25" customHeight="1">
      <c r="BK520" s="430"/>
      <c r="BL520" s="430"/>
      <c r="BM520" s="430"/>
      <c r="BN520" s="430"/>
      <c r="BO520" s="430"/>
      <c r="BP520" s="430"/>
      <c r="BQ520" s="430"/>
      <c r="BR520" s="430"/>
      <c r="BS520" s="430"/>
      <c r="BT520" s="430"/>
      <c r="BU520" s="430"/>
      <c r="BV520" s="430"/>
      <c r="BW520" s="430"/>
      <c r="BX520" s="430"/>
      <c r="BY520" s="430"/>
      <c r="BZ520" s="430"/>
      <c r="CA520" s="430"/>
      <c r="CB520" s="430"/>
      <c r="CC520" s="430"/>
      <c r="CD520" s="430"/>
      <c r="CE520" s="430"/>
      <c r="CF520" s="430"/>
      <c r="CG520" s="430"/>
      <c r="CH520" s="430"/>
      <c r="CI520" s="430"/>
      <c r="CJ520" s="430"/>
      <c r="CK520" s="430"/>
      <c r="CL520" s="430"/>
    </row>
    <row r="521" spans="63:90" ht="14.25" customHeight="1">
      <c r="BK521" s="430"/>
      <c r="BL521" s="430"/>
      <c r="BM521" s="430"/>
      <c r="BN521" s="430"/>
      <c r="BO521" s="430"/>
      <c r="BP521" s="430"/>
      <c r="BQ521" s="430"/>
      <c r="BR521" s="430"/>
      <c r="BS521" s="430"/>
      <c r="BT521" s="430"/>
      <c r="BU521" s="430"/>
      <c r="BV521" s="430"/>
      <c r="BW521" s="430"/>
      <c r="BX521" s="430"/>
      <c r="BY521" s="430"/>
      <c r="BZ521" s="430"/>
      <c r="CA521" s="430"/>
      <c r="CB521" s="430"/>
      <c r="CC521" s="430"/>
      <c r="CD521" s="430"/>
      <c r="CE521" s="430"/>
      <c r="CF521" s="430"/>
      <c r="CG521" s="430"/>
      <c r="CH521" s="430"/>
      <c r="CI521" s="430"/>
      <c r="CJ521" s="430"/>
      <c r="CK521" s="430"/>
      <c r="CL521" s="430"/>
    </row>
    <row r="522" spans="63:90" ht="14.25" customHeight="1">
      <c r="BK522" s="430"/>
      <c r="BL522" s="430"/>
      <c r="BM522" s="430"/>
      <c r="BN522" s="430"/>
      <c r="BO522" s="430"/>
      <c r="BP522" s="430"/>
      <c r="BQ522" s="430"/>
      <c r="BR522" s="430"/>
      <c r="BS522" s="430"/>
      <c r="BT522" s="430"/>
      <c r="BU522" s="430"/>
      <c r="BV522" s="430"/>
      <c r="BW522" s="430"/>
      <c r="BX522" s="430"/>
      <c r="BY522" s="430"/>
      <c r="BZ522" s="430"/>
      <c r="CA522" s="430"/>
      <c r="CB522" s="430"/>
      <c r="CC522" s="430"/>
      <c r="CD522" s="430"/>
      <c r="CE522" s="430"/>
      <c r="CF522" s="430"/>
      <c r="CG522" s="430"/>
      <c r="CH522" s="430"/>
      <c r="CI522" s="430"/>
      <c r="CJ522" s="430"/>
      <c r="CK522" s="430"/>
      <c r="CL522" s="430"/>
    </row>
    <row r="523" spans="63:90" ht="14.25" customHeight="1">
      <c r="BK523" s="430"/>
      <c r="BL523" s="430"/>
      <c r="BM523" s="430"/>
      <c r="BN523" s="430"/>
      <c r="BO523" s="430"/>
      <c r="BP523" s="430"/>
      <c r="BQ523" s="430"/>
      <c r="BR523" s="430"/>
      <c r="BS523" s="430"/>
      <c r="BT523" s="430"/>
      <c r="BU523" s="430"/>
      <c r="BV523" s="430"/>
      <c r="BW523" s="430"/>
      <c r="BX523" s="430"/>
      <c r="BY523" s="430"/>
      <c r="BZ523" s="430"/>
      <c r="CA523" s="430"/>
      <c r="CB523" s="430"/>
      <c r="CC523" s="430"/>
      <c r="CD523" s="430"/>
      <c r="CE523" s="430"/>
      <c r="CF523" s="430"/>
      <c r="CG523" s="430"/>
      <c r="CH523" s="430"/>
      <c r="CI523" s="430"/>
      <c r="CJ523" s="430"/>
      <c r="CK523" s="430"/>
      <c r="CL523" s="430"/>
    </row>
    <row r="524" spans="63:90" ht="14.25" customHeight="1">
      <c r="BK524" s="430"/>
      <c r="BL524" s="430"/>
      <c r="BM524" s="430"/>
      <c r="BN524" s="430"/>
      <c r="BO524" s="430"/>
      <c r="BP524" s="430"/>
      <c r="BQ524" s="430"/>
      <c r="BR524" s="430"/>
      <c r="BS524" s="430"/>
      <c r="BT524" s="430"/>
      <c r="BU524" s="430"/>
      <c r="BV524" s="430"/>
      <c r="BW524" s="430"/>
      <c r="BX524" s="430"/>
      <c r="BY524" s="430"/>
      <c r="BZ524" s="430"/>
      <c r="CA524" s="430"/>
      <c r="CB524" s="430"/>
      <c r="CC524" s="430"/>
      <c r="CD524" s="430"/>
      <c r="CE524" s="430"/>
      <c r="CF524" s="430"/>
      <c r="CG524" s="430"/>
      <c r="CH524" s="430"/>
      <c r="CI524" s="430"/>
      <c r="CJ524" s="430"/>
      <c r="CK524" s="430"/>
      <c r="CL524" s="430"/>
    </row>
    <row r="525" spans="63:90" ht="14.25" customHeight="1">
      <c r="BK525" s="430"/>
      <c r="BL525" s="430"/>
      <c r="BM525" s="430"/>
      <c r="BN525" s="430"/>
      <c r="BO525" s="430"/>
      <c r="BP525" s="430"/>
      <c r="BQ525" s="430"/>
      <c r="BR525" s="430"/>
      <c r="BS525" s="430"/>
      <c r="BT525" s="430"/>
      <c r="BU525" s="430"/>
      <c r="BV525" s="430"/>
      <c r="BW525" s="430"/>
      <c r="BX525" s="430"/>
      <c r="BY525" s="430"/>
      <c r="BZ525" s="430"/>
      <c r="CA525" s="430"/>
      <c r="CB525" s="430"/>
      <c r="CC525" s="430"/>
      <c r="CD525" s="430"/>
      <c r="CE525" s="430"/>
      <c r="CF525" s="430"/>
      <c r="CG525" s="430"/>
      <c r="CH525" s="430"/>
      <c r="CI525" s="430"/>
      <c r="CJ525" s="430"/>
      <c r="CK525" s="430"/>
      <c r="CL525" s="430"/>
    </row>
    <row r="526" spans="63:90" ht="14.25" customHeight="1">
      <c r="BK526" s="430"/>
      <c r="BL526" s="430"/>
      <c r="BM526" s="430"/>
      <c r="BN526" s="430"/>
      <c r="BO526" s="430"/>
      <c r="BP526" s="430"/>
      <c r="BQ526" s="430"/>
      <c r="BR526" s="430"/>
      <c r="BS526" s="430"/>
      <c r="BT526" s="430"/>
      <c r="BU526" s="430"/>
      <c r="BV526" s="430"/>
      <c r="BW526" s="430"/>
      <c r="BX526" s="430"/>
      <c r="BY526" s="430"/>
      <c r="BZ526" s="430"/>
      <c r="CA526" s="430"/>
      <c r="CB526" s="430"/>
      <c r="CC526" s="430"/>
      <c r="CD526" s="430"/>
      <c r="CE526" s="430"/>
      <c r="CF526" s="430"/>
      <c r="CG526" s="430"/>
      <c r="CH526" s="430"/>
      <c r="CI526" s="430"/>
      <c r="CJ526" s="430"/>
      <c r="CK526" s="430"/>
      <c r="CL526" s="430"/>
    </row>
    <row r="527" spans="63:90" ht="14.25" customHeight="1">
      <c r="BK527" s="430"/>
      <c r="BL527" s="430"/>
      <c r="BM527" s="430"/>
      <c r="BN527" s="430"/>
      <c r="BO527" s="430"/>
      <c r="BP527" s="430"/>
      <c r="BQ527" s="430"/>
      <c r="BR527" s="430"/>
      <c r="BS527" s="430"/>
      <c r="BT527" s="430"/>
      <c r="BU527" s="430"/>
      <c r="BV527" s="430"/>
      <c r="BW527" s="430"/>
      <c r="BX527" s="430"/>
      <c r="BY527" s="430"/>
      <c r="BZ527" s="430"/>
      <c r="CA527" s="430"/>
      <c r="CB527" s="430"/>
      <c r="CC527" s="430"/>
      <c r="CD527" s="430"/>
      <c r="CE527" s="430"/>
      <c r="CF527" s="430"/>
      <c r="CG527" s="430"/>
      <c r="CH527" s="430"/>
      <c r="CI527" s="430"/>
      <c r="CJ527" s="430"/>
      <c r="CK527" s="430"/>
      <c r="CL527" s="430"/>
    </row>
    <row r="528" spans="63:90" ht="14.25" customHeight="1">
      <c r="BK528" s="430"/>
      <c r="BL528" s="430"/>
      <c r="BM528" s="430"/>
      <c r="BN528" s="430"/>
      <c r="BO528" s="430"/>
      <c r="BP528" s="430"/>
      <c r="BQ528" s="430"/>
      <c r="BR528" s="430"/>
      <c r="BS528" s="430"/>
      <c r="BT528" s="430"/>
      <c r="BU528" s="430"/>
      <c r="BV528" s="430"/>
      <c r="BW528" s="430"/>
      <c r="BX528" s="430"/>
      <c r="BY528" s="430"/>
      <c r="BZ528" s="430"/>
      <c r="CA528" s="430"/>
      <c r="CB528" s="430"/>
      <c r="CC528" s="430"/>
      <c r="CD528" s="430"/>
      <c r="CE528" s="430"/>
      <c r="CF528" s="430"/>
      <c r="CG528" s="430"/>
      <c r="CH528" s="430"/>
      <c r="CI528" s="430"/>
      <c r="CJ528" s="430"/>
      <c r="CK528" s="430"/>
      <c r="CL528" s="430"/>
    </row>
    <row r="529" spans="63:90" ht="14.25" customHeight="1">
      <c r="BK529" s="430"/>
      <c r="BL529" s="430"/>
      <c r="BM529" s="430"/>
      <c r="BN529" s="430"/>
      <c r="BO529" s="430"/>
      <c r="BP529" s="430"/>
      <c r="BQ529" s="430"/>
      <c r="BR529" s="430"/>
      <c r="BS529" s="430"/>
      <c r="BT529" s="430"/>
      <c r="BU529" s="430"/>
      <c r="BV529" s="430"/>
      <c r="BW529" s="430"/>
      <c r="BX529" s="430"/>
      <c r="BY529" s="430"/>
      <c r="BZ529" s="430"/>
      <c r="CA529" s="430"/>
      <c r="CB529" s="430"/>
      <c r="CC529" s="430"/>
      <c r="CD529" s="430"/>
      <c r="CE529" s="430"/>
      <c r="CF529" s="430"/>
      <c r="CG529" s="430"/>
      <c r="CH529" s="430"/>
      <c r="CI529" s="430"/>
      <c r="CJ529" s="430"/>
      <c r="CK529" s="430"/>
      <c r="CL529" s="430"/>
    </row>
    <row r="530" spans="63:90" ht="14.25" customHeight="1">
      <c r="BK530" s="430"/>
      <c r="BL530" s="430"/>
      <c r="BM530" s="430"/>
      <c r="BN530" s="430"/>
      <c r="BO530" s="430"/>
      <c r="BP530" s="430"/>
      <c r="BQ530" s="430"/>
      <c r="BR530" s="430"/>
      <c r="BS530" s="430"/>
      <c r="BT530" s="430"/>
      <c r="BU530" s="430"/>
      <c r="BV530" s="430"/>
      <c r="BW530" s="430"/>
      <c r="BX530" s="430"/>
      <c r="BY530" s="430"/>
      <c r="BZ530" s="430"/>
      <c r="CA530" s="430"/>
      <c r="CB530" s="430"/>
      <c r="CC530" s="430"/>
      <c r="CD530" s="430"/>
      <c r="CE530" s="430"/>
      <c r="CF530" s="430"/>
      <c r="CG530" s="430"/>
      <c r="CH530" s="430"/>
      <c r="CI530" s="430"/>
      <c r="CJ530" s="430"/>
      <c r="CK530" s="430"/>
      <c r="CL530" s="430"/>
    </row>
    <row r="531" spans="63:90" ht="14.25" customHeight="1">
      <c r="BK531" s="430"/>
      <c r="BL531" s="430"/>
      <c r="BM531" s="430"/>
      <c r="BN531" s="430"/>
      <c r="BO531" s="430"/>
      <c r="BP531" s="430"/>
      <c r="BQ531" s="430"/>
      <c r="BR531" s="430"/>
      <c r="BS531" s="430"/>
      <c r="BT531" s="430"/>
      <c r="BU531" s="430"/>
      <c r="BV531" s="430"/>
      <c r="BW531" s="430"/>
      <c r="BX531" s="430"/>
      <c r="BY531" s="430"/>
      <c r="BZ531" s="430"/>
      <c r="CA531" s="430"/>
      <c r="CB531" s="430"/>
      <c r="CC531" s="430"/>
      <c r="CD531" s="430"/>
      <c r="CE531" s="430"/>
      <c r="CF531" s="430"/>
      <c r="CG531" s="430"/>
      <c r="CH531" s="430"/>
      <c r="CI531" s="430"/>
      <c r="CJ531" s="430"/>
      <c r="CK531" s="430"/>
      <c r="CL531" s="430"/>
    </row>
    <row r="532" spans="63:90" ht="14.25" customHeight="1">
      <c r="BK532" s="430"/>
      <c r="BL532" s="430"/>
      <c r="BM532" s="430"/>
      <c r="BN532" s="430"/>
      <c r="BO532" s="430"/>
      <c r="BP532" s="430"/>
      <c r="BQ532" s="430"/>
      <c r="BR532" s="430"/>
      <c r="BS532" s="430"/>
      <c r="BT532" s="430"/>
      <c r="BU532" s="430"/>
      <c r="BV532" s="430"/>
      <c r="BW532" s="430"/>
      <c r="BX532" s="430"/>
      <c r="BY532" s="430"/>
      <c r="BZ532" s="430"/>
      <c r="CA532" s="430"/>
      <c r="CB532" s="430"/>
      <c r="CC532" s="430"/>
      <c r="CD532" s="430"/>
      <c r="CE532" s="430"/>
      <c r="CF532" s="430"/>
      <c r="CG532" s="430"/>
      <c r="CH532" s="430"/>
      <c r="CI532" s="430"/>
      <c r="CJ532" s="430"/>
      <c r="CK532" s="430"/>
      <c r="CL532" s="430"/>
    </row>
    <row r="533" spans="63:90" ht="14.25" customHeight="1">
      <c r="BK533" s="430"/>
      <c r="BL533" s="430"/>
      <c r="BM533" s="430"/>
      <c r="BN533" s="430"/>
      <c r="BO533" s="430"/>
      <c r="BP533" s="430"/>
      <c r="BQ533" s="430"/>
      <c r="BR533" s="430"/>
      <c r="BS533" s="430"/>
      <c r="BT533" s="430"/>
      <c r="BU533" s="430"/>
      <c r="BV533" s="430"/>
      <c r="BW533" s="430"/>
      <c r="BX533" s="430"/>
      <c r="BY533" s="430"/>
      <c r="BZ533" s="430"/>
      <c r="CA533" s="430"/>
      <c r="CB533" s="430"/>
      <c r="CC533" s="430"/>
      <c r="CD533" s="430"/>
      <c r="CE533" s="430"/>
      <c r="CF533" s="430"/>
      <c r="CG533" s="430"/>
      <c r="CH533" s="430"/>
      <c r="CI533" s="430"/>
      <c r="CJ533" s="430"/>
      <c r="CK533" s="430"/>
      <c r="CL533" s="430"/>
    </row>
    <row r="534" spans="63:90" ht="14.25" customHeight="1">
      <c r="BK534" s="430"/>
      <c r="BL534" s="430"/>
      <c r="BM534" s="430"/>
      <c r="BN534" s="430"/>
      <c r="BO534" s="430"/>
      <c r="BP534" s="430"/>
      <c r="BQ534" s="430"/>
      <c r="BR534" s="430"/>
      <c r="BS534" s="430"/>
      <c r="BT534" s="430"/>
      <c r="BU534" s="430"/>
      <c r="BV534" s="430"/>
      <c r="BW534" s="430"/>
      <c r="BX534" s="430"/>
      <c r="BY534" s="430"/>
      <c r="BZ534" s="430"/>
      <c r="CA534" s="430"/>
      <c r="CB534" s="430"/>
      <c r="CC534" s="430"/>
      <c r="CD534" s="430"/>
      <c r="CE534" s="430"/>
      <c r="CF534" s="430"/>
      <c r="CG534" s="430"/>
      <c r="CH534" s="430"/>
      <c r="CI534" s="430"/>
      <c r="CJ534" s="430"/>
      <c r="CK534" s="430"/>
      <c r="CL534" s="430"/>
    </row>
    <row r="535" spans="63:90" ht="14.25" customHeight="1">
      <c r="BK535" s="430"/>
      <c r="BL535" s="430"/>
      <c r="BM535" s="430"/>
      <c r="BN535" s="430"/>
      <c r="BO535" s="430"/>
      <c r="BP535" s="430"/>
      <c r="BQ535" s="430"/>
      <c r="BR535" s="430"/>
      <c r="BS535" s="430"/>
      <c r="BT535" s="430"/>
      <c r="BU535" s="430"/>
      <c r="BV535" s="430"/>
      <c r="BW535" s="430"/>
      <c r="BX535" s="430"/>
      <c r="BY535" s="430"/>
      <c r="BZ535" s="430"/>
      <c r="CA535" s="430"/>
      <c r="CB535" s="430"/>
      <c r="CC535" s="430"/>
      <c r="CD535" s="430"/>
      <c r="CE535" s="430"/>
      <c r="CF535" s="430"/>
      <c r="CG535" s="430"/>
      <c r="CH535" s="430"/>
      <c r="CI535" s="430"/>
      <c r="CJ535" s="430"/>
      <c r="CK535" s="430"/>
      <c r="CL535" s="430"/>
    </row>
    <row r="536" spans="63:90" ht="14.25" customHeight="1">
      <c r="BK536" s="430"/>
      <c r="BL536" s="430"/>
      <c r="BM536" s="430"/>
      <c r="BN536" s="430"/>
      <c r="BO536" s="430"/>
      <c r="BP536" s="430"/>
      <c r="BQ536" s="430"/>
      <c r="BR536" s="430"/>
      <c r="BS536" s="430"/>
      <c r="BT536" s="430"/>
      <c r="BU536" s="430"/>
      <c r="BV536" s="430"/>
      <c r="BW536" s="430"/>
      <c r="BX536" s="430"/>
      <c r="BY536" s="430"/>
      <c r="BZ536" s="430"/>
      <c r="CA536" s="430"/>
      <c r="CB536" s="430"/>
      <c r="CC536" s="430"/>
      <c r="CD536" s="430"/>
      <c r="CE536" s="430"/>
      <c r="CF536" s="430"/>
      <c r="CG536" s="430"/>
      <c r="CH536" s="430"/>
      <c r="CI536" s="430"/>
      <c r="CJ536" s="430"/>
      <c r="CK536" s="430"/>
      <c r="CL536" s="430"/>
    </row>
    <row r="537" spans="63:90" ht="14.25" customHeight="1">
      <c r="BK537" s="430"/>
      <c r="BL537" s="430"/>
      <c r="BM537" s="430"/>
      <c r="BN537" s="430"/>
      <c r="BO537" s="430"/>
      <c r="BP537" s="430"/>
      <c r="BQ537" s="430"/>
      <c r="BR537" s="430"/>
      <c r="BS537" s="430"/>
      <c r="BT537" s="430"/>
      <c r="BU537" s="430"/>
      <c r="BV537" s="430"/>
      <c r="BW537" s="430"/>
      <c r="BX537" s="430"/>
      <c r="BY537" s="430"/>
      <c r="BZ537" s="430"/>
      <c r="CA537" s="430"/>
      <c r="CB537" s="430"/>
      <c r="CC537" s="430"/>
      <c r="CD537" s="430"/>
      <c r="CE537" s="430"/>
      <c r="CF537" s="430"/>
      <c r="CG537" s="430"/>
      <c r="CH537" s="430"/>
      <c r="CI537" s="430"/>
      <c r="CJ537" s="430"/>
      <c r="CK537" s="430"/>
      <c r="CL537" s="430"/>
    </row>
    <row r="538" spans="63:90" ht="14.25" customHeight="1">
      <c r="BK538" s="430"/>
      <c r="BL538" s="430"/>
      <c r="BM538" s="430"/>
      <c r="BN538" s="430"/>
      <c r="BO538" s="430"/>
      <c r="BP538" s="430"/>
      <c r="BQ538" s="430"/>
      <c r="BR538" s="430"/>
      <c r="BS538" s="430"/>
      <c r="BT538" s="430"/>
      <c r="BU538" s="430"/>
      <c r="BV538" s="430"/>
      <c r="BW538" s="430"/>
      <c r="BX538" s="430"/>
      <c r="BY538" s="430"/>
      <c r="BZ538" s="430"/>
      <c r="CA538" s="430"/>
      <c r="CB538" s="430"/>
      <c r="CC538" s="430"/>
      <c r="CD538" s="430"/>
      <c r="CE538" s="430"/>
      <c r="CF538" s="430"/>
      <c r="CG538" s="430"/>
      <c r="CH538" s="430"/>
      <c r="CI538" s="430"/>
      <c r="CJ538" s="430"/>
      <c r="CK538" s="430"/>
      <c r="CL538" s="430"/>
    </row>
    <row r="539" spans="63:90" ht="14.25" customHeight="1">
      <c r="BK539" s="430"/>
      <c r="BL539" s="430"/>
      <c r="BM539" s="430"/>
      <c r="BN539" s="430"/>
      <c r="BO539" s="430"/>
      <c r="BP539" s="430"/>
      <c r="BQ539" s="430"/>
      <c r="BR539" s="430"/>
      <c r="BS539" s="430"/>
      <c r="BT539" s="430"/>
      <c r="BU539" s="430"/>
      <c r="BV539" s="430"/>
      <c r="BW539" s="430"/>
      <c r="BX539" s="430"/>
      <c r="BY539" s="430"/>
      <c r="BZ539" s="430"/>
      <c r="CA539" s="430"/>
      <c r="CB539" s="430"/>
      <c r="CC539" s="430"/>
      <c r="CD539" s="430"/>
      <c r="CE539" s="430"/>
      <c r="CF539" s="430"/>
      <c r="CG539" s="430"/>
      <c r="CH539" s="430"/>
      <c r="CI539" s="430"/>
      <c r="CJ539" s="430"/>
      <c r="CK539" s="430"/>
      <c r="CL539" s="430"/>
    </row>
    <row r="540" spans="63:90" ht="14.25" customHeight="1">
      <c r="BK540" s="430"/>
      <c r="BL540" s="430"/>
      <c r="BM540" s="430"/>
      <c r="BN540" s="430"/>
      <c r="BO540" s="430"/>
      <c r="BP540" s="430"/>
      <c r="BQ540" s="430"/>
      <c r="BR540" s="430"/>
      <c r="BS540" s="430"/>
      <c r="BT540" s="430"/>
      <c r="BU540" s="430"/>
      <c r="BV540" s="430"/>
      <c r="BW540" s="430"/>
      <c r="BX540" s="430"/>
      <c r="BY540" s="430"/>
      <c r="BZ540" s="430"/>
      <c r="CA540" s="430"/>
      <c r="CB540" s="430"/>
      <c r="CC540" s="430"/>
      <c r="CD540" s="430"/>
      <c r="CE540" s="430"/>
      <c r="CF540" s="430"/>
      <c r="CG540" s="430"/>
      <c r="CH540" s="430"/>
      <c r="CI540" s="430"/>
      <c r="CJ540" s="430"/>
      <c r="CK540" s="430"/>
      <c r="CL540" s="430"/>
    </row>
    <row r="541" spans="63:90" ht="14.25" customHeight="1">
      <c r="BK541" s="430"/>
      <c r="BL541" s="430"/>
      <c r="BM541" s="430"/>
      <c r="BN541" s="430"/>
      <c r="BO541" s="430"/>
      <c r="BP541" s="430"/>
      <c r="BQ541" s="430"/>
      <c r="BR541" s="430"/>
      <c r="BS541" s="430"/>
      <c r="BT541" s="430"/>
      <c r="BU541" s="430"/>
      <c r="BV541" s="430"/>
      <c r="BW541" s="430"/>
      <c r="BX541" s="430"/>
      <c r="BY541" s="430"/>
      <c r="BZ541" s="430"/>
      <c r="CA541" s="430"/>
      <c r="CB541" s="430"/>
      <c r="CC541" s="430"/>
      <c r="CD541" s="430"/>
      <c r="CE541" s="430"/>
      <c r="CF541" s="430"/>
      <c r="CG541" s="430"/>
      <c r="CH541" s="430"/>
      <c r="CI541" s="430"/>
      <c r="CJ541" s="430"/>
      <c r="CK541" s="430"/>
      <c r="CL541" s="430"/>
    </row>
    <row r="542" spans="63:90" ht="14.25" customHeight="1">
      <c r="BK542" s="430"/>
      <c r="BL542" s="430"/>
      <c r="BM542" s="430"/>
      <c r="BN542" s="430"/>
      <c r="BO542" s="430"/>
      <c r="BP542" s="430"/>
      <c r="BQ542" s="430"/>
      <c r="BR542" s="430"/>
      <c r="BS542" s="430"/>
      <c r="BT542" s="430"/>
      <c r="BU542" s="430"/>
      <c r="BV542" s="430"/>
      <c r="BW542" s="430"/>
      <c r="BX542" s="430"/>
      <c r="BY542" s="430"/>
      <c r="BZ542" s="430"/>
      <c r="CA542" s="430"/>
      <c r="CB542" s="430"/>
      <c r="CC542" s="430"/>
      <c r="CD542" s="430"/>
      <c r="CE542" s="430"/>
      <c r="CF542" s="430"/>
      <c r="CG542" s="430"/>
      <c r="CH542" s="430"/>
      <c r="CI542" s="430"/>
      <c r="CJ542" s="430"/>
      <c r="CK542" s="430"/>
      <c r="CL542" s="430"/>
    </row>
    <row r="543" spans="63:90" ht="14.25" customHeight="1">
      <c r="BK543" s="430"/>
      <c r="BL543" s="430"/>
      <c r="BM543" s="430"/>
      <c r="BN543" s="430"/>
      <c r="BO543" s="430"/>
      <c r="BP543" s="430"/>
      <c r="BQ543" s="430"/>
      <c r="BR543" s="430"/>
      <c r="BS543" s="430"/>
      <c r="BT543" s="430"/>
      <c r="BU543" s="430"/>
      <c r="BV543" s="430"/>
      <c r="BW543" s="430"/>
      <c r="BX543" s="430"/>
      <c r="BY543" s="430"/>
      <c r="BZ543" s="430"/>
      <c r="CA543" s="430"/>
      <c r="CB543" s="430"/>
      <c r="CC543" s="430"/>
      <c r="CD543" s="430"/>
      <c r="CE543" s="430"/>
      <c r="CF543" s="430"/>
      <c r="CG543" s="430"/>
      <c r="CH543" s="430"/>
      <c r="CI543" s="430"/>
      <c r="CJ543" s="430"/>
      <c r="CK543" s="430"/>
      <c r="CL543" s="430"/>
    </row>
    <row r="544" spans="63:90" ht="14.25" customHeight="1">
      <c r="BK544" s="430"/>
      <c r="BL544" s="430"/>
      <c r="BM544" s="430"/>
      <c r="BN544" s="430"/>
      <c r="BO544" s="430"/>
      <c r="BP544" s="430"/>
      <c r="BQ544" s="430"/>
      <c r="BR544" s="430"/>
      <c r="BS544" s="430"/>
      <c r="BT544" s="430"/>
      <c r="BU544" s="430"/>
      <c r="BV544" s="430"/>
      <c r="BW544" s="430"/>
      <c r="BX544" s="430"/>
      <c r="BY544" s="430"/>
      <c r="BZ544" s="430"/>
      <c r="CA544" s="430"/>
      <c r="CB544" s="430"/>
      <c r="CC544" s="430"/>
      <c r="CD544" s="430"/>
      <c r="CE544" s="430"/>
      <c r="CF544" s="430"/>
      <c r="CG544" s="430"/>
      <c r="CH544" s="430"/>
      <c r="CI544" s="430"/>
      <c r="CJ544" s="430"/>
      <c r="CK544" s="430"/>
      <c r="CL544" s="430"/>
    </row>
    <row r="545" spans="63:90" ht="14.25" customHeight="1">
      <c r="BK545" s="430"/>
      <c r="BL545" s="430"/>
      <c r="BM545" s="430"/>
      <c r="BN545" s="430"/>
      <c r="BO545" s="430"/>
      <c r="BP545" s="430"/>
      <c r="BQ545" s="430"/>
      <c r="BR545" s="430"/>
      <c r="BS545" s="430"/>
      <c r="BT545" s="430"/>
      <c r="BU545" s="430"/>
      <c r="BV545" s="430"/>
      <c r="BW545" s="430"/>
      <c r="BX545" s="430"/>
      <c r="BY545" s="430"/>
      <c r="BZ545" s="430"/>
      <c r="CA545" s="430"/>
      <c r="CB545" s="430"/>
      <c r="CC545" s="430"/>
      <c r="CD545" s="430"/>
      <c r="CE545" s="430"/>
      <c r="CF545" s="430"/>
      <c r="CG545" s="430"/>
      <c r="CH545" s="430"/>
      <c r="CI545" s="430"/>
      <c r="CJ545" s="430"/>
      <c r="CK545" s="430"/>
      <c r="CL545" s="430"/>
    </row>
    <row r="546" spans="63:90" ht="14.25" customHeight="1">
      <c r="BK546" s="430"/>
      <c r="BL546" s="430"/>
      <c r="BM546" s="430"/>
      <c r="BN546" s="430"/>
      <c r="BO546" s="430"/>
      <c r="BP546" s="430"/>
      <c r="BQ546" s="430"/>
      <c r="BR546" s="430"/>
      <c r="BS546" s="430"/>
      <c r="BT546" s="430"/>
      <c r="BU546" s="430"/>
      <c r="BV546" s="430"/>
      <c r="BW546" s="430"/>
      <c r="BX546" s="430"/>
      <c r="BY546" s="430"/>
      <c r="BZ546" s="430"/>
      <c r="CA546" s="430"/>
      <c r="CB546" s="430"/>
      <c r="CC546" s="430"/>
      <c r="CD546" s="430"/>
      <c r="CE546" s="430"/>
      <c r="CF546" s="430"/>
      <c r="CG546" s="430"/>
      <c r="CH546" s="430"/>
      <c r="CI546" s="430"/>
      <c r="CJ546" s="430"/>
      <c r="CK546" s="430"/>
      <c r="CL546" s="430"/>
    </row>
    <row r="547" spans="63:90" ht="14.25" customHeight="1">
      <c r="BK547" s="430"/>
      <c r="BL547" s="430"/>
      <c r="BM547" s="430"/>
      <c r="BN547" s="430"/>
      <c r="BO547" s="430"/>
      <c r="BP547" s="430"/>
      <c r="BQ547" s="430"/>
      <c r="BR547" s="430"/>
      <c r="BS547" s="430"/>
      <c r="BT547" s="430"/>
      <c r="BU547" s="430"/>
      <c r="BV547" s="430"/>
      <c r="BW547" s="430"/>
      <c r="BX547" s="430"/>
      <c r="BY547" s="430"/>
      <c r="BZ547" s="430"/>
      <c r="CA547" s="430"/>
      <c r="CB547" s="430"/>
      <c r="CC547" s="430"/>
      <c r="CD547" s="430"/>
      <c r="CE547" s="430"/>
      <c r="CF547" s="430"/>
      <c r="CG547" s="430"/>
      <c r="CH547" s="430"/>
      <c r="CI547" s="430"/>
      <c r="CJ547" s="430"/>
      <c r="CK547" s="430"/>
      <c r="CL547" s="430"/>
    </row>
    <row r="548" spans="63:90" ht="14.25" customHeight="1">
      <c r="BK548" s="430"/>
      <c r="BL548" s="430"/>
      <c r="BM548" s="430"/>
      <c r="BN548" s="430"/>
      <c r="BO548" s="430"/>
      <c r="BP548" s="430"/>
      <c r="BQ548" s="430"/>
      <c r="BR548" s="430"/>
      <c r="BS548" s="430"/>
      <c r="BT548" s="430"/>
      <c r="BU548" s="430"/>
      <c r="BV548" s="430"/>
      <c r="BW548" s="430"/>
      <c r="BX548" s="430"/>
      <c r="BY548" s="430"/>
      <c r="BZ548" s="430"/>
      <c r="CA548" s="430"/>
      <c r="CB548" s="430"/>
      <c r="CC548" s="430"/>
      <c r="CD548" s="430"/>
      <c r="CE548" s="430"/>
      <c r="CF548" s="430"/>
      <c r="CG548" s="430"/>
      <c r="CH548" s="430"/>
      <c r="CI548" s="430"/>
      <c r="CJ548" s="430"/>
      <c r="CK548" s="430"/>
      <c r="CL548" s="430"/>
    </row>
    <row r="549" spans="63:90" ht="14.25" customHeight="1">
      <c r="BK549" s="430"/>
      <c r="BL549" s="430"/>
      <c r="BM549" s="430"/>
      <c r="BN549" s="430"/>
      <c r="BO549" s="430"/>
      <c r="BP549" s="430"/>
      <c r="BQ549" s="430"/>
      <c r="BR549" s="430"/>
      <c r="BS549" s="430"/>
      <c r="BT549" s="430"/>
      <c r="BU549" s="430"/>
      <c r="BV549" s="430"/>
      <c r="BW549" s="430"/>
      <c r="BX549" s="430"/>
      <c r="BY549" s="430"/>
      <c r="BZ549" s="430"/>
      <c r="CA549" s="430"/>
      <c r="CB549" s="430"/>
      <c r="CC549" s="430"/>
      <c r="CD549" s="430"/>
      <c r="CE549" s="430"/>
      <c r="CF549" s="430"/>
      <c r="CG549" s="430"/>
      <c r="CH549" s="430"/>
      <c r="CI549" s="430"/>
      <c r="CJ549" s="430"/>
      <c r="CK549" s="430"/>
      <c r="CL549" s="430"/>
    </row>
    <row r="550" spans="63:90" ht="14.25" customHeight="1">
      <c r="BK550" s="430"/>
      <c r="BL550" s="430"/>
      <c r="BM550" s="430"/>
      <c r="BN550" s="430"/>
      <c r="BO550" s="430"/>
      <c r="BP550" s="430"/>
      <c r="BQ550" s="430"/>
      <c r="BR550" s="430"/>
      <c r="BS550" s="430"/>
      <c r="BT550" s="430"/>
      <c r="BU550" s="430"/>
      <c r="BV550" s="430"/>
      <c r="BW550" s="430"/>
      <c r="BX550" s="430"/>
      <c r="BY550" s="430"/>
      <c r="BZ550" s="430"/>
      <c r="CA550" s="430"/>
      <c r="CB550" s="430"/>
      <c r="CC550" s="430"/>
      <c r="CD550" s="430"/>
      <c r="CE550" s="430"/>
      <c r="CF550" s="430"/>
      <c r="CG550" s="430"/>
      <c r="CH550" s="430"/>
      <c r="CI550" s="430"/>
      <c r="CJ550" s="430"/>
      <c r="CK550" s="430"/>
      <c r="CL550" s="430"/>
    </row>
    <row r="551" spans="63:90" ht="14.25" customHeight="1">
      <c r="BK551" s="430"/>
      <c r="BL551" s="430"/>
      <c r="BM551" s="430"/>
      <c r="BN551" s="430"/>
      <c r="BO551" s="430"/>
      <c r="BP551" s="430"/>
      <c r="BQ551" s="430"/>
      <c r="BR551" s="430"/>
      <c r="BS551" s="430"/>
      <c r="BT551" s="430"/>
      <c r="BU551" s="430"/>
      <c r="BV551" s="430"/>
      <c r="BW551" s="430"/>
      <c r="BX551" s="430"/>
      <c r="BY551" s="430"/>
      <c r="BZ551" s="430"/>
      <c r="CA551" s="430"/>
      <c r="CB551" s="430"/>
      <c r="CC551" s="430"/>
      <c r="CD551" s="430"/>
      <c r="CE551" s="430"/>
      <c r="CF551" s="430"/>
      <c r="CG551" s="430"/>
      <c r="CH551" s="430"/>
      <c r="CI551" s="430"/>
      <c r="CJ551" s="430"/>
      <c r="CK551" s="430"/>
      <c r="CL551" s="430"/>
    </row>
    <row r="552" spans="63:90" ht="14.25" customHeight="1">
      <c r="BK552" s="430"/>
      <c r="BL552" s="430"/>
      <c r="BM552" s="430"/>
      <c r="BN552" s="430"/>
      <c r="BO552" s="430"/>
      <c r="BP552" s="430"/>
      <c r="BQ552" s="430"/>
      <c r="BR552" s="430"/>
      <c r="BS552" s="430"/>
      <c r="BT552" s="430"/>
      <c r="BU552" s="430"/>
      <c r="BV552" s="430"/>
      <c r="BW552" s="430"/>
      <c r="BX552" s="430"/>
      <c r="BY552" s="430"/>
      <c r="BZ552" s="430"/>
      <c r="CA552" s="430"/>
      <c r="CB552" s="430"/>
      <c r="CC552" s="430"/>
      <c r="CD552" s="430"/>
      <c r="CE552" s="430"/>
      <c r="CF552" s="430"/>
      <c r="CG552" s="430"/>
      <c r="CH552" s="430"/>
      <c r="CI552" s="430"/>
      <c r="CJ552" s="430"/>
      <c r="CK552" s="430"/>
      <c r="CL552" s="430"/>
    </row>
    <row r="553" spans="63:90" ht="14.25" customHeight="1">
      <c r="BK553" s="430"/>
      <c r="BL553" s="430"/>
      <c r="BM553" s="430"/>
      <c r="BN553" s="430"/>
      <c r="BO553" s="430"/>
      <c r="BP553" s="430"/>
      <c r="BQ553" s="430"/>
      <c r="BR553" s="430"/>
      <c r="BS553" s="430"/>
      <c r="BT553" s="430"/>
      <c r="BU553" s="430"/>
      <c r="BV553" s="430"/>
      <c r="BW553" s="430"/>
      <c r="BX553" s="430"/>
      <c r="BY553" s="430"/>
      <c r="BZ553" s="430"/>
      <c r="CA553" s="430"/>
      <c r="CB553" s="430"/>
      <c r="CC553" s="430"/>
      <c r="CD553" s="430"/>
      <c r="CE553" s="430"/>
      <c r="CF553" s="430"/>
      <c r="CG553" s="430"/>
      <c r="CH553" s="430"/>
      <c r="CI553" s="430"/>
      <c r="CJ553" s="430"/>
      <c r="CK553" s="430"/>
      <c r="CL553" s="430"/>
    </row>
    <row r="554" spans="63:90" ht="14.25" customHeight="1">
      <c r="BK554" s="430"/>
      <c r="BL554" s="430"/>
      <c r="BM554" s="430"/>
      <c r="BN554" s="430"/>
      <c r="BO554" s="430"/>
      <c r="BP554" s="430"/>
      <c r="BQ554" s="430"/>
      <c r="BR554" s="430"/>
      <c r="BS554" s="430"/>
      <c r="BT554" s="430"/>
      <c r="BU554" s="430"/>
      <c r="BV554" s="430"/>
      <c r="BW554" s="430"/>
      <c r="BX554" s="430"/>
      <c r="BY554" s="430"/>
      <c r="BZ554" s="430"/>
      <c r="CA554" s="430"/>
      <c r="CB554" s="430"/>
      <c r="CC554" s="430"/>
      <c r="CD554" s="430"/>
      <c r="CE554" s="430"/>
      <c r="CF554" s="430"/>
      <c r="CG554" s="430"/>
      <c r="CH554" s="430"/>
      <c r="CI554" s="430"/>
      <c r="CJ554" s="430"/>
      <c r="CK554" s="430"/>
      <c r="CL554" s="430"/>
    </row>
    <row r="555" spans="63:90" ht="14.25" customHeight="1">
      <c r="BK555" s="430"/>
      <c r="BL555" s="430"/>
      <c r="BM555" s="430"/>
      <c r="BN555" s="430"/>
      <c r="BO555" s="430"/>
      <c r="BP555" s="430"/>
      <c r="BQ555" s="430"/>
      <c r="BR555" s="430"/>
      <c r="BS555" s="430"/>
      <c r="BT555" s="430"/>
      <c r="BU555" s="430"/>
      <c r="BV555" s="430"/>
      <c r="BW555" s="430"/>
      <c r="BX555" s="430"/>
      <c r="BY555" s="430"/>
      <c r="BZ555" s="430"/>
      <c r="CA555" s="430"/>
      <c r="CB555" s="430"/>
      <c r="CC555" s="430"/>
      <c r="CD555" s="430"/>
      <c r="CE555" s="430"/>
      <c r="CF555" s="430"/>
      <c r="CG555" s="430"/>
      <c r="CH555" s="430"/>
      <c r="CI555" s="430"/>
      <c r="CJ555" s="430"/>
      <c r="CK555" s="430"/>
      <c r="CL555" s="430"/>
    </row>
    <row r="556" spans="63:90" ht="14.25" customHeight="1">
      <c r="BK556" s="430"/>
      <c r="BL556" s="430"/>
      <c r="BM556" s="430"/>
      <c r="BN556" s="430"/>
      <c r="BO556" s="430"/>
      <c r="BP556" s="430"/>
      <c r="BQ556" s="430"/>
      <c r="BR556" s="430"/>
      <c r="BS556" s="430"/>
      <c r="BT556" s="430"/>
      <c r="BU556" s="430"/>
      <c r="BV556" s="430"/>
      <c r="BW556" s="430"/>
      <c r="BX556" s="430"/>
      <c r="BY556" s="430"/>
      <c r="BZ556" s="430"/>
      <c r="CA556" s="430"/>
      <c r="CB556" s="430"/>
      <c r="CC556" s="430"/>
      <c r="CD556" s="430"/>
      <c r="CE556" s="430"/>
      <c r="CF556" s="430"/>
      <c r="CG556" s="430"/>
      <c r="CH556" s="430"/>
      <c r="CI556" s="430"/>
      <c r="CJ556" s="430"/>
      <c r="CK556" s="430"/>
      <c r="CL556" s="430"/>
    </row>
    <row r="557" spans="63:90" ht="14.25" customHeight="1">
      <c r="BK557" s="430"/>
      <c r="BL557" s="430"/>
      <c r="BM557" s="430"/>
      <c r="BN557" s="430"/>
      <c r="BO557" s="430"/>
      <c r="BP557" s="430"/>
      <c r="BQ557" s="430"/>
      <c r="BR557" s="430"/>
      <c r="BS557" s="430"/>
      <c r="BT557" s="430"/>
      <c r="BU557" s="430"/>
      <c r="BV557" s="430"/>
      <c r="BW557" s="430"/>
      <c r="BX557" s="430"/>
      <c r="BY557" s="430"/>
      <c r="BZ557" s="430"/>
      <c r="CA557" s="430"/>
      <c r="CB557" s="430"/>
      <c r="CC557" s="430"/>
      <c r="CD557" s="430"/>
      <c r="CE557" s="430"/>
      <c r="CF557" s="430"/>
      <c r="CG557" s="430"/>
      <c r="CH557" s="430"/>
      <c r="CI557" s="430"/>
      <c r="CJ557" s="430"/>
      <c r="CK557" s="430"/>
      <c r="CL557" s="430"/>
    </row>
    <row r="558" spans="63:90" ht="14.25" customHeight="1">
      <c r="BK558" s="430"/>
      <c r="BL558" s="430"/>
      <c r="BM558" s="430"/>
      <c r="BN558" s="430"/>
      <c r="BO558" s="430"/>
      <c r="BP558" s="430"/>
      <c r="BQ558" s="430"/>
      <c r="BR558" s="430"/>
      <c r="BS558" s="430"/>
      <c r="BT558" s="430"/>
      <c r="BU558" s="430"/>
      <c r="BV558" s="430"/>
      <c r="BW558" s="430"/>
      <c r="BX558" s="430"/>
      <c r="BY558" s="430"/>
      <c r="BZ558" s="430"/>
      <c r="CA558" s="430"/>
      <c r="CB558" s="430"/>
      <c r="CC558" s="430"/>
      <c r="CD558" s="430"/>
      <c r="CE558" s="430"/>
      <c r="CF558" s="430"/>
      <c r="CG558" s="430"/>
      <c r="CH558" s="430"/>
      <c r="CI558" s="430"/>
      <c r="CJ558" s="430"/>
      <c r="CK558" s="430"/>
      <c r="CL558" s="430"/>
    </row>
    <row r="559" spans="63:90" ht="14.25" customHeight="1">
      <c r="BK559" s="430"/>
      <c r="BL559" s="430"/>
      <c r="BM559" s="430"/>
      <c r="BN559" s="430"/>
      <c r="BO559" s="430"/>
      <c r="BP559" s="430"/>
      <c r="BQ559" s="430"/>
      <c r="BR559" s="430"/>
      <c r="BS559" s="430"/>
      <c r="BT559" s="430"/>
      <c r="BU559" s="430"/>
      <c r="BV559" s="430"/>
      <c r="BW559" s="430"/>
      <c r="BX559" s="430"/>
      <c r="BY559" s="430"/>
      <c r="BZ559" s="430"/>
      <c r="CA559" s="430"/>
      <c r="CB559" s="430"/>
      <c r="CC559" s="430"/>
      <c r="CD559" s="430"/>
      <c r="CE559" s="430"/>
      <c r="CF559" s="430"/>
      <c r="CG559" s="430"/>
      <c r="CH559" s="430"/>
      <c r="CI559" s="430"/>
      <c r="CJ559" s="430"/>
      <c r="CK559" s="430"/>
      <c r="CL559" s="430"/>
    </row>
    <row r="560" spans="63:90" ht="14.25" customHeight="1">
      <c r="BK560" s="430"/>
      <c r="BL560" s="430"/>
      <c r="BM560" s="430"/>
      <c r="BN560" s="430"/>
      <c r="BO560" s="430"/>
      <c r="BP560" s="430"/>
      <c r="BQ560" s="430"/>
      <c r="BR560" s="430"/>
      <c r="BS560" s="430"/>
      <c r="BT560" s="430"/>
      <c r="BU560" s="430"/>
      <c r="BV560" s="430"/>
      <c r="BW560" s="430"/>
      <c r="BX560" s="430"/>
      <c r="BY560" s="430"/>
      <c r="BZ560" s="430"/>
      <c r="CA560" s="430"/>
      <c r="CB560" s="430"/>
      <c r="CC560" s="430"/>
      <c r="CD560" s="430"/>
      <c r="CE560" s="430"/>
      <c r="CF560" s="430"/>
      <c r="CG560" s="430"/>
      <c r="CH560" s="430"/>
      <c r="CI560" s="430"/>
      <c r="CJ560" s="430"/>
      <c r="CK560" s="430"/>
      <c r="CL560" s="430"/>
    </row>
    <row r="561" spans="63:90" ht="14.25" customHeight="1">
      <c r="BK561" s="430"/>
      <c r="BL561" s="430"/>
      <c r="BM561" s="430"/>
      <c r="BN561" s="430"/>
      <c r="BO561" s="430"/>
      <c r="BP561" s="430"/>
      <c r="BQ561" s="430"/>
      <c r="BR561" s="430"/>
      <c r="BS561" s="430"/>
      <c r="BT561" s="430"/>
      <c r="BU561" s="430"/>
      <c r="BV561" s="430"/>
      <c r="BW561" s="430"/>
      <c r="BX561" s="430"/>
      <c r="BY561" s="430"/>
      <c r="BZ561" s="430"/>
      <c r="CA561" s="430"/>
      <c r="CB561" s="430"/>
      <c r="CC561" s="430"/>
      <c r="CD561" s="430"/>
      <c r="CE561" s="430"/>
      <c r="CF561" s="430"/>
      <c r="CG561" s="430"/>
      <c r="CH561" s="430"/>
      <c r="CI561" s="430"/>
      <c r="CJ561" s="430"/>
      <c r="CK561" s="430"/>
      <c r="CL561" s="430"/>
    </row>
    <row r="562" spans="63:90" ht="14.25" customHeight="1">
      <c r="BK562" s="430"/>
      <c r="BL562" s="430"/>
      <c r="BM562" s="430"/>
      <c r="BN562" s="430"/>
      <c r="BO562" s="430"/>
      <c r="BP562" s="430"/>
      <c r="BQ562" s="430"/>
      <c r="BR562" s="430"/>
      <c r="BS562" s="430"/>
      <c r="BT562" s="430"/>
      <c r="BU562" s="430"/>
      <c r="BV562" s="430"/>
      <c r="BW562" s="430"/>
      <c r="BX562" s="430"/>
      <c r="BY562" s="430"/>
      <c r="BZ562" s="430"/>
      <c r="CA562" s="430"/>
      <c r="CB562" s="430"/>
      <c r="CC562" s="430"/>
      <c r="CD562" s="430"/>
      <c r="CE562" s="430"/>
      <c r="CF562" s="430"/>
      <c r="CG562" s="430"/>
      <c r="CH562" s="430"/>
      <c r="CI562" s="430"/>
      <c r="CJ562" s="430"/>
      <c r="CK562" s="430"/>
      <c r="CL562" s="430"/>
    </row>
    <row r="563" spans="63:90" ht="14.25" customHeight="1">
      <c r="BK563" s="430"/>
      <c r="BL563" s="430"/>
      <c r="BM563" s="430"/>
      <c r="BN563" s="430"/>
      <c r="BO563" s="430"/>
      <c r="BP563" s="430"/>
      <c r="BQ563" s="430"/>
      <c r="BR563" s="430"/>
      <c r="BS563" s="430"/>
      <c r="BT563" s="430"/>
      <c r="BU563" s="430"/>
      <c r="BV563" s="430"/>
      <c r="BW563" s="430"/>
      <c r="BX563" s="430"/>
      <c r="BY563" s="430"/>
      <c r="BZ563" s="430"/>
      <c r="CA563" s="430"/>
      <c r="CB563" s="430"/>
      <c r="CC563" s="430"/>
      <c r="CD563" s="430"/>
      <c r="CE563" s="430"/>
      <c r="CF563" s="430"/>
      <c r="CG563" s="430"/>
      <c r="CH563" s="430"/>
      <c r="CI563" s="430"/>
      <c r="CJ563" s="430"/>
      <c r="CK563" s="430"/>
      <c r="CL563" s="430"/>
    </row>
    <row r="564" spans="63:90" ht="14.25" customHeight="1">
      <c r="BK564" s="430"/>
      <c r="BL564" s="430"/>
      <c r="BM564" s="430"/>
      <c r="BN564" s="430"/>
      <c r="BO564" s="430"/>
      <c r="BP564" s="430"/>
      <c r="BQ564" s="430"/>
      <c r="BR564" s="430"/>
      <c r="BS564" s="430"/>
      <c r="BT564" s="430"/>
      <c r="BU564" s="430"/>
      <c r="BV564" s="430"/>
      <c r="BW564" s="430"/>
      <c r="BX564" s="430"/>
      <c r="BY564" s="430"/>
      <c r="BZ564" s="430"/>
      <c r="CA564" s="430"/>
      <c r="CB564" s="430"/>
      <c r="CC564" s="430"/>
      <c r="CD564" s="430"/>
      <c r="CE564" s="430"/>
      <c r="CF564" s="430"/>
      <c r="CG564" s="430"/>
      <c r="CH564" s="430"/>
      <c r="CI564" s="430"/>
      <c r="CJ564" s="430"/>
      <c r="CK564" s="430"/>
      <c r="CL564" s="430"/>
    </row>
    <row r="565" spans="63:90" ht="14.25" customHeight="1">
      <c r="BK565" s="430"/>
      <c r="BL565" s="430"/>
      <c r="BM565" s="430"/>
      <c r="BN565" s="430"/>
      <c r="BO565" s="430"/>
      <c r="BP565" s="430"/>
      <c r="BQ565" s="430"/>
      <c r="BR565" s="430"/>
      <c r="BS565" s="430"/>
      <c r="BT565" s="430"/>
      <c r="BU565" s="430"/>
      <c r="BV565" s="430"/>
      <c r="BW565" s="430"/>
      <c r="BX565" s="430"/>
      <c r="BY565" s="430"/>
      <c r="BZ565" s="430"/>
      <c r="CA565" s="430"/>
      <c r="CB565" s="430"/>
      <c r="CC565" s="430"/>
      <c r="CD565" s="430"/>
      <c r="CE565" s="430"/>
      <c r="CF565" s="430"/>
      <c r="CG565" s="430"/>
      <c r="CH565" s="430"/>
      <c r="CI565" s="430"/>
      <c r="CJ565" s="430"/>
      <c r="CK565" s="430"/>
      <c r="CL565" s="430"/>
    </row>
    <row r="566" spans="63:90" ht="14.25" customHeight="1">
      <c r="BK566" s="430"/>
      <c r="BL566" s="430"/>
      <c r="BM566" s="430"/>
      <c r="BN566" s="430"/>
      <c r="BO566" s="430"/>
      <c r="BP566" s="430"/>
      <c r="BQ566" s="430"/>
      <c r="BR566" s="430"/>
      <c r="BS566" s="430"/>
      <c r="BT566" s="430"/>
      <c r="BU566" s="430"/>
      <c r="BV566" s="430"/>
      <c r="BW566" s="430"/>
      <c r="BX566" s="430"/>
      <c r="BY566" s="430"/>
      <c r="BZ566" s="430"/>
      <c r="CA566" s="430"/>
      <c r="CB566" s="430"/>
      <c r="CC566" s="430"/>
      <c r="CD566" s="430"/>
      <c r="CE566" s="430"/>
      <c r="CF566" s="430"/>
      <c r="CG566" s="430"/>
      <c r="CH566" s="430"/>
      <c r="CI566" s="430"/>
      <c r="CJ566" s="430"/>
      <c r="CK566" s="430"/>
      <c r="CL566" s="430"/>
    </row>
    <row r="567" spans="63:90" ht="14.25" customHeight="1">
      <c r="BK567" s="430"/>
      <c r="BL567" s="430"/>
      <c r="BM567" s="430"/>
      <c r="BN567" s="430"/>
      <c r="BO567" s="430"/>
      <c r="BP567" s="430"/>
      <c r="BQ567" s="430"/>
      <c r="BR567" s="430"/>
      <c r="BS567" s="430"/>
      <c r="BT567" s="430"/>
      <c r="BU567" s="430"/>
      <c r="BV567" s="430"/>
      <c r="BW567" s="430"/>
      <c r="BX567" s="430"/>
      <c r="BY567" s="430"/>
      <c r="BZ567" s="430"/>
      <c r="CA567" s="430"/>
      <c r="CB567" s="430"/>
      <c r="CC567" s="430"/>
      <c r="CD567" s="430"/>
      <c r="CE567" s="430"/>
      <c r="CF567" s="430"/>
      <c r="CG567" s="430"/>
      <c r="CH567" s="430"/>
      <c r="CI567" s="430"/>
      <c r="CJ567" s="430"/>
      <c r="CK567" s="430"/>
      <c r="CL567" s="430"/>
    </row>
    <row r="568" spans="63:90" ht="14.25" customHeight="1">
      <c r="BK568" s="430"/>
      <c r="BL568" s="430"/>
      <c r="BM568" s="430"/>
      <c r="BN568" s="430"/>
      <c r="BO568" s="430"/>
      <c r="BP568" s="430"/>
      <c r="BQ568" s="430"/>
      <c r="BR568" s="430"/>
      <c r="BS568" s="430"/>
      <c r="BT568" s="430"/>
      <c r="BU568" s="430"/>
      <c r="BV568" s="430"/>
      <c r="BW568" s="430"/>
      <c r="BX568" s="430"/>
      <c r="BY568" s="430"/>
      <c r="BZ568" s="430"/>
      <c r="CA568" s="430"/>
      <c r="CB568" s="430"/>
      <c r="CC568" s="430"/>
      <c r="CD568" s="430"/>
      <c r="CE568" s="430"/>
      <c r="CF568" s="430"/>
      <c r="CG568" s="430"/>
      <c r="CH568" s="430"/>
      <c r="CI568" s="430"/>
      <c r="CJ568" s="430"/>
      <c r="CK568" s="430"/>
      <c r="CL568" s="430"/>
    </row>
    <row r="569" spans="63:90" ht="14.25" customHeight="1">
      <c r="BK569" s="430"/>
      <c r="BL569" s="430"/>
      <c r="BM569" s="430"/>
      <c r="BN569" s="430"/>
      <c r="BO569" s="430"/>
      <c r="BP569" s="430"/>
      <c r="BQ569" s="430"/>
      <c r="BR569" s="430"/>
      <c r="BS569" s="430"/>
      <c r="BT569" s="430"/>
      <c r="BU569" s="430"/>
      <c r="BV569" s="430"/>
      <c r="BW569" s="430"/>
      <c r="BX569" s="430"/>
      <c r="BY569" s="430"/>
      <c r="BZ569" s="430"/>
      <c r="CA569" s="430"/>
      <c r="CB569" s="430"/>
      <c r="CC569" s="430"/>
      <c r="CD569" s="430"/>
      <c r="CE569" s="430"/>
      <c r="CF569" s="430"/>
      <c r="CG569" s="430"/>
      <c r="CH569" s="430"/>
      <c r="CI569" s="430"/>
      <c r="CJ569" s="430"/>
      <c r="CK569" s="430"/>
      <c r="CL569" s="430"/>
    </row>
    <row r="570" spans="63:90" ht="14.25" customHeight="1">
      <c r="BK570" s="430"/>
      <c r="BL570" s="430"/>
      <c r="BM570" s="430"/>
      <c r="BN570" s="430"/>
      <c r="BO570" s="430"/>
      <c r="BP570" s="430"/>
      <c r="BQ570" s="430"/>
      <c r="BR570" s="430"/>
      <c r="BS570" s="430"/>
      <c r="BT570" s="430"/>
      <c r="BU570" s="430"/>
      <c r="BV570" s="430"/>
      <c r="BW570" s="430"/>
      <c r="BX570" s="430"/>
      <c r="BY570" s="430"/>
      <c r="BZ570" s="430"/>
      <c r="CA570" s="430"/>
      <c r="CB570" s="430"/>
      <c r="CC570" s="430"/>
      <c r="CD570" s="430"/>
      <c r="CE570" s="430"/>
      <c r="CF570" s="430"/>
      <c r="CG570" s="430"/>
      <c r="CH570" s="430"/>
      <c r="CI570" s="430"/>
      <c r="CJ570" s="430"/>
      <c r="CK570" s="430"/>
      <c r="CL570" s="430"/>
    </row>
    <row r="571" spans="63:90" ht="14.25" customHeight="1">
      <c r="BK571" s="430"/>
      <c r="BL571" s="430"/>
      <c r="BM571" s="430"/>
      <c r="BN571" s="430"/>
      <c r="BO571" s="430"/>
      <c r="BP571" s="430"/>
      <c r="BQ571" s="430"/>
      <c r="BR571" s="430"/>
      <c r="BS571" s="430"/>
      <c r="BT571" s="430"/>
      <c r="BU571" s="430"/>
      <c r="BV571" s="430"/>
      <c r="BW571" s="430"/>
      <c r="BX571" s="430"/>
      <c r="BY571" s="430"/>
      <c r="BZ571" s="430"/>
      <c r="CA571" s="430"/>
      <c r="CB571" s="430"/>
      <c r="CC571" s="430"/>
      <c r="CD571" s="430"/>
      <c r="CE571" s="430"/>
      <c r="CF571" s="430"/>
      <c r="CG571" s="430"/>
      <c r="CH571" s="430"/>
      <c r="CI571" s="430"/>
      <c r="CJ571" s="430"/>
      <c r="CK571" s="430"/>
      <c r="CL571" s="430"/>
    </row>
    <row r="572" spans="63:90" ht="14.25" customHeight="1">
      <c r="BK572" s="430"/>
      <c r="BL572" s="430"/>
      <c r="BM572" s="430"/>
      <c r="BN572" s="430"/>
      <c r="BO572" s="430"/>
      <c r="BP572" s="430"/>
      <c r="BQ572" s="430"/>
      <c r="BR572" s="430"/>
      <c r="BS572" s="430"/>
      <c r="BT572" s="430"/>
      <c r="BU572" s="430"/>
      <c r="BV572" s="430"/>
      <c r="BW572" s="430"/>
      <c r="BX572" s="430"/>
      <c r="BY572" s="430"/>
      <c r="BZ572" s="430"/>
      <c r="CA572" s="430"/>
      <c r="CB572" s="430"/>
      <c r="CC572" s="430"/>
      <c r="CD572" s="430"/>
      <c r="CE572" s="430"/>
      <c r="CF572" s="430"/>
      <c r="CG572" s="430"/>
      <c r="CH572" s="430"/>
      <c r="CI572" s="430"/>
      <c r="CJ572" s="430"/>
      <c r="CK572" s="430"/>
      <c r="CL572" s="430"/>
    </row>
    <row r="573" spans="63:90" ht="14.25" customHeight="1">
      <c r="BK573" s="430"/>
      <c r="BL573" s="430"/>
      <c r="BM573" s="430"/>
      <c r="BN573" s="430"/>
      <c r="BO573" s="430"/>
      <c r="BP573" s="430"/>
      <c r="BQ573" s="430"/>
      <c r="BR573" s="430"/>
      <c r="BS573" s="430"/>
      <c r="BT573" s="430"/>
      <c r="BU573" s="430"/>
      <c r="BV573" s="430"/>
      <c r="BW573" s="430"/>
      <c r="BX573" s="430"/>
      <c r="BY573" s="430"/>
      <c r="BZ573" s="430"/>
      <c r="CA573" s="430"/>
      <c r="CB573" s="430"/>
      <c r="CC573" s="430"/>
      <c r="CD573" s="430"/>
      <c r="CE573" s="430"/>
      <c r="CF573" s="430"/>
      <c r="CG573" s="430"/>
      <c r="CH573" s="430"/>
      <c r="CI573" s="430"/>
      <c r="CJ573" s="430"/>
      <c r="CK573" s="430"/>
      <c r="CL573" s="430"/>
    </row>
    <row r="574" spans="63:90" ht="14.25" customHeight="1">
      <c r="BK574" s="430"/>
      <c r="BL574" s="430"/>
      <c r="BM574" s="430"/>
      <c r="BN574" s="430"/>
      <c r="BO574" s="430"/>
      <c r="BP574" s="430"/>
      <c r="BQ574" s="430"/>
      <c r="BR574" s="430"/>
      <c r="BS574" s="430"/>
      <c r="BT574" s="430"/>
      <c r="BU574" s="430"/>
      <c r="BV574" s="430"/>
      <c r="BW574" s="430"/>
      <c r="BX574" s="430"/>
      <c r="BY574" s="430"/>
      <c r="BZ574" s="430"/>
      <c r="CA574" s="430"/>
      <c r="CB574" s="430"/>
      <c r="CC574" s="430"/>
      <c r="CD574" s="430"/>
      <c r="CE574" s="430"/>
      <c r="CF574" s="430"/>
      <c r="CG574" s="430"/>
      <c r="CH574" s="430"/>
      <c r="CI574" s="430"/>
      <c r="CJ574" s="430"/>
      <c r="CK574" s="430"/>
      <c r="CL574" s="430"/>
    </row>
    <row r="575" spans="63:90" ht="14.25" customHeight="1">
      <c r="BK575" s="430"/>
      <c r="BL575" s="430"/>
      <c r="BM575" s="430"/>
      <c r="BN575" s="430"/>
      <c r="BO575" s="430"/>
      <c r="BP575" s="430"/>
      <c r="BQ575" s="430"/>
      <c r="BR575" s="430"/>
      <c r="BS575" s="430"/>
      <c r="BT575" s="430"/>
      <c r="BU575" s="430"/>
      <c r="BV575" s="430"/>
      <c r="BW575" s="430"/>
      <c r="BX575" s="430"/>
      <c r="BY575" s="430"/>
      <c r="BZ575" s="430"/>
      <c r="CA575" s="430"/>
      <c r="CB575" s="430"/>
      <c r="CC575" s="430"/>
      <c r="CD575" s="430"/>
      <c r="CE575" s="430"/>
      <c r="CF575" s="430"/>
      <c r="CG575" s="430"/>
      <c r="CH575" s="430"/>
      <c r="CI575" s="430"/>
      <c r="CJ575" s="430"/>
      <c r="CK575" s="430"/>
      <c r="CL575" s="430"/>
    </row>
    <row r="576" spans="63:90" ht="14.25" customHeight="1">
      <c r="BK576" s="430"/>
      <c r="BL576" s="430"/>
      <c r="BM576" s="430"/>
      <c r="BN576" s="430"/>
      <c r="BO576" s="430"/>
      <c r="BP576" s="430"/>
      <c r="BQ576" s="430"/>
      <c r="BR576" s="430"/>
      <c r="BS576" s="430"/>
      <c r="BT576" s="430"/>
      <c r="BU576" s="430"/>
      <c r="BV576" s="430"/>
      <c r="BW576" s="430"/>
      <c r="BX576" s="430"/>
      <c r="BY576" s="430"/>
      <c r="BZ576" s="430"/>
      <c r="CA576" s="430"/>
      <c r="CB576" s="430"/>
      <c r="CC576" s="430"/>
      <c r="CD576" s="430"/>
      <c r="CE576" s="430"/>
      <c r="CF576" s="430"/>
      <c r="CG576" s="430"/>
      <c r="CH576" s="430"/>
      <c r="CI576" s="430"/>
      <c r="CJ576" s="430"/>
      <c r="CK576" s="430"/>
      <c r="CL576" s="430"/>
    </row>
    <row r="577" spans="63:90" ht="14.25" customHeight="1">
      <c r="BK577" s="430"/>
      <c r="BL577" s="430"/>
      <c r="BM577" s="430"/>
      <c r="BN577" s="430"/>
      <c r="BO577" s="430"/>
      <c r="BP577" s="430"/>
      <c r="BQ577" s="430"/>
      <c r="BR577" s="430"/>
      <c r="BS577" s="430"/>
      <c r="BT577" s="430"/>
      <c r="BU577" s="430"/>
      <c r="BV577" s="430"/>
      <c r="BW577" s="430"/>
      <c r="BX577" s="430"/>
      <c r="BY577" s="430"/>
      <c r="BZ577" s="430"/>
      <c r="CA577" s="430"/>
      <c r="CB577" s="430"/>
      <c r="CC577" s="430"/>
      <c r="CD577" s="430"/>
      <c r="CE577" s="430"/>
      <c r="CF577" s="430"/>
      <c r="CG577" s="430"/>
      <c r="CH577" s="430"/>
      <c r="CI577" s="430"/>
      <c r="CJ577" s="430"/>
      <c r="CK577" s="430"/>
      <c r="CL577" s="430"/>
    </row>
    <row r="578" spans="63:90" ht="14.25" customHeight="1">
      <c r="BK578" s="430"/>
      <c r="BL578" s="430"/>
      <c r="BM578" s="430"/>
      <c r="BN578" s="430"/>
      <c r="BO578" s="430"/>
      <c r="BP578" s="430"/>
      <c r="BQ578" s="430"/>
      <c r="BR578" s="430"/>
      <c r="BS578" s="430"/>
      <c r="BT578" s="430"/>
      <c r="BU578" s="430"/>
      <c r="BV578" s="430"/>
      <c r="BW578" s="430"/>
      <c r="BX578" s="430"/>
      <c r="BY578" s="430"/>
      <c r="BZ578" s="430"/>
      <c r="CA578" s="430"/>
      <c r="CB578" s="430"/>
      <c r="CC578" s="430"/>
      <c r="CD578" s="430"/>
      <c r="CE578" s="430"/>
      <c r="CF578" s="430"/>
      <c r="CG578" s="430"/>
      <c r="CH578" s="430"/>
      <c r="CI578" s="430"/>
      <c r="CJ578" s="430"/>
      <c r="CK578" s="430"/>
      <c r="CL578" s="430"/>
    </row>
    <row r="579" spans="63:90" ht="14.25" customHeight="1">
      <c r="BK579" s="430"/>
      <c r="BL579" s="430"/>
      <c r="BM579" s="430"/>
      <c r="BN579" s="430"/>
      <c r="BO579" s="430"/>
      <c r="BP579" s="430"/>
      <c r="BQ579" s="430"/>
      <c r="BR579" s="430"/>
      <c r="BS579" s="430"/>
      <c r="BT579" s="430"/>
      <c r="BU579" s="430"/>
      <c r="BV579" s="430"/>
      <c r="BW579" s="430"/>
      <c r="BX579" s="430"/>
      <c r="BY579" s="430"/>
      <c r="BZ579" s="430"/>
      <c r="CA579" s="430"/>
      <c r="CB579" s="430"/>
      <c r="CC579" s="430"/>
      <c r="CD579" s="430"/>
      <c r="CE579" s="430"/>
      <c r="CF579" s="430"/>
      <c r="CG579" s="430"/>
      <c r="CH579" s="430"/>
      <c r="CI579" s="430"/>
      <c r="CJ579" s="430"/>
      <c r="CK579" s="430"/>
      <c r="CL579" s="430"/>
    </row>
    <row r="580" spans="63:90" ht="14.25" customHeight="1">
      <c r="BK580" s="430"/>
      <c r="BL580" s="430"/>
      <c r="BM580" s="430"/>
      <c r="BN580" s="430"/>
      <c r="BO580" s="430"/>
      <c r="BP580" s="430"/>
      <c r="BQ580" s="430"/>
      <c r="BR580" s="430"/>
      <c r="BS580" s="430"/>
      <c r="BT580" s="430"/>
      <c r="BU580" s="430"/>
      <c r="BV580" s="430"/>
      <c r="BW580" s="430"/>
      <c r="BX580" s="430"/>
      <c r="BY580" s="430"/>
      <c r="BZ580" s="430"/>
      <c r="CA580" s="430"/>
      <c r="CB580" s="430"/>
      <c r="CC580" s="430"/>
      <c r="CD580" s="430"/>
      <c r="CE580" s="430"/>
      <c r="CF580" s="430"/>
      <c r="CG580" s="430"/>
      <c r="CH580" s="430"/>
      <c r="CI580" s="430"/>
      <c r="CJ580" s="430"/>
      <c r="CK580" s="430"/>
      <c r="CL580" s="430"/>
    </row>
    <row r="581" spans="63:90" ht="14.25" customHeight="1">
      <c r="BK581" s="430"/>
      <c r="BL581" s="430"/>
      <c r="BM581" s="430"/>
      <c r="BN581" s="430"/>
      <c r="BO581" s="430"/>
      <c r="BP581" s="430"/>
      <c r="BQ581" s="430"/>
      <c r="BR581" s="430"/>
      <c r="BS581" s="430"/>
      <c r="BT581" s="430"/>
      <c r="BU581" s="430"/>
      <c r="BV581" s="430"/>
      <c r="BW581" s="430"/>
      <c r="BX581" s="430"/>
      <c r="BY581" s="430"/>
      <c r="BZ581" s="430"/>
      <c r="CA581" s="430"/>
      <c r="CB581" s="430"/>
      <c r="CC581" s="430"/>
      <c r="CD581" s="430"/>
      <c r="CE581" s="430"/>
      <c r="CF581" s="430"/>
      <c r="CG581" s="430"/>
      <c r="CH581" s="430"/>
      <c r="CI581" s="430"/>
      <c r="CJ581" s="430"/>
      <c r="CK581" s="430"/>
      <c r="CL581" s="430"/>
    </row>
    <row r="582" spans="63:90" ht="14.25" customHeight="1">
      <c r="BK582" s="430"/>
      <c r="BL582" s="430"/>
      <c r="BM582" s="430"/>
      <c r="BN582" s="430"/>
      <c r="BO582" s="430"/>
      <c r="BP582" s="430"/>
      <c r="BQ582" s="430"/>
      <c r="BR582" s="430"/>
      <c r="BS582" s="430"/>
      <c r="BT582" s="430"/>
      <c r="BU582" s="430"/>
      <c r="BV582" s="430"/>
      <c r="BW582" s="430"/>
      <c r="BX582" s="430"/>
      <c r="BY582" s="430"/>
      <c r="BZ582" s="430"/>
      <c r="CA582" s="430"/>
      <c r="CB582" s="430"/>
      <c r="CC582" s="430"/>
      <c r="CD582" s="430"/>
      <c r="CE582" s="430"/>
      <c r="CF582" s="430"/>
      <c r="CG582" s="430"/>
      <c r="CH582" s="430"/>
      <c r="CI582" s="430"/>
      <c r="CJ582" s="430"/>
      <c r="CK582" s="430"/>
      <c r="CL582" s="430"/>
    </row>
    <row r="583" spans="63:90" ht="14.25" customHeight="1">
      <c r="BK583" s="430"/>
      <c r="BL583" s="430"/>
      <c r="BM583" s="430"/>
      <c r="BN583" s="430"/>
      <c r="BO583" s="430"/>
      <c r="BP583" s="430"/>
      <c r="BQ583" s="430"/>
      <c r="BR583" s="430"/>
      <c r="BS583" s="430"/>
      <c r="BT583" s="430"/>
      <c r="BU583" s="430"/>
      <c r="BV583" s="430"/>
      <c r="BW583" s="430"/>
      <c r="BX583" s="430"/>
      <c r="BY583" s="430"/>
      <c r="BZ583" s="430"/>
      <c r="CA583" s="430"/>
      <c r="CB583" s="430"/>
      <c r="CC583" s="430"/>
      <c r="CD583" s="430"/>
      <c r="CE583" s="430"/>
      <c r="CF583" s="430"/>
      <c r="CG583" s="430"/>
      <c r="CH583" s="430"/>
      <c r="CI583" s="430"/>
      <c r="CJ583" s="430"/>
      <c r="CK583" s="430"/>
      <c r="CL583" s="430"/>
    </row>
    <row r="584" spans="63:90" ht="14.25" customHeight="1">
      <c r="BK584" s="430"/>
      <c r="BL584" s="430"/>
      <c r="BM584" s="430"/>
      <c r="BN584" s="430"/>
      <c r="BO584" s="430"/>
      <c r="BP584" s="430"/>
      <c r="BQ584" s="430"/>
      <c r="BR584" s="430"/>
      <c r="BS584" s="430"/>
      <c r="BT584" s="430"/>
      <c r="BU584" s="430"/>
      <c r="BV584" s="430"/>
      <c r="BW584" s="430"/>
      <c r="BX584" s="430"/>
      <c r="BY584" s="430"/>
      <c r="BZ584" s="430"/>
      <c r="CA584" s="430"/>
      <c r="CB584" s="430"/>
      <c r="CC584" s="430"/>
      <c r="CD584" s="430"/>
      <c r="CE584" s="430"/>
      <c r="CF584" s="430"/>
      <c r="CG584" s="430"/>
      <c r="CH584" s="430"/>
      <c r="CI584" s="430"/>
      <c r="CJ584" s="430"/>
      <c r="CK584" s="430"/>
      <c r="CL584" s="430"/>
    </row>
    <row r="585" spans="63:90" ht="14.25" customHeight="1">
      <c r="BK585" s="430"/>
      <c r="BL585" s="430"/>
      <c r="BM585" s="430"/>
      <c r="BN585" s="430"/>
      <c r="BO585" s="430"/>
      <c r="BP585" s="430"/>
      <c r="BQ585" s="430"/>
      <c r="BR585" s="430"/>
      <c r="BS585" s="430"/>
      <c r="BT585" s="430"/>
      <c r="BU585" s="430"/>
      <c r="BV585" s="430"/>
      <c r="BW585" s="430"/>
      <c r="BX585" s="430"/>
      <c r="BY585" s="430"/>
      <c r="BZ585" s="430"/>
      <c r="CA585" s="430"/>
      <c r="CB585" s="430"/>
      <c r="CC585" s="430"/>
      <c r="CD585" s="430"/>
      <c r="CE585" s="430"/>
      <c r="CF585" s="430"/>
      <c r="CG585" s="430"/>
      <c r="CH585" s="430"/>
      <c r="CI585" s="430"/>
      <c r="CJ585" s="430"/>
      <c r="CK585" s="430"/>
      <c r="CL585" s="430"/>
    </row>
    <row r="586" spans="63:90" ht="14.25" customHeight="1">
      <c r="BK586" s="430"/>
      <c r="BL586" s="430"/>
      <c r="BM586" s="430"/>
      <c r="BN586" s="430"/>
      <c r="BO586" s="430"/>
      <c r="BP586" s="430"/>
      <c r="BQ586" s="430"/>
      <c r="BR586" s="430"/>
      <c r="BS586" s="430"/>
      <c r="BT586" s="430"/>
      <c r="BU586" s="430"/>
      <c r="BV586" s="430"/>
      <c r="BW586" s="430"/>
      <c r="BX586" s="430"/>
      <c r="BY586" s="430"/>
      <c r="BZ586" s="430"/>
      <c r="CA586" s="430"/>
      <c r="CB586" s="430"/>
      <c r="CC586" s="430"/>
      <c r="CD586" s="430"/>
      <c r="CE586" s="430"/>
      <c r="CF586" s="430"/>
      <c r="CG586" s="430"/>
      <c r="CH586" s="430"/>
      <c r="CI586" s="430"/>
      <c r="CJ586" s="430"/>
      <c r="CK586" s="430"/>
      <c r="CL586" s="430"/>
    </row>
    <row r="587" spans="63:90" ht="14.25" customHeight="1">
      <c r="BK587" s="430"/>
      <c r="BL587" s="430"/>
      <c r="BM587" s="430"/>
      <c r="BN587" s="430"/>
      <c r="BO587" s="430"/>
      <c r="BP587" s="430"/>
      <c r="BQ587" s="430"/>
      <c r="BR587" s="430"/>
      <c r="BS587" s="430"/>
      <c r="BT587" s="430"/>
      <c r="BU587" s="430"/>
      <c r="BV587" s="430"/>
      <c r="BW587" s="430"/>
      <c r="BX587" s="430"/>
      <c r="BY587" s="430"/>
      <c r="BZ587" s="430"/>
      <c r="CA587" s="430"/>
      <c r="CB587" s="430"/>
      <c r="CC587" s="430"/>
      <c r="CD587" s="430"/>
      <c r="CE587" s="430"/>
      <c r="CF587" s="430"/>
      <c r="CG587" s="430"/>
      <c r="CH587" s="430"/>
      <c r="CI587" s="430"/>
      <c r="CJ587" s="430"/>
      <c r="CK587" s="430"/>
      <c r="CL587" s="430"/>
    </row>
    <row r="588" spans="63:90" ht="14.25" customHeight="1">
      <c r="BK588" s="430"/>
      <c r="BL588" s="430"/>
      <c r="BM588" s="430"/>
      <c r="BN588" s="430"/>
      <c r="BO588" s="430"/>
      <c r="BP588" s="430"/>
      <c r="BQ588" s="430"/>
      <c r="BR588" s="430"/>
      <c r="BS588" s="430"/>
      <c r="BT588" s="430"/>
      <c r="BU588" s="430"/>
      <c r="BV588" s="430"/>
      <c r="BW588" s="430"/>
      <c r="BX588" s="430"/>
      <c r="BY588" s="430"/>
      <c r="BZ588" s="430"/>
      <c r="CA588" s="430"/>
      <c r="CB588" s="430"/>
      <c r="CC588" s="430"/>
      <c r="CD588" s="430"/>
      <c r="CE588" s="430"/>
      <c r="CF588" s="430"/>
      <c r="CG588" s="430"/>
      <c r="CH588" s="430"/>
      <c r="CI588" s="430"/>
      <c r="CJ588" s="430"/>
      <c r="CK588" s="430"/>
      <c r="CL588" s="430"/>
    </row>
    <row r="589" spans="63:90" ht="14.25" customHeight="1">
      <c r="BK589" s="430"/>
      <c r="BL589" s="430"/>
      <c r="BM589" s="430"/>
      <c r="BN589" s="430"/>
      <c r="BO589" s="430"/>
      <c r="BP589" s="430"/>
      <c r="BQ589" s="430"/>
      <c r="BR589" s="430"/>
      <c r="BS589" s="430"/>
      <c r="BT589" s="430"/>
      <c r="BU589" s="430"/>
      <c r="BV589" s="430"/>
      <c r="BW589" s="430"/>
      <c r="BX589" s="430"/>
      <c r="BY589" s="430"/>
      <c r="BZ589" s="430"/>
      <c r="CA589" s="430"/>
      <c r="CB589" s="430"/>
      <c r="CC589" s="430"/>
      <c r="CD589" s="430"/>
      <c r="CE589" s="430"/>
      <c r="CF589" s="430"/>
      <c r="CG589" s="430"/>
      <c r="CH589" s="430"/>
      <c r="CI589" s="430"/>
      <c r="CJ589" s="430"/>
      <c r="CK589" s="430"/>
      <c r="CL589" s="430"/>
    </row>
    <row r="590" spans="63:90" ht="14.25" customHeight="1">
      <c r="BK590" s="430"/>
      <c r="BL590" s="430"/>
      <c r="BM590" s="430"/>
      <c r="BN590" s="430"/>
      <c r="BO590" s="430"/>
      <c r="BP590" s="430"/>
      <c r="BQ590" s="430"/>
      <c r="BR590" s="430"/>
      <c r="BS590" s="430"/>
      <c r="BT590" s="430"/>
      <c r="BU590" s="430"/>
      <c r="BV590" s="430"/>
      <c r="BW590" s="430"/>
      <c r="BX590" s="430"/>
      <c r="BY590" s="430"/>
      <c r="BZ590" s="430"/>
      <c r="CA590" s="430"/>
      <c r="CB590" s="430"/>
      <c r="CC590" s="430"/>
      <c r="CD590" s="430"/>
      <c r="CE590" s="430"/>
      <c r="CF590" s="430"/>
      <c r="CG590" s="430"/>
      <c r="CH590" s="430"/>
      <c r="CI590" s="430"/>
      <c r="CJ590" s="430"/>
      <c r="CK590" s="430"/>
      <c r="CL590" s="430"/>
    </row>
    <row r="591" spans="63:90" ht="14.25" customHeight="1">
      <c r="BK591" s="430"/>
      <c r="BL591" s="430"/>
      <c r="BM591" s="430"/>
      <c r="BN591" s="430"/>
      <c r="BO591" s="430"/>
      <c r="BP591" s="430"/>
      <c r="BQ591" s="430"/>
      <c r="BR591" s="430"/>
      <c r="BS591" s="430"/>
      <c r="BT591" s="430"/>
      <c r="BU591" s="430"/>
      <c r="BV591" s="430"/>
      <c r="BW591" s="430"/>
      <c r="BX591" s="430"/>
      <c r="BY591" s="430"/>
      <c r="BZ591" s="430"/>
      <c r="CA591" s="430"/>
      <c r="CB591" s="430"/>
      <c r="CC591" s="430"/>
      <c r="CD591" s="430"/>
      <c r="CE591" s="430"/>
      <c r="CF591" s="430"/>
      <c r="CG591" s="430"/>
      <c r="CH591" s="430"/>
      <c r="CI591" s="430"/>
      <c r="CJ591" s="430"/>
      <c r="CK591" s="430"/>
      <c r="CL591" s="430"/>
    </row>
    <row r="592" spans="63:90" ht="14.25" customHeight="1">
      <c r="BK592" s="430"/>
      <c r="BL592" s="430"/>
      <c r="BM592" s="430"/>
      <c r="BN592" s="430"/>
      <c r="BO592" s="430"/>
      <c r="BP592" s="430"/>
      <c r="BQ592" s="430"/>
      <c r="BR592" s="430"/>
      <c r="BS592" s="430"/>
      <c r="BT592" s="430"/>
      <c r="BU592" s="430"/>
      <c r="BV592" s="430"/>
      <c r="BW592" s="430"/>
      <c r="BX592" s="430"/>
      <c r="BY592" s="430"/>
      <c r="BZ592" s="430"/>
      <c r="CA592" s="430"/>
      <c r="CB592" s="430"/>
      <c r="CC592" s="430"/>
      <c r="CD592" s="430"/>
      <c r="CE592" s="430"/>
      <c r="CF592" s="430"/>
      <c r="CG592" s="430"/>
      <c r="CH592" s="430"/>
      <c r="CI592" s="430"/>
      <c r="CJ592" s="430"/>
      <c r="CK592" s="430"/>
      <c r="CL592" s="430"/>
    </row>
    <row r="593" spans="63:90" ht="14.25" customHeight="1">
      <c r="BK593" s="430"/>
      <c r="BL593" s="430"/>
      <c r="BM593" s="430"/>
      <c r="BN593" s="430"/>
      <c r="BO593" s="430"/>
      <c r="BP593" s="430"/>
      <c r="BQ593" s="430"/>
      <c r="BR593" s="430"/>
      <c r="BS593" s="430"/>
      <c r="BT593" s="430"/>
      <c r="BU593" s="430"/>
      <c r="BV593" s="430"/>
      <c r="BW593" s="430"/>
      <c r="BX593" s="430"/>
      <c r="BY593" s="430"/>
      <c r="BZ593" s="430"/>
      <c r="CA593" s="430"/>
      <c r="CB593" s="430"/>
      <c r="CC593" s="430"/>
      <c r="CD593" s="430"/>
      <c r="CE593" s="430"/>
      <c r="CF593" s="430"/>
      <c r="CG593" s="430"/>
      <c r="CH593" s="430"/>
      <c r="CI593" s="430"/>
      <c r="CJ593" s="430"/>
      <c r="CK593" s="430"/>
      <c r="CL593" s="430"/>
    </row>
    <row r="594" spans="63:90" ht="14.25" customHeight="1">
      <c r="BK594" s="430"/>
      <c r="BL594" s="430"/>
      <c r="BM594" s="430"/>
      <c r="BN594" s="430"/>
      <c r="BO594" s="430"/>
      <c r="BP594" s="430"/>
      <c r="BQ594" s="430"/>
      <c r="BR594" s="430"/>
      <c r="BS594" s="430"/>
      <c r="BT594" s="430"/>
      <c r="BU594" s="430"/>
      <c r="BV594" s="430"/>
      <c r="BW594" s="430"/>
      <c r="BX594" s="430"/>
      <c r="BY594" s="430"/>
      <c r="BZ594" s="430"/>
      <c r="CA594" s="430"/>
      <c r="CB594" s="430"/>
      <c r="CC594" s="430"/>
      <c r="CD594" s="430"/>
      <c r="CE594" s="430"/>
      <c r="CF594" s="430"/>
      <c r="CG594" s="430"/>
      <c r="CH594" s="430"/>
      <c r="CI594" s="430"/>
      <c r="CJ594" s="430"/>
      <c r="CK594" s="430"/>
      <c r="CL594" s="430"/>
    </row>
    <row r="595" spans="63:90" ht="14.25" customHeight="1">
      <c r="BK595" s="430"/>
      <c r="BL595" s="430"/>
      <c r="BM595" s="430"/>
      <c r="BN595" s="430"/>
      <c r="BO595" s="430"/>
      <c r="BP595" s="430"/>
      <c r="BQ595" s="430"/>
      <c r="BR595" s="430"/>
      <c r="BS595" s="430"/>
      <c r="BT595" s="430"/>
      <c r="BU595" s="430"/>
      <c r="BV595" s="430"/>
      <c r="BW595" s="430"/>
      <c r="BX595" s="430"/>
      <c r="BY595" s="430"/>
      <c r="BZ595" s="430"/>
      <c r="CA595" s="430"/>
      <c r="CB595" s="430"/>
      <c r="CC595" s="430"/>
      <c r="CD595" s="430"/>
      <c r="CE595" s="430"/>
      <c r="CF595" s="430"/>
      <c r="CG595" s="430"/>
      <c r="CH595" s="430"/>
      <c r="CI595" s="430"/>
      <c r="CJ595" s="430"/>
      <c r="CK595" s="430"/>
      <c r="CL595" s="430"/>
    </row>
    <row r="596" spans="63:90" ht="14.25" customHeight="1">
      <c r="BK596" s="430"/>
      <c r="BL596" s="430"/>
      <c r="BM596" s="430"/>
      <c r="BN596" s="430"/>
      <c r="BO596" s="430"/>
      <c r="BP596" s="430"/>
      <c r="BQ596" s="430"/>
      <c r="BR596" s="430"/>
      <c r="BS596" s="430"/>
      <c r="BT596" s="430"/>
      <c r="BU596" s="430"/>
      <c r="BV596" s="430"/>
      <c r="BW596" s="430"/>
      <c r="BX596" s="430"/>
      <c r="BY596" s="430"/>
      <c r="BZ596" s="430"/>
      <c r="CA596" s="430"/>
      <c r="CB596" s="430"/>
      <c r="CC596" s="430"/>
      <c r="CD596" s="430"/>
      <c r="CE596" s="430"/>
      <c r="CF596" s="430"/>
      <c r="CG596" s="430"/>
      <c r="CH596" s="430"/>
      <c r="CI596" s="430"/>
      <c r="CJ596" s="430"/>
      <c r="CK596" s="430"/>
      <c r="CL596" s="430"/>
    </row>
    <row r="597" spans="63:90" ht="14.25" customHeight="1">
      <c r="BK597" s="430"/>
      <c r="BL597" s="430"/>
      <c r="BM597" s="430"/>
      <c r="BN597" s="430"/>
      <c r="BO597" s="430"/>
      <c r="BP597" s="430"/>
      <c r="BQ597" s="430"/>
      <c r="BR597" s="430"/>
      <c r="BS597" s="430"/>
      <c r="BT597" s="430"/>
      <c r="BU597" s="430"/>
      <c r="BV597" s="430"/>
      <c r="BW597" s="430"/>
      <c r="BX597" s="430"/>
      <c r="BY597" s="430"/>
      <c r="BZ597" s="430"/>
      <c r="CA597" s="430"/>
      <c r="CB597" s="430"/>
      <c r="CC597" s="430"/>
      <c r="CD597" s="430"/>
      <c r="CE597" s="430"/>
      <c r="CF597" s="430"/>
      <c r="CG597" s="430"/>
      <c r="CH597" s="430"/>
      <c r="CI597" s="430"/>
      <c r="CJ597" s="430"/>
      <c r="CK597" s="430"/>
      <c r="CL597" s="430"/>
    </row>
    <row r="598" spans="63:90" ht="14.25" customHeight="1">
      <c r="BK598" s="430"/>
      <c r="BL598" s="430"/>
      <c r="BM598" s="430"/>
      <c r="BN598" s="430"/>
      <c r="BO598" s="430"/>
      <c r="BP598" s="430"/>
      <c r="BQ598" s="430"/>
      <c r="BR598" s="430"/>
      <c r="BS598" s="430"/>
      <c r="BT598" s="430"/>
      <c r="BU598" s="430"/>
      <c r="BV598" s="430"/>
      <c r="BW598" s="430"/>
      <c r="BX598" s="430"/>
      <c r="BY598" s="430"/>
      <c r="BZ598" s="430"/>
      <c r="CA598" s="430"/>
      <c r="CB598" s="430"/>
      <c r="CC598" s="430"/>
      <c r="CD598" s="430"/>
      <c r="CE598" s="430"/>
      <c r="CF598" s="430"/>
      <c r="CG598" s="430"/>
      <c r="CH598" s="430"/>
      <c r="CI598" s="430"/>
      <c r="CJ598" s="430"/>
      <c r="CK598" s="430"/>
      <c r="CL598" s="430"/>
    </row>
    <row r="599" spans="63:90" ht="14.25" customHeight="1">
      <c r="BK599" s="430"/>
      <c r="BL599" s="430"/>
      <c r="BM599" s="430"/>
      <c r="BN599" s="430"/>
      <c r="BO599" s="430"/>
      <c r="BP599" s="430"/>
      <c r="BQ599" s="430"/>
      <c r="BR599" s="430"/>
      <c r="BS599" s="430"/>
      <c r="BT599" s="430"/>
      <c r="BU599" s="430"/>
      <c r="BV599" s="430"/>
      <c r="BW599" s="430"/>
      <c r="BX599" s="430"/>
      <c r="BY599" s="430"/>
      <c r="BZ599" s="430"/>
      <c r="CA599" s="430"/>
      <c r="CB599" s="430"/>
      <c r="CC599" s="430"/>
      <c r="CD599" s="430"/>
      <c r="CE599" s="430"/>
      <c r="CF599" s="430"/>
      <c r="CG599" s="430"/>
      <c r="CH599" s="430"/>
      <c r="CI599" s="430"/>
      <c r="CJ599" s="430"/>
      <c r="CK599" s="430"/>
      <c r="CL599" s="430"/>
    </row>
    <row r="600" spans="63:90" ht="14.25" customHeight="1">
      <c r="BK600" s="430"/>
      <c r="BL600" s="430"/>
      <c r="BM600" s="430"/>
      <c r="BN600" s="430"/>
      <c r="BO600" s="430"/>
      <c r="BP600" s="430"/>
      <c r="BQ600" s="430"/>
      <c r="BR600" s="430"/>
      <c r="BS600" s="430"/>
      <c r="BT600" s="430"/>
      <c r="BU600" s="430"/>
      <c r="BV600" s="430"/>
      <c r="BW600" s="430"/>
      <c r="BX600" s="430"/>
      <c r="BY600" s="430"/>
      <c r="BZ600" s="430"/>
      <c r="CA600" s="430"/>
      <c r="CB600" s="430"/>
      <c r="CC600" s="430"/>
      <c r="CD600" s="430"/>
      <c r="CE600" s="430"/>
      <c r="CF600" s="430"/>
      <c r="CG600" s="430"/>
      <c r="CH600" s="430"/>
      <c r="CI600" s="430"/>
      <c r="CJ600" s="430"/>
      <c r="CK600" s="430"/>
      <c r="CL600" s="430"/>
    </row>
    <row r="601" spans="63:90" ht="14.25" customHeight="1">
      <c r="BK601" s="430"/>
      <c r="BL601" s="430"/>
      <c r="BM601" s="430"/>
      <c r="BN601" s="430"/>
      <c r="BO601" s="430"/>
      <c r="BP601" s="430"/>
      <c r="BQ601" s="430"/>
      <c r="BR601" s="430"/>
      <c r="BS601" s="430"/>
      <c r="BT601" s="430"/>
      <c r="BU601" s="430"/>
      <c r="BV601" s="430"/>
      <c r="BW601" s="430"/>
      <c r="BX601" s="430"/>
      <c r="BY601" s="430"/>
      <c r="BZ601" s="430"/>
      <c r="CA601" s="430"/>
      <c r="CB601" s="430"/>
      <c r="CC601" s="430"/>
      <c r="CD601" s="430"/>
      <c r="CE601" s="430"/>
      <c r="CF601" s="430"/>
      <c r="CG601" s="430"/>
      <c r="CH601" s="430"/>
      <c r="CI601" s="430"/>
      <c r="CJ601" s="430"/>
      <c r="CK601" s="430"/>
      <c r="CL601" s="430"/>
    </row>
    <row r="602" spans="63:90" ht="14.25" customHeight="1">
      <c r="BK602" s="430"/>
      <c r="BL602" s="430"/>
      <c r="BM602" s="430"/>
      <c r="BN602" s="430"/>
      <c r="BO602" s="430"/>
      <c r="BP602" s="430"/>
      <c r="BQ602" s="430"/>
      <c r="BR602" s="430"/>
      <c r="BS602" s="430"/>
      <c r="BT602" s="430"/>
      <c r="BU602" s="430"/>
      <c r="BV602" s="430"/>
      <c r="BW602" s="430"/>
      <c r="BX602" s="430"/>
      <c r="BY602" s="430"/>
      <c r="BZ602" s="430"/>
      <c r="CA602" s="430"/>
      <c r="CB602" s="430"/>
      <c r="CC602" s="430"/>
      <c r="CD602" s="430"/>
      <c r="CE602" s="430"/>
      <c r="CF602" s="430"/>
      <c r="CG602" s="430"/>
      <c r="CH602" s="430"/>
      <c r="CI602" s="430"/>
      <c r="CJ602" s="430"/>
      <c r="CK602" s="430"/>
      <c r="CL602" s="430"/>
    </row>
    <row r="603" spans="63:90" ht="14.25" customHeight="1">
      <c r="BK603" s="430"/>
      <c r="BL603" s="430"/>
      <c r="BM603" s="430"/>
      <c r="BN603" s="430"/>
      <c r="BO603" s="430"/>
      <c r="BP603" s="430"/>
      <c r="BQ603" s="430"/>
      <c r="BR603" s="430"/>
      <c r="BS603" s="430"/>
      <c r="BT603" s="430"/>
      <c r="BU603" s="430"/>
      <c r="BV603" s="430"/>
      <c r="BW603" s="430"/>
      <c r="BX603" s="430"/>
      <c r="BY603" s="430"/>
      <c r="BZ603" s="430"/>
      <c r="CA603" s="430"/>
      <c r="CB603" s="430"/>
      <c r="CC603" s="430"/>
      <c r="CD603" s="430"/>
      <c r="CE603" s="430"/>
      <c r="CF603" s="430"/>
      <c r="CG603" s="430"/>
      <c r="CH603" s="430"/>
      <c r="CI603" s="430"/>
      <c r="CJ603" s="430"/>
      <c r="CK603" s="430"/>
      <c r="CL603" s="430"/>
    </row>
    <row r="604" spans="63:90" ht="14.25" customHeight="1">
      <c r="BK604" s="430"/>
      <c r="BL604" s="430"/>
      <c r="BM604" s="430"/>
      <c r="BN604" s="430"/>
      <c r="BO604" s="430"/>
      <c r="BP604" s="430"/>
      <c r="BQ604" s="430"/>
      <c r="BR604" s="430"/>
      <c r="BS604" s="430"/>
      <c r="BT604" s="430"/>
      <c r="BU604" s="430"/>
      <c r="BV604" s="430"/>
      <c r="BW604" s="430"/>
      <c r="BX604" s="430"/>
      <c r="BY604" s="430"/>
      <c r="BZ604" s="430"/>
      <c r="CA604" s="430"/>
      <c r="CB604" s="430"/>
      <c r="CC604" s="430"/>
      <c r="CD604" s="430"/>
      <c r="CE604" s="430"/>
      <c r="CF604" s="430"/>
      <c r="CG604" s="430"/>
      <c r="CH604" s="430"/>
      <c r="CI604" s="430"/>
      <c r="CJ604" s="430"/>
      <c r="CK604" s="430"/>
      <c r="CL604" s="430"/>
    </row>
    <row r="605" spans="63:90" ht="14.25" customHeight="1">
      <c r="BK605" s="430"/>
      <c r="BL605" s="430"/>
      <c r="BM605" s="430"/>
      <c r="BN605" s="430"/>
      <c r="BO605" s="430"/>
      <c r="BP605" s="430"/>
      <c r="BQ605" s="430"/>
      <c r="BR605" s="430"/>
      <c r="BS605" s="430"/>
      <c r="BT605" s="430"/>
      <c r="BU605" s="430"/>
      <c r="BV605" s="430"/>
      <c r="BW605" s="430"/>
      <c r="BX605" s="430"/>
      <c r="BY605" s="430"/>
      <c r="BZ605" s="430"/>
      <c r="CA605" s="430"/>
      <c r="CB605" s="430"/>
      <c r="CC605" s="430"/>
      <c r="CD605" s="430"/>
      <c r="CE605" s="430"/>
      <c r="CF605" s="430"/>
      <c r="CG605" s="430"/>
      <c r="CH605" s="430"/>
      <c r="CI605" s="430"/>
      <c r="CJ605" s="430"/>
      <c r="CK605" s="430"/>
      <c r="CL605" s="430"/>
    </row>
    <row r="606" spans="63:90" ht="14.25" customHeight="1">
      <c r="BK606" s="430"/>
      <c r="BL606" s="430"/>
      <c r="BM606" s="430"/>
      <c r="BN606" s="430"/>
      <c r="BO606" s="430"/>
      <c r="BP606" s="430"/>
      <c r="BQ606" s="430"/>
      <c r="BR606" s="430"/>
      <c r="BS606" s="430"/>
      <c r="BT606" s="430"/>
      <c r="BU606" s="430"/>
      <c r="BV606" s="430"/>
      <c r="BW606" s="430"/>
      <c r="BX606" s="430"/>
      <c r="BY606" s="430"/>
      <c r="BZ606" s="430"/>
      <c r="CA606" s="430"/>
      <c r="CB606" s="430"/>
      <c r="CC606" s="430"/>
      <c r="CD606" s="430"/>
      <c r="CE606" s="430"/>
      <c r="CF606" s="430"/>
      <c r="CG606" s="430"/>
      <c r="CH606" s="430"/>
      <c r="CI606" s="430"/>
      <c r="CJ606" s="430"/>
      <c r="CK606" s="430"/>
      <c r="CL606" s="430"/>
    </row>
    <row r="607" spans="63:90" ht="14.25" customHeight="1">
      <c r="BK607" s="430"/>
      <c r="BL607" s="430"/>
      <c r="BM607" s="430"/>
      <c r="BN607" s="430"/>
      <c r="BO607" s="430"/>
      <c r="BP607" s="430"/>
      <c r="BQ607" s="430"/>
      <c r="BR607" s="430"/>
      <c r="BS607" s="430"/>
      <c r="BT607" s="430"/>
      <c r="BU607" s="430"/>
      <c r="BV607" s="430"/>
      <c r="BW607" s="430"/>
      <c r="BX607" s="430"/>
      <c r="BY607" s="430"/>
      <c r="BZ607" s="430"/>
      <c r="CA607" s="430"/>
      <c r="CB607" s="430"/>
      <c r="CC607" s="430"/>
      <c r="CD607" s="430"/>
      <c r="CE607" s="430"/>
      <c r="CF607" s="430"/>
      <c r="CG607" s="430"/>
      <c r="CH607" s="430"/>
      <c r="CI607" s="430"/>
      <c r="CJ607" s="430"/>
      <c r="CK607" s="430"/>
      <c r="CL607" s="430"/>
    </row>
    <row r="608" spans="63:90" ht="14.25" customHeight="1">
      <c r="BK608" s="430"/>
      <c r="BL608" s="430"/>
      <c r="BM608" s="430"/>
      <c r="BN608" s="430"/>
      <c r="BO608" s="430"/>
      <c r="BP608" s="430"/>
      <c r="BQ608" s="430"/>
      <c r="BR608" s="430"/>
      <c r="BS608" s="430"/>
      <c r="BT608" s="430"/>
      <c r="BU608" s="430"/>
      <c r="BV608" s="430"/>
      <c r="BW608" s="430"/>
      <c r="BX608" s="430"/>
      <c r="BY608" s="430"/>
      <c r="BZ608" s="430"/>
      <c r="CA608" s="430"/>
      <c r="CB608" s="430"/>
      <c r="CC608" s="430"/>
      <c r="CD608" s="430"/>
      <c r="CE608" s="430"/>
      <c r="CF608" s="430"/>
      <c r="CG608" s="430"/>
      <c r="CH608" s="430"/>
      <c r="CI608" s="430"/>
      <c r="CJ608" s="430"/>
      <c r="CK608" s="430"/>
      <c r="CL608" s="430"/>
    </row>
    <row r="609" spans="63:90" ht="14.25" customHeight="1">
      <c r="BK609" s="430"/>
      <c r="BL609" s="430"/>
      <c r="BM609" s="430"/>
      <c r="BN609" s="430"/>
      <c r="BO609" s="430"/>
      <c r="BP609" s="430"/>
      <c r="BQ609" s="430"/>
      <c r="BR609" s="430"/>
      <c r="BS609" s="430"/>
      <c r="BT609" s="430"/>
      <c r="BU609" s="430"/>
      <c r="BV609" s="430"/>
      <c r="BW609" s="430"/>
      <c r="BX609" s="430"/>
      <c r="BY609" s="430"/>
      <c r="BZ609" s="430"/>
      <c r="CA609" s="430"/>
      <c r="CB609" s="430"/>
      <c r="CC609" s="430"/>
      <c r="CD609" s="430"/>
      <c r="CE609" s="430"/>
      <c r="CF609" s="430"/>
      <c r="CG609" s="430"/>
      <c r="CH609" s="430"/>
      <c r="CI609" s="430"/>
      <c r="CJ609" s="430"/>
      <c r="CK609" s="430"/>
      <c r="CL609" s="430"/>
    </row>
    <row r="610" spans="63:90" ht="14.25" customHeight="1">
      <c r="BK610" s="430"/>
      <c r="BL610" s="430"/>
      <c r="BM610" s="430"/>
      <c r="BN610" s="430"/>
      <c r="BO610" s="430"/>
      <c r="BP610" s="430"/>
      <c r="BQ610" s="430"/>
      <c r="BR610" s="430"/>
      <c r="BS610" s="430"/>
      <c r="BT610" s="430"/>
      <c r="BU610" s="430"/>
      <c r="BV610" s="430"/>
      <c r="BW610" s="430"/>
      <c r="BX610" s="430"/>
      <c r="BY610" s="430"/>
      <c r="BZ610" s="430"/>
      <c r="CA610" s="430"/>
      <c r="CB610" s="430"/>
      <c r="CC610" s="430"/>
      <c r="CD610" s="430"/>
      <c r="CE610" s="430"/>
      <c r="CF610" s="430"/>
      <c r="CG610" s="430"/>
      <c r="CH610" s="430"/>
      <c r="CI610" s="430"/>
      <c r="CJ610" s="430"/>
      <c r="CK610" s="430"/>
      <c r="CL610" s="430"/>
    </row>
    <row r="611" spans="63:90" ht="14.25" customHeight="1">
      <c r="BK611" s="430"/>
      <c r="BL611" s="430"/>
      <c r="BM611" s="430"/>
      <c r="BN611" s="430"/>
      <c r="BO611" s="430"/>
      <c r="BP611" s="430"/>
      <c r="BQ611" s="430"/>
      <c r="BR611" s="430"/>
      <c r="BS611" s="430"/>
      <c r="BT611" s="430"/>
      <c r="BU611" s="430"/>
      <c r="BV611" s="430"/>
      <c r="BW611" s="430"/>
      <c r="BX611" s="430"/>
      <c r="BY611" s="430"/>
      <c r="BZ611" s="430"/>
      <c r="CA611" s="430"/>
      <c r="CB611" s="430"/>
      <c r="CC611" s="430"/>
      <c r="CD611" s="430"/>
      <c r="CE611" s="430"/>
      <c r="CF611" s="430"/>
      <c r="CG611" s="430"/>
      <c r="CH611" s="430"/>
      <c r="CI611" s="430"/>
      <c r="CJ611" s="430"/>
      <c r="CK611" s="430"/>
      <c r="CL611" s="430"/>
    </row>
    <row r="612" spans="63:90" ht="14.25" customHeight="1">
      <c r="BK612" s="430"/>
      <c r="BL612" s="430"/>
      <c r="BM612" s="430"/>
      <c r="BN612" s="430"/>
      <c r="BO612" s="430"/>
      <c r="BP612" s="430"/>
      <c r="BQ612" s="430"/>
      <c r="BR612" s="430"/>
      <c r="BS612" s="430"/>
      <c r="BT612" s="430"/>
      <c r="BU612" s="430"/>
      <c r="BV612" s="430"/>
      <c r="BW612" s="430"/>
      <c r="BX612" s="430"/>
      <c r="BY612" s="430"/>
      <c r="BZ612" s="430"/>
      <c r="CA612" s="430"/>
      <c r="CB612" s="430"/>
      <c r="CC612" s="430"/>
      <c r="CD612" s="430"/>
      <c r="CE612" s="430"/>
      <c r="CF612" s="430"/>
      <c r="CG612" s="430"/>
      <c r="CH612" s="430"/>
      <c r="CI612" s="430"/>
      <c r="CJ612" s="430"/>
      <c r="CK612" s="430"/>
      <c r="CL612" s="430"/>
    </row>
    <row r="613" spans="63:90" ht="14.25" customHeight="1">
      <c r="BK613" s="430"/>
      <c r="BL613" s="430"/>
      <c r="BM613" s="430"/>
      <c r="BN613" s="430"/>
      <c r="BO613" s="430"/>
      <c r="BP613" s="430"/>
      <c r="BQ613" s="430"/>
      <c r="BR613" s="430"/>
      <c r="BS613" s="430"/>
      <c r="BT613" s="430"/>
      <c r="BU613" s="430"/>
      <c r="BV613" s="430"/>
      <c r="BW613" s="430"/>
      <c r="BX613" s="430"/>
      <c r="BY613" s="430"/>
      <c r="BZ613" s="430"/>
      <c r="CA613" s="430"/>
      <c r="CB613" s="430"/>
      <c r="CC613" s="430"/>
      <c r="CD613" s="430"/>
      <c r="CE613" s="430"/>
      <c r="CF613" s="430"/>
      <c r="CG613" s="430"/>
      <c r="CH613" s="430"/>
      <c r="CI613" s="430"/>
      <c r="CJ613" s="430"/>
      <c r="CK613" s="430"/>
      <c r="CL613" s="430"/>
    </row>
    <row r="614" spans="63:90" ht="14.25" customHeight="1">
      <c r="BK614" s="430"/>
      <c r="BL614" s="430"/>
      <c r="BM614" s="430"/>
      <c r="BN614" s="430"/>
      <c r="BO614" s="430"/>
      <c r="BP614" s="430"/>
      <c r="BQ614" s="430"/>
      <c r="BR614" s="430"/>
      <c r="BS614" s="430"/>
      <c r="BT614" s="430"/>
      <c r="BU614" s="430"/>
      <c r="BV614" s="430"/>
      <c r="BW614" s="430"/>
      <c r="BX614" s="430"/>
      <c r="BY614" s="430"/>
      <c r="BZ614" s="430"/>
      <c r="CA614" s="430"/>
      <c r="CB614" s="430"/>
      <c r="CC614" s="430"/>
      <c r="CD614" s="430"/>
      <c r="CE614" s="430"/>
      <c r="CF614" s="430"/>
      <c r="CG614" s="430"/>
      <c r="CH614" s="430"/>
      <c r="CI614" s="430"/>
      <c r="CJ614" s="430"/>
      <c r="CK614" s="430"/>
      <c r="CL614" s="430"/>
    </row>
    <row r="615" spans="63:90" ht="14.25" customHeight="1">
      <c r="BK615" s="430"/>
      <c r="BL615" s="430"/>
      <c r="BM615" s="430"/>
      <c r="BN615" s="430"/>
      <c r="BO615" s="430"/>
      <c r="BP615" s="430"/>
      <c r="BQ615" s="430"/>
      <c r="BR615" s="430"/>
      <c r="BS615" s="430"/>
      <c r="BT615" s="430"/>
      <c r="BU615" s="430"/>
      <c r="BV615" s="430"/>
      <c r="BW615" s="430"/>
      <c r="BX615" s="430"/>
      <c r="BY615" s="430"/>
      <c r="BZ615" s="430"/>
      <c r="CA615" s="430"/>
      <c r="CB615" s="430"/>
      <c r="CC615" s="430"/>
      <c r="CD615" s="430"/>
      <c r="CE615" s="430"/>
      <c r="CF615" s="430"/>
      <c r="CG615" s="430"/>
      <c r="CH615" s="430"/>
      <c r="CI615" s="430"/>
      <c r="CJ615" s="430"/>
      <c r="CK615" s="430"/>
      <c r="CL615" s="430"/>
    </row>
    <row r="616" spans="63:90" ht="14.25" customHeight="1">
      <c r="BK616" s="430"/>
      <c r="BL616" s="430"/>
      <c r="BM616" s="430"/>
      <c r="BN616" s="430"/>
      <c r="BO616" s="430"/>
      <c r="BP616" s="430"/>
      <c r="BQ616" s="430"/>
      <c r="BR616" s="430"/>
      <c r="BS616" s="430"/>
      <c r="BT616" s="430"/>
      <c r="BU616" s="430"/>
      <c r="BV616" s="430"/>
      <c r="BW616" s="430"/>
      <c r="BX616" s="430"/>
      <c r="BY616" s="430"/>
      <c r="BZ616" s="430"/>
      <c r="CA616" s="430"/>
      <c r="CB616" s="430"/>
      <c r="CC616" s="430"/>
      <c r="CD616" s="430"/>
      <c r="CE616" s="430"/>
      <c r="CF616" s="430"/>
      <c r="CG616" s="430"/>
      <c r="CH616" s="430"/>
      <c r="CI616" s="430"/>
      <c r="CJ616" s="430"/>
      <c r="CK616" s="430"/>
      <c r="CL616" s="430"/>
    </row>
    <row r="617" spans="63:90" ht="14.25" customHeight="1">
      <c r="BK617" s="430"/>
      <c r="BL617" s="430"/>
      <c r="BM617" s="430"/>
      <c r="BN617" s="430"/>
      <c r="BO617" s="430"/>
      <c r="BP617" s="430"/>
      <c r="BQ617" s="430"/>
      <c r="BR617" s="430"/>
      <c r="BS617" s="430"/>
      <c r="BT617" s="430"/>
      <c r="BU617" s="430"/>
      <c r="BV617" s="430"/>
      <c r="BW617" s="430"/>
      <c r="BX617" s="430"/>
      <c r="BY617" s="430"/>
      <c r="BZ617" s="430"/>
      <c r="CA617" s="430"/>
      <c r="CB617" s="430"/>
      <c r="CC617" s="430"/>
      <c r="CD617" s="430"/>
      <c r="CE617" s="430"/>
      <c r="CF617" s="430"/>
      <c r="CG617" s="430"/>
      <c r="CH617" s="430"/>
      <c r="CI617" s="430"/>
      <c r="CJ617" s="430"/>
      <c r="CK617" s="430"/>
      <c r="CL617" s="430"/>
    </row>
    <row r="618" spans="63:90" ht="14.25" customHeight="1">
      <c r="BK618" s="430"/>
      <c r="BL618" s="430"/>
      <c r="BM618" s="430"/>
      <c r="BN618" s="430"/>
      <c r="BO618" s="430"/>
      <c r="BP618" s="430"/>
      <c r="BQ618" s="430"/>
      <c r="BR618" s="430"/>
      <c r="BS618" s="430"/>
      <c r="BT618" s="430"/>
      <c r="BU618" s="430"/>
      <c r="BV618" s="430"/>
      <c r="BW618" s="430"/>
      <c r="BX618" s="430"/>
      <c r="BY618" s="430"/>
      <c r="BZ618" s="430"/>
      <c r="CA618" s="430"/>
      <c r="CB618" s="430"/>
      <c r="CC618" s="430"/>
      <c r="CD618" s="430"/>
      <c r="CE618" s="430"/>
      <c r="CF618" s="430"/>
      <c r="CG618" s="430"/>
      <c r="CH618" s="430"/>
      <c r="CI618" s="430"/>
      <c r="CJ618" s="430"/>
      <c r="CK618" s="430"/>
      <c r="CL618" s="430"/>
    </row>
    <row r="619" spans="63:90" ht="14.25" customHeight="1">
      <c r="BK619" s="430"/>
      <c r="BL619" s="430"/>
      <c r="BM619" s="430"/>
      <c r="BN619" s="430"/>
      <c r="BO619" s="430"/>
      <c r="BP619" s="430"/>
      <c r="BQ619" s="430"/>
      <c r="BR619" s="430"/>
      <c r="BS619" s="430"/>
      <c r="BT619" s="430"/>
      <c r="BU619" s="430"/>
      <c r="BV619" s="430"/>
      <c r="BW619" s="430"/>
      <c r="BX619" s="430"/>
      <c r="BY619" s="430"/>
      <c r="BZ619" s="430"/>
      <c r="CA619" s="430"/>
      <c r="CB619" s="430"/>
      <c r="CC619" s="430"/>
      <c r="CD619" s="430"/>
      <c r="CE619" s="430"/>
      <c r="CF619" s="430"/>
      <c r="CG619" s="430"/>
      <c r="CH619" s="430"/>
      <c r="CI619" s="430"/>
      <c r="CJ619" s="430"/>
      <c r="CK619" s="430"/>
      <c r="CL619" s="430"/>
    </row>
    <row r="620" spans="63:90" ht="14.25" customHeight="1">
      <c r="BK620" s="430"/>
      <c r="BL620" s="430"/>
      <c r="BM620" s="430"/>
      <c r="BN620" s="430"/>
      <c r="BO620" s="430"/>
      <c r="BP620" s="430"/>
      <c r="BQ620" s="430"/>
      <c r="BR620" s="430"/>
      <c r="BS620" s="430"/>
      <c r="BT620" s="430"/>
      <c r="BU620" s="430"/>
      <c r="BV620" s="430"/>
      <c r="BW620" s="430"/>
      <c r="BX620" s="430"/>
      <c r="BY620" s="430"/>
      <c r="BZ620" s="430"/>
      <c r="CA620" s="430"/>
      <c r="CB620" s="430"/>
      <c r="CC620" s="430"/>
      <c r="CD620" s="430"/>
      <c r="CE620" s="430"/>
      <c r="CF620" s="430"/>
      <c r="CG620" s="430"/>
      <c r="CH620" s="430"/>
      <c r="CI620" s="430"/>
      <c r="CJ620" s="430"/>
      <c r="CK620" s="430"/>
      <c r="CL620" s="430"/>
    </row>
    <row r="621" spans="63:90" ht="14.25" customHeight="1">
      <c r="BK621" s="430"/>
      <c r="BL621" s="430"/>
      <c r="BM621" s="430"/>
      <c r="BN621" s="430"/>
      <c r="BO621" s="430"/>
      <c r="BP621" s="430"/>
      <c r="BQ621" s="430"/>
      <c r="BR621" s="430"/>
      <c r="BS621" s="430"/>
      <c r="BT621" s="430"/>
      <c r="BU621" s="430"/>
      <c r="BV621" s="430"/>
      <c r="BW621" s="430"/>
      <c r="BX621" s="430"/>
      <c r="BY621" s="430"/>
      <c r="BZ621" s="430"/>
      <c r="CA621" s="430"/>
      <c r="CB621" s="430"/>
      <c r="CC621" s="430"/>
      <c r="CD621" s="430"/>
      <c r="CE621" s="430"/>
      <c r="CF621" s="430"/>
      <c r="CG621" s="430"/>
      <c r="CH621" s="430"/>
      <c r="CI621" s="430"/>
      <c r="CJ621" s="430"/>
      <c r="CK621" s="430"/>
      <c r="CL621" s="430"/>
    </row>
    <row r="622" spans="63:90" ht="14.25" customHeight="1">
      <c r="BK622" s="430"/>
      <c r="BL622" s="430"/>
      <c r="BM622" s="430"/>
      <c r="BN622" s="430"/>
      <c r="BO622" s="430"/>
      <c r="BP622" s="430"/>
      <c r="BQ622" s="430"/>
      <c r="BR622" s="430"/>
      <c r="BS622" s="430"/>
      <c r="BT622" s="430"/>
      <c r="BU622" s="430"/>
      <c r="BV622" s="430"/>
      <c r="BW622" s="430"/>
      <c r="BX622" s="430"/>
      <c r="BY622" s="430"/>
      <c r="BZ622" s="430"/>
      <c r="CA622" s="430"/>
      <c r="CB622" s="430"/>
      <c r="CC622" s="430"/>
      <c r="CD622" s="430"/>
      <c r="CE622" s="430"/>
      <c r="CF622" s="430"/>
      <c r="CG622" s="430"/>
      <c r="CH622" s="430"/>
      <c r="CI622" s="430"/>
      <c r="CJ622" s="430"/>
      <c r="CK622" s="430"/>
      <c r="CL622" s="430"/>
    </row>
    <row r="623" spans="63:90" ht="14.25" customHeight="1">
      <c r="BK623" s="430"/>
      <c r="BL623" s="430"/>
      <c r="BM623" s="430"/>
      <c r="BN623" s="430"/>
      <c r="BO623" s="430"/>
      <c r="BP623" s="430"/>
      <c r="BQ623" s="430"/>
      <c r="BR623" s="430"/>
      <c r="BS623" s="430"/>
      <c r="BT623" s="430"/>
      <c r="BU623" s="430"/>
      <c r="BV623" s="430"/>
      <c r="BW623" s="430"/>
      <c r="BX623" s="430"/>
      <c r="BY623" s="430"/>
      <c r="BZ623" s="430"/>
      <c r="CA623" s="430"/>
      <c r="CB623" s="430"/>
      <c r="CC623" s="430"/>
      <c r="CD623" s="430"/>
      <c r="CE623" s="430"/>
      <c r="CF623" s="430"/>
      <c r="CG623" s="430"/>
      <c r="CH623" s="430"/>
      <c r="CI623" s="430"/>
      <c r="CJ623" s="430"/>
      <c r="CK623" s="430"/>
      <c r="CL623" s="430"/>
    </row>
    <row r="624" spans="63:90" ht="14.25" customHeight="1">
      <c r="BK624" s="430"/>
      <c r="BL624" s="430"/>
      <c r="BM624" s="430"/>
      <c r="BN624" s="430"/>
      <c r="BO624" s="430"/>
      <c r="BP624" s="430"/>
      <c r="BQ624" s="430"/>
      <c r="BR624" s="430"/>
      <c r="BS624" s="430"/>
      <c r="BT624" s="430"/>
      <c r="BU624" s="430"/>
      <c r="BV624" s="430"/>
      <c r="BW624" s="430"/>
      <c r="BX624" s="430"/>
      <c r="BY624" s="430"/>
      <c r="BZ624" s="430"/>
      <c r="CA624" s="430"/>
      <c r="CB624" s="430"/>
      <c r="CC624" s="430"/>
      <c r="CD624" s="430"/>
      <c r="CE624" s="430"/>
      <c r="CF624" s="430"/>
      <c r="CG624" s="430"/>
      <c r="CH624" s="430"/>
      <c r="CI624" s="430"/>
      <c r="CJ624" s="430"/>
      <c r="CK624" s="430"/>
      <c r="CL624" s="430"/>
    </row>
    <row r="625" spans="63:90" ht="14.25" customHeight="1">
      <c r="BK625" s="430"/>
      <c r="BL625" s="430"/>
      <c r="BM625" s="430"/>
      <c r="BN625" s="430"/>
      <c r="BO625" s="430"/>
      <c r="BP625" s="430"/>
      <c r="BQ625" s="430"/>
      <c r="BR625" s="430"/>
      <c r="BS625" s="430"/>
      <c r="BT625" s="430"/>
      <c r="BU625" s="430"/>
      <c r="BV625" s="430"/>
      <c r="BW625" s="430"/>
      <c r="BX625" s="430"/>
      <c r="BY625" s="430"/>
      <c r="BZ625" s="430"/>
      <c r="CA625" s="430"/>
      <c r="CB625" s="430"/>
      <c r="CC625" s="430"/>
      <c r="CD625" s="430"/>
      <c r="CE625" s="430"/>
      <c r="CF625" s="430"/>
      <c r="CG625" s="430"/>
      <c r="CH625" s="430"/>
      <c r="CI625" s="430"/>
      <c r="CJ625" s="430"/>
      <c r="CK625" s="430"/>
      <c r="CL625" s="430"/>
    </row>
    <row r="626" spans="63:90" ht="14.25" customHeight="1">
      <c r="BK626" s="430"/>
      <c r="BL626" s="430"/>
      <c r="BM626" s="430"/>
      <c r="BN626" s="430"/>
      <c r="BO626" s="430"/>
      <c r="BP626" s="430"/>
      <c r="BQ626" s="430"/>
      <c r="BR626" s="430"/>
      <c r="BS626" s="430"/>
      <c r="BT626" s="430"/>
      <c r="BU626" s="430"/>
      <c r="BV626" s="430"/>
      <c r="BW626" s="430"/>
      <c r="BX626" s="430"/>
      <c r="BY626" s="430"/>
      <c r="BZ626" s="430"/>
      <c r="CA626" s="430"/>
      <c r="CB626" s="430"/>
      <c r="CC626" s="430"/>
      <c r="CD626" s="430"/>
      <c r="CE626" s="430"/>
      <c r="CF626" s="430"/>
      <c r="CG626" s="430"/>
      <c r="CH626" s="430"/>
      <c r="CI626" s="430"/>
      <c r="CJ626" s="430"/>
      <c r="CK626" s="430"/>
      <c r="CL626" s="430"/>
    </row>
    <row r="627" spans="63:90" ht="14.25" customHeight="1">
      <c r="BK627" s="430"/>
      <c r="BL627" s="430"/>
      <c r="BM627" s="430"/>
      <c r="BN627" s="430"/>
      <c r="BO627" s="430"/>
      <c r="BP627" s="430"/>
      <c r="BQ627" s="430"/>
      <c r="BR627" s="430"/>
      <c r="BS627" s="430"/>
      <c r="BT627" s="430"/>
      <c r="BU627" s="430"/>
      <c r="BV627" s="430"/>
      <c r="BW627" s="430"/>
      <c r="BX627" s="430"/>
      <c r="BY627" s="430"/>
      <c r="BZ627" s="430"/>
      <c r="CA627" s="430"/>
      <c r="CB627" s="430"/>
      <c r="CC627" s="430"/>
      <c r="CD627" s="430"/>
      <c r="CE627" s="430"/>
      <c r="CF627" s="430"/>
      <c r="CG627" s="430"/>
      <c r="CH627" s="430"/>
      <c r="CI627" s="430"/>
      <c r="CJ627" s="430"/>
      <c r="CK627" s="430"/>
      <c r="CL627" s="430"/>
    </row>
    <row r="628" spans="63:90" ht="14.25" customHeight="1">
      <c r="BK628" s="430"/>
      <c r="BL628" s="430"/>
      <c r="BM628" s="430"/>
      <c r="BN628" s="430"/>
      <c r="BO628" s="430"/>
      <c r="BP628" s="430"/>
      <c r="BQ628" s="430"/>
      <c r="BR628" s="430"/>
      <c r="BS628" s="430"/>
      <c r="BT628" s="430"/>
      <c r="BU628" s="430"/>
      <c r="BV628" s="430"/>
      <c r="BW628" s="430"/>
      <c r="BX628" s="430"/>
      <c r="BY628" s="430"/>
      <c r="BZ628" s="430"/>
      <c r="CA628" s="430"/>
      <c r="CB628" s="430"/>
      <c r="CC628" s="430"/>
      <c r="CD628" s="430"/>
      <c r="CE628" s="430"/>
      <c r="CF628" s="430"/>
      <c r="CG628" s="430"/>
      <c r="CH628" s="430"/>
      <c r="CI628" s="430"/>
      <c r="CJ628" s="430"/>
      <c r="CK628" s="430"/>
      <c r="CL628" s="430"/>
    </row>
    <row r="629" spans="63:90" ht="14.25" customHeight="1">
      <c r="BK629" s="430"/>
      <c r="BL629" s="430"/>
      <c r="BM629" s="430"/>
      <c r="BN629" s="430"/>
      <c r="BO629" s="430"/>
      <c r="BP629" s="430"/>
      <c r="BQ629" s="430"/>
      <c r="BR629" s="430"/>
      <c r="BS629" s="430"/>
      <c r="BT629" s="430"/>
      <c r="BU629" s="430"/>
      <c r="BV629" s="430"/>
      <c r="BW629" s="430"/>
      <c r="BX629" s="430"/>
      <c r="BY629" s="430"/>
      <c r="BZ629" s="430"/>
      <c r="CA629" s="430"/>
      <c r="CB629" s="430"/>
      <c r="CC629" s="430"/>
      <c r="CD629" s="430"/>
      <c r="CE629" s="430"/>
      <c r="CF629" s="430"/>
      <c r="CG629" s="430"/>
      <c r="CH629" s="430"/>
      <c r="CI629" s="430"/>
      <c r="CJ629" s="430"/>
      <c r="CK629" s="430"/>
      <c r="CL629" s="430"/>
    </row>
    <row r="630" spans="63:90" ht="14.25" customHeight="1">
      <c r="BK630" s="430"/>
      <c r="BL630" s="430"/>
      <c r="BM630" s="430"/>
      <c r="BN630" s="430"/>
      <c r="BO630" s="430"/>
      <c r="BP630" s="430"/>
      <c r="BQ630" s="430"/>
      <c r="BR630" s="430"/>
      <c r="BS630" s="430"/>
      <c r="BT630" s="430"/>
      <c r="BU630" s="430"/>
      <c r="BV630" s="430"/>
      <c r="BW630" s="430"/>
      <c r="BX630" s="430"/>
      <c r="BY630" s="430"/>
      <c r="BZ630" s="430"/>
      <c r="CA630" s="430"/>
      <c r="CB630" s="430"/>
      <c r="CC630" s="430"/>
      <c r="CD630" s="430"/>
      <c r="CE630" s="430"/>
      <c r="CF630" s="430"/>
      <c r="CG630" s="430"/>
      <c r="CH630" s="430"/>
      <c r="CI630" s="430"/>
      <c r="CJ630" s="430"/>
      <c r="CK630" s="430"/>
      <c r="CL630" s="430"/>
    </row>
    <row r="631" spans="63:90" ht="14.25" customHeight="1">
      <c r="BK631" s="430"/>
      <c r="BL631" s="430"/>
      <c r="BM631" s="430"/>
      <c r="BN631" s="430"/>
      <c r="BO631" s="430"/>
      <c r="BP631" s="430"/>
      <c r="BQ631" s="430"/>
      <c r="BR631" s="430"/>
      <c r="BS631" s="430"/>
      <c r="BT631" s="430"/>
      <c r="BU631" s="430"/>
      <c r="BV631" s="430"/>
      <c r="BW631" s="430"/>
      <c r="BX631" s="430"/>
      <c r="BY631" s="430"/>
      <c r="BZ631" s="430"/>
      <c r="CA631" s="430"/>
      <c r="CB631" s="430"/>
      <c r="CC631" s="430"/>
      <c r="CD631" s="430"/>
      <c r="CE631" s="430"/>
      <c r="CF631" s="430"/>
      <c r="CG631" s="430"/>
      <c r="CH631" s="430"/>
      <c r="CI631" s="430"/>
      <c r="CJ631" s="430"/>
      <c r="CK631" s="430"/>
      <c r="CL631" s="430"/>
    </row>
    <row r="632" spans="63:90" ht="14.25" customHeight="1">
      <c r="BK632" s="430"/>
      <c r="BL632" s="430"/>
      <c r="BM632" s="430"/>
      <c r="BN632" s="430"/>
      <c r="BO632" s="430"/>
      <c r="BP632" s="430"/>
      <c r="BQ632" s="430"/>
      <c r="BR632" s="430"/>
      <c r="BS632" s="430"/>
      <c r="BT632" s="430"/>
      <c r="BU632" s="430"/>
      <c r="BV632" s="430"/>
      <c r="BW632" s="430"/>
      <c r="BX632" s="430"/>
      <c r="BY632" s="430"/>
      <c r="BZ632" s="430"/>
      <c r="CA632" s="430"/>
      <c r="CB632" s="430"/>
      <c r="CC632" s="430"/>
      <c r="CD632" s="430"/>
      <c r="CE632" s="430"/>
      <c r="CF632" s="430"/>
      <c r="CG632" s="430"/>
      <c r="CH632" s="430"/>
      <c r="CI632" s="430"/>
      <c r="CJ632" s="430"/>
      <c r="CK632" s="430"/>
      <c r="CL632" s="430"/>
    </row>
    <row r="633" spans="63:90" ht="14.25" customHeight="1">
      <c r="BK633" s="430"/>
      <c r="BL633" s="430"/>
      <c r="BM633" s="430"/>
      <c r="BN633" s="430"/>
      <c r="BO633" s="430"/>
      <c r="BP633" s="430"/>
      <c r="BQ633" s="430"/>
      <c r="BR633" s="430"/>
      <c r="BS633" s="430"/>
      <c r="BT633" s="430"/>
      <c r="BU633" s="430"/>
      <c r="BV633" s="430"/>
      <c r="BW633" s="430"/>
      <c r="BX633" s="430"/>
      <c r="BY633" s="430"/>
      <c r="BZ633" s="430"/>
      <c r="CA633" s="430"/>
      <c r="CB633" s="430"/>
      <c r="CC633" s="430"/>
      <c r="CD633" s="430"/>
      <c r="CE633" s="430"/>
      <c r="CF633" s="430"/>
      <c r="CG633" s="430"/>
      <c r="CH633" s="430"/>
      <c r="CI633" s="430"/>
      <c r="CJ633" s="430"/>
      <c r="CK633" s="430"/>
      <c r="CL633" s="430"/>
    </row>
    <row r="634" spans="63:90" ht="14.25" customHeight="1">
      <c r="BK634" s="430"/>
      <c r="BL634" s="430"/>
      <c r="BM634" s="430"/>
      <c r="BN634" s="430"/>
      <c r="BO634" s="430"/>
      <c r="BP634" s="430"/>
      <c r="BQ634" s="430"/>
      <c r="BR634" s="430"/>
      <c r="BS634" s="430"/>
      <c r="BT634" s="430"/>
      <c r="BU634" s="430"/>
      <c r="BV634" s="430"/>
      <c r="BW634" s="430"/>
      <c r="BX634" s="430"/>
      <c r="BY634" s="430"/>
      <c r="BZ634" s="430"/>
      <c r="CA634" s="430"/>
      <c r="CB634" s="430"/>
      <c r="CC634" s="430"/>
      <c r="CD634" s="430"/>
      <c r="CE634" s="430"/>
      <c r="CF634" s="430"/>
      <c r="CG634" s="430"/>
      <c r="CH634" s="430"/>
      <c r="CI634" s="430"/>
      <c r="CJ634" s="430"/>
      <c r="CK634" s="430"/>
      <c r="CL634" s="430"/>
    </row>
    <row r="635" spans="63:90" ht="14.25" customHeight="1">
      <c r="BK635" s="430"/>
      <c r="BL635" s="430"/>
      <c r="BM635" s="430"/>
      <c r="BN635" s="430"/>
      <c r="BO635" s="430"/>
      <c r="BP635" s="430"/>
      <c r="BQ635" s="430"/>
      <c r="BR635" s="430"/>
      <c r="BS635" s="430"/>
      <c r="BT635" s="430"/>
      <c r="BU635" s="430"/>
      <c r="BV635" s="430"/>
      <c r="BW635" s="430"/>
      <c r="BX635" s="430"/>
      <c r="BY635" s="430"/>
      <c r="BZ635" s="430"/>
      <c r="CA635" s="430"/>
      <c r="CB635" s="430"/>
      <c r="CC635" s="430"/>
      <c r="CD635" s="430"/>
      <c r="CE635" s="430"/>
      <c r="CF635" s="430"/>
      <c r="CG635" s="430"/>
      <c r="CH635" s="430"/>
      <c r="CI635" s="430"/>
      <c r="CJ635" s="430"/>
      <c r="CK635" s="430"/>
      <c r="CL635" s="430"/>
    </row>
    <row r="636" spans="63:90" ht="14.25" customHeight="1">
      <c r="BK636" s="430"/>
      <c r="BL636" s="430"/>
      <c r="BM636" s="430"/>
      <c r="BN636" s="430"/>
      <c r="BO636" s="430"/>
      <c r="BP636" s="430"/>
      <c r="BQ636" s="430"/>
      <c r="BR636" s="430"/>
      <c r="BS636" s="430"/>
      <c r="BT636" s="430"/>
      <c r="BU636" s="430"/>
      <c r="BV636" s="430"/>
      <c r="BW636" s="430"/>
      <c r="BX636" s="430"/>
      <c r="BY636" s="430"/>
      <c r="BZ636" s="430"/>
      <c r="CA636" s="430"/>
      <c r="CB636" s="430"/>
      <c r="CC636" s="430"/>
      <c r="CD636" s="430"/>
      <c r="CE636" s="430"/>
      <c r="CF636" s="430"/>
      <c r="CG636" s="430"/>
      <c r="CH636" s="430"/>
      <c r="CI636" s="430"/>
      <c r="CJ636" s="430"/>
      <c r="CK636" s="430"/>
      <c r="CL636" s="430"/>
    </row>
    <row r="637" spans="63:90" ht="14.25" customHeight="1">
      <c r="BK637" s="430"/>
      <c r="BL637" s="430"/>
      <c r="BM637" s="430"/>
      <c r="BN637" s="430"/>
      <c r="BO637" s="430"/>
      <c r="BP637" s="430"/>
      <c r="BQ637" s="430"/>
      <c r="BR637" s="430"/>
      <c r="BS637" s="430"/>
      <c r="BT637" s="430"/>
      <c r="BU637" s="430"/>
      <c r="BV637" s="430"/>
      <c r="BW637" s="430"/>
      <c r="BX637" s="430"/>
      <c r="BY637" s="430"/>
      <c r="BZ637" s="430"/>
      <c r="CA637" s="430"/>
      <c r="CB637" s="430"/>
      <c r="CC637" s="430"/>
      <c r="CD637" s="430"/>
      <c r="CE637" s="430"/>
      <c r="CF637" s="430"/>
      <c r="CG637" s="430"/>
      <c r="CH637" s="430"/>
      <c r="CI637" s="430"/>
      <c r="CJ637" s="430"/>
      <c r="CK637" s="430"/>
      <c r="CL637" s="430"/>
    </row>
    <row r="638" spans="63:90" ht="14.25" customHeight="1">
      <c r="BK638" s="430"/>
      <c r="BL638" s="430"/>
      <c r="BM638" s="430"/>
      <c r="BN638" s="430"/>
      <c r="BO638" s="430"/>
      <c r="BP638" s="430"/>
      <c r="BQ638" s="430"/>
      <c r="BR638" s="430"/>
      <c r="BS638" s="430"/>
      <c r="BT638" s="430"/>
      <c r="BU638" s="430"/>
      <c r="BV638" s="430"/>
      <c r="BW638" s="430"/>
      <c r="BX638" s="430"/>
      <c r="BY638" s="430"/>
      <c r="BZ638" s="430"/>
      <c r="CA638" s="430"/>
      <c r="CB638" s="430"/>
      <c r="CC638" s="430"/>
      <c r="CD638" s="430"/>
      <c r="CE638" s="430"/>
      <c r="CF638" s="430"/>
      <c r="CG638" s="430"/>
      <c r="CH638" s="430"/>
      <c r="CI638" s="430"/>
      <c r="CJ638" s="430"/>
      <c r="CK638" s="430"/>
      <c r="CL638" s="430"/>
    </row>
    <row r="639" spans="63:90" ht="14.25" customHeight="1">
      <c r="BK639" s="430"/>
      <c r="BL639" s="430"/>
      <c r="BM639" s="430"/>
      <c r="BN639" s="430"/>
      <c r="BO639" s="430"/>
      <c r="BP639" s="430"/>
      <c r="BQ639" s="430"/>
      <c r="BR639" s="430"/>
      <c r="BS639" s="430"/>
      <c r="BT639" s="430"/>
      <c r="BU639" s="430"/>
      <c r="BV639" s="430"/>
      <c r="BW639" s="430"/>
      <c r="BX639" s="430"/>
      <c r="BY639" s="430"/>
      <c r="BZ639" s="430"/>
      <c r="CA639" s="430"/>
      <c r="CB639" s="430"/>
      <c r="CC639" s="430"/>
      <c r="CD639" s="430"/>
      <c r="CE639" s="430"/>
      <c r="CF639" s="430"/>
      <c r="CG639" s="430"/>
      <c r="CH639" s="430"/>
      <c r="CI639" s="430"/>
      <c r="CJ639" s="430"/>
      <c r="CK639" s="430"/>
      <c r="CL639" s="430"/>
    </row>
    <row r="640" spans="63:90" ht="14.25" customHeight="1">
      <c r="BK640" s="430"/>
      <c r="BL640" s="430"/>
      <c r="BM640" s="430"/>
      <c r="BN640" s="430"/>
      <c r="BO640" s="430"/>
      <c r="BP640" s="430"/>
      <c r="BQ640" s="430"/>
      <c r="BR640" s="430"/>
      <c r="BS640" s="430"/>
      <c r="BT640" s="430"/>
      <c r="BU640" s="430"/>
      <c r="BV640" s="430"/>
      <c r="BW640" s="430"/>
      <c r="BX640" s="430"/>
      <c r="BY640" s="430"/>
      <c r="BZ640" s="430"/>
      <c r="CA640" s="430"/>
      <c r="CB640" s="430"/>
      <c r="CC640" s="430"/>
      <c r="CD640" s="430"/>
      <c r="CE640" s="430"/>
      <c r="CF640" s="430"/>
      <c r="CG640" s="430"/>
      <c r="CH640" s="430"/>
      <c r="CI640" s="430"/>
      <c r="CJ640" s="430"/>
      <c r="CK640" s="430"/>
      <c r="CL640" s="430"/>
    </row>
    <row r="641" spans="63:90" ht="14.25" customHeight="1">
      <c r="BK641" s="430"/>
      <c r="BL641" s="430"/>
      <c r="BM641" s="430"/>
      <c r="BN641" s="430"/>
      <c r="BO641" s="430"/>
      <c r="BP641" s="430"/>
      <c r="BQ641" s="430"/>
      <c r="BR641" s="430"/>
      <c r="BS641" s="430"/>
      <c r="BT641" s="430"/>
      <c r="BU641" s="430"/>
      <c r="BV641" s="430"/>
      <c r="BW641" s="430"/>
      <c r="BX641" s="430"/>
      <c r="BY641" s="430"/>
      <c r="BZ641" s="430"/>
      <c r="CA641" s="430"/>
      <c r="CB641" s="430"/>
      <c r="CC641" s="430"/>
      <c r="CD641" s="430"/>
      <c r="CE641" s="430"/>
      <c r="CF641" s="430"/>
      <c r="CG641" s="430"/>
      <c r="CH641" s="430"/>
      <c r="CI641" s="430"/>
      <c r="CJ641" s="430"/>
      <c r="CK641" s="430"/>
      <c r="CL641" s="430"/>
    </row>
    <row r="642" spans="63:90" ht="14.25" customHeight="1">
      <c r="BK642" s="430"/>
      <c r="BL642" s="430"/>
      <c r="BM642" s="430"/>
      <c r="BN642" s="430"/>
      <c r="BO642" s="430"/>
      <c r="BP642" s="430"/>
      <c r="BQ642" s="430"/>
      <c r="BR642" s="430"/>
      <c r="BS642" s="430"/>
      <c r="BT642" s="430"/>
      <c r="BU642" s="430"/>
      <c r="BV642" s="430"/>
      <c r="BW642" s="430"/>
      <c r="BX642" s="430"/>
      <c r="BY642" s="430"/>
      <c r="BZ642" s="430"/>
      <c r="CA642" s="430"/>
      <c r="CB642" s="430"/>
      <c r="CC642" s="430"/>
      <c r="CD642" s="430"/>
      <c r="CE642" s="430"/>
      <c r="CF642" s="430"/>
      <c r="CG642" s="430"/>
      <c r="CH642" s="430"/>
      <c r="CI642" s="430"/>
      <c r="CJ642" s="430"/>
      <c r="CK642" s="430"/>
      <c r="CL642" s="430"/>
    </row>
    <row r="643" spans="63:90" ht="14.25" customHeight="1">
      <c r="BK643" s="430"/>
      <c r="BL643" s="430"/>
      <c r="BM643" s="430"/>
      <c r="BN643" s="430"/>
      <c r="BO643" s="430"/>
      <c r="BP643" s="430"/>
      <c r="BQ643" s="430"/>
      <c r="BR643" s="430"/>
      <c r="BS643" s="430"/>
      <c r="BT643" s="430"/>
      <c r="BU643" s="430"/>
      <c r="BV643" s="430"/>
      <c r="BW643" s="430"/>
      <c r="BX643" s="430"/>
      <c r="BY643" s="430"/>
      <c r="BZ643" s="430"/>
      <c r="CA643" s="430"/>
      <c r="CB643" s="430"/>
      <c r="CC643" s="430"/>
      <c r="CD643" s="430"/>
      <c r="CE643" s="430"/>
      <c r="CF643" s="430"/>
      <c r="CG643" s="430"/>
      <c r="CH643" s="430"/>
      <c r="CI643" s="430"/>
      <c r="CJ643" s="430"/>
      <c r="CK643" s="430"/>
      <c r="CL643" s="430"/>
    </row>
    <row r="644" spans="63:90" ht="14.25" customHeight="1">
      <c r="BK644" s="430"/>
      <c r="BL644" s="430"/>
      <c r="BM644" s="430"/>
      <c r="BN644" s="430"/>
      <c r="BO644" s="430"/>
      <c r="BP644" s="430"/>
      <c r="BQ644" s="430"/>
      <c r="BR644" s="430"/>
      <c r="BS644" s="430"/>
      <c r="BT644" s="430"/>
      <c r="BU644" s="430"/>
      <c r="BV644" s="430"/>
      <c r="BW644" s="430"/>
      <c r="BX644" s="430"/>
      <c r="BY644" s="430"/>
      <c r="BZ644" s="430"/>
      <c r="CA644" s="430"/>
      <c r="CB644" s="430"/>
      <c r="CC644" s="430"/>
      <c r="CD644" s="430"/>
      <c r="CE644" s="430"/>
      <c r="CF644" s="430"/>
      <c r="CG644" s="430"/>
      <c r="CH644" s="430"/>
      <c r="CI644" s="430"/>
      <c r="CJ644" s="430"/>
      <c r="CK644" s="430"/>
      <c r="CL644" s="430"/>
    </row>
    <row r="645" spans="63:90" ht="14.25" customHeight="1">
      <c r="BK645" s="430"/>
      <c r="BL645" s="430"/>
      <c r="BM645" s="430"/>
      <c r="BN645" s="430"/>
      <c r="BO645" s="430"/>
      <c r="BP645" s="430"/>
      <c r="BQ645" s="430"/>
      <c r="BR645" s="430"/>
      <c r="BS645" s="430"/>
      <c r="BT645" s="430"/>
      <c r="BU645" s="430"/>
      <c r="BV645" s="430"/>
      <c r="BW645" s="430"/>
      <c r="BX645" s="430"/>
      <c r="BY645" s="430"/>
      <c r="BZ645" s="430"/>
      <c r="CA645" s="430"/>
      <c r="CB645" s="430"/>
      <c r="CC645" s="430"/>
      <c r="CD645" s="430"/>
      <c r="CE645" s="430"/>
      <c r="CF645" s="430"/>
      <c r="CG645" s="430"/>
      <c r="CH645" s="430"/>
      <c r="CI645" s="430"/>
      <c r="CJ645" s="430"/>
      <c r="CK645" s="430"/>
      <c r="CL645" s="430"/>
    </row>
    <row r="646" spans="63:90" ht="14.25" customHeight="1">
      <c r="BK646" s="430"/>
      <c r="BL646" s="430"/>
      <c r="BM646" s="430"/>
      <c r="BN646" s="430"/>
      <c r="BO646" s="430"/>
      <c r="BP646" s="430"/>
      <c r="BQ646" s="430"/>
      <c r="BR646" s="430"/>
      <c r="BS646" s="430"/>
      <c r="BT646" s="430"/>
      <c r="BU646" s="430"/>
      <c r="BV646" s="430"/>
      <c r="BW646" s="430"/>
      <c r="BX646" s="430"/>
      <c r="BY646" s="430"/>
      <c r="BZ646" s="430"/>
      <c r="CA646" s="430"/>
      <c r="CB646" s="430"/>
      <c r="CC646" s="430"/>
      <c r="CD646" s="430"/>
      <c r="CE646" s="430"/>
      <c r="CF646" s="430"/>
      <c r="CG646" s="430"/>
      <c r="CH646" s="430"/>
      <c r="CI646" s="430"/>
      <c r="CJ646" s="430"/>
      <c r="CK646" s="430"/>
      <c r="CL646" s="430"/>
    </row>
    <row r="647" spans="63:90" ht="14.25" customHeight="1">
      <c r="BK647" s="430"/>
      <c r="BL647" s="430"/>
      <c r="BM647" s="430"/>
      <c r="BN647" s="430"/>
      <c r="BO647" s="430"/>
      <c r="BP647" s="430"/>
      <c r="BQ647" s="430"/>
      <c r="BR647" s="430"/>
      <c r="BS647" s="430"/>
      <c r="BT647" s="430"/>
      <c r="BU647" s="430"/>
      <c r="BV647" s="430"/>
      <c r="BW647" s="430"/>
      <c r="BX647" s="430"/>
      <c r="BY647" s="430"/>
      <c r="BZ647" s="430"/>
      <c r="CA647" s="430"/>
      <c r="CB647" s="430"/>
      <c r="CC647" s="430"/>
      <c r="CD647" s="430"/>
      <c r="CE647" s="430"/>
      <c r="CF647" s="430"/>
      <c r="CG647" s="430"/>
      <c r="CH647" s="430"/>
      <c r="CI647" s="430"/>
      <c r="CJ647" s="430"/>
      <c r="CK647" s="430"/>
      <c r="CL647" s="430"/>
    </row>
    <row r="648" spans="63:90" ht="14.25" customHeight="1">
      <c r="BK648" s="430"/>
      <c r="BL648" s="430"/>
      <c r="BM648" s="430"/>
      <c r="BN648" s="430"/>
      <c r="BO648" s="430"/>
      <c r="BP648" s="430"/>
      <c r="BQ648" s="430"/>
      <c r="BR648" s="430"/>
      <c r="BS648" s="430"/>
      <c r="BT648" s="430"/>
      <c r="BU648" s="430"/>
      <c r="BV648" s="430"/>
      <c r="BW648" s="430"/>
      <c r="BX648" s="430"/>
      <c r="BY648" s="430"/>
      <c r="BZ648" s="430"/>
      <c r="CA648" s="430"/>
      <c r="CB648" s="430"/>
      <c r="CC648" s="430"/>
      <c r="CD648" s="430"/>
      <c r="CE648" s="430"/>
      <c r="CF648" s="430"/>
      <c r="CG648" s="430"/>
      <c r="CH648" s="430"/>
      <c r="CI648" s="430"/>
      <c r="CJ648" s="430"/>
      <c r="CK648" s="430"/>
      <c r="CL648" s="430"/>
    </row>
    <row r="649" spans="63:90" ht="14.25" customHeight="1">
      <c r="BK649" s="430"/>
      <c r="BL649" s="430"/>
      <c r="BM649" s="430"/>
      <c r="BN649" s="430"/>
      <c r="BO649" s="430"/>
      <c r="BP649" s="430"/>
      <c r="BQ649" s="430"/>
      <c r="BR649" s="430"/>
      <c r="BS649" s="430"/>
      <c r="BT649" s="430"/>
      <c r="BU649" s="430"/>
      <c r="BV649" s="430"/>
      <c r="BW649" s="430"/>
      <c r="BX649" s="430"/>
      <c r="BY649" s="430"/>
      <c r="BZ649" s="430"/>
      <c r="CA649" s="430"/>
      <c r="CB649" s="430"/>
      <c r="CC649" s="430"/>
      <c r="CD649" s="430"/>
      <c r="CE649" s="430"/>
      <c r="CF649" s="430"/>
      <c r="CG649" s="430"/>
      <c r="CH649" s="430"/>
      <c r="CI649" s="430"/>
      <c r="CJ649" s="430"/>
      <c r="CK649" s="430"/>
      <c r="CL649" s="430"/>
    </row>
    <row r="650" spans="63:90" ht="14.25" customHeight="1">
      <c r="BK650" s="430"/>
      <c r="BL650" s="430"/>
      <c r="BM650" s="430"/>
      <c r="BN650" s="430"/>
      <c r="BO650" s="430"/>
      <c r="BP650" s="430"/>
      <c r="BQ650" s="430"/>
      <c r="BR650" s="430"/>
      <c r="BS650" s="430"/>
      <c r="BT650" s="430"/>
      <c r="BU650" s="430"/>
      <c r="BV650" s="430"/>
      <c r="BW650" s="430"/>
      <c r="BX650" s="430"/>
      <c r="BY650" s="430"/>
      <c r="BZ650" s="430"/>
      <c r="CA650" s="430"/>
      <c r="CB650" s="430"/>
      <c r="CC650" s="430"/>
      <c r="CD650" s="430"/>
      <c r="CE650" s="430"/>
      <c r="CF650" s="430"/>
      <c r="CG650" s="430"/>
      <c r="CH650" s="430"/>
      <c r="CI650" s="430"/>
      <c r="CJ650" s="430"/>
      <c r="CK650" s="430"/>
      <c r="CL650" s="430"/>
    </row>
    <row r="651" spans="63:90" ht="14.25" customHeight="1">
      <c r="BK651" s="430"/>
      <c r="BL651" s="430"/>
      <c r="BM651" s="430"/>
      <c r="BN651" s="430"/>
      <c r="BO651" s="430"/>
      <c r="BP651" s="430"/>
      <c r="BQ651" s="430"/>
      <c r="BR651" s="430"/>
      <c r="BS651" s="430"/>
      <c r="BT651" s="430"/>
      <c r="BU651" s="430"/>
      <c r="BV651" s="430"/>
      <c r="BW651" s="430"/>
      <c r="BX651" s="430"/>
      <c r="BY651" s="430"/>
      <c r="BZ651" s="430"/>
      <c r="CA651" s="430"/>
      <c r="CB651" s="430"/>
      <c r="CC651" s="430"/>
      <c r="CD651" s="430"/>
      <c r="CE651" s="430"/>
      <c r="CF651" s="430"/>
      <c r="CG651" s="430"/>
      <c r="CH651" s="430"/>
      <c r="CI651" s="430"/>
      <c r="CJ651" s="430"/>
      <c r="CK651" s="430"/>
      <c r="CL651" s="430"/>
    </row>
    <row r="652" spans="63:90" ht="14.25" customHeight="1">
      <c r="BK652" s="430"/>
      <c r="BL652" s="430"/>
      <c r="BM652" s="430"/>
      <c r="BN652" s="430"/>
      <c r="BO652" s="430"/>
      <c r="BP652" s="430"/>
      <c r="BQ652" s="430"/>
      <c r="BR652" s="430"/>
      <c r="BS652" s="430"/>
      <c r="BT652" s="430"/>
      <c r="BU652" s="430"/>
      <c r="BV652" s="430"/>
      <c r="BW652" s="430"/>
      <c r="BX652" s="430"/>
      <c r="BY652" s="430"/>
      <c r="BZ652" s="430"/>
      <c r="CA652" s="430"/>
      <c r="CB652" s="430"/>
      <c r="CC652" s="430"/>
      <c r="CD652" s="430"/>
      <c r="CE652" s="430"/>
      <c r="CF652" s="430"/>
      <c r="CG652" s="430"/>
      <c r="CH652" s="430"/>
      <c r="CI652" s="430"/>
      <c r="CJ652" s="430"/>
      <c r="CK652" s="430"/>
      <c r="CL652" s="430"/>
    </row>
    <row r="653" spans="63:90" ht="14.25" customHeight="1">
      <c r="BK653" s="430"/>
      <c r="BL653" s="430"/>
      <c r="BM653" s="430"/>
      <c r="BN653" s="430"/>
      <c r="BO653" s="430"/>
      <c r="BP653" s="430"/>
      <c r="BQ653" s="430"/>
      <c r="BR653" s="430"/>
      <c r="BS653" s="430"/>
      <c r="BT653" s="430"/>
      <c r="BU653" s="430"/>
      <c r="BV653" s="430"/>
      <c r="BW653" s="430"/>
      <c r="BX653" s="430"/>
      <c r="BY653" s="430"/>
      <c r="BZ653" s="430"/>
      <c r="CA653" s="430"/>
      <c r="CB653" s="430"/>
      <c r="CC653" s="430"/>
      <c r="CD653" s="430"/>
      <c r="CE653" s="430"/>
      <c r="CF653" s="430"/>
      <c r="CG653" s="430"/>
      <c r="CH653" s="430"/>
      <c r="CI653" s="430"/>
      <c r="CJ653" s="430"/>
      <c r="CK653" s="430"/>
      <c r="CL653" s="430"/>
    </row>
    <row r="654" spans="63:90" ht="14.25" customHeight="1">
      <c r="BK654" s="430"/>
      <c r="BL654" s="430"/>
      <c r="BM654" s="430"/>
      <c r="BN654" s="430"/>
      <c r="BO654" s="430"/>
      <c r="BP654" s="430"/>
      <c r="BQ654" s="430"/>
      <c r="BR654" s="430"/>
      <c r="BS654" s="430"/>
      <c r="BT654" s="430"/>
      <c r="BU654" s="430"/>
      <c r="BV654" s="430"/>
      <c r="BW654" s="430"/>
      <c r="BX654" s="430"/>
      <c r="BY654" s="430"/>
      <c r="BZ654" s="430"/>
      <c r="CA654" s="430"/>
      <c r="CB654" s="430"/>
      <c r="CC654" s="430"/>
      <c r="CD654" s="430"/>
      <c r="CE654" s="430"/>
      <c r="CF654" s="430"/>
      <c r="CG654" s="430"/>
      <c r="CH654" s="430"/>
      <c r="CI654" s="430"/>
      <c r="CJ654" s="430"/>
      <c r="CK654" s="430"/>
      <c r="CL654" s="430"/>
    </row>
    <row r="655" spans="63:90" ht="14.25" customHeight="1">
      <c r="BK655" s="430"/>
      <c r="BL655" s="430"/>
      <c r="BM655" s="430"/>
      <c r="BN655" s="430"/>
      <c r="BO655" s="430"/>
      <c r="BP655" s="430"/>
      <c r="BQ655" s="430"/>
      <c r="BR655" s="430"/>
      <c r="BS655" s="430"/>
      <c r="BT655" s="430"/>
      <c r="BU655" s="430"/>
      <c r="BV655" s="430"/>
      <c r="BW655" s="430"/>
      <c r="BX655" s="430"/>
      <c r="BY655" s="430"/>
      <c r="BZ655" s="430"/>
      <c r="CA655" s="430"/>
      <c r="CB655" s="430"/>
      <c r="CC655" s="430"/>
      <c r="CD655" s="430"/>
      <c r="CE655" s="430"/>
      <c r="CF655" s="430"/>
      <c r="CG655" s="430"/>
      <c r="CH655" s="430"/>
      <c r="CI655" s="430"/>
      <c r="CJ655" s="430"/>
      <c r="CK655" s="430"/>
      <c r="CL655" s="430"/>
    </row>
    <row r="656" spans="63:90" ht="14.25" customHeight="1">
      <c r="BK656" s="430"/>
      <c r="BL656" s="430"/>
      <c r="BM656" s="430"/>
      <c r="BN656" s="430"/>
      <c r="BO656" s="430"/>
      <c r="BP656" s="430"/>
      <c r="BQ656" s="430"/>
      <c r="BR656" s="430"/>
      <c r="BS656" s="430"/>
      <c r="BT656" s="430"/>
      <c r="BU656" s="430"/>
      <c r="BV656" s="430"/>
      <c r="BW656" s="430"/>
      <c r="BX656" s="430"/>
      <c r="BY656" s="430"/>
      <c r="BZ656" s="430"/>
      <c r="CA656" s="430"/>
      <c r="CB656" s="430"/>
      <c r="CC656" s="430"/>
      <c r="CD656" s="430"/>
      <c r="CE656" s="430"/>
      <c r="CF656" s="430"/>
      <c r="CG656" s="430"/>
      <c r="CH656" s="430"/>
      <c r="CI656" s="430"/>
      <c r="CJ656" s="430"/>
      <c r="CK656" s="430"/>
      <c r="CL656" s="430"/>
    </row>
    <row r="657" spans="63:90" ht="14.25" customHeight="1">
      <c r="BK657" s="430"/>
      <c r="BL657" s="430"/>
      <c r="BM657" s="430"/>
      <c r="BN657" s="430"/>
      <c r="BO657" s="430"/>
      <c r="BP657" s="430"/>
      <c r="BQ657" s="430"/>
      <c r="BR657" s="430"/>
      <c r="BS657" s="430"/>
      <c r="BT657" s="430"/>
      <c r="BU657" s="430"/>
      <c r="BV657" s="430"/>
      <c r="BW657" s="430"/>
      <c r="BX657" s="430"/>
      <c r="BY657" s="430"/>
      <c r="BZ657" s="430"/>
      <c r="CA657" s="430"/>
      <c r="CB657" s="430"/>
      <c r="CC657" s="430"/>
      <c r="CD657" s="430"/>
      <c r="CE657" s="430"/>
      <c r="CF657" s="430"/>
      <c r="CG657" s="430"/>
      <c r="CH657" s="430"/>
      <c r="CI657" s="430"/>
      <c r="CJ657" s="430"/>
      <c r="CK657" s="430"/>
      <c r="CL657" s="430"/>
    </row>
    <row r="658" spans="63:90" ht="14.25" customHeight="1">
      <c r="BK658" s="430"/>
      <c r="BL658" s="430"/>
      <c r="BM658" s="430"/>
      <c r="BN658" s="430"/>
      <c r="BO658" s="430"/>
      <c r="BP658" s="430"/>
      <c r="BQ658" s="430"/>
      <c r="BR658" s="430"/>
      <c r="BS658" s="430"/>
      <c r="BT658" s="430"/>
      <c r="BU658" s="430"/>
      <c r="BV658" s="430"/>
      <c r="BW658" s="430"/>
      <c r="BX658" s="430"/>
      <c r="BY658" s="430"/>
      <c r="BZ658" s="430"/>
      <c r="CA658" s="430"/>
      <c r="CB658" s="430"/>
      <c r="CC658" s="430"/>
      <c r="CD658" s="430"/>
      <c r="CE658" s="430"/>
      <c r="CF658" s="430"/>
      <c r="CG658" s="430"/>
      <c r="CH658" s="430"/>
      <c r="CI658" s="430"/>
      <c r="CJ658" s="430"/>
      <c r="CK658" s="430"/>
      <c r="CL658" s="430"/>
    </row>
    <row r="659" spans="63:90" ht="14.25" customHeight="1">
      <c r="BK659" s="430"/>
      <c r="BL659" s="430"/>
      <c r="BM659" s="430"/>
      <c r="BN659" s="430"/>
      <c r="BO659" s="430"/>
      <c r="BP659" s="430"/>
      <c r="BQ659" s="430"/>
      <c r="BR659" s="430"/>
      <c r="BS659" s="430"/>
      <c r="BT659" s="430"/>
      <c r="BU659" s="430"/>
      <c r="BV659" s="430"/>
      <c r="BW659" s="430"/>
      <c r="BX659" s="430"/>
      <c r="BY659" s="430"/>
      <c r="BZ659" s="430"/>
      <c r="CA659" s="430"/>
      <c r="CB659" s="430"/>
      <c r="CC659" s="430"/>
      <c r="CD659" s="430"/>
      <c r="CE659" s="430"/>
      <c r="CF659" s="430"/>
      <c r="CG659" s="430"/>
      <c r="CH659" s="430"/>
      <c r="CI659" s="430"/>
      <c r="CJ659" s="430"/>
      <c r="CK659" s="430"/>
      <c r="CL659" s="430"/>
    </row>
    <row r="660" spans="63:90" ht="14.25" customHeight="1">
      <c r="BK660" s="430"/>
      <c r="BL660" s="430"/>
      <c r="BM660" s="430"/>
      <c r="BN660" s="430"/>
      <c r="BO660" s="430"/>
      <c r="BP660" s="430"/>
      <c r="BQ660" s="430"/>
      <c r="BR660" s="430"/>
      <c r="BS660" s="430"/>
      <c r="BT660" s="430"/>
      <c r="BU660" s="430"/>
      <c r="BV660" s="430"/>
      <c r="BW660" s="430"/>
      <c r="BX660" s="430"/>
      <c r="BY660" s="430"/>
      <c r="BZ660" s="430"/>
      <c r="CA660" s="430"/>
      <c r="CB660" s="430"/>
      <c r="CC660" s="430"/>
      <c r="CD660" s="430"/>
      <c r="CE660" s="430"/>
      <c r="CF660" s="430"/>
      <c r="CG660" s="430"/>
      <c r="CH660" s="430"/>
      <c r="CI660" s="430"/>
      <c r="CJ660" s="430"/>
      <c r="CK660" s="430"/>
      <c r="CL660" s="430"/>
    </row>
    <row r="661" spans="63:90" ht="14.25" customHeight="1">
      <c r="BK661" s="430"/>
      <c r="BL661" s="430"/>
      <c r="BM661" s="430"/>
      <c r="BN661" s="430"/>
      <c r="BO661" s="430"/>
      <c r="BP661" s="430"/>
      <c r="BQ661" s="430"/>
      <c r="BR661" s="430"/>
      <c r="BS661" s="430"/>
      <c r="BT661" s="430"/>
      <c r="BU661" s="430"/>
      <c r="BV661" s="430"/>
      <c r="BW661" s="430"/>
      <c r="BX661" s="430"/>
      <c r="BY661" s="430"/>
      <c r="BZ661" s="430"/>
      <c r="CA661" s="430"/>
      <c r="CB661" s="430"/>
      <c r="CC661" s="430"/>
      <c r="CD661" s="430"/>
      <c r="CE661" s="430"/>
      <c r="CF661" s="430"/>
      <c r="CG661" s="430"/>
      <c r="CH661" s="430"/>
      <c r="CI661" s="430"/>
      <c r="CJ661" s="430"/>
      <c r="CK661" s="430"/>
      <c r="CL661" s="430"/>
    </row>
    <row r="662" spans="63:90" ht="14.25" customHeight="1">
      <c r="BK662" s="430"/>
      <c r="BL662" s="430"/>
      <c r="BM662" s="430"/>
      <c r="BN662" s="430"/>
      <c r="BO662" s="430"/>
      <c r="BP662" s="430"/>
      <c r="BQ662" s="430"/>
      <c r="BR662" s="430"/>
      <c r="BS662" s="430"/>
      <c r="BT662" s="430"/>
      <c r="BU662" s="430"/>
      <c r="BV662" s="430"/>
      <c r="BW662" s="430"/>
      <c r="BX662" s="430"/>
      <c r="BY662" s="430"/>
      <c r="BZ662" s="430"/>
      <c r="CA662" s="430"/>
      <c r="CB662" s="430"/>
      <c r="CC662" s="430"/>
      <c r="CD662" s="430"/>
      <c r="CE662" s="430"/>
      <c r="CF662" s="430"/>
      <c r="CG662" s="430"/>
      <c r="CH662" s="430"/>
      <c r="CI662" s="430"/>
      <c r="CJ662" s="430"/>
      <c r="CK662" s="430"/>
      <c r="CL662" s="430"/>
    </row>
    <row r="663" spans="63:90" ht="14.25" customHeight="1">
      <c r="BK663" s="430"/>
      <c r="BL663" s="430"/>
      <c r="BM663" s="430"/>
      <c r="BN663" s="430"/>
      <c r="BO663" s="430"/>
      <c r="BP663" s="430"/>
      <c r="BQ663" s="430"/>
      <c r="BR663" s="430"/>
      <c r="BS663" s="430"/>
      <c r="BT663" s="430"/>
      <c r="BU663" s="430"/>
      <c r="BV663" s="430"/>
      <c r="BW663" s="430"/>
      <c r="BX663" s="430"/>
      <c r="BY663" s="430"/>
      <c r="BZ663" s="430"/>
      <c r="CA663" s="430"/>
      <c r="CB663" s="430"/>
      <c r="CC663" s="430"/>
      <c r="CD663" s="430"/>
      <c r="CE663" s="430"/>
      <c r="CF663" s="430"/>
      <c r="CG663" s="430"/>
      <c r="CH663" s="430"/>
      <c r="CI663" s="430"/>
      <c r="CJ663" s="430"/>
      <c r="CK663" s="430"/>
      <c r="CL663" s="430"/>
    </row>
    <row r="664" spans="63:90" ht="14.25" customHeight="1">
      <c r="BK664" s="430"/>
      <c r="BL664" s="430"/>
      <c r="BM664" s="430"/>
      <c r="BN664" s="430"/>
      <c r="BO664" s="430"/>
      <c r="BP664" s="430"/>
      <c r="BQ664" s="430"/>
      <c r="BR664" s="430"/>
      <c r="BS664" s="430"/>
      <c r="BT664" s="430"/>
      <c r="BU664" s="430"/>
      <c r="BV664" s="430"/>
      <c r="BW664" s="430"/>
      <c r="BX664" s="430"/>
      <c r="BY664" s="430"/>
      <c r="BZ664" s="430"/>
      <c r="CA664" s="430"/>
      <c r="CB664" s="430"/>
      <c r="CC664" s="430"/>
      <c r="CD664" s="430"/>
      <c r="CE664" s="430"/>
      <c r="CF664" s="430"/>
      <c r="CG664" s="430"/>
      <c r="CH664" s="430"/>
      <c r="CI664" s="430"/>
      <c r="CJ664" s="430"/>
      <c r="CK664" s="430"/>
      <c r="CL664" s="430"/>
    </row>
    <row r="665" spans="63:90" ht="14.25" customHeight="1">
      <c r="BK665" s="430"/>
      <c r="BL665" s="430"/>
      <c r="BM665" s="430"/>
      <c r="BN665" s="430"/>
      <c r="BO665" s="430"/>
      <c r="BP665" s="430"/>
      <c r="BQ665" s="430"/>
      <c r="BR665" s="430"/>
      <c r="BS665" s="430"/>
      <c r="BT665" s="430"/>
      <c r="BU665" s="430"/>
      <c r="BV665" s="430"/>
      <c r="BW665" s="430"/>
      <c r="BX665" s="430"/>
      <c r="BY665" s="430"/>
      <c r="BZ665" s="430"/>
      <c r="CA665" s="430"/>
      <c r="CB665" s="430"/>
      <c r="CC665" s="430"/>
      <c r="CD665" s="430"/>
      <c r="CE665" s="430"/>
      <c r="CF665" s="430"/>
      <c r="CG665" s="430"/>
      <c r="CH665" s="430"/>
      <c r="CI665" s="430"/>
      <c r="CJ665" s="430"/>
      <c r="CK665" s="430"/>
      <c r="CL665" s="430"/>
    </row>
    <row r="666" spans="63:90" ht="14.25" customHeight="1">
      <c r="BK666" s="430"/>
      <c r="BL666" s="430"/>
      <c r="BM666" s="430"/>
      <c r="BN666" s="430"/>
      <c r="BO666" s="430"/>
      <c r="BP666" s="430"/>
      <c r="BQ666" s="430"/>
      <c r="BR666" s="430"/>
      <c r="BS666" s="430"/>
      <c r="BT666" s="430"/>
      <c r="BU666" s="430"/>
      <c r="BV666" s="430"/>
      <c r="BW666" s="430"/>
      <c r="BX666" s="430"/>
      <c r="BY666" s="430"/>
      <c r="BZ666" s="430"/>
      <c r="CA666" s="430"/>
      <c r="CB666" s="430"/>
      <c r="CC666" s="430"/>
      <c r="CD666" s="430"/>
      <c r="CE666" s="430"/>
      <c r="CF666" s="430"/>
      <c r="CG666" s="430"/>
      <c r="CH666" s="430"/>
      <c r="CI666" s="430"/>
      <c r="CJ666" s="430"/>
      <c r="CK666" s="430"/>
      <c r="CL666" s="430"/>
    </row>
    <row r="667" spans="63:90" ht="14.25" customHeight="1">
      <c r="BK667" s="430"/>
      <c r="BL667" s="430"/>
      <c r="BM667" s="430"/>
      <c r="BN667" s="430"/>
      <c r="BO667" s="430"/>
      <c r="BP667" s="430"/>
      <c r="BQ667" s="430"/>
      <c r="BR667" s="430"/>
      <c r="BS667" s="430"/>
      <c r="BT667" s="430"/>
      <c r="BU667" s="430"/>
      <c r="BV667" s="430"/>
      <c r="BW667" s="430"/>
      <c r="BX667" s="430"/>
      <c r="BY667" s="430"/>
      <c r="BZ667" s="430"/>
      <c r="CA667" s="430"/>
      <c r="CB667" s="430"/>
      <c r="CC667" s="430"/>
      <c r="CD667" s="430"/>
      <c r="CE667" s="430"/>
      <c r="CF667" s="430"/>
      <c r="CG667" s="430"/>
      <c r="CH667" s="430"/>
      <c r="CI667" s="430"/>
      <c r="CJ667" s="430"/>
      <c r="CK667" s="430"/>
      <c r="CL667" s="430"/>
    </row>
    <row r="668" spans="63:90" ht="14.25" customHeight="1">
      <c r="BK668" s="430"/>
      <c r="BL668" s="430"/>
      <c r="BM668" s="430"/>
      <c r="BN668" s="430"/>
      <c r="BO668" s="430"/>
      <c r="BP668" s="430"/>
      <c r="BQ668" s="430"/>
      <c r="BR668" s="430"/>
      <c r="BS668" s="430"/>
      <c r="BT668" s="430"/>
      <c r="BU668" s="430"/>
      <c r="BV668" s="430"/>
      <c r="BW668" s="430"/>
      <c r="BX668" s="430"/>
      <c r="BY668" s="430"/>
      <c r="BZ668" s="430"/>
      <c r="CA668" s="430"/>
      <c r="CB668" s="430"/>
      <c r="CC668" s="430"/>
      <c r="CD668" s="430"/>
      <c r="CE668" s="430"/>
      <c r="CF668" s="430"/>
      <c r="CG668" s="430"/>
      <c r="CH668" s="430"/>
      <c r="CI668" s="430"/>
      <c r="CJ668" s="430"/>
      <c r="CK668" s="430"/>
      <c r="CL668" s="430"/>
    </row>
    <row r="669" spans="63:90" ht="14.25" customHeight="1">
      <c r="BK669" s="430"/>
      <c r="BL669" s="430"/>
      <c r="BM669" s="430"/>
      <c r="BN669" s="430"/>
      <c r="BO669" s="430"/>
      <c r="BP669" s="430"/>
      <c r="BQ669" s="430"/>
      <c r="BR669" s="430"/>
      <c r="BS669" s="430"/>
      <c r="BT669" s="430"/>
      <c r="BU669" s="430"/>
      <c r="BV669" s="430"/>
      <c r="BW669" s="430"/>
      <c r="BX669" s="430"/>
      <c r="BY669" s="430"/>
      <c r="BZ669" s="430"/>
      <c r="CA669" s="430"/>
      <c r="CB669" s="430"/>
      <c r="CC669" s="430"/>
      <c r="CD669" s="430"/>
      <c r="CE669" s="430"/>
      <c r="CF669" s="430"/>
      <c r="CG669" s="430"/>
      <c r="CH669" s="430"/>
      <c r="CI669" s="430"/>
      <c r="CJ669" s="430"/>
      <c r="CK669" s="430"/>
      <c r="CL669" s="430"/>
    </row>
    <row r="670" spans="63:90" ht="14.25" customHeight="1">
      <c r="BK670" s="430"/>
      <c r="BL670" s="430"/>
      <c r="BM670" s="430"/>
      <c r="BN670" s="430"/>
      <c r="BO670" s="430"/>
      <c r="BP670" s="430"/>
      <c r="BQ670" s="430"/>
      <c r="BR670" s="430"/>
      <c r="BS670" s="430"/>
      <c r="BT670" s="430"/>
      <c r="BU670" s="430"/>
      <c r="BV670" s="430"/>
      <c r="BW670" s="430"/>
      <c r="BX670" s="430"/>
      <c r="BY670" s="430"/>
      <c r="BZ670" s="430"/>
      <c r="CA670" s="430"/>
      <c r="CB670" s="430"/>
      <c r="CC670" s="430"/>
      <c r="CD670" s="430"/>
      <c r="CE670" s="430"/>
      <c r="CF670" s="430"/>
      <c r="CG670" s="430"/>
      <c r="CH670" s="430"/>
      <c r="CI670" s="430"/>
      <c r="CJ670" s="430"/>
      <c r="CK670" s="430"/>
      <c r="CL670" s="430"/>
    </row>
    <row r="671" spans="63:90" ht="14.25" customHeight="1">
      <c r="BK671" s="430"/>
      <c r="BL671" s="430"/>
      <c r="BM671" s="430"/>
      <c r="BN671" s="430"/>
      <c r="BO671" s="430"/>
      <c r="BP671" s="430"/>
      <c r="BQ671" s="430"/>
      <c r="BR671" s="430"/>
      <c r="BS671" s="430"/>
      <c r="BT671" s="430"/>
      <c r="BU671" s="430"/>
      <c r="BV671" s="430"/>
      <c r="BW671" s="430"/>
      <c r="BX671" s="430"/>
      <c r="BY671" s="430"/>
      <c r="BZ671" s="430"/>
      <c r="CA671" s="430"/>
      <c r="CB671" s="430"/>
      <c r="CC671" s="430"/>
      <c r="CD671" s="430"/>
      <c r="CE671" s="430"/>
      <c r="CF671" s="430"/>
      <c r="CG671" s="430"/>
      <c r="CH671" s="430"/>
      <c r="CI671" s="430"/>
      <c r="CJ671" s="430"/>
      <c r="CK671" s="430"/>
      <c r="CL671" s="430"/>
    </row>
    <row r="672" spans="63:90" ht="14.25" customHeight="1">
      <c r="BK672" s="430"/>
      <c r="BL672" s="430"/>
      <c r="BM672" s="430"/>
      <c r="BN672" s="430"/>
      <c r="BO672" s="430"/>
      <c r="BP672" s="430"/>
      <c r="BQ672" s="430"/>
      <c r="BR672" s="430"/>
      <c r="BS672" s="430"/>
      <c r="BT672" s="430"/>
      <c r="BU672" s="430"/>
      <c r="BV672" s="430"/>
      <c r="BW672" s="430"/>
      <c r="BX672" s="430"/>
      <c r="BY672" s="430"/>
      <c r="BZ672" s="430"/>
      <c r="CA672" s="430"/>
      <c r="CB672" s="430"/>
      <c r="CC672" s="430"/>
      <c r="CD672" s="430"/>
      <c r="CE672" s="430"/>
      <c r="CF672" s="430"/>
      <c r="CG672" s="430"/>
      <c r="CH672" s="430"/>
      <c r="CI672" s="430"/>
      <c r="CJ672" s="430"/>
      <c r="CK672" s="430"/>
      <c r="CL672" s="430"/>
    </row>
    <row r="673" spans="63:90" ht="14.25" customHeight="1">
      <c r="BK673" s="430"/>
      <c r="BL673" s="430"/>
      <c r="BM673" s="430"/>
      <c r="BN673" s="430"/>
      <c r="BO673" s="430"/>
      <c r="BP673" s="430"/>
      <c r="BQ673" s="430"/>
      <c r="BR673" s="430"/>
      <c r="BS673" s="430"/>
      <c r="BT673" s="430"/>
      <c r="BU673" s="430"/>
      <c r="BV673" s="430"/>
      <c r="BW673" s="430"/>
      <c r="BX673" s="430"/>
      <c r="BY673" s="430"/>
      <c r="BZ673" s="430"/>
      <c r="CA673" s="430"/>
      <c r="CB673" s="430"/>
      <c r="CC673" s="430"/>
      <c r="CD673" s="430"/>
      <c r="CE673" s="430"/>
      <c r="CF673" s="430"/>
      <c r="CG673" s="430"/>
      <c r="CH673" s="430"/>
      <c r="CI673" s="430"/>
      <c r="CJ673" s="430"/>
      <c r="CK673" s="430"/>
      <c r="CL673" s="430"/>
    </row>
    <row r="674" spans="63:90" ht="14.25" customHeight="1">
      <c r="BK674" s="430"/>
      <c r="BL674" s="430"/>
      <c r="BM674" s="430"/>
      <c r="BN674" s="430"/>
      <c r="BO674" s="430"/>
      <c r="BP674" s="430"/>
      <c r="BQ674" s="430"/>
      <c r="BR674" s="430"/>
      <c r="BS674" s="430"/>
      <c r="BT674" s="430"/>
      <c r="BU674" s="430"/>
      <c r="BV674" s="430"/>
      <c r="BW674" s="430"/>
      <c r="BX674" s="430"/>
      <c r="BY674" s="430"/>
      <c r="BZ674" s="430"/>
      <c r="CA674" s="430"/>
      <c r="CB674" s="430"/>
      <c r="CC674" s="430"/>
      <c r="CD674" s="430"/>
      <c r="CE674" s="430"/>
      <c r="CF674" s="430"/>
      <c r="CG674" s="430"/>
      <c r="CH674" s="430"/>
      <c r="CI674" s="430"/>
      <c r="CJ674" s="430"/>
      <c r="CK674" s="430"/>
      <c r="CL674" s="430"/>
    </row>
    <row r="675" spans="63:90" ht="14.25" customHeight="1">
      <c r="BK675" s="430"/>
      <c r="BL675" s="430"/>
      <c r="BM675" s="430"/>
      <c r="BN675" s="430"/>
      <c r="BO675" s="430"/>
      <c r="BP675" s="430"/>
      <c r="BQ675" s="430"/>
      <c r="BR675" s="430"/>
      <c r="BS675" s="430"/>
      <c r="BT675" s="430"/>
      <c r="BU675" s="430"/>
      <c r="BV675" s="430"/>
      <c r="BW675" s="430"/>
      <c r="BX675" s="430"/>
      <c r="BY675" s="430"/>
      <c r="BZ675" s="430"/>
      <c r="CA675" s="430"/>
      <c r="CB675" s="430"/>
      <c r="CC675" s="430"/>
      <c r="CD675" s="430"/>
      <c r="CE675" s="430"/>
      <c r="CF675" s="430"/>
      <c r="CG675" s="430"/>
      <c r="CH675" s="430"/>
      <c r="CI675" s="430"/>
      <c r="CJ675" s="430"/>
      <c r="CK675" s="430"/>
      <c r="CL675" s="430"/>
    </row>
    <row r="676" spans="63:90" ht="14.25" customHeight="1">
      <c r="BK676" s="430"/>
      <c r="BL676" s="430"/>
      <c r="BM676" s="430"/>
      <c r="BN676" s="430"/>
      <c r="BO676" s="430"/>
      <c r="BP676" s="430"/>
      <c r="BQ676" s="430"/>
      <c r="BR676" s="430"/>
      <c r="BS676" s="430"/>
      <c r="BT676" s="430"/>
      <c r="BU676" s="430"/>
      <c r="BV676" s="430"/>
      <c r="BW676" s="430"/>
      <c r="BX676" s="430"/>
      <c r="BY676" s="430"/>
      <c r="BZ676" s="430"/>
      <c r="CA676" s="430"/>
      <c r="CB676" s="430"/>
      <c r="CC676" s="430"/>
      <c r="CD676" s="430"/>
      <c r="CE676" s="430"/>
      <c r="CF676" s="430"/>
      <c r="CG676" s="430"/>
      <c r="CH676" s="430"/>
      <c r="CI676" s="430"/>
      <c r="CJ676" s="430"/>
      <c r="CK676" s="430"/>
      <c r="CL676" s="430"/>
    </row>
    <row r="677" spans="63:90" ht="14.25" customHeight="1">
      <c r="BK677" s="430"/>
      <c r="BL677" s="430"/>
      <c r="BM677" s="430"/>
      <c r="BN677" s="430"/>
      <c r="BO677" s="430"/>
      <c r="BP677" s="430"/>
      <c r="BQ677" s="430"/>
      <c r="BR677" s="430"/>
      <c r="BS677" s="430"/>
      <c r="BT677" s="430"/>
      <c r="BU677" s="430"/>
      <c r="BV677" s="430"/>
      <c r="BW677" s="430"/>
      <c r="BX677" s="430"/>
      <c r="BY677" s="430"/>
      <c r="BZ677" s="430"/>
      <c r="CA677" s="430"/>
      <c r="CB677" s="430"/>
      <c r="CC677" s="430"/>
      <c r="CD677" s="430"/>
      <c r="CE677" s="430"/>
      <c r="CF677" s="430"/>
      <c r="CG677" s="430"/>
      <c r="CH677" s="430"/>
      <c r="CI677" s="430"/>
      <c r="CJ677" s="430"/>
      <c r="CK677" s="430"/>
      <c r="CL677" s="430"/>
    </row>
    <row r="678" spans="63:90" ht="14.25" customHeight="1">
      <c r="BK678" s="430"/>
      <c r="BL678" s="430"/>
      <c r="BM678" s="430"/>
      <c r="BN678" s="430"/>
      <c r="BO678" s="430"/>
      <c r="BP678" s="430"/>
      <c r="BQ678" s="430"/>
      <c r="BR678" s="430"/>
      <c r="BS678" s="430"/>
      <c r="BT678" s="430"/>
      <c r="BU678" s="430"/>
      <c r="BV678" s="430"/>
      <c r="BW678" s="430"/>
      <c r="BX678" s="430"/>
      <c r="BY678" s="430"/>
      <c r="BZ678" s="430"/>
      <c r="CA678" s="430"/>
      <c r="CB678" s="430"/>
      <c r="CC678" s="430"/>
      <c r="CD678" s="430"/>
      <c r="CE678" s="430"/>
      <c r="CF678" s="430"/>
      <c r="CG678" s="430"/>
      <c r="CH678" s="430"/>
      <c r="CI678" s="430"/>
      <c r="CJ678" s="430"/>
      <c r="CK678" s="430"/>
      <c r="CL678" s="430"/>
    </row>
    <row r="679" spans="63:90" ht="14.25" customHeight="1">
      <c r="BK679" s="430"/>
      <c r="BL679" s="430"/>
      <c r="BM679" s="430"/>
      <c r="BN679" s="430"/>
      <c r="BO679" s="430"/>
      <c r="BP679" s="430"/>
      <c r="BQ679" s="430"/>
      <c r="BR679" s="430"/>
      <c r="BS679" s="430"/>
      <c r="BT679" s="430"/>
      <c r="BU679" s="430"/>
      <c r="BV679" s="430"/>
      <c r="BW679" s="430"/>
      <c r="BX679" s="430"/>
      <c r="BY679" s="430"/>
      <c r="BZ679" s="430"/>
      <c r="CA679" s="430"/>
      <c r="CB679" s="430"/>
      <c r="CC679" s="430"/>
      <c r="CD679" s="430"/>
      <c r="CE679" s="430"/>
      <c r="CF679" s="430"/>
      <c r="CG679" s="430"/>
      <c r="CH679" s="430"/>
      <c r="CI679" s="430"/>
      <c r="CJ679" s="430"/>
      <c r="CK679" s="430"/>
      <c r="CL679" s="430"/>
    </row>
    <row r="680" spans="63:90" ht="14.25" customHeight="1">
      <c r="BK680" s="430"/>
      <c r="BL680" s="430"/>
      <c r="BM680" s="430"/>
      <c r="BN680" s="430"/>
      <c r="BO680" s="430"/>
      <c r="BP680" s="430"/>
      <c r="BQ680" s="430"/>
      <c r="BR680" s="430"/>
      <c r="BS680" s="430"/>
      <c r="BT680" s="430"/>
      <c r="BU680" s="430"/>
      <c r="BV680" s="430"/>
      <c r="BW680" s="430"/>
      <c r="BX680" s="430"/>
      <c r="BY680" s="430"/>
      <c r="BZ680" s="430"/>
      <c r="CA680" s="430"/>
      <c r="CB680" s="430"/>
      <c r="CC680" s="430"/>
      <c r="CD680" s="430"/>
      <c r="CE680" s="430"/>
      <c r="CF680" s="430"/>
      <c r="CG680" s="430"/>
      <c r="CH680" s="430"/>
      <c r="CI680" s="430"/>
      <c r="CJ680" s="430"/>
      <c r="CK680" s="430"/>
      <c r="CL680" s="430"/>
    </row>
    <row r="681" spans="63:90" ht="14.25" customHeight="1">
      <c r="BK681" s="430"/>
      <c r="BL681" s="430"/>
      <c r="BM681" s="430"/>
      <c r="BN681" s="430"/>
      <c r="BO681" s="430"/>
      <c r="BP681" s="430"/>
      <c r="BQ681" s="430"/>
      <c r="BR681" s="430"/>
      <c r="BS681" s="430"/>
      <c r="BT681" s="430"/>
      <c r="BU681" s="430"/>
      <c r="BV681" s="430"/>
      <c r="BW681" s="430"/>
      <c r="BX681" s="430"/>
      <c r="BY681" s="430"/>
      <c r="BZ681" s="430"/>
      <c r="CA681" s="430"/>
      <c r="CB681" s="430"/>
      <c r="CC681" s="430"/>
      <c r="CD681" s="430"/>
      <c r="CE681" s="430"/>
      <c r="CF681" s="430"/>
      <c r="CG681" s="430"/>
      <c r="CH681" s="430"/>
      <c r="CI681" s="430"/>
      <c r="CJ681" s="430"/>
      <c r="CK681" s="430"/>
      <c r="CL681" s="430"/>
    </row>
    <row r="682" spans="63:90" ht="14.25" customHeight="1">
      <c r="BK682" s="430"/>
      <c r="BL682" s="430"/>
      <c r="BM682" s="430"/>
      <c r="BN682" s="430"/>
      <c r="BO682" s="430"/>
      <c r="BP682" s="430"/>
      <c r="BQ682" s="430"/>
      <c r="BR682" s="430"/>
      <c r="BS682" s="430"/>
      <c r="BT682" s="430"/>
      <c r="BU682" s="430"/>
      <c r="BV682" s="430"/>
      <c r="BW682" s="430"/>
      <c r="BX682" s="430"/>
      <c r="BY682" s="430"/>
      <c r="BZ682" s="430"/>
      <c r="CA682" s="430"/>
      <c r="CB682" s="430"/>
      <c r="CC682" s="430"/>
      <c r="CD682" s="430"/>
      <c r="CE682" s="430"/>
      <c r="CF682" s="430"/>
      <c r="CG682" s="430"/>
      <c r="CH682" s="430"/>
      <c r="CI682" s="430"/>
      <c r="CJ682" s="430"/>
      <c r="CK682" s="430"/>
      <c r="CL682" s="430"/>
    </row>
    <row r="683" spans="63:90" ht="14.25" customHeight="1">
      <c r="BK683" s="430"/>
      <c r="BL683" s="430"/>
      <c r="BM683" s="430"/>
      <c r="BN683" s="430"/>
      <c r="BO683" s="430"/>
      <c r="BP683" s="430"/>
      <c r="BQ683" s="430"/>
      <c r="BR683" s="430"/>
      <c r="BS683" s="430"/>
      <c r="BT683" s="430"/>
      <c r="BU683" s="430"/>
      <c r="BV683" s="430"/>
      <c r="BW683" s="430"/>
      <c r="BX683" s="430"/>
      <c r="BY683" s="430"/>
      <c r="BZ683" s="430"/>
      <c r="CA683" s="430"/>
      <c r="CB683" s="430"/>
      <c r="CC683" s="430"/>
      <c r="CD683" s="430"/>
      <c r="CE683" s="430"/>
      <c r="CF683" s="430"/>
      <c r="CG683" s="430"/>
      <c r="CH683" s="430"/>
      <c r="CI683" s="430"/>
      <c r="CJ683" s="430"/>
      <c r="CK683" s="430"/>
      <c r="CL683" s="430"/>
    </row>
    <row r="684" spans="63:90" ht="14.25" customHeight="1">
      <c r="BK684" s="430"/>
      <c r="BL684" s="430"/>
      <c r="BM684" s="430"/>
      <c r="BN684" s="430"/>
      <c r="BO684" s="430"/>
      <c r="BP684" s="430"/>
      <c r="BQ684" s="430"/>
      <c r="BR684" s="430"/>
      <c r="BS684" s="430"/>
      <c r="BT684" s="430"/>
      <c r="BU684" s="430"/>
      <c r="BV684" s="430"/>
      <c r="BW684" s="430"/>
      <c r="BX684" s="430"/>
      <c r="BY684" s="430"/>
      <c r="BZ684" s="430"/>
      <c r="CA684" s="430"/>
      <c r="CB684" s="430"/>
      <c r="CC684" s="430"/>
      <c r="CD684" s="430"/>
      <c r="CE684" s="430"/>
      <c r="CF684" s="430"/>
      <c r="CG684" s="430"/>
      <c r="CH684" s="430"/>
      <c r="CI684" s="430"/>
      <c r="CJ684" s="430"/>
      <c r="CK684" s="430"/>
      <c r="CL684" s="430"/>
    </row>
    <row r="685" spans="63:90" ht="14.25" customHeight="1">
      <c r="BK685" s="430"/>
      <c r="BL685" s="430"/>
      <c r="BM685" s="430"/>
      <c r="BN685" s="430"/>
      <c r="BO685" s="430"/>
      <c r="BP685" s="430"/>
      <c r="BQ685" s="430"/>
      <c r="BR685" s="430"/>
      <c r="BS685" s="430"/>
      <c r="BT685" s="430"/>
      <c r="BU685" s="430"/>
      <c r="BV685" s="430"/>
      <c r="BW685" s="430"/>
      <c r="BX685" s="430"/>
      <c r="BY685" s="430"/>
      <c r="BZ685" s="430"/>
      <c r="CA685" s="430"/>
      <c r="CB685" s="430"/>
      <c r="CC685" s="430"/>
      <c r="CD685" s="430"/>
      <c r="CE685" s="430"/>
      <c r="CF685" s="430"/>
      <c r="CG685" s="430"/>
      <c r="CH685" s="430"/>
      <c r="CI685" s="430"/>
      <c r="CJ685" s="430"/>
      <c r="CK685" s="430"/>
      <c r="CL685" s="430"/>
    </row>
    <row r="686" spans="63:90" ht="14.25" customHeight="1">
      <c r="BK686" s="430"/>
      <c r="BL686" s="430"/>
      <c r="BM686" s="430"/>
      <c r="BN686" s="430"/>
      <c r="BO686" s="430"/>
      <c r="BP686" s="430"/>
      <c r="BQ686" s="430"/>
      <c r="BR686" s="430"/>
      <c r="BS686" s="430"/>
      <c r="BT686" s="430"/>
      <c r="BU686" s="430"/>
      <c r="BV686" s="430"/>
      <c r="BW686" s="430"/>
      <c r="BX686" s="430"/>
      <c r="BY686" s="430"/>
      <c r="BZ686" s="430"/>
      <c r="CA686" s="430"/>
      <c r="CB686" s="430"/>
      <c r="CC686" s="430"/>
      <c r="CD686" s="430"/>
      <c r="CE686" s="430"/>
      <c r="CF686" s="430"/>
      <c r="CG686" s="430"/>
      <c r="CH686" s="430"/>
      <c r="CI686" s="430"/>
      <c r="CJ686" s="430"/>
      <c r="CK686" s="430"/>
      <c r="CL686" s="430"/>
    </row>
    <row r="687" spans="63:90" ht="14.25" customHeight="1">
      <c r="BK687" s="430"/>
      <c r="BL687" s="430"/>
      <c r="BM687" s="430"/>
      <c r="BN687" s="430"/>
      <c r="BO687" s="430"/>
      <c r="BP687" s="430"/>
      <c r="BQ687" s="430"/>
      <c r="BR687" s="430"/>
      <c r="BS687" s="430"/>
      <c r="BT687" s="430"/>
      <c r="BU687" s="430"/>
      <c r="BV687" s="430"/>
      <c r="BW687" s="430"/>
      <c r="BX687" s="430"/>
      <c r="BY687" s="430"/>
      <c r="BZ687" s="430"/>
      <c r="CA687" s="430"/>
      <c r="CB687" s="430"/>
      <c r="CC687" s="430"/>
      <c r="CD687" s="430"/>
      <c r="CE687" s="430"/>
      <c r="CF687" s="430"/>
      <c r="CG687" s="430"/>
      <c r="CH687" s="430"/>
      <c r="CI687" s="430"/>
      <c r="CJ687" s="430"/>
      <c r="CK687" s="430"/>
      <c r="CL687" s="430"/>
    </row>
    <row r="688" spans="63:90" ht="14.25" customHeight="1">
      <c r="BK688" s="430"/>
      <c r="BL688" s="430"/>
      <c r="BM688" s="430"/>
      <c r="BN688" s="430"/>
      <c r="BO688" s="430"/>
      <c r="BP688" s="430"/>
      <c r="BQ688" s="430"/>
      <c r="BR688" s="430"/>
      <c r="BS688" s="430"/>
      <c r="BT688" s="430"/>
      <c r="BU688" s="430"/>
      <c r="BV688" s="430"/>
      <c r="BW688" s="430"/>
      <c r="BX688" s="430"/>
      <c r="BY688" s="430"/>
      <c r="BZ688" s="430"/>
      <c r="CA688" s="430"/>
      <c r="CB688" s="430"/>
      <c r="CC688" s="430"/>
      <c r="CD688" s="430"/>
      <c r="CE688" s="430"/>
      <c r="CF688" s="430"/>
      <c r="CG688" s="430"/>
      <c r="CH688" s="430"/>
      <c r="CI688" s="430"/>
      <c r="CJ688" s="430"/>
      <c r="CK688" s="430"/>
      <c r="CL688" s="430"/>
    </row>
    <row r="689" spans="63:90" ht="14.25" customHeight="1">
      <c r="BK689" s="430"/>
      <c r="BL689" s="430"/>
      <c r="BM689" s="430"/>
      <c r="BN689" s="430"/>
      <c r="BO689" s="430"/>
      <c r="BP689" s="430"/>
      <c r="BQ689" s="430"/>
      <c r="BR689" s="430"/>
      <c r="BS689" s="430"/>
      <c r="BT689" s="430"/>
      <c r="BU689" s="430"/>
      <c r="BV689" s="430"/>
      <c r="BW689" s="430"/>
      <c r="BX689" s="430"/>
      <c r="BY689" s="430"/>
      <c r="BZ689" s="430"/>
      <c r="CA689" s="430"/>
      <c r="CB689" s="430"/>
      <c r="CC689" s="430"/>
      <c r="CD689" s="430"/>
      <c r="CE689" s="430"/>
      <c r="CF689" s="430"/>
      <c r="CG689" s="430"/>
      <c r="CH689" s="430"/>
      <c r="CI689" s="430"/>
      <c r="CJ689" s="430"/>
      <c r="CK689" s="430"/>
      <c r="CL689" s="430"/>
    </row>
    <row r="690" spans="63:90" ht="14.25" customHeight="1">
      <c r="BK690" s="430"/>
      <c r="BL690" s="430"/>
      <c r="BM690" s="430"/>
      <c r="BN690" s="430"/>
      <c r="BO690" s="430"/>
      <c r="BP690" s="430"/>
      <c r="BQ690" s="430"/>
      <c r="BR690" s="430"/>
      <c r="BS690" s="430"/>
      <c r="BT690" s="430"/>
      <c r="BU690" s="430"/>
      <c r="BV690" s="430"/>
      <c r="BW690" s="430"/>
      <c r="BX690" s="430"/>
      <c r="BY690" s="430"/>
      <c r="BZ690" s="430"/>
      <c r="CA690" s="430"/>
      <c r="CB690" s="430"/>
      <c r="CC690" s="430"/>
      <c r="CD690" s="430"/>
      <c r="CE690" s="430"/>
      <c r="CF690" s="430"/>
      <c r="CG690" s="430"/>
      <c r="CH690" s="430"/>
      <c r="CI690" s="430"/>
      <c r="CJ690" s="430"/>
      <c r="CK690" s="430"/>
      <c r="CL690" s="430"/>
    </row>
    <row r="691" spans="63:90" ht="14.25" customHeight="1">
      <c r="BK691" s="430"/>
      <c r="BL691" s="430"/>
      <c r="BM691" s="430"/>
      <c r="BN691" s="430"/>
      <c r="BO691" s="430"/>
      <c r="BP691" s="430"/>
      <c r="BQ691" s="430"/>
      <c r="BR691" s="430"/>
      <c r="BS691" s="430"/>
      <c r="BT691" s="430"/>
      <c r="BU691" s="430"/>
      <c r="BV691" s="430"/>
      <c r="BW691" s="430"/>
      <c r="BX691" s="430"/>
      <c r="BY691" s="430"/>
      <c r="BZ691" s="430"/>
      <c r="CA691" s="430"/>
      <c r="CB691" s="430"/>
      <c r="CC691" s="430"/>
      <c r="CD691" s="430"/>
      <c r="CE691" s="430"/>
      <c r="CF691" s="430"/>
      <c r="CG691" s="430"/>
      <c r="CH691" s="430"/>
      <c r="CI691" s="430"/>
      <c r="CJ691" s="430"/>
      <c r="CK691" s="430"/>
      <c r="CL691" s="430"/>
    </row>
    <row r="692" spans="63:90" ht="14.25" customHeight="1">
      <c r="BK692" s="430"/>
      <c r="BL692" s="430"/>
      <c r="BM692" s="430"/>
      <c r="BN692" s="430"/>
      <c r="BO692" s="430"/>
      <c r="BP692" s="430"/>
      <c r="BQ692" s="430"/>
      <c r="BR692" s="430"/>
      <c r="BS692" s="430"/>
      <c r="BT692" s="430"/>
      <c r="BU692" s="430"/>
      <c r="BV692" s="430"/>
      <c r="BW692" s="430"/>
      <c r="BX692" s="430"/>
      <c r="BY692" s="430"/>
      <c r="BZ692" s="430"/>
      <c r="CA692" s="430"/>
      <c r="CB692" s="430"/>
      <c r="CC692" s="430"/>
      <c r="CD692" s="430"/>
      <c r="CE692" s="430"/>
      <c r="CF692" s="430"/>
      <c r="CG692" s="430"/>
      <c r="CH692" s="430"/>
      <c r="CI692" s="430"/>
      <c r="CJ692" s="430"/>
      <c r="CK692" s="430"/>
      <c r="CL692" s="430"/>
    </row>
    <row r="693" spans="63:90" ht="14.25" customHeight="1">
      <c r="BK693" s="430"/>
      <c r="BL693" s="430"/>
      <c r="BM693" s="430"/>
      <c r="BN693" s="430"/>
      <c r="BO693" s="430"/>
      <c r="BP693" s="430"/>
      <c r="BQ693" s="430"/>
      <c r="BR693" s="430"/>
      <c r="BS693" s="430"/>
      <c r="BT693" s="430"/>
      <c r="BU693" s="430"/>
      <c r="BV693" s="430"/>
      <c r="BW693" s="430"/>
      <c r="BX693" s="430"/>
      <c r="BY693" s="430"/>
      <c r="BZ693" s="430"/>
      <c r="CA693" s="430"/>
      <c r="CB693" s="430"/>
      <c r="CC693" s="430"/>
      <c r="CD693" s="430"/>
      <c r="CE693" s="430"/>
      <c r="CF693" s="430"/>
      <c r="CG693" s="430"/>
      <c r="CH693" s="430"/>
      <c r="CI693" s="430"/>
      <c r="CJ693" s="430"/>
      <c r="CK693" s="430"/>
      <c r="CL693" s="430"/>
    </row>
    <row r="694" spans="63:90" ht="14.25" customHeight="1">
      <c r="BK694" s="430"/>
      <c r="BL694" s="430"/>
      <c r="BM694" s="430"/>
      <c r="BN694" s="430"/>
      <c r="BO694" s="430"/>
      <c r="BP694" s="430"/>
      <c r="BQ694" s="430"/>
      <c r="BR694" s="430"/>
      <c r="BS694" s="430"/>
      <c r="BT694" s="430"/>
      <c r="BU694" s="430"/>
      <c r="BV694" s="430"/>
      <c r="BW694" s="430"/>
      <c r="BX694" s="430"/>
      <c r="BY694" s="430"/>
      <c r="BZ694" s="430"/>
      <c r="CA694" s="430"/>
      <c r="CB694" s="430"/>
      <c r="CC694" s="430"/>
      <c r="CD694" s="430"/>
      <c r="CE694" s="430"/>
      <c r="CF694" s="430"/>
      <c r="CG694" s="430"/>
      <c r="CH694" s="430"/>
      <c r="CI694" s="430"/>
      <c r="CJ694" s="430"/>
      <c r="CK694" s="430"/>
      <c r="CL694" s="430"/>
    </row>
    <row r="695" spans="63:90" ht="14.25" customHeight="1">
      <c r="BK695" s="430"/>
      <c r="BL695" s="430"/>
      <c r="BM695" s="430"/>
      <c r="BN695" s="430"/>
      <c r="BO695" s="430"/>
      <c r="BP695" s="430"/>
      <c r="BQ695" s="430"/>
      <c r="BR695" s="430"/>
      <c r="BS695" s="430"/>
      <c r="BT695" s="430"/>
      <c r="BU695" s="430"/>
      <c r="BV695" s="430"/>
      <c r="BW695" s="430"/>
      <c r="BX695" s="430"/>
      <c r="BY695" s="430"/>
      <c r="BZ695" s="430"/>
      <c r="CA695" s="430"/>
      <c r="CB695" s="430"/>
      <c r="CC695" s="430"/>
      <c r="CD695" s="430"/>
      <c r="CE695" s="430"/>
      <c r="CF695" s="430"/>
      <c r="CG695" s="430"/>
      <c r="CH695" s="430"/>
      <c r="CI695" s="430"/>
      <c r="CJ695" s="430"/>
      <c r="CK695" s="430"/>
      <c r="CL695" s="430"/>
    </row>
    <row r="696" spans="63:90" ht="14.25" customHeight="1">
      <c r="BK696" s="430"/>
      <c r="BL696" s="430"/>
      <c r="BM696" s="430"/>
      <c r="BN696" s="430"/>
      <c r="BO696" s="430"/>
      <c r="BP696" s="430"/>
      <c r="BQ696" s="430"/>
      <c r="BR696" s="430"/>
      <c r="BS696" s="430"/>
      <c r="BT696" s="430"/>
      <c r="BU696" s="430"/>
      <c r="BV696" s="430"/>
      <c r="BW696" s="430"/>
      <c r="BX696" s="430"/>
      <c r="BY696" s="430"/>
      <c r="BZ696" s="430"/>
      <c r="CA696" s="430"/>
      <c r="CB696" s="430"/>
      <c r="CC696" s="430"/>
      <c r="CD696" s="430"/>
      <c r="CE696" s="430"/>
      <c r="CF696" s="430"/>
      <c r="CG696" s="430"/>
      <c r="CH696" s="430"/>
      <c r="CI696" s="430"/>
      <c r="CJ696" s="430"/>
      <c r="CK696" s="430"/>
      <c r="CL696" s="430"/>
    </row>
    <row r="697" spans="63:90" ht="14.25" customHeight="1">
      <c r="BK697" s="430"/>
      <c r="BL697" s="430"/>
      <c r="BM697" s="430"/>
      <c r="BN697" s="430"/>
      <c r="BO697" s="430"/>
      <c r="BP697" s="430"/>
      <c r="BQ697" s="430"/>
      <c r="BR697" s="430"/>
      <c r="BS697" s="430"/>
      <c r="BT697" s="430"/>
      <c r="BU697" s="430"/>
      <c r="BV697" s="430"/>
      <c r="BW697" s="430"/>
      <c r="BX697" s="430"/>
      <c r="BY697" s="430"/>
      <c r="BZ697" s="430"/>
      <c r="CA697" s="430"/>
      <c r="CB697" s="430"/>
      <c r="CC697" s="430"/>
      <c r="CD697" s="430"/>
      <c r="CE697" s="430"/>
      <c r="CF697" s="430"/>
      <c r="CG697" s="430"/>
      <c r="CH697" s="430"/>
      <c r="CI697" s="430"/>
      <c r="CJ697" s="430"/>
      <c r="CK697" s="430"/>
      <c r="CL697" s="430"/>
    </row>
    <row r="698" spans="63:90" ht="14.25" customHeight="1">
      <c r="BK698" s="430"/>
      <c r="BL698" s="430"/>
      <c r="BM698" s="430"/>
      <c r="BN698" s="430"/>
      <c r="BO698" s="430"/>
      <c r="BP698" s="430"/>
      <c r="BQ698" s="430"/>
      <c r="BR698" s="430"/>
      <c r="BS698" s="430"/>
      <c r="BT698" s="430"/>
      <c r="BU698" s="430"/>
      <c r="BV698" s="430"/>
      <c r="BW698" s="430"/>
      <c r="BX698" s="430"/>
      <c r="BY698" s="430"/>
      <c r="BZ698" s="430"/>
      <c r="CA698" s="430"/>
      <c r="CB698" s="430"/>
      <c r="CC698" s="430"/>
      <c r="CD698" s="430"/>
      <c r="CE698" s="430"/>
      <c r="CF698" s="430"/>
      <c r="CG698" s="430"/>
      <c r="CH698" s="430"/>
      <c r="CI698" s="430"/>
      <c r="CJ698" s="430"/>
      <c r="CK698" s="430"/>
      <c r="CL698" s="430"/>
    </row>
    <row r="699" spans="63:90" ht="14.25" customHeight="1">
      <c r="BK699" s="430"/>
      <c r="BL699" s="430"/>
      <c r="BM699" s="430"/>
      <c r="BN699" s="430"/>
      <c r="BO699" s="430"/>
      <c r="BP699" s="430"/>
      <c r="BQ699" s="430"/>
      <c r="BR699" s="430"/>
      <c r="BS699" s="430"/>
      <c r="BT699" s="430"/>
      <c r="BU699" s="430"/>
      <c r="BV699" s="430"/>
      <c r="BW699" s="430"/>
      <c r="BX699" s="430"/>
      <c r="BY699" s="430"/>
      <c r="BZ699" s="430"/>
      <c r="CA699" s="430"/>
      <c r="CB699" s="430"/>
      <c r="CC699" s="430"/>
      <c r="CD699" s="430"/>
      <c r="CE699" s="430"/>
      <c r="CF699" s="430"/>
      <c r="CG699" s="430"/>
      <c r="CH699" s="430"/>
      <c r="CI699" s="430"/>
      <c r="CJ699" s="430"/>
      <c r="CK699" s="430"/>
      <c r="CL699" s="430"/>
    </row>
    <row r="700" spans="63:90" ht="14.25" customHeight="1">
      <c r="BK700" s="430"/>
      <c r="BL700" s="430"/>
      <c r="BM700" s="430"/>
      <c r="BN700" s="430"/>
      <c r="BO700" s="430"/>
      <c r="BP700" s="430"/>
      <c r="BQ700" s="430"/>
      <c r="BR700" s="430"/>
      <c r="BS700" s="430"/>
      <c r="BT700" s="430"/>
      <c r="BU700" s="430"/>
      <c r="BV700" s="430"/>
      <c r="BW700" s="430"/>
      <c r="BX700" s="430"/>
      <c r="BY700" s="430"/>
      <c r="BZ700" s="430"/>
      <c r="CA700" s="430"/>
      <c r="CB700" s="430"/>
      <c r="CC700" s="430"/>
      <c r="CD700" s="430"/>
      <c r="CE700" s="430"/>
      <c r="CF700" s="430"/>
      <c r="CG700" s="430"/>
      <c r="CH700" s="430"/>
      <c r="CI700" s="430"/>
      <c r="CJ700" s="430"/>
      <c r="CK700" s="430"/>
      <c r="CL700" s="430"/>
    </row>
    <row r="701" spans="63:90" ht="14.25" customHeight="1">
      <c r="BK701" s="430"/>
      <c r="BL701" s="430"/>
      <c r="BM701" s="430"/>
      <c r="BN701" s="430"/>
      <c r="BO701" s="430"/>
      <c r="BP701" s="430"/>
      <c r="BQ701" s="430"/>
      <c r="BR701" s="430"/>
      <c r="BS701" s="430"/>
      <c r="BT701" s="430"/>
      <c r="BU701" s="430"/>
      <c r="BV701" s="430"/>
      <c r="BW701" s="430"/>
      <c r="BX701" s="430"/>
      <c r="BY701" s="430"/>
      <c r="BZ701" s="430"/>
      <c r="CA701" s="430"/>
      <c r="CB701" s="430"/>
      <c r="CC701" s="430"/>
      <c r="CD701" s="430"/>
      <c r="CE701" s="430"/>
      <c r="CF701" s="430"/>
      <c r="CG701" s="430"/>
      <c r="CH701" s="430"/>
      <c r="CI701" s="430"/>
      <c r="CJ701" s="430"/>
      <c r="CK701" s="430"/>
      <c r="CL701" s="430"/>
    </row>
    <row r="702" spans="63:90" ht="14.25" customHeight="1">
      <c r="BK702" s="430"/>
      <c r="BL702" s="430"/>
      <c r="BM702" s="430"/>
      <c r="BN702" s="430"/>
      <c r="BO702" s="430"/>
      <c r="BP702" s="430"/>
      <c r="BQ702" s="430"/>
      <c r="BR702" s="430"/>
      <c r="BS702" s="430"/>
      <c r="BT702" s="430"/>
      <c r="BU702" s="430"/>
      <c r="BV702" s="430"/>
      <c r="BW702" s="430"/>
      <c r="BX702" s="430"/>
      <c r="BY702" s="430"/>
      <c r="BZ702" s="430"/>
      <c r="CA702" s="430"/>
      <c r="CB702" s="430"/>
      <c r="CC702" s="430"/>
      <c r="CD702" s="430"/>
      <c r="CE702" s="430"/>
      <c r="CF702" s="430"/>
      <c r="CG702" s="430"/>
      <c r="CH702" s="430"/>
      <c r="CI702" s="430"/>
      <c r="CJ702" s="430"/>
      <c r="CK702" s="430"/>
      <c r="CL702" s="430"/>
    </row>
    <row r="703" spans="63:90" ht="14.25" customHeight="1">
      <c r="BK703" s="430"/>
      <c r="BL703" s="430"/>
      <c r="BM703" s="430"/>
      <c r="BN703" s="430"/>
      <c r="BO703" s="430"/>
      <c r="BP703" s="430"/>
      <c r="BQ703" s="430"/>
      <c r="BR703" s="430"/>
      <c r="BS703" s="430"/>
      <c r="BT703" s="430"/>
      <c r="BU703" s="430"/>
      <c r="BV703" s="430"/>
      <c r="BW703" s="430"/>
      <c r="BX703" s="430"/>
      <c r="BY703" s="430"/>
      <c r="BZ703" s="430"/>
      <c r="CA703" s="430"/>
      <c r="CB703" s="430"/>
      <c r="CC703" s="430"/>
      <c r="CD703" s="430"/>
      <c r="CE703" s="430"/>
      <c r="CF703" s="430"/>
      <c r="CG703" s="430"/>
      <c r="CH703" s="430"/>
      <c r="CI703" s="430"/>
      <c r="CJ703" s="430"/>
      <c r="CK703" s="430"/>
      <c r="CL703" s="430"/>
    </row>
    <row r="704" spans="63:90" ht="14.25" customHeight="1">
      <c r="BK704" s="430"/>
      <c r="BL704" s="430"/>
      <c r="BM704" s="430"/>
      <c r="BN704" s="430"/>
      <c r="BO704" s="430"/>
      <c r="BP704" s="430"/>
      <c r="BQ704" s="430"/>
      <c r="BR704" s="430"/>
      <c r="BS704" s="430"/>
      <c r="BT704" s="430"/>
      <c r="BU704" s="430"/>
      <c r="BV704" s="430"/>
      <c r="BW704" s="430"/>
      <c r="BX704" s="430"/>
      <c r="BY704" s="430"/>
      <c r="BZ704" s="430"/>
      <c r="CA704" s="430"/>
      <c r="CB704" s="430"/>
      <c r="CC704" s="430"/>
      <c r="CD704" s="430"/>
      <c r="CE704" s="430"/>
      <c r="CF704" s="430"/>
      <c r="CG704" s="430"/>
      <c r="CH704" s="430"/>
      <c r="CI704" s="430"/>
      <c r="CJ704" s="430"/>
      <c r="CK704" s="430"/>
      <c r="CL704" s="430"/>
    </row>
    <row r="705" spans="63:90" ht="14.25" customHeight="1">
      <c r="BK705" s="430"/>
      <c r="BL705" s="430"/>
      <c r="BM705" s="430"/>
      <c r="BN705" s="430"/>
      <c r="BO705" s="430"/>
      <c r="BP705" s="430"/>
      <c r="BQ705" s="430"/>
      <c r="BR705" s="430"/>
      <c r="BS705" s="430"/>
      <c r="BT705" s="430"/>
      <c r="BU705" s="430"/>
      <c r="BV705" s="430"/>
      <c r="BW705" s="430"/>
      <c r="BX705" s="430"/>
      <c r="BY705" s="430"/>
      <c r="BZ705" s="430"/>
      <c r="CA705" s="430"/>
      <c r="CB705" s="430"/>
      <c r="CC705" s="430"/>
      <c r="CD705" s="430"/>
      <c r="CE705" s="430"/>
      <c r="CF705" s="430"/>
      <c r="CG705" s="430"/>
      <c r="CH705" s="430"/>
      <c r="CI705" s="430"/>
      <c r="CJ705" s="430"/>
      <c r="CK705" s="430"/>
      <c r="CL705" s="430"/>
    </row>
    <row r="706" spans="63:90" ht="14.25" customHeight="1">
      <c r="BK706" s="430"/>
      <c r="BL706" s="430"/>
      <c r="BM706" s="430"/>
      <c r="BN706" s="430"/>
      <c r="BO706" s="430"/>
      <c r="BP706" s="430"/>
      <c r="BQ706" s="430"/>
      <c r="BR706" s="430"/>
      <c r="BS706" s="430"/>
      <c r="BT706" s="430"/>
      <c r="BU706" s="430"/>
      <c r="BV706" s="430"/>
      <c r="BW706" s="430"/>
      <c r="BX706" s="430"/>
      <c r="BY706" s="430"/>
      <c r="BZ706" s="430"/>
      <c r="CA706" s="430"/>
      <c r="CB706" s="430"/>
      <c r="CC706" s="430"/>
      <c r="CD706" s="430"/>
      <c r="CE706" s="430"/>
      <c r="CF706" s="430"/>
      <c r="CG706" s="430"/>
      <c r="CH706" s="430"/>
      <c r="CI706" s="430"/>
      <c r="CJ706" s="430"/>
      <c r="CK706" s="430"/>
      <c r="CL706" s="430"/>
    </row>
    <row r="707" spans="63:90" ht="14.25" customHeight="1">
      <c r="BK707" s="430"/>
      <c r="BL707" s="430"/>
      <c r="BM707" s="430"/>
      <c r="BN707" s="430"/>
      <c r="BO707" s="430"/>
      <c r="BP707" s="430"/>
      <c r="BQ707" s="430"/>
      <c r="BR707" s="430"/>
      <c r="BS707" s="430"/>
      <c r="BT707" s="430"/>
      <c r="BU707" s="430"/>
      <c r="BV707" s="430"/>
      <c r="BW707" s="430"/>
      <c r="BX707" s="430"/>
      <c r="BY707" s="430"/>
      <c r="BZ707" s="430"/>
      <c r="CA707" s="430"/>
      <c r="CB707" s="430"/>
      <c r="CC707" s="430"/>
      <c r="CD707" s="430"/>
      <c r="CE707" s="430"/>
      <c r="CF707" s="430"/>
      <c r="CG707" s="430"/>
      <c r="CH707" s="430"/>
      <c r="CI707" s="430"/>
      <c r="CJ707" s="430"/>
      <c r="CK707" s="430"/>
      <c r="CL707" s="430"/>
    </row>
    <row r="708" spans="63:90" ht="14.25" customHeight="1">
      <c r="BK708" s="430"/>
      <c r="BL708" s="430"/>
      <c r="BM708" s="430"/>
      <c r="BN708" s="430"/>
      <c r="BO708" s="430"/>
      <c r="BP708" s="430"/>
      <c r="BQ708" s="430"/>
      <c r="BR708" s="430"/>
      <c r="BS708" s="430"/>
      <c r="BT708" s="430"/>
      <c r="BU708" s="430"/>
      <c r="BV708" s="430"/>
      <c r="BW708" s="430"/>
      <c r="BX708" s="430"/>
      <c r="BY708" s="430"/>
      <c r="BZ708" s="430"/>
      <c r="CA708" s="430"/>
      <c r="CB708" s="430"/>
      <c r="CC708" s="430"/>
      <c r="CD708" s="430"/>
      <c r="CE708" s="430"/>
      <c r="CF708" s="430"/>
      <c r="CG708" s="430"/>
      <c r="CH708" s="430"/>
      <c r="CI708" s="430"/>
      <c r="CJ708" s="430"/>
      <c r="CK708" s="430"/>
      <c r="CL708" s="430"/>
    </row>
    <row r="709" spans="63:90" ht="14.25" customHeight="1">
      <c r="BK709" s="430"/>
      <c r="BL709" s="430"/>
      <c r="BM709" s="430"/>
      <c r="BN709" s="430"/>
      <c r="BO709" s="430"/>
      <c r="BP709" s="430"/>
      <c r="BQ709" s="430"/>
      <c r="BR709" s="430"/>
      <c r="BS709" s="430"/>
      <c r="BT709" s="430"/>
      <c r="BU709" s="430"/>
      <c r="BV709" s="430"/>
      <c r="BW709" s="430"/>
      <c r="BX709" s="430"/>
      <c r="BY709" s="430"/>
      <c r="BZ709" s="430"/>
      <c r="CA709" s="430"/>
      <c r="CB709" s="430"/>
      <c r="CC709" s="430"/>
      <c r="CD709" s="430"/>
      <c r="CE709" s="430"/>
      <c r="CF709" s="430"/>
      <c r="CG709" s="430"/>
      <c r="CH709" s="430"/>
      <c r="CI709" s="430"/>
      <c r="CJ709" s="430"/>
      <c r="CK709" s="430"/>
      <c r="CL709" s="430"/>
    </row>
    <row r="710" spans="63:90" ht="14.25" customHeight="1">
      <c r="BK710" s="430"/>
      <c r="BL710" s="430"/>
      <c r="BM710" s="430"/>
      <c r="BN710" s="430"/>
      <c r="BO710" s="430"/>
      <c r="BP710" s="430"/>
      <c r="BQ710" s="430"/>
      <c r="BR710" s="430"/>
      <c r="BS710" s="430"/>
      <c r="BT710" s="430"/>
      <c r="BU710" s="430"/>
      <c r="BV710" s="430"/>
      <c r="BW710" s="430"/>
      <c r="BX710" s="430"/>
      <c r="BY710" s="430"/>
      <c r="BZ710" s="430"/>
      <c r="CA710" s="430"/>
      <c r="CB710" s="430"/>
      <c r="CC710" s="430"/>
      <c r="CD710" s="430"/>
      <c r="CE710" s="430"/>
      <c r="CF710" s="430"/>
      <c r="CG710" s="430"/>
      <c r="CH710" s="430"/>
      <c r="CI710" s="430"/>
      <c r="CJ710" s="430"/>
      <c r="CK710" s="430"/>
      <c r="CL710" s="430"/>
    </row>
    <row r="711" spans="63:90" ht="14.25" customHeight="1">
      <c r="BK711" s="430"/>
      <c r="BL711" s="430"/>
      <c r="BM711" s="430"/>
      <c r="BN711" s="430"/>
      <c r="BO711" s="430"/>
      <c r="BP711" s="430"/>
      <c r="BQ711" s="430"/>
      <c r="BR711" s="430"/>
      <c r="BS711" s="430"/>
      <c r="BT711" s="430"/>
      <c r="BU711" s="430"/>
      <c r="BV711" s="430"/>
      <c r="BW711" s="430"/>
      <c r="BX711" s="430"/>
      <c r="BY711" s="430"/>
      <c r="BZ711" s="430"/>
      <c r="CA711" s="430"/>
      <c r="CB711" s="430"/>
      <c r="CC711" s="430"/>
      <c r="CD711" s="430"/>
      <c r="CE711" s="430"/>
      <c r="CF711" s="430"/>
      <c r="CG711" s="430"/>
      <c r="CH711" s="430"/>
      <c r="CI711" s="430"/>
      <c r="CJ711" s="430"/>
      <c r="CK711" s="430"/>
      <c r="CL711" s="430"/>
    </row>
    <row r="712" spans="63:90" ht="14.25" customHeight="1">
      <c r="BK712" s="430"/>
      <c r="BL712" s="430"/>
      <c r="BM712" s="430"/>
      <c r="BN712" s="430"/>
      <c r="BO712" s="430"/>
      <c r="BP712" s="430"/>
      <c r="BQ712" s="430"/>
      <c r="BR712" s="430"/>
      <c r="BS712" s="430"/>
      <c r="BT712" s="430"/>
      <c r="BU712" s="430"/>
      <c r="BV712" s="430"/>
      <c r="BW712" s="430"/>
      <c r="BX712" s="430"/>
      <c r="BY712" s="430"/>
      <c r="BZ712" s="430"/>
      <c r="CA712" s="430"/>
      <c r="CB712" s="430"/>
      <c r="CC712" s="430"/>
      <c r="CD712" s="430"/>
      <c r="CE712" s="430"/>
      <c r="CF712" s="430"/>
      <c r="CG712" s="430"/>
      <c r="CH712" s="430"/>
      <c r="CI712" s="430"/>
      <c r="CJ712" s="430"/>
      <c r="CK712" s="430"/>
      <c r="CL712" s="430"/>
    </row>
    <row r="713" spans="63:90" ht="14.25" customHeight="1">
      <c r="BK713" s="430"/>
      <c r="BL713" s="430"/>
      <c r="BM713" s="430"/>
      <c r="BN713" s="430"/>
      <c r="BO713" s="430"/>
      <c r="BP713" s="430"/>
      <c r="BQ713" s="430"/>
      <c r="BR713" s="430"/>
      <c r="BS713" s="430"/>
      <c r="BT713" s="430"/>
      <c r="BU713" s="430"/>
      <c r="BV713" s="430"/>
      <c r="BW713" s="430"/>
      <c r="BX713" s="430"/>
      <c r="BY713" s="430"/>
      <c r="BZ713" s="430"/>
      <c r="CA713" s="430"/>
      <c r="CB713" s="430"/>
      <c r="CC713" s="430"/>
      <c r="CD713" s="430"/>
      <c r="CE713" s="430"/>
      <c r="CF713" s="430"/>
      <c r="CG713" s="430"/>
      <c r="CH713" s="430"/>
      <c r="CI713" s="430"/>
      <c r="CJ713" s="430"/>
      <c r="CK713" s="430"/>
      <c r="CL713" s="430"/>
    </row>
    <row r="714" spans="63:90" ht="14.25" customHeight="1">
      <c r="BK714" s="430"/>
      <c r="BL714" s="430"/>
      <c r="BM714" s="430"/>
      <c r="BN714" s="430"/>
      <c r="BO714" s="430"/>
      <c r="BP714" s="430"/>
      <c r="BQ714" s="430"/>
      <c r="BR714" s="430"/>
      <c r="BS714" s="430"/>
      <c r="BT714" s="430"/>
      <c r="BU714" s="430"/>
      <c r="BV714" s="430"/>
      <c r="BW714" s="430"/>
      <c r="BX714" s="430"/>
      <c r="BY714" s="430"/>
      <c r="BZ714" s="430"/>
      <c r="CA714" s="430"/>
      <c r="CB714" s="430"/>
      <c r="CC714" s="430"/>
      <c r="CD714" s="430"/>
      <c r="CE714" s="430"/>
      <c r="CF714" s="430"/>
      <c r="CG714" s="430"/>
      <c r="CH714" s="430"/>
      <c r="CI714" s="430"/>
      <c r="CJ714" s="430"/>
      <c r="CK714" s="430"/>
      <c r="CL714" s="430"/>
    </row>
    <row r="715" spans="63:90" ht="14.25" customHeight="1">
      <c r="BK715" s="430"/>
      <c r="BL715" s="430"/>
      <c r="BM715" s="430"/>
      <c r="BN715" s="430"/>
      <c r="BO715" s="430"/>
      <c r="BP715" s="430"/>
      <c r="BQ715" s="430"/>
      <c r="BR715" s="430"/>
      <c r="BS715" s="430"/>
      <c r="BT715" s="430"/>
      <c r="BU715" s="430"/>
      <c r="BV715" s="430"/>
      <c r="BW715" s="430"/>
      <c r="BX715" s="430"/>
      <c r="BY715" s="430"/>
      <c r="BZ715" s="430"/>
      <c r="CA715" s="430"/>
      <c r="CB715" s="430"/>
      <c r="CC715" s="430"/>
      <c r="CD715" s="430"/>
      <c r="CE715" s="430"/>
      <c r="CF715" s="430"/>
      <c r="CG715" s="430"/>
      <c r="CH715" s="430"/>
      <c r="CI715" s="430"/>
      <c r="CJ715" s="430"/>
      <c r="CK715" s="430"/>
      <c r="CL715" s="430"/>
    </row>
    <row r="716" spans="63:90" ht="14.25" customHeight="1">
      <c r="BK716" s="430"/>
      <c r="BL716" s="430"/>
      <c r="BM716" s="430"/>
      <c r="BN716" s="430"/>
      <c r="BO716" s="430"/>
      <c r="BP716" s="430"/>
      <c r="BQ716" s="430"/>
      <c r="BR716" s="430"/>
      <c r="BS716" s="430"/>
      <c r="BT716" s="430"/>
      <c r="BU716" s="430"/>
      <c r="BV716" s="430"/>
      <c r="BW716" s="430"/>
      <c r="BX716" s="430"/>
      <c r="BY716" s="430"/>
      <c r="BZ716" s="430"/>
      <c r="CA716" s="430"/>
      <c r="CB716" s="430"/>
      <c r="CC716" s="430"/>
      <c r="CD716" s="430"/>
      <c r="CE716" s="430"/>
      <c r="CF716" s="430"/>
      <c r="CG716" s="430"/>
      <c r="CH716" s="430"/>
      <c r="CI716" s="430"/>
      <c r="CJ716" s="430"/>
      <c r="CK716" s="430"/>
      <c r="CL716" s="430"/>
    </row>
    <row r="717" spans="63:90" ht="14.25" customHeight="1">
      <c r="BK717" s="430"/>
      <c r="BL717" s="430"/>
      <c r="BM717" s="430"/>
      <c r="BN717" s="430"/>
      <c r="BO717" s="430"/>
      <c r="BP717" s="430"/>
      <c r="BQ717" s="430"/>
      <c r="BR717" s="430"/>
      <c r="BS717" s="430"/>
      <c r="BT717" s="430"/>
      <c r="BU717" s="430"/>
      <c r="BV717" s="430"/>
      <c r="BW717" s="430"/>
      <c r="BX717" s="430"/>
      <c r="BY717" s="430"/>
      <c r="BZ717" s="430"/>
      <c r="CA717" s="430"/>
      <c r="CB717" s="430"/>
      <c r="CC717" s="430"/>
      <c r="CD717" s="430"/>
      <c r="CE717" s="430"/>
      <c r="CF717" s="430"/>
      <c r="CG717" s="430"/>
      <c r="CH717" s="430"/>
      <c r="CI717" s="430"/>
      <c r="CJ717" s="430"/>
      <c r="CK717" s="430"/>
      <c r="CL717" s="430"/>
    </row>
    <row r="718" spans="63:90" ht="14.25" customHeight="1">
      <c r="BK718" s="430"/>
      <c r="BL718" s="430"/>
      <c r="BM718" s="430"/>
      <c r="BN718" s="430"/>
      <c r="BO718" s="430"/>
      <c r="BP718" s="430"/>
      <c r="BQ718" s="430"/>
      <c r="BR718" s="430"/>
      <c r="BS718" s="430"/>
      <c r="BT718" s="430"/>
      <c r="BU718" s="430"/>
      <c r="BV718" s="430"/>
      <c r="BW718" s="430"/>
      <c r="BX718" s="430"/>
      <c r="BY718" s="430"/>
      <c r="BZ718" s="430"/>
      <c r="CA718" s="430"/>
      <c r="CB718" s="430"/>
      <c r="CC718" s="430"/>
      <c r="CD718" s="430"/>
      <c r="CE718" s="430"/>
      <c r="CF718" s="430"/>
      <c r="CG718" s="430"/>
      <c r="CH718" s="430"/>
      <c r="CI718" s="430"/>
      <c r="CJ718" s="430"/>
      <c r="CK718" s="430"/>
      <c r="CL718" s="430"/>
    </row>
    <row r="719" spans="63:90" ht="14.25" customHeight="1">
      <c r="BK719" s="430"/>
      <c r="BL719" s="430"/>
      <c r="BM719" s="430"/>
      <c r="BN719" s="430"/>
      <c r="BO719" s="430"/>
      <c r="BP719" s="430"/>
      <c r="BQ719" s="430"/>
      <c r="BR719" s="430"/>
      <c r="BS719" s="430"/>
      <c r="BT719" s="430"/>
      <c r="BU719" s="430"/>
      <c r="BV719" s="430"/>
      <c r="BW719" s="430"/>
      <c r="BX719" s="430"/>
      <c r="BY719" s="430"/>
      <c r="BZ719" s="430"/>
      <c r="CA719" s="430"/>
      <c r="CB719" s="430"/>
      <c r="CC719" s="430"/>
      <c r="CD719" s="430"/>
      <c r="CE719" s="430"/>
      <c r="CF719" s="430"/>
      <c r="CG719" s="430"/>
      <c r="CH719" s="430"/>
      <c r="CI719" s="430"/>
      <c r="CJ719" s="430"/>
      <c r="CK719" s="430"/>
      <c r="CL719" s="430"/>
    </row>
    <row r="720" spans="63:90" ht="14.25" customHeight="1">
      <c r="BK720" s="430"/>
      <c r="BL720" s="430"/>
      <c r="BM720" s="430"/>
      <c r="BN720" s="430"/>
      <c r="BO720" s="430"/>
      <c r="BP720" s="430"/>
      <c r="BQ720" s="430"/>
      <c r="BR720" s="430"/>
      <c r="BS720" s="430"/>
      <c r="BT720" s="430"/>
      <c r="BU720" s="430"/>
      <c r="BV720" s="430"/>
      <c r="BW720" s="430"/>
      <c r="BX720" s="430"/>
      <c r="BY720" s="430"/>
      <c r="BZ720" s="430"/>
      <c r="CA720" s="430"/>
      <c r="CB720" s="430"/>
      <c r="CC720" s="430"/>
      <c r="CD720" s="430"/>
      <c r="CE720" s="430"/>
      <c r="CF720" s="430"/>
      <c r="CG720" s="430"/>
      <c r="CH720" s="430"/>
      <c r="CI720" s="430"/>
      <c r="CJ720" s="430"/>
      <c r="CK720" s="430"/>
      <c r="CL720" s="430"/>
    </row>
    <row r="721" spans="63:90" ht="14.25" customHeight="1">
      <c r="BK721" s="430"/>
      <c r="BL721" s="430"/>
      <c r="BM721" s="430"/>
      <c r="BN721" s="430"/>
      <c r="BO721" s="430"/>
      <c r="BP721" s="430"/>
      <c r="BQ721" s="430"/>
      <c r="BR721" s="430"/>
      <c r="BS721" s="430"/>
      <c r="BT721" s="430"/>
      <c r="BU721" s="430"/>
      <c r="BV721" s="430"/>
      <c r="BW721" s="430"/>
      <c r="BX721" s="430"/>
      <c r="BY721" s="430"/>
      <c r="BZ721" s="430"/>
      <c r="CA721" s="430"/>
      <c r="CB721" s="430"/>
      <c r="CC721" s="430"/>
      <c r="CD721" s="430"/>
      <c r="CE721" s="430"/>
      <c r="CF721" s="430"/>
      <c r="CG721" s="430"/>
      <c r="CH721" s="430"/>
      <c r="CI721" s="430"/>
      <c r="CJ721" s="430"/>
      <c r="CK721" s="430"/>
      <c r="CL721" s="430"/>
    </row>
    <row r="722" spans="63:90" ht="14.25" customHeight="1">
      <c r="BK722" s="430"/>
      <c r="BL722" s="430"/>
      <c r="BM722" s="430"/>
      <c r="BN722" s="430"/>
      <c r="BO722" s="430"/>
      <c r="BP722" s="430"/>
      <c r="BQ722" s="430"/>
      <c r="BR722" s="430"/>
      <c r="BS722" s="430"/>
      <c r="BT722" s="430"/>
      <c r="BU722" s="430"/>
      <c r="BV722" s="430"/>
      <c r="BW722" s="430"/>
      <c r="BX722" s="430"/>
      <c r="BY722" s="430"/>
      <c r="BZ722" s="430"/>
      <c r="CA722" s="430"/>
      <c r="CB722" s="430"/>
      <c r="CC722" s="430"/>
      <c r="CD722" s="430"/>
      <c r="CE722" s="430"/>
      <c r="CF722" s="430"/>
      <c r="CG722" s="430"/>
      <c r="CH722" s="430"/>
      <c r="CI722" s="430"/>
      <c r="CJ722" s="430"/>
      <c r="CK722" s="430"/>
      <c r="CL722" s="430"/>
    </row>
    <row r="723" spans="63:90" ht="14.25" customHeight="1">
      <c r="BK723" s="430"/>
      <c r="BL723" s="430"/>
      <c r="BM723" s="430"/>
      <c r="BN723" s="430"/>
      <c r="BO723" s="430"/>
      <c r="BP723" s="430"/>
      <c r="BQ723" s="430"/>
      <c r="BR723" s="430"/>
      <c r="BS723" s="430"/>
      <c r="BT723" s="430"/>
      <c r="BU723" s="430"/>
      <c r="BV723" s="430"/>
      <c r="BW723" s="430"/>
      <c r="BX723" s="430"/>
      <c r="BY723" s="430"/>
      <c r="BZ723" s="430"/>
      <c r="CA723" s="430"/>
      <c r="CB723" s="430"/>
      <c r="CC723" s="430"/>
      <c r="CD723" s="430"/>
      <c r="CE723" s="430"/>
      <c r="CF723" s="430"/>
      <c r="CG723" s="430"/>
      <c r="CH723" s="430"/>
      <c r="CI723" s="430"/>
      <c r="CJ723" s="430"/>
      <c r="CK723" s="430"/>
      <c r="CL723" s="430"/>
    </row>
    <row r="724" spans="63:90" ht="14.25" customHeight="1">
      <c r="BK724" s="430"/>
      <c r="BL724" s="430"/>
      <c r="BM724" s="430"/>
      <c r="BN724" s="430"/>
      <c r="BO724" s="430"/>
      <c r="BP724" s="430"/>
      <c r="BQ724" s="430"/>
      <c r="BR724" s="430"/>
      <c r="BS724" s="430"/>
      <c r="BT724" s="430"/>
      <c r="BU724" s="430"/>
      <c r="BV724" s="430"/>
      <c r="BW724" s="430"/>
      <c r="BX724" s="430"/>
      <c r="BY724" s="430"/>
      <c r="BZ724" s="430"/>
      <c r="CA724" s="430"/>
      <c r="CB724" s="430"/>
      <c r="CC724" s="430"/>
      <c r="CD724" s="430"/>
      <c r="CE724" s="430"/>
      <c r="CF724" s="430"/>
      <c r="CG724" s="430"/>
      <c r="CH724" s="430"/>
      <c r="CI724" s="430"/>
      <c r="CJ724" s="430"/>
      <c r="CK724" s="430"/>
      <c r="CL724" s="430"/>
    </row>
    <row r="725" spans="63:90" ht="14.25" customHeight="1">
      <c r="BK725" s="430"/>
      <c r="BL725" s="430"/>
      <c r="BM725" s="430"/>
      <c r="BN725" s="430"/>
      <c r="BO725" s="430"/>
      <c r="BP725" s="430"/>
      <c r="BQ725" s="430"/>
      <c r="BR725" s="430"/>
      <c r="BS725" s="430"/>
      <c r="BT725" s="430"/>
      <c r="BU725" s="430"/>
      <c r="BV725" s="430"/>
      <c r="BW725" s="430"/>
      <c r="BX725" s="430"/>
      <c r="BY725" s="430"/>
      <c r="BZ725" s="430"/>
      <c r="CA725" s="430"/>
      <c r="CB725" s="430"/>
      <c r="CC725" s="430"/>
      <c r="CD725" s="430"/>
      <c r="CE725" s="430"/>
      <c r="CF725" s="430"/>
      <c r="CG725" s="430"/>
      <c r="CH725" s="430"/>
      <c r="CI725" s="430"/>
      <c r="CJ725" s="430"/>
      <c r="CK725" s="430"/>
      <c r="CL725" s="430"/>
    </row>
    <row r="726" spans="63:90" ht="14.25" customHeight="1">
      <c r="BK726" s="430"/>
      <c r="BL726" s="430"/>
      <c r="BM726" s="430"/>
      <c r="BN726" s="430"/>
      <c r="BO726" s="430"/>
      <c r="BP726" s="430"/>
      <c r="BQ726" s="430"/>
      <c r="BR726" s="430"/>
      <c r="BS726" s="430"/>
      <c r="BT726" s="430"/>
      <c r="BU726" s="430"/>
      <c r="BV726" s="430"/>
      <c r="BW726" s="430"/>
      <c r="BX726" s="430"/>
      <c r="BY726" s="430"/>
      <c r="BZ726" s="430"/>
      <c r="CA726" s="430"/>
      <c r="CB726" s="430"/>
      <c r="CC726" s="430"/>
      <c r="CD726" s="430"/>
      <c r="CE726" s="430"/>
      <c r="CF726" s="430"/>
      <c r="CG726" s="430"/>
      <c r="CH726" s="430"/>
      <c r="CI726" s="430"/>
      <c r="CJ726" s="430"/>
      <c r="CK726" s="430"/>
      <c r="CL726" s="430"/>
    </row>
    <row r="727" spans="63:90" ht="14.25" customHeight="1">
      <c r="BK727" s="430"/>
      <c r="BL727" s="430"/>
      <c r="BM727" s="430"/>
      <c r="BN727" s="430"/>
      <c r="BO727" s="430"/>
      <c r="BP727" s="430"/>
      <c r="BQ727" s="430"/>
      <c r="BR727" s="430"/>
      <c r="BS727" s="430"/>
      <c r="BT727" s="430"/>
      <c r="BU727" s="430"/>
      <c r="BV727" s="430"/>
      <c r="BW727" s="430"/>
      <c r="BX727" s="430"/>
      <c r="BY727" s="430"/>
      <c r="BZ727" s="430"/>
      <c r="CA727" s="430"/>
      <c r="CB727" s="430"/>
      <c r="CC727" s="430"/>
      <c r="CD727" s="430"/>
      <c r="CE727" s="430"/>
      <c r="CF727" s="430"/>
      <c r="CG727" s="430"/>
      <c r="CH727" s="430"/>
      <c r="CI727" s="430"/>
      <c r="CJ727" s="430"/>
      <c r="CK727" s="430"/>
      <c r="CL727" s="430"/>
    </row>
    <row r="728" spans="63:90" ht="14.25" customHeight="1">
      <c r="BK728" s="430"/>
      <c r="BL728" s="430"/>
      <c r="BM728" s="430"/>
      <c r="BN728" s="430"/>
      <c r="BO728" s="430"/>
      <c r="BP728" s="430"/>
      <c r="BQ728" s="430"/>
      <c r="BR728" s="430"/>
      <c r="BS728" s="430"/>
      <c r="BT728" s="430"/>
      <c r="BU728" s="430"/>
      <c r="BV728" s="430"/>
      <c r="BW728" s="430"/>
      <c r="BX728" s="430"/>
      <c r="BY728" s="430"/>
      <c r="BZ728" s="430"/>
      <c r="CA728" s="430"/>
      <c r="CB728" s="430"/>
      <c r="CC728" s="430"/>
      <c r="CD728" s="430"/>
      <c r="CE728" s="430"/>
      <c r="CF728" s="430"/>
      <c r="CG728" s="430"/>
      <c r="CH728" s="430"/>
      <c r="CI728" s="430"/>
      <c r="CJ728" s="430"/>
      <c r="CK728" s="430"/>
      <c r="CL728" s="430"/>
    </row>
    <row r="729" spans="63:90" ht="14.25" customHeight="1">
      <c r="BK729" s="430"/>
      <c r="BL729" s="430"/>
      <c r="BM729" s="430"/>
      <c r="BN729" s="430"/>
      <c r="BO729" s="430"/>
      <c r="BP729" s="430"/>
      <c r="BQ729" s="430"/>
      <c r="BR729" s="430"/>
      <c r="BS729" s="430"/>
      <c r="BT729" s="430"/>
      <c r="BU729" s="430"/>
      <c r="BV729" s="430"/>
      <c r="BW729" s="430"/>
      <c r="BX729" s="430"/>
      <c r="BY729" s="430"/>
      <c r="BZ729" s="430"/>
      <c r="CA729" s="430"/>
      <c r="CB729" s="430"/>
      <c r="CC729" s="430"/>
      <c r="CD729" s="430"/>
      <c r="CE729" s="430"/>
      <c r="CF729" s="430"/>
      <c r="CG729" s="430"/>
      <c r="CH729" s="430"/>
      <c r="CI729" s="430"/>
      <c r="CJ729" s="430"/>
      <c r="CK729" s="430"/>
      <c r="CL729" s="430"/>
    </row>
    <row r="730" spans="63:90" ht="14.25" customHeight="1">
      <c r="BK730" s="430"/>
      <c r="BL730" s="430"/>
      <c r="BM730" s="430"/>
      <c r="BN730" s="430"/>
      <c r="BO730" s="430"/>
      <c r="BP730" s="430"/>
      <c r="BQ730" s="430"/>
      <c r="BR730" s="430"/>
      <c r="BS730" s="430"/>
      <c r="BT730" s="430"/>
      <c r="BU730" s="430"/>
      <c r="BV730" s="430"/>
      <c r="BW730" s="430"/>
      <c r="BX730" s="430"/>
      <c r="BY730" s="430"/>
      <c r="BZ730" s="430"/>
      <c r="CA730" s="430"/>
      <c r="CB730" s="430"/>
      <c r="CC730" s="430"/>
      <c r="CD730" s="430"/>
      <c r="CE730" s="430"/>
      <c r="CF730" s="430"/>
      <c r="CG730" s="430"/>
      <c r="CH730" s="430"/>
      <c r="CI730" s="430"/>
      <c r="CJ730" s="430"/>
      <c r="CK730" s="430"/>
      <c r="CL730" s="430"/>
    </row>
    <row r="731" spans="63:90" ht="14.25" customHeight="1">
      <c r="BK731" s="430"/>
      <c r="BL731" s="430"/>
      <c r="BM731" s="430"/>
      <c r="BN731" s="430"/>
      <c r="BO731" s="430"/>
      <c r="BP731" s="430"/>
      <c r="BQ731" s="430"/>
      <c r="BR731" s="430"/>
      <c r="BS731" s="430"/>
      <c r="BT731" s="430"/>
      <c r="BU731" s="430"/>
      <c r="BV731" s="430"/>
      <c r="BW731" s="430"/>
      <c r="BX731" s="430"/>
      <c r="BY731" s="430"/>
      <c r="BZ731" s="430"/>
      <c r="CA731" s="430"/>
      <c r="CB731" s="430"/>
      <c r="CC731" s="430"/>
      <c r="CD731" s="430"/>
      <c r="CE731" s="430"/>
      <c r="CF731" s="430"/>
      <c r="CG731" s="430"/>
      <c r="CH731" s="430"/>
      <c r="CI731" s="430"/>
      <c r="CJ731" s="430"/>
      <c r="CK731" s="430"/>
      <c r="CL731" s="430"/>
    </row>
    <row r="732" spans="63:90" ht="14.25" customHeight="1">
      <c r="BK732" s="430"/>
      <c r="BL732" s="430"/>
      <c r="BM732" s="430"/>
      <c r="BN732" s="430"/>
      <c r="BO732" s="430"/>
      <c r="BP732" s="430"/>
      <c r="BQ732" s="430"/>
      <c r="BR732" s="430"/>
      <c r="BS732" s="430"/>
      <c r="BT732" s="430"/>
      <c r="BU732" s="430"/>
      <c r="BV732" s="430"/>
      <c r="BW732" s="430"/>
      <c r="BX732" s="430"/>
      <c r="BY732" s="430"/>
      <c r="BZ732" s="430"/>
      <c r="CA732" s="430"/>
      <c r="CB732" s="430"/>
      <c r="CC732" s="430"/>
      <c r="CD732" s="430"/>
      <c r="CE732" s="430"/>
      <c r="CF732" s="430"/>
      <c r="CG732" s="430"/>
      <c r="CH732" s="430"/>
      <c r="CI732" s="430"/>
      <c r="CJ732" s="430"/>
      <c r="CK732" s="430"/>
      <c r="CL732" s="430"/>
    </row>
    <row r="733" spans="63:90" ht="14.25" customHeight="1">
      <c r="BK733" s="430"/>
      <c r="BL733" s="430"/>
      <c r="BM733" s="430"/>
      <c r="BN733" s="430"/>
      <c r="BO733" s="430"/>
      <c r="BP733" s="430"/>
      <c r="BQ733" s="430"/>
      <c r="BR733" s="430"/>
      <c r="BS733" s="430"/>
      <c r="BT733" s="430"/>
      <c r="BU733" s="430"/>
      <c r="BV733" s="430"/>
      <c r="BW733" s="430"/>
      <c r="BX733" s="430"/>
      <c r="BY733" s="430"/>
      <c r="BZ733" s="430"/>
      <c r="CA733" s="430"/>
      <c r="CB733" s="430"/>
      <c r="CC733" s="430"/>
      <c r="CD733" s="430"/>
      <c r="CE733" s="430"/>
      <c r="CF733" s="430"/>
      <c r="CG733" s="430"/>
      <c r="CH733" s="430"/>
      <c r="CI733" s="430"/>
      <c r="CJ733" s="430"/>
      <c r="CK733" s="430"/>
      <c r="CL733" s="430"/>
    </row>
    <row r="734" spans="63:90" ht="14.25" customHeight="1">
      <c r="BK734" s="430"/>
      <c r="BL734" s="430"/>
      <c r="BM734" s="430"/>
      <c r="BN734" s="430"/>
      <c r="BO734" s="430"/>
      <c r="BP734" s="430"/>
      <c r="BQ734" s="430"/>
      <c r="BR734" s="430"/>
      <c r="BS734" s="430"/>
      <c r="BT734" s="430"/>
      <c r="BU734" s="430"/>
      <c r="BV734" s="430"/>
      <c r="BW734" s="430"/>
      <c r="BX734" s="430"/>
      <c r="BY734" s="430"/>
      <c r="BZ734" s="430"/>
      <c r="CA734" s="430"/>
      <c r="CB734" s="430"/>
      <c r="CC734" s="430"/>
      <c r="CD734" s="430"/>
      <c r="CE734" s="430"/>
      <c r="CF734" s="430"/>
      <c r="CG734" s="430"/>
      <c r="CH734" s="430"/>
      <c r="CI734" s="430"/>
      <c r="CJ734" s="430"/>
      <c r="CK734" s="430"/>
      <c r="CL734" s="430"/>
    </row>
    <row r="735" spans="63:90" ht="14.25" customHeight="1">
      <c r="BK735" s="430"/>
      <c r="BL735" s="430"/>
      <c r="BM735" s="430"/>
      <c r="BN735" s="430"/>
      <c r="BO735" s="430"/>
      <c r="BP735" s="430"/>
      <c r="BQ735" s="430"/>
      <c r="BR735" s="430"/>
      <c r="BS735" s="430"/>
      <c r="BT735" s="430"/>
      <c r="BU735" s="430"/>
      <c r="BV735" s="430"/>
      <c r="BW735" s="430"/>
      <c r="BX735" s="430"/>
      <c r="BY735" s="430"/>
      <c r="BZ735" s="430"/>
      <c r="CA735" s="430"/>
      <c r="CB735" s="430"/>
      <c r="CC735" s="430"/>
      <c r="CD735" s="430"/>
      <c r="CE735" s="430"/>
      <c r="CF735" s="430"/>
      <c r="CG735" s="430"/>
      <c r="CH735" s="430"/>
      <c r="CI735" s="430"/>
      <c r="CJ735" s="430"/>
      <c r="CK735" s="430"/>
      <c r="CL735" s="430"/>
    </row>
    <row r="736" spans="63:90" ht="14.25" customHeight="1">
      <c r="BK736" s="430"/>
      <c r="BL736" s="430"/>
      <c r="BM736" s="430"/>
      <c r="BN736" s="430"/>
      <c r="BO736" s="430"/>
      <c r="BP736" s="430"/>
      <c r="BQ736" s="430"/>
      <c r="BR736" s="430"/>
      <c r="BS736" s="430"/>
      <c r="BT736" s="430"/>
      <c r="BU736" s="430"/>
      <c r="BV736" s="430"/>
      <c r="BW736" s="430"/>
      <c r="BX736" s="430"/>
      <c r="BY736" s="430"/>
      <c r="BZ736" s="430"/>
      <c r="CA736" s="430"/>
      <c r="CB736" s="430"/>
      <c r="CC736" s="430"/>
      <c r="CD736" s="430"/>
      <c r="CE736" s="430"/>
      <c r="CF736" s="430"/>
      <c r="CG736" s="430"/>
      <c r="CH736" s="430"/>
      <c r="CI736" s="430"/>
      <c r="CJ736" s="430"/>
      <c r="CK736" s="430"/>
      <c r="CL736" s="430"/>
    </row>
    <row r="737" spans="63:90" ht="14.25" customHeight="1">
      <c r="BK737" s="430"/>
      <c r="BL737" s="430"/>
      <c r="BM737" s="430"/>
      <c r="BN737" s="430"/>
      <c r="BO737" s="430"/>
      <c r="BP737" s="430"/>
      <c r="BQ737" s="430"/>
      <c r="BR737" s="430"/>
      <c r="BS737" s="430"/>
      <c r="BT737" s="430"/>
      <c r="BU737" s="430"/>
      <c r="BV737" s="430"/>
      <c r="BW737" s="430"/>
      <c r="BX737" s="430"/>
      <c r="BY737" s="430"/>
      <c r="BZ737" s="430"/>
      <c r="CA737" s="430"/>
      <c r="CB737" s="430"/>
      <c r="CC737" s="430"/>
      <c r="CD737" s="430"/>
      <c r="CE737" s="430"/>
      <c r="CF737" s="430"/>
      <c r="CG737" s="430"/>
      <c r="CH737" s="430"/>
      <c r="CI737" s="430"/>
      <c r="CJ737" s="430"/>
      <c r="CK737" s="430"/>
      <c r="CL737" s="430"/>
    </row>
    <row r="738" spans="63:90" ht="14.25" customHeight="1">
      <c r="BK738" s="430"/>
      <c r="BL738" s="430"/>
      <c r="BM738" s="430"/>
      <c r="BN738" s="430"/>
      <c r="BO738" s="430"/>
      <c r="BP738" s="430"/>
      <c r="BQ738" s="430"/>
      <c r="BR738" s="430"/>
      <c r="BS738" s="430"/>
      <c r="BT738" s="430"/>
      <c r="BU738" s="430"/>
      <c r="BV738" s="430"/>
      <c r="BW738" s="430"/>
      <c r="BX738" s="430"/>
      <c r="BY738" s="430"/>
      <c r="BZ738" s="430"/>
      <c r="CA738" s="430"/>
      <c r="CB738" s="430"/>
      <c r="CC738" s="430"/>
      <c r="CD738" s="430"/>
      <c r="CE738" s="430"/>
      <c r="CF738" s="430"/>
      <c r="CG738" s="430"/>
      <c r="CH738" s="430"/>
      <c r="CI738" s="430"/>
      <c r="CJ738" s="430"/>
      <c r="CK738" s="430"/>
      <c r="CL738" s="430"/>
    </row>
    <row r="739" spans="63:90" ht="14.25" customHeight="1">
      <c r="BK739" s="430"/>
      <c r="BL739" s="430"/>
      <c r="BM739" s="430"/>
      <c r="BN739" s="430"/>
      <c r="BO739" s="430"/>
      <c r="BP739" s="430"/>
      <c r="BQ739" s="430"/>
      <c r="BR739" s="430"/>
      <c r="BS739" s="430"/>
      <c r="BT739" s="430"/>
      <c r="BU739" s="430"/>
      <c r="BV739" s="430"/>
      <c r="BW739" s="430"/>
      <c r="BX739" s="430"/>
      <c r="BY739" s="430"/>
      <c r="BZ739" s="430"/>
      <c r="CA739" s="430"/>
      <c r="CB739" s="430"/>
      <c r="CC739" s="430"/>
      <c r="CD739" s="430"/>
      <c r="CE739" s="430"/>
      <c r="CF739" s="430"/>
      <c r="CG739" s="430"/>
      <c r="CH739" s="430"/>
      <c r="CI739" s="430"/>
      <c r="CJ739" s="430"/>
      <c r="CK739" s="430"/>
      <c r="CL739" s="430"/>
    </row>
    <row r="740" spans="63:90" ht="14.25" customHeight="1">
      <c r="BK740" s="430"/>
      <c r="BL740" s="430"/>
      <c r="BM740" s="430"/>
      <c r="BN740" s="430"/>
      <c r="BO740" s="430"/>
      <c r="BP740" s="430"/>
      <c r="BQ740" s="430"/>
      <c r="BR740" s="430"/>
      <c r="BS740" s="430"/>
      <c r="BT740" s="430"/>
      <c r="BU740" s="430"/>
      <c r="BV740" s="430"/>
      <c r="BW740" s="430"/>
      <c r="BX740" s="430"/>
      <c r="BY740" s="430"/>
      <c r="BZ740" s="430"/>
      <c r="CA740" s="430"/>
      <c r="CB740" s="430"/>
      <c r="CC740" s="430"/>
      <c r="CD740" s="430"/>
      <c r="CE740" s="430"/>
      <c r="CF740" s="430"/>
      <c r="CG740" s="430"/>
      <c r="CH740" s="430"/>
      <c r="CI740" s="430"/>
      <c r="CJ740" s="430"/>
      <c r="CK740" s="430"/>
      <c r="CL740" s="430"/>
    </row>
    <row r="741" spans="63:90" ht="14.25" customHeight="1">
      <c r="BK741" s="430"/>
      <c r="BL741" s="430"/>
      <c r="BM741" s="430"/>
      <c r="BN741" s="430"/>
      <c r="BO741" s="430"/>
      <c r="BP741" s="430"/>
      <c r="BQ741" s="430"/>
      <c r="BR741" s="430"/>
      <c r="BS741" s="430"/>
      <c r="BT741" s="430"/>
      <c r="BU741" s="430"/>
      <c r="BV741" s="430"/>
      <c r="BW741" s="430"/>
      <c r="BX741" s="430"/>
      <c r="BY741" s="430"/>
      <c r="BZ741" s="430"/>
      <c r="CA741" s="430"/>
      <c r="CB741" s="430"/>
      <c r="CC741" s="430"/>
      <c r="CD741" s="430"/>
      <c r="CE741" s="430"/>
      <c r="CF741" s="430"/>
      <c r="CG741" s="430"/>
      <c r="CH741" s="430"/>
      <c r="CI741" s="430"/>
      <c r="CJ741" s="430"/>
      <c r="CK741" s="430"/>
      <c r="CL741" s="430"/>
    </row>
    <row r="742" spans="63:90" ht="14.25" customHeight="1">
      <c r="BK742" s="430"/>
      <c r="BL742" s="430"/>
      <c r="BM742" s="430"/>
      <c r="BN742" s="430"/>
      <c r="BO742" s="430"/>
      <c r="BP742" s="430"/>
      <c r="BQ742" s="430"/>
      <c r="BR742" s="430"/>
      <c r="BS742" s="430"/>
      <c r="BT742" s="430"/>
      <c r="BU742" s="430"/>
      <c r="BV742" s="430"/>
      <c r="BW742" s="430"/>
      <c r="BX742" s="430"/>
      <c r="BY742" s="430"/>
      <c r="BZ742" s="430"/>
      <c r="CA742" s="430"/>
      <c r="CB742" s="430"/>
      <c r="CC742" s="430"/>
      <c r="CD742" s="430"/>
      <c r="CE742" s="430"/>
      <c r="CF742" s="430"/>
      <c r="CG742" s="430"/>
      <c r="CH742" s="430"/>
      <c r="CI742" s="430"/>
      <c r="CJ742" s="430"/>
      <c r="CK742" s="430"/>
      <c r="CL742" s="430"/>
    </row>
    <row r="743" spans="63:90" ht="14.25" customHeight="1">
      <c r="BK743" s="430"/>
      <c r="BL743" s="430"/>
      <c r="BM743" s="430"/>
      <c r="BN743" s="430"/>
      <c r="BO743" s="430"/>
      <c r="BP743" s="430"/>
      <c r="BQ743" s="430"/>
      <c r="BR743" s="430"/>
      <c r="BS743" s="430"/>
      <c r="BT743" s="430"/>
      <c r="BU743" s="430"/>
      <c r="BV743" s="430"/>
      <c r="BW743" s="430"/>
      <c r="BX743" s="430"/>
      <c r="BY743" s="430"/>
      <c r="BZ743" s="430"/>
      <c r="CA743" s="430"/>
      <c r="CB743" s="430"/>
      <c r="CC743" s="430"/>
      <c r="CD743" s="430"/>
      <c r="CE743" s="430"/>
      <c r="CF743" s="430"/>
      <c r="CG743" s="430"/>
      <c r="CH743" s="430"/>
      <c r="CI743" s="430"/>
      <c r="CJ743" s="430"/>
      <c r="CK743" s="430"/>
      <c r="CL743" s="430"/>
    </row>
    <row r="744" spans="63:90" ht="14.25" customHeight="1">
      <c r="BK744" s="430"/>
      <c r="BL744" s="430"/>
      <c r="BM744" s="430"/>
      <c r="BN744" s="430"/>
      <c r="BO744" s="430"/>
      <c r="BP744" s="430"/>
      <c r="BQ744" s="430"/>
      <c r="BR744" s="430"/>
      <c r="BS744" s="430"/>
      <c r="BT744" s="430"/>
      <c r="BU744" s="430"/>
      <c r="BV744" s="430"/>
      <c r="BW744" s="430"/>
      <c r="BX744" s="430"/>
      <c r="BY744" s="430"/>
      <c r="BZ744" s="430"/>
      <c r="CA744" s="430"/>
      <c r="CB744" s="430"/>
      <c r="CC744" s="430"/>
      <c r="CD744" s="430"/>
      <c r="CE744" s="430"/>
      <c r="CF744" s="430"/>
      <c r="CG744" s="430"/>
      <c r="CH744" s="430"/>
      <c r="CI744" s="430"/>
      <c r="CJ744" s="430"/>
      <c r="CK744" s="430"/>
      <c r="CL744" s="430"/>
    </row>
    <row r="745" spans="63:90" ht="14.25" customHeight="1">
      <c r="BK745" s="430"/>
      <c r="BL745" s="430"/>
      <c r="BM745" s="430"/>
      <c r="BN745" s="430"/>
      <c r="BO745" s="430"/>
      <c r="BP745" s="430"/>
      <c r="BQ745" s="430"/>
      <c r="BR745" s="430"/>
      <c r="BS745" s="430"/>
      <c r="BT745" s="430"/>
      <c r="BU745" s="430"/>
      <c r="BV745" s="430"/>
      <c r="BW745" s="430"/>
      <c r="BX745" s="430"/>
      <c r="BY745" s="430"/>
      <c r="BZ745" s="430"/>
      <c r="CA745" s="430"/>
      <c r="CB745" s="430"/>
      <c r="CC745" s="430"/>
      <c r="CD745" s="430"/>
      <c r="CE745" s="430"/>
      <c r="CF745" s="430"/>
      <c r="CG745" s="430"/>
      <c r="CH745" s="430"/>
      <c r="CI745" s="430"/>
      <c r="CJ745" s="430"/>
      <c r="CK745" s="430"/>
      <c r="CL745" s="430"/>
    </row>
    <row r="746" spans="63:90" ht="14.25" customHeight="1">
      <c r="BK746" s="430"/>
      <c r="BL746" s="430"/>
      <c r="BM746" s="430"/>
      <c r="BN746" s="430"/>
      <c r="BO746" s="430"/>
      <c r="BP746" s="430"/>
      <c r="BQ746" s="430"/>
      <c r="BR746" s="430"/>
      <c r="BS746" s="430"/>
      <c r="BT746" s="430"/>
      <c r="BU746" s="430"/>
      <c r="BV746" s="430"/>
      <c r="BW746" s="430"/>
      <c r="BX746" s="430"/>
      <c r="BY746" s="430"/>
      <c r="BZ746" s="430"/>
      <c r="CA746" s="430"/>
      <c r="CB746" s="430"/>
      <c r="CC746" s="430"/>
      <c r="CD746" s="430"/>
      <c r="CE746" s="430"/>
      <c r="CF746" s="430"/>
      <c r="CG746" s="430"/>
      <c r="CH746" s="430"/>
      <c r="CI746" s="430"/>
      <c r="CJ746" s="430"/>
      <c r="CK746" s="430"/>
      <c r="CL746" s="430"/>
    </row>
    <row r="747" spans="63:90" ht="14.25" customHeight="1">
      <c r="BK747" s="430"/>
      <c r="BL747" s="430"/>
      <c r="BM747" s="430"/>
      <c r="BN747" s="430"/>
      <c r="BO747" s="430"/>
      <c r="BP747" s="430"/>
      <c r="BQ747" s="430"/>
      <c r="BR747" s="430"/>
      <c r="BS747" s="430"/>
      <c r="BT747" s="430"/>
      <c r="BU747" s="430"/>
      <c r="BV747" s="430"/>
      <c r="BW747" s="430"/>
      <c r="BX747" s="430"/>
      <c r="BY747" s="430"/>
      <c r="BZ747" s="430"/>
      <c r="CA747" s="430"/>
      <c r="CB747" s="430"/>
      <c r="CC747" s="430"/>
      <c r="CD747" s="430"/>
      <c r="CE747" s="430"/>
      <c r="CF747" s="430"/>
      <c r="CG747" s="430"/>
      <c r="CH747" s="430"/>
      <c r="CI747" s="430"/>
      <c r="CJ747" s="430"/>
      <c r="CK747" s="430"/>
      <c r="CL747" s="430"/>
    </row>
    <row r="748" spans="63:90" ht="14.25" customHeight="1">
      <c r="BK748" s="430"/>
      <c r="BL748" s="430"/>
      <c r="BM748" s="430"/>
      <c r="BN748" s="430"/>
      <c r="BO748" s="430"/>
      <c r="BP748" s="430"/>
      <c r="BQ748" s="430"/>
      <c r="BR748" s="430"/>
      <c r="BS748" s="430"/>
      <c r="BT748" s="430"/>
      <c r="BU748" s="430"/>
      <c r="BV748" s="430"/>
      <c r="BW748" s="430"/>
      <c r="BX748" s="430"/>
      <c r="BY748" s="430"/>
      <c r="BZ748" s="430"/>
      <c r="CA748" s="430"/>
      <c r="CB748" s="430"/>
      <c r="CC748" s="430"/>
      <c r="CD748" s="430"/>
      <c r="CE748" s="430"/>
      <c r="CF748" s="430"/>
      <c r="CG748" s="430"/>
      <c r="CH748" s="430"/>
      <c r="CI748" s="430"/>
      <c r="CJ748" s="430"/>
      <c r="CK748" s="430"/>
      <c r="CL748" s="430"/>
    </row>
    <row r="749" spans="63:90" ht="14.25" customHeight="1">
      <c r="BK749" s="430"/>
      <c r="BL749" s="430"/>
      <c r="BM749" s="430"/>
      <c r="BN749" s="430"/>
      <c r="BO749" s="430"/>
      <c r="BP749" s="430"/>
      <c r="BQ749" s="430"/>
      <c r="BR749" s="430"/>
      <c r="BS749" s="430"/>
      <c r="BT749" s="430"/>
      <c r="BU749" s="430"/>
      <c r="BV749" s="430"/>
      <c r="BW749" s="430"/>
      <c r="BX749" s="430"/>
      <c r="BY749" s="430"/>
      <c r="BZ749" s="430"/>
      <c r="CA749" s="430"/>
      <c r="CB749" s="430"/>
      <c r="CC749" s="430"/>
      <c r="CD749" s="430"/>
      <c r="CE749" s="430"/>
      <c r="CF749" s="430"/>
      <c r="CG749" s="430"/>
      <c r="CH749" s="430"/>
      <c r="CI749" s="430"/>
      <c r="CJ749" s="430"/>
      <c r="CK749" s="430"/>
      <c r="CL749" s="430"/>
    </row>
    <row r="750" spans="63:90" ht="14.25" customHeight="1">
      <c r="BK750" s="430"/>
      <c r="BL750" s="430"/>
      <c r="BM750" s="430"/>
      <c r="BN750" s="430"/>
      <c r="BO750" s="430"/>
      <c r="BP750" s="430"/>
      <c r="BQ750" s="430"/>
      <c r="BR750" s="430"/>
      <c r="BS750" s="430"/>
      <c r="BT750" s="430"/>
      <c r="BU750" s="430"/>
      <c r="BV750" s="430"/>
      <c r="BW750" s="430"/>
      <c r="BX750" s="430"/>
      <c r="BY750" s="430"/>
      <c r="BZ750" s="430"/>
      <c r="CA750" s="430"/>
      <c r="CB750" s="430"/>
      <c r="CC750" s="430"/>
      <c r="CD750" s="430"/>
      <c r="CE750" s="430"/>
      <c r="CF750" s="430"/>
      <c r="CG750" s="430"/>
      <c r="CH750" s="430"/>
      <c r="CI750" s="430"/>
      <c r="CJ750" s="430"/>
      <c r="CK750" s="430"/>
      <c r="CL750" s="430"/>
    </row>
    <row r="751" spans="63:90" ht="14.25" customHeight="1">
      <c r="BK751" s="430"/>
      <c r="BL751" s="430"/>
      <c r="BM751" s="430"/>
      <c r="BN751" s="430"/>
      <c r="BO751" s="430"/>
      <c r="BP751" s="430"/>
      <c r="BQ751" s="430"/>
      <c r="BR751" s="430"/>
      <c r="BS751" s="430"/>
      <c r="BT751" s="430"/>
      <c r="BU751" s="430"/>
      <c r="BV751" s="430"/>
      <c r="BW751" s="430"/>
      <c r="BX751" s="430"/>
      <c r="BY751" s="430"/>
      <c r="BZ751" s="430"/>
      <c r="CA751" s="430"/>
      <c r="CB751" s="430"/>
      <c r="CC751" s="430"/>
      <c r="CD751" s="430"/>
      <c r="CE751" s="430"/>
      <c r="CF751" s="430"/>
      <c r="CG751" s="430"/>
      <c r="CH751" s="430"/>
      <c r="CI751" s="430"/>
      <c r="CJ751" s="430"/>
      <c r="CK751" s="430"/>
      <c r="CL751" s="430"/>
    </row>
    <row r="752" spans="63:90" ht="14.25" customHeight="1">
      <c r="BK752" s="430"/>
      <c r="BL752" s="430"/>
      <c r="BM752" s="430"/>
      <c r="BN752" s="430"/>
      <c r="BO752" s="430"/>
      <c r="BP752" s="430"/>
      <c r="BQ752" s="430"/>
      <c r="BR752" s="430"/>
      <c r="BS752" s="430"/>
      <c r="BT752" s="430"/>
      <c r="BU752" s="430"/>
      <c r="BV752" s="430"/>
      <c r="BW752" s="430"/>
      <c r="BX752" s="430"/>
      <c r="BY752" s="430"/>
      <c r="BZ752" s="430"/>
      <c r="CA752" s="430"/>
      <c r="CB752" s="430"/>
      <c r="CC752" s="430"/>
      <c r="CD752" s="430"/>
      <c r="CE752" s="430"/>
      <c r="CF752" s="430"/>
      <c r="CG752" s="430"/>
      <c r="CH752" s="430"/>
      <c r="CI752" s="430"/>
      <c r="CJ752" s="430"/>
      <c r="CK752" s="430"/>
      <c r="CL752" s="430"/>
    </row>
    <row r="753" spans="63:90" ht="14.25" customHeight="1">
      <c r="BK753" s="430"/>
      <c r="BL753" s="430"/>
      <c r="BM753" s="430"/>
      <c r="BN753" s="430"/>
      <c r="BO753" s="430"/>
      <c r="BP753" s="430"/>
      <c r="BQ753" s="430"/>
      <c r="BR753" s="430"/>
      <c r="BS753" s="430"/>
      <c r="BT753" s="430"/>
      <c r="BU753" s="430"/>
      <c r="BV753" s="430"/>
      <c r="BW753" s="430"/>
      <c r="BX753" s="430"/>
      <c r="BY753" s="430"/>
      <c r="BZ753" s="430"/>
      <c r="CA753" s="430"/>
      <c r="CB753" s="430"/>
      <c r="CC753" s="430"/>
      <c r="CD753" s="430"/>
      <c r="CE753" s="430"/>
      <c r="CF753" s="430"/>
      <c r="CG753" s="430"/>
      <c r="CH753" s="430"/>
      <c r="CI753" s="430"/>
      <c r="CJ753" s="430"/>
      <c r="CK753" s="430"/>
      <c r="CL753" s="430"/>
    </row>
    <row r="754" spans="63:90" ht="14.25" customHeight="1">
      <c r="BK754" s="430"/>
      <c r="BL754" s="430"/>
      <c r="BM754" s="430"/>
      <c r="BN754" s="430"/>
      <c r="BO754" s="430"/>
      <c r="BP754" s="430"/>
      <c r="BQ754" s="430"/>
      <c r="BR754" s="430"/>
      <c r="BS754" s="430"/>
      <c r="BT754" s="430"/>
      <c r="BU754" s="430"/>
      <c r="BV754" s="430"/>
      <c r="BW754" s="430"/>
      <c r="BX754" s="430"/>
      <c r="BY754" s="430"/>
      <c r="BZ754" s="430"/>
      <c r="CA754" s="430"/>
      <c r="CB754" s="430"/>
      <c r="CC754" s="430"/>
      <c r="CD754" s="430"/>
      <c r="CE754" s="430"/>
      <c r="CF754" s="430"/>
      <c r="CG754" s="430"/>
      <c r="CH754" s="430"/>
      <c r="CI754" s="430"/>
      <c r="CJ754" s="430"/>
      <c r="CK754" s="430"/>
      <c r="CL754" s="430"/>
    </row>
    <row r="755" spans="63:90" ht="14.25" customHeight="1">
      <c r="BK755" s="430"/>
      <c r="BL755" s="430"/>
      <c r="BM755" s="430"/>
      <c r="BN755" s="430"/>
      <c r="BO755" s="430"/>
      <c r="BP755" s="430"/>
      <c r="BQ755" s="430"/>
      <c r="BR755" s="430"/>
      <c r="BS755" s="430"/>
      <c r="BT755" s="430"/>
      <c r="BU755" s="430"/>
      <c r="BV755" s="430"/>
      <c r="BW755" s="430"/>
      <c r="BX755" s="430"/>
      <c r="BY755" s="430"/>
      <c r="BZ755" s="430"/>
      <c r="CA755" s="430"/>
      <c r="CB755" s="430"/>
      <c r="CC755" s="430"/>
      <c r="CD755" s="430"/>
      <c r="CE755" s="430"/>
      <c r="CF755" s="430"/>
      <c r="CG755" s="430"/>
      <c r="CH755" s="430"/>
      <c r="CI755" s="430"/>
      <c r="CJ755" s="430"/>
      <c r="CK755" s="430"/>
      <c r="CL755" s="430"/>
    </row>
    <row r="756" spans="63:90" ht="14.25" customHeight="1">
      <c r="BK756" s="430"/>
      <c r="BL756" s="430"/>
      <c r="BM756" s="430"/>
      <c r="BN756" s="430"/>
      <c r="BO756" s="430"/>
      <c r="BP756" s="430"/>
      <c r="BQ756" s="430"/>
      <c r="BR756" s="430"/>
      <c r="BS756" s="430"/>
      <c r="BT756" s="430"/>
      <c r="BU756" s="430"/>
      <c r="BV756" s="430"/>
      <c r="BW756" s="430"/>
      <c r="BX756" s="430"/>
      <c r="BY756" s="430"/>
      <c r="BZ756" s="430"/>
      <c r="CA756" s="430"/>
      <c r="CB756" s="430"/>
      <c r="CC756" s="430"/>
      <c r="CD756" s="430"/>
      <c r="CE756" s="430"/>
      <c r="CF756" s="430"/>
      <c r="CG756" s="430"/>
      <c r="CH756" s="430"/>
      <c r="CI756" s="430"/>
      <c r="CJ756" s="430"/>
      <c r="CK756" s="430"/>
      <c r="CL756" s="430"/>
    </row>
    <row r="757" spans="63:90" ht="14.25" customHeight="1">
      <c r="BK757" s="430"/>
      <c r="BL757" s="430"/>
      <c r="BM757" s="430"/>
      <c r="BN757" s="430"/>
      <c r="BO757" s="430"/>
      <c r="BP757" s="430"/>
      <c r="BQ757" s="430"/>
      <c r="BR757" s="430"/>
      <c r="BS757" s="430"/>
      <c r="BT757" s="430"/>
      <c r="BU757" s="430"/>
      <c r="BV757" s="430"/>
      <c r="BW757" s="430"/>
      <c r="BX757" s="430"/>
      <c r="BY757" s="430"/>
      <c r="BZ757" s="430"/>
      <c r="CA757" s="430"/>
      <c r="CB757" s="430"/>
      <c r="CC757" s="430"/>
      <c r="CD757" s="430"/>
      <c r="CE757" s="430"/>
      <c r="CF757" s="430"/>
      <c r="CG757" s="430"/>
      <c r="CH757" s="430"/>
      <c r="CI757" s="430"/>
      <c r="CJ757" s="430"/>
      <c r="CK757" s="430"/>
      <c r="CL757" s="430"/>
    </row>
    <row r="758" spans="63:90" ht="14.25" customHeight="1">
      <c r="BK758" s="430"/>
      <c r="BL758" s="430"/>
      <c r="BM758" s="430"/>
      <c r="BN758" s="430"/>
      <c r="BO758" s="430"/>
      <c r="BP758" s="430"/>
      <c r="BQ758" s="430"/>
      <c r="BR758" s="430"/>
      <c r="BS758" s="430"/>
      <c r="BT758" s="430"/>
      <c r="BU758" s="430"/>
      <c r="BV758" s="430"/>
      <c r="BW758" s="430"/>
      <c r="BX758" s="430"/>
      <c r="BY758" s="430"/>
      <c r="BZ758" s="430"/>
      <c r="CA758" s="430"/>
      <c r="CB758" s="430"/>
      <c r="CC758" s="430"/>
      <c r="CD758" s="430"/>
      <c r="CE758" s="430"/>
      <c r="CF758" s="430"/>
      <c r="CG758" s="430"/>
      <c r="CH758" s="430"/>
      <c r="CI758" s="430"/>
      <c r="CJ758" s="430"/>
      <c r="CK758" s="430"/>
      <c r="CL758" s="430"/>
    </row>
    <row r="759" spans="63:90" ht="14.25" customHeight="1">
      <c r="BK759" s="430"/>
      <c r="BL759" s="430"/>
      <c r="BM759" s="430"/>
      <c r="BN759" s="430"/>
      <c r="BO759" s="430"/>
      <c r="BP759" s="430"/>
      <c r="BQ759" s="430"/>
      <c r="BR759" s="430"/>
      <c r="BS759" s="430"/>
      <c r="BT759" s="430"/>
      <c r="BU759" s="430"/>
      <c r="BV759" s="430"/>
      <c r="BW759" s="430"/>
      <c r="BX759" s="430"/>
      <c r="BY759" s="430"/>
      <c r="BZ759" s="430"/>
      <c r="CA759" s="430"/>
      <c r="CB759" s="430"/>
      <c r="CC759" s="430"/>
      <c r="CD759" s="430"/>
      <c r="CE759" s="430"/>
      <c r="CF759" s="430"/>
      <c r="CG759" s="430"/>
      <c r="CH759" s="430"/>
      <c r="CI759" s="430"/>
      <c r="CJ759" s="430"/>
      <c r="CK759" s="430"/>
      <c r="CL759" s="430"/>
    </row>
    <row r="760" spans="63:90" ht="14.25" customHeight="1">
      <c r="BK760" s="430"/>
      <c r="BL760" s="430"/>
      <c r="BM760" s="430"/>
      <c r="BN760" s="430"/>
      <c r="BO760" s="430"/>
      <c r="BP760" s="430"/>
      <c r="BQ760" s="430"/>
      <c r="BR760" s="430"/>
      <c r="BS760" s="430"/>
      <c r="BT760" s="430"/>
      <c r="BU760" s="430"/>
      <c r="BV760" s="430"/>
      <c r="BW760" s="430"/>
      <c r="BX760" s="430"/>
      <c r="BY760" s="430"/>
      <c r="BZ760" s="430"/>
      <c r="CA760" s="430"/>
      <c r="CB760" s="430"/>
      <c r="CC760" s="430"/>
      <c r="CD760" s="430"/>
      <c r="CE760" s="430"/>
      <c r="CF760" s="430"/>
      <c r="CG760" s="430"/>
      <c r="CH760" s="430"/>
      <c r="CI760" s="430"/>
      <c r="CJ760" s="430"/>
      <c r="CK760" s="430"/>
      <c r="CL760" s="430"/>
    </row>
    <row r="761" spans="63:90" ht="14.25" customHeight="1">
      <c r="BK761" s="430"/>
      <c r="BL761" s="430"/>
      <c r="BM761" s="430"/>
      <c r="BN761" s="430"/>
      <c r="BO761" s="430"/>
      <c r="BP761" s="430"/>
      <c r="BQ761" s="430"/>
      <c r="BR761" s="430"/>
      <c r="BS761" s="430"/>
      <c r="BT761" s="430"/>
      <c r="BU761" s="430"/>
      <c r="BV761" s="430"/>
      <c r="BW761" s="430"/>
      <c r="BX761" s="430"/>
      <c r="BY761" s="430"/>
      <c r="BZ761" s="430"/>
      <c r="CA761" s="430"/>
      <c r="CB761" s="430"/>
      <c r="CC761" s="430"/>
      <c r="CD761" s="430"/>
      <c r="CE761" s="430"/>
      <c r="CF761" s="430"/>
      <c r="CG761" s="430"/>
      <c r="CH761" s="430"/>
      <c r="CI761" s="430"/>
      <c r="CJ761" s="430"/>
      <c r="CK761" s="430"/>
      <c r="CL761" s="430"/>
    </row>
    <row r="762" spans="63:90" ht="14.25" customHeight="1">
      <c r="BK762" s="430"/>
      <c r="BL762" s="430"/>
      <c r="BM762" s="430"/>
      <c r="BN762" s="430"/>
      <c r="BO762" s="430"/>
      <c r="BP762" s="430"/>
      <c r="BQ762" s="430"/>
      <c r="BR762" s="430"/>
      <c r="BS762" s="430"/>
      <c r="BT762" s="430"/>
      <c r="BU762" s="430"/>
      <c r="BV762" s="430"/>
      <c r="BW762" s="430"/>
      <c r="BX762" s="430"/>
      <c r="BY762" s="430"/>
      <c r="BZ762" s="430"/>
      <c r="CA762" s="430"/>
      <c r="CB762" s="430"/>
      <c r="CC762" s="430"/>
      <c r="CD762" s="430"/>
      <c r="CE762" s="430"/>
      <c r="CF762" s="430"/>
      <c r="CG762" s="430"/>
      <c r="CH762" s="430"/>
      <c r="CI762" s="430"/>
      <c r="CJ762" s="430"/>
      <c r="CK762" s="430"/>
      <c r="CL762" s="430"/>
    </row>
    <row r="763" spans="63:90" ht="14.25" customHeight="1">
      <c r="BK763" s="430"/>
      <c r="BL763" s="430"/>
      <c r="BM763" s="430"/>
      <c r="BN763" s="430"/>
      <c r="BO763" s="430"/>
      <c r="BP763" s="430"/>
      <c r="BQ763" s="430"/>
      <c r="BR763" s="430"/>
      <c r="BS763" s="430"/>
      <c r="BT763" s="430"/>
      <c r="BU763" s="430"/>
      <c r="BV763" s="430"/>
      <c r="BW763" s="430"/>
      <c r="BX763" s="430"/>
      <c r="BY763" s="430"/>
      <c r="BZ763" s="430"/>
      <c r="CA763" s="430"/>
      <c r="CB763" s="430"/>
      <c r="CC763" s="430"/>
      <c r="CD763" s="430"/>
      <c r="CE763" s="430"/>
      <c r="CF763" s="430"/>
      <c r="CG763" s="430"/>
      <c r="CH763" s="430"/>
      <c r="CI763" s="430"/>
      <c r="CJ763" s="430"/>
      <c r="CK763" s="430"/>
      <c r="CL763" s="430"/>
    </row>
    <row r="764" spans="63:90" ht="14.25" customHeight="1">
      <c r="BK764" s="430"/>
      <c r="BL764" s="430"/>
      <c r="BM764" s="430"/>
      <c r="BN764" s="430"/>
      <c r="BO764" s="430"/>
      <c r="BP764" s="430"/>
      <c r="BQ764" s="430"/>
      <c r="BR764" s="430"/>
      <c r="BS764" s="430"/>
      <c r="BT764" s="430"/>
      <c r="BU764" s="430"/>
      <c r="BV764" s="430"/>
      <c r="BW764" s="430"/>
      <c r="BX764" s="430"/>
      <c r="BY764" s="430"/>
      <c r="BZ764" s="430"/>
      <c r="CA764" s="430"/>
      <c r="CB764" s="430"/>
      <c r="CC764" s="430"/>
      <c r="CD764" s="430"/>
      <c r="CE764" s="430"/>
      <c r="CF764" s="430"/>
      <c r="CG764" s="430"/>
      <c r="CH764" s="430"/>
      <c r="CI764" s="430"/>
      <c r="CJ764" s="430"/>
      <c r="CK764" s="430"/>
      <c r="CL764" s="430"/>
    </row>
    <row r="765" spans="63:90" ht="14.25" customHeight="1">
      <c r="BK765" s="430"/>
      <c r="BL765" s="430"/>
      <c r="BM765" s="430"/>
      <c r="BN765" s="430"/>
      <c r="BO765" s="430"/>
      <c r="BP765" s="430"/>
      <c r="BQ765" s="430"/>
      <c r="BR765" s="430"/>
      <c r="BS765" s="430"/>
      <c r="BT765" s="430"/>
      <c r="BU765" s="430"/>
      <c r="BV765" s="430"/>
      <c r="BW765" s="430"/>
      <c r="BX765" s="430"/>
      <c r="BY765" s="430"/>
      <c r="BZ765" s="430"/>
      <c r="CA765" s="430"/>
      <c r="CB765" s="430"/>
      <c r="CC765" s="430"/>
      <c r="CD765" s="430"/>
      <c r="CE765" s="430"/>
      <c r="CF765" s="430"/>
      <c r="CG765" s="430"/>
      <c r="CH765" s="430"/>
      <c r="CI765" s="430"/>
      <c r="CJ765" s="430"/>
      <c r="CK765" s="430"/>
      <c r="CL765" s="430"/>
    </row>
    <row r="766" spans="63:90" ht="14.25" customHeight="1">
      <c r="BK766" s="430"/>
      <c r="BL766" s="430"/>
      <c r="BM766" s="430"/>
      <c r="BN766" s="430"/>
      <c r="BO766" s="430"/>
      <c r="BP766" s="430"/>
      <c r="BQ766" s="430"/>
      <c r="BR766" s="430"/>
      <c r="BS766" s="430"/>
      <c r="BT766" s="430"/>
      <c r="BU766" s="430"/>
      <c r="BV766" s="430"/>
      <c r="BW766" s="430"/>
      <c r="BX766" s="430"/>
      <c r="BY766" s="430"/>
      <c r="BZ766" s="430"/>
      <c r="CA766" s="430"/>
      <c r="CB766" s="430"/>
      <c r="CC766" s="430"/>
      <c r="CD766" s="430"/>
      <c r="CE766" s="430"/>
      <c r="CF766" s="430"/>
      <c r="CG766" s="430"/>
      <c r="CH766" s="430"/>
      <c r="CI766" s="430"/>
      <c r="CJ766" s="430"/>
      <c r="CK766" s="430"/>
      <c r="CL766" s="430"/>
    </row>
    <row r="767" spans="63:90" ht="14.25" customHeight="1">
      <c r="BK767" s="430"/>
      <c r="BL767" s="430"/>
      <c r="BM767" s="430"/>
      <c r="BN767" s="430"/>
      <c r="BO767" s="430"/>
      <c r="BP767" s="430"/>
      <c r="BQ767" s="430"/>
      <c r="BR767" s="430"/>
      <c r="BS767" s="430"/>
      <c r="BT767" s="430"/>
      <c r="BU767" s="430"/>
      <c r="BV767" s="430"/>
      <c r="BW767" s="430"/>
      <c r="BX767" s="430"/>
      <c r="BY767" s="430"/>
      <c r="BZ767" s="430"/>
      <c r="CA767" s="430"/>
      <c r="CB767" s="430"/>
      <c r="CC767" s="430"/>
      <c r="CD767" s="430"/>
      <c r="CE767" s="430"/>
      <c r="CF767" s="430"/>
      <c r="CG767" s="430"/>
      <c r="CH767" s="430"/>
      <c r="CI767" s="430"/>
      <c r="CJ767" s="430"/>
      <c r="CK767" s="430"/>
      <c r="CL767" s="430"/>
    </row>
    <row r="768" spans="63:90" ht="14.25" customHeight="1">
      <c r="BK768" s="430"/>
      <c r="BL768" s="430"/>
      <c r="BM768" s="430"/>
      <c r="BN768" s="430"/>
      <c r="BO768" s="430"/>
      <c r="BP768" s="430"/>
      <c r="BQ768" s="430"/>
      <c r="BR768" s="430"/>
      <c r="BS768" s="430"/>
      <c r="BT768" s="430"/>
      <c r="BU768" s="430"/>
      <c r="BV768" s="430"/>
      <c r="BW768" s="430"/>
      <c r="BX768" s="430"/>
      <c r="BY768" s="430"/>
      <c r="BZ768" s="430"/>
      <c r="CA768" s="430"/>
      <c r="CB768" s="430"/>
      <c r="CC768" s="430"/>
      <c r="CD768" s="430"/>
      <c r="CE768" s="430"/>
      <c r="CF768" s="430"/>
      <c r="CG768" s="430"/>
      <c r="CH768" s="430"/>
      <c r="CI768" s="430"/>
      <c r="CJ768" s="430"/>
      <c r="CK768" s="430"/>
      <c r="CL768" s="430"/>
    </row>
    <row r="769" spans="63:90" ht="14.25" customHeight="1">
      <c r="BK769" s="430"/>
      <c r="BL769" s="430"/>
      <c r="BM769" s="430"/>
      <c r="BN769" s="430"/>
      <c r="BO769" s="430"/>
      <c r="BP769" s="430"/>
      <c r="BQ769" s="430"/>
      <c r="BR769" s="430"/>
      <c r="BS769" s="430"/>
      <c r="BT769" s="430"/>
      <c r="BU769" s="430"/>
      <c r="BV769" s="430"/>
      <c r="BW769" s="430"/>
      <c r="BX769" s="430"/>
      <c r="BY769" s="430"/>
      <c r="BZ769" s="430"/>
      <c r="CA769" s="430"/>
      <c r="CB769" s="430"/>
      <c r="CC769" s="430"/>
      <c r="CD769" s="430"/>
      <c r="CE769" s="430"/>
      <c r="CF769" s="430"/>
      <c r="CG769" s="430"/>
      <c r="CH769" s="430"/>
      <c r="CI769" s="430"/>
      <c r="CJ769" s="430"/>
      <c r="CK769" s="430"/>
      <c r="CL769" s="430"/>
    </row>
    <row r="770" spans="63:90" ht="14.25" customHeight="1">
      <c r="BK770" s="430"/>
      <c r="BL770" s="430"/>
      <c r="BM770" s="430"/>
      <c r="BN770" s="430"/>
      <c r="BO770" s="430"/>
      <c r="BP770" s="430"/>
      <c r="BQ770" s="430"/>
      <c r="BR770" s="430"/>
      <c r="BS770" s="430"/>
      <c r="BT770" s="430"/>
      <c r="BU770" s="430"/>
      <c r="BV770" s="430"/>
      <c r="BW770" s="430"/>
      <c r="BX770" s="430"/>
      <c r="BY770" s="430"/>
      <c r="BZ770" s="430"/>
      <c r="CA770" s="430"/>
      <c r="CB770" s="430"/>
      <c r="CC770" s="430"/>
      <c r="CD770" s="430"/>
      <c r="CE770" s="430"/>
      <c r="CF770" s="430"/>
      <c r="CG770" s="430"/>
      <c r="CH770" s="430"/>
      <c r="CI770" s="430"/>
      <c r="CJ770" s="430"/>
      <c r="CK770" s="430"/>
      <c r="CL770" s="430"/>
    </row>
    <row r="771" spans="63:90" ht="14.25" customHeight="1">
      <c r="BK771" s="430"/>
      <c r="BL771" s="430"/>
      <c r="BM771" s="430"/>
      <c r="BN771" s="430"/>
      <c r="BO771" s="430"/>
      <c r="BP771" s="430"/>
      <c r="BQ771" s="430"/>
      <c r="BR771" s="430"/>
      <c r="BS771" s="430"/>
      <c r="BT771" s="430"/>
      <c r="BU771" s="430"/>
      <c r="BV771" s="430"/>
      <c r="BW771" s="430"/>
      <c r="BX771" s="430"/>
      <c r="BY771" s="430"/>
      <c r="BZ771" s="430"/>
      <c r="CA771" s="430"/>
      <c r="CB771" s="430"/>
      <c r="CC771" s="430"/>
      <c r="CD771" s="430"/>
      <c r="CE771" s="430"/>
      <c r="CF771" s="430"/>
      <c r="CG771" s="430"/>
      <c r="CH771" s="430"/>
      <c r="CI771" s="430"/>
      <c r="CJ771" s="430"/>
      <c r="CK771" s="430"/>
      <c r="CL771" s="430"/>
    </row>
    <row r="772" spans="63:90" ht="14.25" customHeight="1">
      <c r="BK772" s="430"/>
      <c r="BL772" s="430"/>
      <c r="BM772" s="430"/>
      <c r="BN772" s="430"/>
      <c r="BO772" s="430"/>
      <c r="BP772" s="430"/>
      <c r="BQ772" s="430"/>
      <c r="BR772" s="430"/>
      <c r="BS772" s="430"/>
      <c r="BT772" s="430"/>
      <c r="BU772" s="430"/>
      <c r="BV772" s="430"/>
      <c r="BW772" s="430"/>
      <c r="BX772" s="430"/>
      <c r="BY772" s="430"/>
      <c r="BZ772" s="430"/>
      <c r="CA772" s="430"/>
      <c r="CB772" s="430"/>
      <c r="CC772" s="430"/>
      <c r="CD772" s="430"/>
      <c r="CE772" s="430"/>
      <c r="CF772" s="430"/>
      <c r="CG772" s="430"/>
      <c r="CH772" s="430"/>
      <c r="CI772" s="430"/>
      <c r="CJ772" s="430"/>
      <c r="CK772" s="430"/>
      <c r="CL772" s="430"/>
    </row>
    <row r="773" spans="63:90" ht="14.25" customHeight="1">
      <c r="BK773" s="430"/>
      <c r="BL773" s="430"/>
      <c r="BM773" s="430"/>
      <c r="BN773" s="430"/>
      <c r="BO773" s="430"/>
      <c r="BP773" s="430"/>
      <c r="BQ773" s="430"/>
      <c r="BR773" s="430"/>
      <c r="BS773" s="430"/>
      <c r="BT773" s="430"/>
      <c r="BU773" s="430"/>
      <c r="BV773" s="430"/>
      <c r="BW773" s="430"/>
      <c r="BX773" s="430"/>
      <c r="BY773" s="430"/>
      <c r="BZ773" s="430"/>
      <c r="CA773" s="430"/>
      <c r="CB773" s="430"/>
      <c r="CC773" s="430"/>
      <c r="CD773" s="430"/>
      <c r="CE773" s="430"/>
      <c r="CF773" s="430"/>
      <c r="CG773" s="430"/>
      <c r="CH773" s="430"/>
      <c r="CI773" s="430"/>
      <c r="CJ773" s="430"/>
      <c r="CK773" s="430"/>
      <c r="CL773" s="430"/>
    </row>
    <row r="774" spans="63:90" ht="14.25" customHeight="1">
      <c r="BK774" s="430"/>
      <c r="BL774" s="430"/>
      <c r="BM774" s="430"/>
      <c r="BN774" s="430"/>
      <c r="BO774" s="430"/>
      <c r="BP774" s="430"/>
      <c r="BQ774" s="430"/>
      <c r="BR774" s="430"/>
      <c r="BS774" s="430"/>
      <c r="BT774" s="430"/>
      <c r="BU774" s="430"/>
      <c r="BV774" s="430"/>
      <c r="BW774" s="430"/>
      <c r="BX774" s="430"/>
      <c r="BY774" s="430"/>
      <c r="BZ774" s="430"/>
      <c r="CA774" s="430"/>
      <c r="CB774" s="430"/>
      <c r="CC774" s="430"/>
      <c r="CD774" s="430"/>
      <c r="CE774" s="430"/>
      <c r="CF774" s="430"/>
      <c r="CG774" s="430"/>
      <c r="CH774" s="430"/>
      <c r="CI774" s="430"/>
      <c r="CJ774" s="430"/>
      <c r="CK774" s="430"/>
      <c r="CL774" s="430"/>
    </row>
    <row r="775" spans="63:90" ht="14.25" customHeight="1">
      <c r="BK775" s="430"/>
      <c r="BL775" s="430"/>
      <c r="BM775" s="430"/>
      <c r="BN775" s="430"/>
      <c r="BO775" s="430"/>
      <c r="BP775" s="430"/>
      <c r="BQ775" s="430"/>
      <c r="BR775" s="430"/>
      <c r="BS775" s="430"/>
      <c r="BT775" s="430"/>
      <c r="BU775" s="430"/>
      <c r="BV775" s="430"/>
      <c r="BW775" s="430"/>
      <c r="BX775" s="430"/>
      <c r="BY775" s="430"/>
      <c r="BZ775" s="430"/>
      <c r="CA775" s="430"/>
      <c r="CB775" s="430"/>
      <c r="CC775" s="430"/>
      <c r="CD775" s="430"/>
      <c r="CE775" s="430"/>
      <c r="CF775" s="430"/>
      <c r="CG775" s="430"/>
      <c r="CH775" s="430"/>
      <c r="CI775" s="430"/>
      <c r="CJ775" s="430"/>
      <c r="CK775" s="430"/>
      <c r="CL775" s="430"/>
    </row>
    <row r="776" spans="63:90" ht="14.25" customHeight="1">
      <c r="BK776" s="430"/>
      <c r="BL776" s="430"/>
      <c r="BM776" s="430"/>
      <c r="BN776" s="430"/>
      <c r="BO776" s="430"/>
      <c r="BP776" s="430"/>
      <c r="BQ776" s="430"/>
      <c r="BR776" s="430"/>
      <c r="BS776" s="430"/>
      <c r="BT776" s="430"/>
      <c r="BU776" s="430"/>
      <c r="BV776" s="430"/>
      <c r="BW776" s="430"/>
      <c r="BX776" s="430"/>
      <c r="BY776" s="430"/>
      <c r="BZ776" s="430"/>
      <c r="CA776" s="430"/>
      <c r="CB776" s="430"/>
      <c r="CC776" s="430"/>
      <c r="CD776" s="430"/>
      <c r="CE776" s="430"/>
      <c r="CF776" s="430"/>
      <c r="CG776" s="430"/>
      <c r="CH776" s="430"/>
      <c r="CI776" s="430"/>
      <c r="CJ776" s="430"/>
      <c r="CK776" s="430"/>
      <c r="CL776" s="430"/>
    </row>
    <row r="777" spans="63:90" ht="14.25" customHeight="1">
      <c r="BK777" s="430"/>
      <c r="BL777" s="430"/>
      <c r="BM777" s="430"/>
      <c r="BN777" s="430"/>
      <c r="BO777" s="430"/>
      <c r="BP777" s="430"/>
      <c r="BQ777" s="430"/>
      <c r="BR777" s="430"/>
      <c r="BS777" s="430"/>
      <c r="BT777" s="430"/>
      <c r="BU777" s="430"/>
      <c r="BV777" s="430"/>
      <c r="BW777" s="430"/>
      <c r="BX777" s="430"/>
      <c r="BY777" s="430"/>
      <c r="BZ777" s="430"/>
      <c r="CA777" s="430"/>
      <c r="CB777" s="430"/>
      <c r="CC777" s="430"/>
      <c r="CD777" s="430"/>
      <c r="CE777" s="430"/>
      <c r="CF777" s="430"/>
      <c r="CG777" s="430"/>
      <c r="CH777" s="430"/>
      <c r="CI777" s="430"/>
      <c r="CJ777" s="430"/>
      <c r="CK777" s="430"/>
      <c r="CL777" s="430"/>
    </row>
    <row r="778" spans="63:90" ht="14.25" customHeight="1">
      <c r="BK778" s="430"/>
      <c r="BL778" s="430"/>
      <c r="BM778" s="430"/>
      <c r="BN778" s="430"/>
      <c r="BO778" s="430"/>
      <c r="BP778" s="430"/>
      <c r="BQ778" s="430"/>
      <c r="BR778" s="430"/>
      <c r="BS778" s="430"/>
      <c r="BT778" s="430"/>
      <c r="BU778" s="430"/>
      <c r="BV778" s="430"/>
      <c r="BW778" s="430"/>
      <c r="BX778" s="430"/>
      <c r="BY778" s="430"/>
      <c r="BZ778" s="430"/>
      <c r="CA778" s="430"/>
      <c r="CB778" s="430"/>
      <c r="CC778" s="430"/>
      <c r="CD778" s="430"/>
      <c r="CE778" s="430"/>
      <c r="CF778" s="430"/>
      <c r="CG778" s="430"/>
      <c r="CH778" s="430"/>
      <c r="CI778" s="430"/>
      <c r="CJ778" s="430"/>
      <c r="CK778" s="430"/>
      <c r="CL778" s="430"/>
    </row>
    <row r="779" spans="63:90" ht="14.25" customHeight="1">
      <c r="BK779" s="430"/>
      <c r="BL779" s="430"/>
      <c r="BM779" s="430"/>
      <c r="BN779" s="430"/>
      <c r="BO779" s="430"/>
      <c r="BP779" s="430"/>
      <c r="BQ779" s="430"/>
      <c r="BR779" s="430"/>
      <c r="BS779" s="430"/>
      <c r="BT779" s="430"/>
      <c r="BU779" s="430"/>
      <c r="BV779" s="430"/>
      <c r="BW779" s="430"/>
      <c r="BX779" s="430"/>
      <c r="BY779" s="430"/>
      <c r="BZ779" s="430"/>
      <c r="CA779" s="430"/>
      <c r="CB779" s="430"/>
      <c r="CC779" s="430"/>
      <c r="CD779" s="430"/>
      <c r="CE779" s="430"/>
      <c r="CF779" s="430"/>
      <c r="CG779" s="430"/>
      <c r="CH779" s="430"/>
      <c r="CI779" s="430"/>
      <c r="CJ779" s="430"/>
      <c r="CK779" s="430"/>
      <c r="CL779" s="430"/>
    </row>
    <row r="780" spans="63:90" ht="14.25" customHeight="1">
      <c r="BK780" s="430"/>
      <c r="BL780" s="430"/>
      <c r="BM780" s="430"/>
      <c r="BN780" s="430"/>
      <c r="BO780" s="430"/>
      <c r="BP780" s="430"/>
      <c r="BQ780" s="430"/>
      <c r="BR780" s="430"/>
      <c r="BS780" s="430"/>
      <c r="BT780" s="430"/>
      <c r="BU780" s="430"/>
      <c r="BV780" s="430"/>
      <c r="BW780" s="430"/>
      <c r="BX780" s="430"/>
      <c r="BY780" s="430"/>
      <c r="BZ780" s="430"/>
      <c r="CA780" s="430"/>
      <c r="CB780" s="430"/>
      <c r="CC780" s="430"/>
      <c r="CD780" s="430"/>
      <c r="CE780" s="430"/>
      <c r="CF780" s="430"/>
      <c r="CG780" s="430"/>
      <c r="CH780" s="430"/>
      <c r="CI780" s="430"/>
      <c r="CJ780" s="430"/>
      <c r="CK780" s="430"/>
      <c r="CL780" s="430"/>
    </row>
    <row r="781" spans="63:90" ht="14.25" customHeight="1">
      <c r="BK781" s="430"/>
      <c r="BL781" s="430"/>
      <c r="BM781" s="430"/>
      <c r="BN781" s="430"/>
      <c r="BO781" s="430"/>
      <c r="BP781" s="430"/>
      <c r="BQ781" s="430"/>
      <c r="BR781" s="430"/>
      <c r="BS781" s="430"/>
      <c r="BT781" s="430"/>
      <c r="BU781" s="430"/>
      <c r="BV781" s="430"/>
      <c r="BW781" s="430"/>
      <c r="BX781" s="430"/>
      <c r="BY781" s="430"/>
      <c r="BZ781" s="430"/>
      <c r="CA781" s="430"/>
      <c r="CB781" s="430"/>
      <c r="CC781" s="430"/>
      <c r="CD781" s="430"/>
      <c r="CE781" s="430"/>
      <c r="CF781" s="430"/>
      <c r="CG781" s="430"/>
      <c r="CH781" s="430"/>
      <c r="CI781" s="430"/>
      <c r="CJ781" s="430"/>
      <c r="CK781" s="430"/>
      <c r="CL781" s="430"/>
    </row>
    <row r="782" spans="63:90" ht="14.25" customHeight="1">
      <c r="BK782" s="430"/>
      <c r="BL782" s="430"/>
      <c r="BM782" s="430"/>
      <c r="BN782" s="430"/>
      <c r="BO782" s="430"/>
      <c r="BP782" s="430"/>
      <c r="BQ782" s="430"/>
      <c r="BR782" s="430"/>
      <c r="BS782" s="430"/>
      <c r="BT782" s="430"/>
      <c r="BU782" s="430"/>
      <c r="BV782" s="430"/>
      <c r="BW782" s="430"/>
      <c r="BX782" s="430"/>
      <c r="BY782" s="430"/>
      <c r="BZ782" s="430"/>
      <c r="CA782" s="430"/>
      <c r="CB782" s="430"/>
      <c r="CC782" s="430"/>
      <c r="CD782" s="430"/>
      <c r="CE782" s="430"/>
      <c r="CF782" s="430"/>
      <c r="CG782" s="430"/>
      <c r="CH782" s="430"/>
      <c r="CI782" s="430"/>
      <c r="CJ782" s="430"/>
      <c r="CK782" s="430"/>
      <c r="CL782" s="430"/>
    </row>
    <row r="783" spans="63:90" ht="14.25" customHeight="1">
      <c r="BK783" s="430"/>
      <c r="BL783" s="430"/>
      <c r="BM783" s="430"/>
      <c r="BN783" s="430"/>
      <c r="BO783" s="430"/>
      <c r="BP783" s="430"/>
      <c r="BQ783" s="430"/>
      <c r="BR783" s="430"/>
      <c r="BS783" s="430"/>
      <c r="BT783" s="430"/>
      <c r="BU783" s="430"/>
      <c r="BV783" s="430"/>
      <c r="BW783" s="430"/>
      <c r="BX783" s="430"/>
      <c r="BY783" s="430"/>
      <c r="BZ783" s="430"/>
      <c r="CA783" s="430"/>
      <c r="CB783" s="430"/>
      <c r="CC783" s="430"/>
      <c r="CD783" s="430"/>
      <c r="CE783" s="430"/>
      <c r="CF783" s="430"/>
      <c r="CG783" s="430"/>
      <c r="CH783" s="430"/>
      <c r="CI783" s="430"/>
      <c r="CJ783" s="430"/>
      <c r="CK783" s="430"/>
      <c r="CL783" s="430"/>
    </row>
    <row r="784" spans="63:90" ht="14.25" customHeight="1">
      <c r="BK784" s="430"/>
      <c r="BL784" s="430"/>
      <c r="BM784" s="430"/>
      <c r="BN784" s="430"/>
      <c r="BO784" s="430"/>
      <c r="BP784" s="430"/>
      <c r="BQ784" s="430"/>
      <c r="BR784" s="430"/>
      <c r="BS784" s="430"/>
      <c r="BT784" s="430"/>
      <c r="BU784" s="430"/>
      <c r="BV784" s="430"/>
      <c r="BW784" s="430"/>
      <c r="BX784" s="430"/>
      <c r="BY784" s="430"/>
      <c r="BZ784" s="430"/>
      <c r="CA784" s="430"/>
      <c r="CB784" s="430"/>
      <c r="CC784" s="430"/>
      <c r="CD784" s="430"/>
      <c r="CE784" s="430"/>
      <c r="CF784" s="430"/>
      <c r="CG784" s="430"/>
      <c r="CH784" s="430"/>
      <c r="CI784" s="430"/>
      <c r="CJ784" s="430"/>
      <c r="CK784" s="430"/>
      <c r="CL784" s="430"/>
    </row>
    <row r="785" spans="63:90" ht="14.25" customHeight="1">
      <c r="BK785" s="430"/>
      <c r="BL785" s="430"/>
      <c r="BM785" s="430"/>
      <c r="BN785" s="430"/>
      <c r="BO785" s="430"/>
      <c r="BP785" s="430"/>
      <c r="BQ785" s="430"/>
      <c r="BR785" s="430"/>
      <c r="BS785" s="430"/>
      <c r="BT785" s="430"/>
      <c r="BU785" s="430"/>
      <c r="BV785" s="430"/>
      <c r="BW785" s="430"/>
      <c r="BX785" s="430"/>
      <c r="BY785" s="430"/>
      <c r="BZ785" s="430"/>
      <c r="CA785" s="430"/>
      <c r="CB785" s="430"/>
      <c r="CC785" s="430"/>
      <c r="CD785" s="430"/>
      <c r="CE785" s="430"/>
      <c r="CF785" s="430"/>
      <c r="CG785" s="430"/>
      <c r="CH785" s="430"/>
      <c r="CI785" s="430"/>
      <c r="CJ785" s="430"/>
      <c r="CK785" s="430"/>
      <c r="CL785" s="430"/>
    </row>
    <row r="786" spans="63:90" ht="14.25" customHeight="1">
      <c r="BK786" s="430"/>
      <c r="BL786" s="430"/>
      <c r="BM786" s="430"/>
      <c r="BN786" s="430"/>
      <c r="BO786" s="430"/>
      <c r="BP786" s="430"/>
      <c r="BQ786" s="430"/>
      <c r="BR786" s="430"/>
      <c r="BS786" s="430"/>
      <c r="BT786" s="430"/>
      <c r="BU786" s="430"/>
      <c r="BV786" s="430"/>
      <c r="BW786" s="430"/>
      <c r="BX786" s="430"/>
      <c r="BY786" s="430"/>
      <c r="BZ786" s="430"/>
      <c r="CA786" s="430"/>
      <c r="CB786" s="430"/>
      <c r="CC786" s="430"/>
      <c r="CD786" s="430"/>
      <c r="CE786" s="430"/>
      <c r="CF786" s="430"/>
      <c r="CG786" s="430"/>
      <c r="CH786" s="430"/>
      <c r="CI786" s="430"/>
      <c r="CJ786" s="430"/>
      <c r="CK786" s="430"/>
      <c r="CL786" s="430"/>
    </row>
    <row r="787" spans="63:90" ht="14.25" customHeight="1">
      <c r="BK787" s="430"/>
      <c r="BL787" s="430"/>
      <c r="BM787" s="430"/>
      <c r="BN787" s="430"/>
      <c r="BO787" s="430"/>
      <c r="BP787" s="430"/>
      <c r="BQ787" s="430"/>
      <c r="BR787" s="430"/>
      <c r="BS787" s="430"/>
      <c r="BT787" s="430"/>
      <c r="BU787" s="430"/>
      <c r="BV787" s="430"/>
      <c r="BW787" s="430"/>
      <c r="BX787" s="430"/>
      <c r="BY787" s="430"/>
      <c r="BZ787" s="430"/>
      <c r="CA787" s="430"/>
      <c r="CB787" s="430"/>
      <c r="CC787" s="430"/>
      <c r="CD787" s="430"/>
      <c r="CE787" s="430"/>
      <c r="CF787" s="430"/>
      <c r="CG787" s="430"/>
      <c r="CH787" s="430"/>
      <c r="CI787" s="430"/>
      <c r="CJ787" s="430"/>
      <c r="CK787" s="430"/>
      <c r="CL787" s="430"/>
    </row>
    <row r="788" spans="63:90" ht="14.25" customHeight="1">
      <c r="BK788" s="430"/>
      <c r="BL788" s="430"/>
      <c r="BM788" s="430"/>
      <c r="BN788" s="430"/>
      <c r="BO788" s="430"/>
      <c r="BP788" s="430"/>
      <c r="BQ788" s="430"/>
      <c r="BR788" s="430"/>
      <c r="BS788" s="430"/>
      <c r="BT788" s="430"/>
      <c r="BU788" s="430"/>
      <c r="BV788" s="430"/>
      <c r="BW788" s="430"/>
      <c r="BX788" s="430"/>
      <c r="BY788" s="430"/>
      <c r="BZ788" s="430"/>
      <c r="CA788" s="430"/>
      <c r="CB788" s="430"/>
      <c r="CC788" s="430"/>
      <c r="CD788" s="430"/>
      <c r="CE788" s="430"/>
      <c r="CF788" s="430"/>
      <c r="CG788" s="430"/>
      <c r="CH788" s="430"/>
      <c r="CI788" s="430"/>
      <c r="CJ788" s="430"/>
      <c r="CK788" s="430"/>
      <c r="CL788" s="430"/>
    </row>
    <row r="789" spans="63:90" ht="14.25" customHeight="1">
      <c r="BK789" s="430"/>
      <c r="BL789" s="430"/>
      <c r="BM789" s="430"/>
      <c r="BN789" s="430"/>
      <c r="BO789" s="430"/>
      <c r="BP789" s="430"/>
      <c r="BQ789" s="430"/>
      <c r="BR789" s="430"/>
      <c r="BS789" s="430"/>
      <c r="BT789" s="430"/>
      <c r="BU789" s="430"/>
      <c r="BV789" s="430"/>
      <c r="BW789" s="430"/>
      <c r="BX789" s="430"/>
      <c r="BY789" s="430"/>
      <c r="BZ789" s="430"/>
      <c r="CA789" s="430"/>
      <c r="CB789" s="430"/>
      <c r="CC789" s="430"/>
      <c r="CD789" s="430"/>
      <c r="CE789" s="430"/>
      <c r="CF789" s="430"/>
      <c r="CG789" s="430"/>
      <c r="CH789" s="430"/>
      <c r="CI789" s="430"/>
      <c r="CJ789" s="430"/>
      <c r="CK789" s="430"/>
      <c r="CL789" s="430"/>
    </row>
    <row r="790" spans="63:90" ht="14.25" customHeight="1">
      <c r="BK790" s="430"/>
      <c r="BL790" s="430"/>
      <c r="BM790" s="430"/>
      <c r="BN790" s="430"/>
      <c r="BO790" s="430"/>
      <c r="BP790" s="430"/>
      <c r="BQ790" s="430"/>
      <c r="BR790" s="430"/>
      <c r="BS790" s="430"/>
      <c r="BT790" s="430"/>
      <c r="BU790" s="430"/>
      <c r="BV790" s="430"/>
      <c r="BW790" s="430"/>
      <c r="BX790" s="430"/>
      <c r="BY790" s="430"/>
      <c r="BZ790" s="430"/>
      <c r="CA790" s="430"/>
      <c r="CB790" s="430"/>
      <c r="CC790" s="430"/>
      <c r="CD790" s="430"/>
      <c r="CE790" s="430"/>
      <c r="CF790" s="430"/>
      <c r="CG790" s="430"/>
      <c r="CH790" s="430"/>
      <c r="CI790" s="430"/>
      <c r="CJ790" s="430"/>
      <c r="CK790" s="430"/>
      <c r="CL790" s="430"/>
    </row>
    <row r="791" spans="63:90" ht="14.25" customHeight="1">
      <c r="BK791" s="430"/>
      <c r="BL791" s="430"/>
      <c r="BM791" s="430"/>
      <c r="BN791" s="430"/>
      <c r="BO791" s="430"/>
      <c r="BP791" s="430"/>
      <c r="BQ791" s="430"/>
      <c r="BR791" s="430"/>
      <c r="BS791" s="430"/>
      <c r="BT791" s="430"/>
      <c r="BU791" s="430"/>
      <c r="BV791" s="430"/>
      <c r="BW791" s="430"/>
      <c r="BX791" s="430"/>
      <c r="BY791" s="430"/>
      <c r="BZ791" s="430"/>
      <c r="CA791" s="430"/>
      <c r="CB791" s="430"/>
      <c r="CC791" s="430"/>
      <c r="CD791" s="430"/>
      <c r="CE791" s="430"/>
      <c r="CF791" s="430"/>
      <c r="CG791" s="430"/>
      <c r="CH791" s="430"/>
      <c r="CI791" s="430"/>
      <c r="CJ791" s="430"/>
      <c r="CK791" s="430"/>
      <c r="CL791" s="430"/>
    </row>
    <row r="792" spans="63:90" ht="14.25" customHeight="1">
      <c r="BK792" s="430"/>
      <c r="BL792" s="430"/>
      <c r="BM792" s="430"/>
      <c r="BN792" s="430"/>
      <c r="BO792" s="430"/>
      <c r="BP792" s="430"/>
      <c r="BQ792" s="430"/>
      <c r="BR792" s="430"/>
      <c r="BS792" s="430"/>
      <c r="BT792" s="430"/>
      <c r="BU792" s="430"/>
      <c r="BV792" s="430"/>
      <c r="BW792" s="430"/>
      <c r="BX792" s="430"/>
      <c r="BY792" s="430"/>
      <c r="BZ792" s="430"/>
      <c r="CA792" s="430"/>
      <c r="CB792" s="430"/>
      <c r="CC792" s="430"/>
      <c r="CD792" s="430"/>
      <c r="CE792" s="430"/>
      <c r="CF792" s="430"/>
      <c r="CG792" s="430"/>
      <c r="CH792" s="430"/>
      <c r="CI792" s="430"/>
      <c r="CJ792" s="430"/>
      <c r="CK792" s="430"/>
      <c r="CL792" s="430"/>
    </row>
    <row r="793" spans="63:90" ht="14.25" customHeight="1">
      <c r="BK793" s="430"/>
      <c r="BL793" s="430"/>
      <c r="BM793" s="430"/>
      <c r="BN793" s="430"/>
      <c r="BO793" s="430"/>
      <c r="BP793" s="430"/>
      <c r="BQ793" s="430"/>
      <c r="BR793" s="430"/>
      <c r="BS793" s="430"/>
      <c r="BT793" s="430"/>
      <c r="BU793" s="430"/>
      <c r="BV793" s="430"/>
      <c r="BW793" s="430"/>
      <c r="BX793" s="430"/>
      <c r="BY793" s="430"/>
      <c r="BZ793" s="430"/>
      <c r="CA793" s="430"/>
      <c r="CB793" s="430"/>
      <c r="CC793" s="430"/>
      <c r="CD793" s="430"/>
      <c r="CE793" s="430"/>
      <c r="CF793" s="430"/>
      <c r="CG793" s="430"/>
      <c r="CH793" s="430"/>
      <c r="CI793" s="430"/>
      <c r="CJ793" s="430"/>
      <c r="CK793" s="430"/>
      <c r="CL793" s="430"/>
    </row>
    <row r="794" spans="63:90" ht="14.25" customHeight="1">
      <c r="BK794" s="430"/>
      <c r="BL794" s="430"/>
      <c r="BM794" s="430"/>
      <c r="BN794" s="430"/>
      <c r="BO794" s="430"/>
      <c r="BP794" s="430"/>
      <c r="BQ794" s="430"/>
      <c r="BR794" s="430"/>
      <c r="BS794" s="430"/>
      <c r="BT794" s="430"/>
      <c r="BU794" s="430"/>
      <c r="BV794" s="430"/>
      <c r="BW794" s="430"/>
      <c r="BX794" s="430"/>
      <c r="BY794" s="430"/>
      <c r="BZ794" s="430"/>
      <c r="CA794" s="430"/>
      <c r="CB794" s="430"/>
      <c r="CC794" s="430"/>
      <c r="CD794" s="430"/>
      <c r="CE794" s="430"/>
      <c r="CF794" s="430"/>
      <c r="CG794" s="430"/>
      <c r="CH794" s="430"/>
      <c r="CI794" s="430"/>
      <c r="CJ794" s="430"/>
      <c r="CK794" s="430"/>
      <c r="CL794" s="430"/>
    </row>
    <row r="795" spans="63:90" ht="14.25" customHeight="1">
      <c r="BK795" s="430"/>
      <c r="BL795" s="430"/>
      <c r="BM795" s="430"/>
      <c r="BN795" s="430"/>
      <c r="BO795" s="430"/>
      <c r="BP795" s="430"/>
      <c r="BQ795" s="430"/>
      <c r="BR795" s="430"/>
      <c r="BS795" s="430"/>
      <c r="BT795" s="430"/>
      <c r="BU795" s="430"/>
      <c r="BV795" s="430"/>
      <c r="BW795" s="430"/>
      <c r="BX795" s="430"/>
      <c r="BY795" s="430"/>
      <c r="BZ795" s="430"/>
      <c r="CA795" s="430"/>
      <c r="CB795" s="430"/>
      <c r="CC795" s="430"/>
      <c r="CD795" s="430"/>
      <c r="CE795" s="430"/>
      <c r="CF795" s="430"/>
      <c r="CG795" s="430"/>
      <c r="CH795" s="430"/>
      <c r="CI795" s="430"/>
      <c r="CJ795" s="430"/>
      <c r="CK795" s="430"/>
      <c r="CL795" s="430"/>
    </row>
    <row r="796" spans="63:90" ht="14.25" customHeight="1">
      <c r="BK796" s="430"/>
      <c r="BL796" s="430"/>
      <c r="BM796" s="430"/>
      <c r="BN796" s="430"/>
      <c r="BO796" s="430"/>
      <c r="BP796" s="430"/>
      <c r="BQ796" s="430"/>
      <c r="BR796" s="430"/>
      <c r="BS796" s="430"/>
      <c r="BT796" s="430"/>
      <c r="BU796" s="430"/>
      <c r="BV796" s="430"/>
      <c r="BW796" s="430"/>
      <c r="BX796" s="430"/>
      <c r="BY796" s="430"/>
      <c r="BZ796" s="430"/>
      <c r="CA796" s="430"/>
      <c r="CB796" s="430"/>
      <c r="CC796" s="430"/>
      <c r="CD796" s="430"/>
      <c r="CE796" s="430"/>
      <c r="CF796" s="430"/>
      <c r="CG796" s="430"/>
      <c r="CH796" s="430"/>
      <c r="CI796" s="430"/>
      <c r="CJ796" s="430"/>
      <c r="CK796" s="430"/>
      <c r="CL796" s="430"/>
    </row>
    <row r="797" spans="63:90" ht="14.25" customHeight="1">
      <c r="BK797" s="430"/>
      <c r="BL797" s="430"/>
      <c r="BM797" s="430"/>
      <c r="BN797" s="430"/>
      <c r="BO797" s="430"/>
      <c r="BP797" s="430"/>
      <c r="BQ797" s="430"/>
      <c r="BR797" s="430"/>
      <c r="BS797" s="430"/>
      <c r="BT797" s="430"/>
      <c r="BU797" s="430"/>
      <c r="BV797" s="430"/>
      <c r="BW797" s="430"/>
      <c r="BX797" s="430"/>
      <c r="BY797" s="430"/>
      <c r="BZ797" s="430"/>
      <c r="CA797" s="430"/>
      <c r="CB797" s="430"/>
      <c r="CC797" s="430"/>
      <c r="CD797" s="430"/>
      <c r="CE797" s="430"/>
      <c r="CF797" s="430"/>
      <c r="CG797" s="430"/>
      <c r="CH797" s="430"/>
      <c r="CI797" s="430"/>
      <c r="CJ797" s="430"/>
      <c r="CK797" s="430"/>
      <c r="CL797" s="430"/>
    </row>
    <row r="798" spans="63:90" ht="14.25" customHeight="1">
      <c r="BK798" s="430"/>
      <c r="BL798" s="430"/>
      <c r="BM798" s="430"/>
      <c r="BN798" s="430"/>
      <c r="BO798" s="430"/>
      <c r="BP798" s="430"/>
      <c r="BQ798" s="430"/>
      <c r="BR798" s="430"/>
      <c r="BS798" s="430"/>
      <c r="BT798" s="430"/>
      <c r="BU798" s="430"/>
      <c r="BV798" s="430"/>
      <c r="BW798" s="430"/>
      <c r="BX798" s="430"/>
      <c r="BY798" s="430"/>
      <c r="BZ798" s="430"/>
      <c r="CA798" s="430"/>
      <c r="CB798" s="430"/>
      <c r="CC798" s="430"/>
      <c r="CD798" s="430"/>
      <c r="CE798" s="430"/>
      <c r="CF798" s="430"/>
      <c r="CG798" s="430"/>
      <c r="CH798" s="430"/>
      <c r="CI798" s="430"/>
      <c r="CJ798" s="430"/>
      <c r="CK798" s="430"/>
      <c r="CL798" s="430"/>
    </row>
    <row r="799" spans="63:90" ht="14.25" customHeight="1">
      <c r="BK799" s="430"/>
      <c r="BL799" s="430"/>
      <c r="BM799" s="430"/>
      <c r="BN799" s="430"/>
      <c r="BO799" s="430"/>
      <c r="BP799" s="430"/>
      <c r="BQ799" s="430"/>
      <c r="BR799" s="430"/>
      <c r="BS799" s="430"/>
      <c r="BT799" s="430"/>
      <c r="BU799" s="430"/>
      <c r="BV799" s="430"/>
      <c r="BW799" s="430"/>
      <c r="BX799" s="430"/>
      <c r="BY799" s="430"/>
      <c r="BZ799" s="430"/>
      <c r="CA799" s="430"/>
      <c r="CB799" s="430"/>
      <c r="CC799" s="430"/>
      <c r="CD799" s="430"/>
      <c r="CE799" s="430"/>
      <c r="CF799" s="430"/>
      <c r="CG799" s="430"/>
      <c r="CH799" s="430"/>
      <c r="CI799" s="430"/>
      <c r="CJ799" s="430"/>
      <c r="CK799" s="430"/>
      <c r="CL799" s="430"/>
    </row>
    <row r="800" spans="63:90" ht="14.25" customHeight="1">
      <c r="BK800" s="430"/>
      <c r="BL800" s="430"/>
      <c r="BM800" s="430"/>
      <c r="BN800" s="430"/>
      <c r="BO800" s="430"/>
      <c r="BP800" s="430"/>
      <c r="BQ800" s="430"/>
      <c r="BR800" s="430"/>
      <c r="BS800" s="430"/>
      <c r="BT800" s="430"/>
      <c r="BU800" s="430"/>
      <c r="BV800" s="430"/>
      <c r="BW800" s="430"/>
      <c r="BX800" s="430"/>
      <c r="BY800" s="430"/>
      <c r="BZ800" s="430"/>
      <c r="CA800" s="430"/>
      <c r="CB800" s="430"/>
      <c r="CC800" s="430"/>
      <c r="CD800" s="430"/>
      <c r="CE800" s="430"/>
      <c r="CF800" s="430"/>
      <c r="CG800" s="430"/>
      <c r="CH800" s="430"/>
      <c r="CI800" s="430"/>
      <c r="CJ800" s="430"/>
      <c r="CK800" s="430"/>
      <c r="CL800" s="430"/>
    </row>
    <row r="801" spans="63:90" ht="14.25" customHeight="1">
      <c r="BK801" s="430"/>
      <c r="BL801" s="430"/>
      <c r="BM801" s="430"/>
      <c r="BN801" s="430"/>
      <c r="BO801" s="430"/>
      <c r="BP801" s="430"/>
      <c r="BQ801" s="430"/>
      <c r="BR801" s="430"/>
      <c r="BS801" s="430"/>
      <c r="BT801" s="430"/>
      <c r="BU801" s="430"/>
      <c r="BV801" s="430"/>
      <c r="BW801" s="430"/>
      <c r="BX801" s="430"/>
      <c r="BY801" s="430"/>
      <c r="BZ801" s="430"/>
      <c r="CA801" s="430"/>
      <c r="CB801" s="430"/>
      <c r="CC801" s="430"/>
      <c r="CD801" s="430"/>
      <c r="CE801" s="430"/>
      <c r="CF801" s="430"/>
      <c r="CG801" s="430"/>
      <c r="CH801" s="430"/>
      <c r="CI801" s="430"/>
      <c r="CJ801" s="430"/>
      <c r="CK801" s="430"/>
      <c r="CL801" s="430"/>
    </row>
    <row r="802" spans="63:90" ht="14.25" customHeight="1">
      <c r="BK802" s="430"/>
      <c r="BL802" s="430"/>
      <c r="BM802" s="430"/>
      <c r="BN802" s="430"/>
      <c r="BO802" s="430"/>
      <c r="BP802" s="430"/>
      <c r="BQ802" s="430"/>
      <c r="BR802" s="430"/>
      <c r="BS802" s="430"/>
      <c r="BT802" s="430"/>
      <c r="BU802" s="430"/>
      <c r="BV802" s="430"/>
      <c r="BW802" s="430"/>
      <c r="BX802" s="430"/>
      <c r="BY802" s="430"/>
      <c r="BZ802" s="430"/>
      <c r="CA802" s="430"/>
      <c r="CB802" s="430"/>
      <c r="CC802" s="430"/>
      <c r="CD802" s="430"/>
      <c r="CE802" s="430"/>
      <c r="CF802" s="430"/>
      <c r="CG802" s="430"/>
      <c r="CH802" s="430"/>
      <c r="CI802" s="430"/>
      <c r="CJ802" s="430"/>
      <c r="CK802" s="430"/>
      <c r="CL802" s="430"/>
    </row>
    <row r="803" spans="63:90" ht="14.25" customHeight="1">
      <c r="BK803" s="430"/>
      <c r="BL803" s="430"/>
      <c r="BM803" s="430"/>
      <c r="BN803" s="430"/>
      <c r="BO803" s="430"/>
      <c r="BP803" s="430"/>
      <c r="BQ803" s="430"/>
      <c r="BR803" s="430"/>
      <c r="BS803" s="430"/>
      <c r="BT803" s="430"/>
      <c r="BU803" s="430"/>
      <c r="BV803" s="430"/>
      <c r="BW803" s="430"/>
      <c r="BX803" s="430"/>
      <c r="BY803" s="430"/>
      <c r="BZ803" s="430"/>
      <c r="CA803" s="430"/>
      <c r="CB803" s="430"/>
      <c r="CC803" s="430"/>
      <c r="CD803" s="430"/>
      <c r="CE803" s="430"/>
      <c r="CF803" s="430"/>
      <c r="CG803" s="430"/>
      <c r="CH803" s="430"/>
      <c r="CI803" s="430"/>
      <c r="CJ803" s="430"/>
      <c r="CK803" s="430"/>
      <c r="CL803" s="430"/>
    </row>
    <row r="804" spans="63:90" ht="14.25" customHeight="1">
      <c r="BK804" s="430"/>
      <c r="BL804" s="430"/>
      <c r="BM804" s="430"/>
      <c r="BN804" s="430"/>
      <c r="BO804" s="430"/>
      <c r="BP804" s="430"/>
      <c r="BQ804" s="430"/>
      <c r="BR804" s="430"/>
      <c r="BS804" s="430"/>
      <c r="BT804" s="430"/>
      <c r="BU804" s="430"/>
      <c r="BV804" s="430"/>
      <c r="BW804" s="430"/>
      <c r="BX804" s="430"/>
      <c r="BY804" s="430"/>
      <c r="BZ804" s="430"/>
      <c r="CA804" s="430"/>
      <c r="CB804" s="430"/>
      <c r="CC804" s="430"/>
      <c r="CD804" s="430"/>
      <c r="CE804" s="430"/>
      <c r="CF804" s="430"/>
      <c r="CG804" s="430"/>
      <c r="CH804" s="430"/>
      <c r="CI804" s="430"/>
      <c r="CJ804" s="430"/>
      <c r="CK804" s="430"/>
      <c r="CL804" s="430"/>
    </row>
    <row r="805" spans="63:90" ht="14.25" customHeight="1">
      <c r="BK805" s="430"/>
      <c r="BL805" s="430"/>
      <c r="BM805" s="430"/>
      <c r="BN805" s="430"/>
      <c r="BO805" s="430"/>
      <c r="BP805" s="430"/>
      <c r="BQ805" s="430"/>
      <c r="BR805" s="430"/>
      <c r="BS805" s="430"/>
      <c r="BT805" s="430"/>
      <c r="BU805" s="430"/>
      <c r="BV805" s="430"/>
      <c r="BW805" s="430"/>
      <c r="BX805" s="430"/>
      <c r="BY805" s="430"/>
      <c r="BZ805" s="430"/>
      <c r="CA805" s="430"/>
      <c r="CB805" s="430"/>
      <c r="CC805" s="430"/>
      <c r="CD805" s="430"/>
      <c r="CE805" s="430"/>
      <c r="CF805" s="430"/>
      <c r="CG805" s="430"/>
      <c r="CH805" s="430"/>
      <c r="CI805" s="430"/>
      <c r="CJ805" s="430"/>
      <c r="CK805" s="430"/>
      <c r="CL805" s="430"/>
    </row>
    <row r="806" spans="63:90" ht="14.25" customHeight="1">
      <c r="BK806" s="430"/>
      <c r="BL806" s="430"/>
      <c r="BM806" s="430"/>
      <c r="BN806" s="430"/>
      <c r="BO806" s="430"/>
      <c r="BP806" s="430"/>
      <c r="BQ806" s="430"/>
      <c r="BR806" s="430"/>
      <c r="BS806" s="430"/>
      <c r="BT806" s="430"/>
      <c r="BU806" s="430"/>
      <c r="BV806" s="430"/>
      <c r="BW806" s="430"/>
      <c r="BX806" s="430"/>
      <c r="BY806" s="430"/>
      <c r="BZ806" s="430"/>
      <c r="CA806" s="430"/>
      <c r="CB806" s="430"/>
      <c r="CC806" s="430"/>
      <c r="CD806" s="430"/>
      <c r="CE806" s="430"/>
      <c r="CF806" s="430"/>
      <c r="CG806" s="430"/>
      <c r="CH806" s="430"/>
      <c r="CI806" s="430"/>
      <c r="CJ806" s="430"/>
      <c r="CK806" s="430"/>
      <c r="CL806" s="430"/>
    </row>
    <row r="807" spans="63:90" ht="14.25" customHeight="1">
      <c r="BK807" s="430"/>
      <c r="BL807" s="430"/>
      <c r="BM807" s="430"/>
      <c r="BN807" s="430"/>
      <c r="BO807" s="430"/>
      <c r="BP807" s="430"/>
      <c r="BQ807" s="430"/>
      <c r="BR807" s="430"/>
      <c r="BS807" s="430"/>
      <c r="BT807" s="430"/>
      <c r="BU807" s="430"/>
      <c r="BV807" s="430"/>
      <c r="BW807" s="430"/>
      <c r="BX807" s="430"/>
      <c r="BY807" s="430"/>
      <c r="BZ807" s="430"/>
      <c r="CA807" s="430"/>
      <c r="CB807" s="430"/>
      <c r="CC807" s="430"/>
      <c r="CD807" s="430"/>
      <c r="CE807" s="430"/>
      <c r="CF807" s="430"/>
      <c r="CG807" s="430"/>
      <c r="CH807" s="430"/>
      <c r="CI807" s="430"/>
      <c r="CJ807" s="430"/>
      <c r="CK807" s="430"/>
      <c r="CL807" s="430"/>
    </row>
    <row r="808" spans="63:90" ht="14.25" customHeight="1">
      <c r="BK808" s="430"/>
      <c r="BL808" s="430"/>
      <c r="BM808" s="430"/>
      <c r="BN808" s="430"/>
      <c r="BO808" s="430"/>
      <c r="BP808" s="430"/>
      <c r="BQ808" s="430"/>
      <c r="BR808" s="430"/>
      <c r="BS808" s="430"/>
      <c r="BT808" s="430"/>
      <c r="BU808" s="430"/>
      <c r="BV808" s="430"/>
      <c r="BW808" s="430"/>
      <c r="BX808" s="430"/>
      <c r="BY808" s="430"/>
      <c r="BZ808" s="430"/>
      <c r="CA808" s="430"/>
      <c r="CB808" s="430"/>
      <c r="CC808" s="430"/>
      <c r="CD808" s="430"/>
      <c r="CE808" s="430"/>
      <c r="CF808" s="430"/>
      <c r="CG808" s="430"/>
      <c r="CH808" s="430"/>
      <c r="CI808" s="430"/>
      <c r="CJ808" s="430"/>
      <c r="CK808" s="430"/>
      <c r="CL808" s="430"/>
    </row>
    <row r="809" spans="63:90" ht="14.25" customHeight="1">
      <c r="BK809" s="430"/>
      <c r="BL809" s="430"/>
      <c r="BM809" s="430"/>
      <c r="BN809" s="430"/>
      <c r="BO809" s="430"/>
      <c r="BP809" s="430"/>
      <c r="BQ809" s="430"/>
      <c r="BR809" s="430"/>
      <c r="BS809" s="430"/>
      <c r="BT809" s="430"/>
      <c r="BU809" s="430"/>
      <c r="BV809" s="430"/>
      <c r="BW809" s="430"/>
      <c r="BX809" s="430"/>
      <c r="BY809" s="430"/>
      <c r="BZ809" s="430"/>
      <c r="CA809" s="430"/>
      <c r="CB809" s="430"/>
      <c r="CC809" s="430"/>
      <c r="CD809" s="430"/>
      <c r="CE809" s="430"/>
      <c r="CF809" s="430"/>
      <c r="CG809" s="430"/>
      <c r="CH809" s="430"/>
      <c r="CI809" s="430"/>
      <c r="CJ809" s="430"/>
      <c r="CK809" s="430"/>
      <c r="CL809" s="430"/>
    </row>
    <row r="810" spans="63:90" ht="14.25" customHeight="1">
      <c r="BK810" s="430"/>
      <c r="BL810" s="430"/>
      <c r="BM810" s="430"/>
      <c r="BN810" s="430"/>
      <c r="BO810" s="430"/>
      <c r="BP810" s="430"/>
      <c r="BQ810" s="430"/>
      <c r="BR810" s="430"/>
      <c r="BS810" s="430"/>
      <c r="BT810" s="430"/>
      <c r="BU810" s="430"/>
      <c r="BV810" s="430"/>
      <c r="BW810" s="430"/>
      <c r="BX810" s="430"/>
      <c r="BY810" s="430"/>
      <c r="BZ810" s="430"/>
      <c r="CA810" s="430"/>
      <c r="CB810" s="430"/>
      <c r="CC810" s="430"/>
      <c r="CD810" s="430"/>
      <c r="CE810" s="430"/>
      <c r="CF810" s="430"/>
      <c r="CG810" s="430"/>
      <c r="CH810" s="430"/>
      <c r="CI810" s="430"/>
      <c r="CJ810" s="430"/>
      <c r="CK810" s="430"/>
      <c r="CL810" s="430"/>
    </row>
    <row r="811" spans="63:90" ht="14.25" customHeight="1">
      <c r="BK811" s="430"/>
      <c r="BL811" s="430"/>
      <c r="BM811" s="430"/>
      <c r="BN811" s="430"/>
      <c r="BO811" s="430"/>
      <c r="BP811" s="430"/>
      <c r="BQ811" s="430"/>
      <c r="BR811" s="430"/>
      <c r="BS811" s="430"/>
      <c r="BT811" s="430"/>
      <c r="BU811" s="430"/>
      <c r="BV811" s="430"/>
      <c r="BW811" s="430"/>
      <c r="BX811" s="430"/>
      <c r="BY811" s="430"/>
      <c r="BZ811" s="430"/>
      <c r="CA811" s="430"/>
      <c r="CB811" s="430"/>
      <c r="CC811" s="430"/>
      <c r="CD811" s="430"/>
      <c r="CE811" s="430"/>
      <c r="CF811" s="430"/>
      <c r="CG811" s="430"/>
      <c r="CH811" s="430"/>
      <c r="CI811" s="430"/>
      <c r="CJ811" s="430"/>
      <c r="CK811" s="430"/>
      <c r="CL811" s="430"/>
    </row>
    <row r="812" spans="63:90" ht="14.25" customHeight="1">
      <c r="BK812" s="430"/>
      <c r="BL812" s="430"/>
      <c r="BM812" s="430"/>
      <c r="BN812" s="430"/>
      <c r="BO812" s="430"/>
      <c r="BP812" s="430"/>
      <c r="BQ812" s="430"/>
      <c r="BR812" s="430"/>
      <c r="BS812" s="430"/>
      <c r="BT812" s="430"/>
      <c r="BU812" s="430"/>
      <c r="BV812" s="430"/>
      <c r="BW812" s="430"/>
      <c r="BX812" s="430"/>
      <c r="BY812" s="430"/>
      <c r="BZ812" s="430"/>
      <c r="CA812" s="430"/>
      <c r="CB812" s="430"/>
      <c r="CC812" s="430"/>
      <c r="CD812" s="430"/>
      <c r="CE812" s="430"/>
      <c r="CF812" s="430"/>
      <c r="CG812" s="430"/>
      <c r="CH812" s="430"/>
      <c r="CI812" s="430"/>
      <c r="CJ812" s="430"/>
      <c r="CK812" s="430"/>
      <c r="CL812" s="430"/>
    </row>
    <row r="813" spans="63:90" ht="14.25" customHeight="1">
      <c r="BK813" s="430"/>
      <c r="BL813" s="430"/>
      <c r="BM813" s="430"/>
      <c r="BN813" s="430"/>
      <c r="BO813" s="430"/>
      <c r="BP813" s="430"/>
      <c r="BQ813" s="430"/>
      <c r="BR813" s="430"/>
      <c r="BS813" s="430"/>
      <c r="BT813" s="430"/>
      <c r="BU813" s="430"/>
      <c r="BV813" s="430"/>
      <c r="BW813" s="430"/>
      <c r="BX813" s="430"/>
      <c r="BY813" s="430"/>
      <c r="BZ813" s="430"/>
      <c r="CA813" s="430"/>
      <c r="CB813" s="430"/>
      <c r="CC813" s="430"/>
      <c r="CD813" s="430"/>
      <c r="CE813" s="430"/>
      <c r="CF813" s="430"/>
      <c r="CG813" s="430"/>
      <c r="CH813" s="430"/>
      <c r="CI813" s="430"/>
      <c r="CJ813" s="430"/>
      <c r="CK813" s="430"/>
      <c r="CL813" s="430"/>
    </row>
    <row r="814" spans="63:90" ht="14.25" customHeight="1">
      <c r="BK814" s="430"/>
      <c r="BL814" s="430"/>
      <c r="BM814" s="430"/>
      <c r="BN814" s="430"/>
      <c r="BO814" s="430"/>
      <c r="BP814" s="430"/>
      <c r="BQ814" s="430"/>
      <c r="BR814" s="430"/>
      <c r="BS814" s="430"/>
      <c r="BT814" s="430"/>
      <c r="BU814" s="430"/>
      <c r="BV814" s="430"/>
      <c r="BW814" s="430"/>
      <c r="BX814" s="430"/>
      <c r="BY814" s="430"/>
      <c r="BZ814" s="430"/>
      <c r="CA814" s="430"/>
      <c r="CB814" s="430"/>
      <c r="CC814" s="430"/>
      <c r="CD814" s="430"/>
      <c r="CE814" s="430"/>
      <c r="CF814" s="430"/>
      <c r="CG814" s="430"/>
      <c r="CH814" s="430"/>
      <c r="CI814" s="430"/>
      <c r="CJ814" s="430"/>
      <c r="CK814" s="430"/>
      <c r="CL814" s="430"/>
    </row>
    <row r="815" spans="63:90" ht="14.25" customHeight="1">
      <c r="BK815" s="430"/>
      <c r="BL815" s="430"/>
      <c r="BM815" s="430"/>
      <c r="BN815" s="430"/>
      <c r="BO815" s="430"/>
      <c r="BP815" s="430"/>
      <c r="BQ815" s="430"/>
      <c r="BR815" s="430"/>
      <c r="BS815" s="430"/>
      <c r="BT815" s="430"/>
      <c r="BU815" s="430"/>
      <c r="BV815" s="430"/>
      <c r="BW815" s="430"/>
      <c r="BX815" s="430"/>
      <c r="BY815" s="430"/>
      <c r="BZ815" s="430"/>
      <c r="CA815" s="430"/>
      <c r="CB815" s="430"/>
      <c r="CC815" s="430"/>
      <c r="CD815" s="430"/>
      <c r="CE815" s="430"/>
      <c r="CF815" s="430"/>
      <c r="CG815" s="430"/>
      <c r="CH815" s="430"/>
      <c r="CI815" s="430"/>
      <c r="CJ815" s="430"/>
      <c r="CK815" s="430"/>
      <c r="CL815" s="430"/>
    </row>
    <row r="816" spans="63:90" ht="14.25" customHeight="1">
      <c r="BK816" s="430"/>
      <c r="BL816" s="430"/>
      <c r="BM816" s="430"/>
      <c r="BN816" s="430"/>
      <c r="BO816" s="430"/>
      <c r="BP816" s="430"/>
      <c r="BQ816" s="430"/>
      <c r="BR816" s="430"/>
      <c r="BS816" s="430"/>
      <c r="BT816" s="430"/>
      <c r="BU816" s="430"/>
      <c r="BV816" s="430"/>
      <c r="BW816" s="430"/>
      <c r="BX816" s="430"/>
      <c r="BY816" s="430"/>
      <c r="BZ816" s="430"/>
      <c r="CA816" s="430"/>
      <c r="CB816" s="430"/>
      <c r="CC816" s="430"/>
      <c r="CD816" s="430"/>
      <c r="CE816" s="430"/>
      <c r="CF816" s="430"/>
      <c r="CG816" s="430"/>
      <c r="CH816" s="430"/>
      <c r="CI816" s="430"/>
      <c r="CJ816" s="430"/>
      <c r="CK816" s="430"/>
      <c r="CL816" s="430"/>
    </row>
    <row r="817" spans="63:90" ht="14.25" customHeight="1">
      <c r="BK817" s="430"/>
      <c r="BL817" s="430"/>
      <c r="BM817" s="430"/>
      <c r="BN817" s="430"/>
      <c r="BO817" s="430"/>
      <c r="BP817" s="430"/>
      <c r="BQ817" s="430"/>
      <c r="BR817" s="430"/>
      <c r="BS817" s="430"/>
      <c r="BT817" s="430"/>
      <c r="BU817" s="430"/>
      <c r="BV817" s="430"/>
      <c r="BW817" s="430"/>
      <c r="BX817" s="430"/>
      <c r="BY817" s="430"/>
      <c r="BZ817" s="430"/>
      <c r="CA817" s="430"/>
      <c r="CB817" s="430"/>
      <c r="CC817" s="430"/>
      <c r="CD817" s="430"/>
      <c r="CE817" s="430"/>
      <c r="CF817" s="430"/>
      <c r="CG817" s="430"/>
      <c r="CH817" s="430"/>
      <c r="CI817" s="430"/>
      <c r="CJ817" s="430"/>
      <c r="CK817" s="430"/>
      <c r="CL817" s="430"/>
    </row>
    <row r="818" spans="63:90" ht="14.25" customHeight="1">
      <c r="BK818" s="430"/>
      <c r="BL818" s="430"/>
      <c r="BM818" s="430"/>
      <c r="BN818" s="430"/>
      <c r="BO818" s="430"/>
      <c r="BP818" s="430"/>
      <c r="BQ818" s="430"/>
      <c r="BR818" s="430"/>
      <c r="BS818" s="430"/>
      <c r="BT818" s="430"/>
      <c r="BU818" s="430"/>
      <c r="BV818" s="430"/>
      <c r="BW818" s="430"/>
      <c r="BX818" s="430"/>
      <c r="BY818" s="430"/>
      <c r="BZ818" s="430"/>
      <c r="CA818" s="430"/>
      <c r="CB818" s="430"/>
      <c r="CC818" s="430"/>
      <c r="CD818" s="430"/>
      <c r="CE818" s="430"/>
      <c r="CF818" s="430"/>
      <c r="CG818" s="430"/>
      <c r="CH818" s="430"/>
      <c r="CI818" s="430"/>
      <c r="CJ818" s="430"/>
      <c r="CK818" s="430"/>
      <c r="CL818" s="430"/>
    </row>
    <row r="819" spans="63:90" ht="14.25" customHeight="1">
      <c r="BK819" s="430"/>
      <c r="BL819" s="430"/>
      <c r="BM819" s="430"/>
      <c r="BN819" s="430"/>
      <c r="BO819" s="430"/>
      <c r="BP819" s="430"/>
      <c r="BQ819" s="430"/>
      <c r="BR819" s="430"/>
      <c r="BS819" s="430"/>
      <c r="BT819" s="430"/>
      <c r="BU819" s="430"/>
      <c r="BV819" s="430"/>
      <c r="BW819" s="430"/>
      <c r="BX819" s="430"/>
      <c r="BY819" s="430"/>
      <c r="BZ819" s="430"/>
      <c r="CA819" s="430"/>
      <c r="CB819" s="430"/>
      <c r="CC819" s="430"/>
      <c r="CD819" s="430"/>
      <c r="CE819" s="430"/>
      <c r="CF819" s="430"/>
      <c r="CG819" s="430"/>
      <c r="CH819" s="430"/>
      <c r="CI819" s="430"/>
      <c r="CJ819" s="430"/>
      <c r="CK819" s="430"/>
      <c r="CL819" s="430"/>
    </row>
    <row r="820" spans="63:90" ht="14.25" customHeight="1">
      <c r="BK820" s="430"/>
      <c r="BL820" s="430"/>
      <c r="BM820" s="430"/>
      <c r="BN820" s="430"/>
      <c r="BO820" s="430"/>
      <c r="BP820" s="430"/>
      <c r="BQ820" s="430"/>
      <c r="BR820" s="430"/>
      <c r="BS820" s="430"/>
      <c r="BT820" s="430"/>
      <c r="BU820" s="430"/>
      <c r="BV820" s="430"/>
      <c r="BW820" s="430"/>
      <c r="BX820" s="430"/>
      <c r="BY820" s="430"/>
      <c r="BZ820" s="430"/>
      <c r="CA820" s="430"/>
      <c r="CB820" s="430"/>
      <c r="CC820" s="430"/>
      <c r="CD820" s="430"/>
      <c r="CE820" s="430"/>
      <c r="CF820" s="430"/>
      <c r="CG820" s="430"/>
      <c r="CH820" s="430"/>
      <c r="CI820" s="430"/>
      <c r="CJ820" s="430"/>
      <c r="CK820" s="430"/>
      <c r="CL820" s="430"/>
    </row>
    <row r="821" spans="63:90" ht="14.25" customHeight="1">
      <c r="BK821" s="430"/>
      <c r="BL821" s="430"/>
      <c r="BM821" s="430"/>
      <c r="BN821" s="430"/>
      <c r="BO821" s="430"/>
      <c r="BP821" s="430"/>
      <c r="BQ821" s="430"/>
      <c r="BR821" s="430"/>
      <c r="BS821" s="430"/>
      <c r="BT821" s="430"/>
      <c r="BU821" s="430"/>
      <c r="BV821" s="430"/>
      <c r="BW821" s="430"/>
      <c r="BX821" s="430"/>
      <c r="BY821" s="430"/>
      <c r="BZ821" s="430"/>
      <c r="CA821" s="430"/>
      <c r="CB821" s="430"/>
      <c r="CC821" s="430"/>
      <c r="CD821" s="430"/>
      <c r="CE821" s="430"/>
      <c r="CF821" s="430"/>
      <c r="CG821" s="430"/>
      <c r="CH821" s="430"/>
      <c r="CI821" s="430"/>
      <c r="CJ821" s="430"/>
      <c r="CK821" s="430"/>
      <c r="CL821" s="430"/>
    </row>
    <row r="822" spans="63:90" ht="14.25" customHeight="1">
      <c r="BK822" s="430"/>
      <c r="BL822" s="430"/>
      <c r="BM822" s="430"/>
      <c r="BN822" s="430"/>
      <c r="BO822" s="430"/>
      <c r="BP822" s="430"/>
      <c r="BQ822" s="430"/>
      <c r="BR822" s="430"/>
      <c r="BS822" s="430"/>
      <c r="BT822" s="430"/>
      <c r="BU822" s="430"/>
      <c r="BV822" s="430"/>
      <c r="BW822" s="430"/>
      <c r="BX822" s="430"/>
      <c r="BY822" s="430"/>
      <c r="BZ822" s="430"/>
      <c r="CA822" s="430"/>
      <c r="CB822" s="430"/>
      <c r="CC822" s="430"/>
      <c r="CD822" s="430"/>
      <c r="CE822" s="430"/>
      <c r="CF822" s="430"/>
      <c r="CG822" s="430"/>
      <c r="CH822" s="430"/>
      <c r="CI822" s="430"/>
      <c r="CJ822" s="430"/>
      <c r="CK822" s="430"/>
      <c r="CL822" s="430"/>
    </row>
    <row r="823" spans="63:90" ht="14.25" customHeight="1">
      <c r="BK823" s="430"/>
      <c r="BL823" s="430"/>
      <c r="BM823" s="430"/>
      <c r="BN823" s="430"/>
      <c r="BO823" s="430"/>
      <c r="BP823" s="430"/>
      <c r="BQ823" s="430"/>
      <c r="BR823" s="430"/>
      <c r="BS823" s="430"/>
      <c r="BT823" s="430"/>
      <c r="BU823" s="430"/>
      <c r="BV823" s="430"/>
      <c r="BW823" s="430"/>
      <c r="BX823" s="430"/>
      <c r="BY823" s="430"/>
      <c r="BZ823" s="430"/>
      <c r="CA823" s="430"/>
      <c r="CB823" s="430"/>
      <c r="CC823" s="430"/>
      <c r="CD823" s="430"/>
      <c r="CE823" s="430"/>
      <c r="CF823" s="430"/>
      <c r="CG823" s="430"/>
      <c r="CH823" s="430"/>
      <c r="CI823" s="430"/>
      <c r="CJ823" s="430"/>
      <c r="CK823" s="430"/>
      <c r="CL823" s="430"/>
    </row>
    <row r="824" spans="63:90" ht="14.25" customHeight="1">
      <c r="BK824" s="430"/>
      <c r="BL824" s="430"/>
      <c r="BM824" s="430"/>
      <c r="BN824" s="430"/>
      <c r="BO824" s="430"/>
      <c r="BP824" s="430"/>
      <c r="BQ824" s="430"/>
      <c r="BR824" s="430"/>
      <c r="BS824" s="430"/>
      <c r="BT824" s="430"/>
      <c r="BU824" s="430"/>
      <c r="BV824" s="430"/>
      <c r="BW824" s="430"/>
      <c r="BX824" s="430"/>
      <c r="BY824" s="430"/>
      <c r="BZ824" s="430"/>
      <c r="CA824" s="430"/>
      <c r="CB824" s="430"/>
      <c r="CC824" s="430"/>
      <c r="CD824" s="430"/>
      <c r="CE824" s="430"/>
      <c r="CF824" s="430"/>
      <c r="CG824" s="430"/>
      <c r="CH824" s="430"/>
      <c r="CI824" s="430"/>
      <c r="CJ824" s="430"/>
      <c r="CK824" s="430"/>
      <c r="CL824" s="430"/>
    </row>
    <row r="825" spans="63:90" ht="14.25" customHeight="1">
      <c r="BK825" s="430"/>
      <c r="BL825" s="430"/>
      <c r="BM825" s="430"/>
      <c r="BN825" s="430"/>
      <c r="BO825" s="430"/>
      <c r="BP825" s="430"/>
      <c r="BQ825" s="430"/>
      <c r="BR825" s="430"/>
      <c r="BS825" s="430"/>
      <c r="BT825" s="430"/>
      <c r="BU825" s="430"/>
      <c r="BV825" s="430"/>
      <c r="BW825" s="430"/>
      <c r="BX825" s="430"/>
      <c r="BY825" s="430"/>
      <c r="BZ825" s="430"/>
      <c r="CA825" s="430"/>
      <c r="CB825" s="430"/>
      <c r="CC825" s="430"/>
      <c r="CD825" s="430"/>
      <c r="CE825" s="430"/>
      <c r="CF825" s="430"/>
      <c r="CG825" s="430"/>
      <c r="CH825" s="430"/>
      <c r="CI825" s="430"/>
      <c r="CJ825" s="430"/>
      <c r="CK825" s="430"/>
      <c r="CL825" s="430"/>
    </row>
    <row r="826" spans="63:90" ht="14.25" customHeight="1">
      <c r="BK826" s="430"/>
      <c r="BL826" s="430"/>
      <c r="BM826" s="430"/>
      <c r="BN826" s="430"/>
      <c r="BO826" s="430"/>
      <c r="BP826" s="430"/>
      <c r="BQ826" s="430"/>
      <c r="BR826" s="430"/>
      <c r="BS826" s="430"/>
      <c r="BT826" s="430"/>
      <c r="BU826" s="430"/>
      <c r="BV826" s="430"/>
      <c r="BW826" s="430"/>
      <c r="BX826" s="430"/>
      <c r="BY826" s="430"/>
      <c r="BZ826" s="430"/>
      <c r="CA826" s="430"/>
      <c r="CB826" s="430"/>
      <c r="CC826" s="430"/>
      <c r="CD826" s="430"/>
      <c r="CE826" s="430"/>
      <c r="CF826" s="430"/>
      <c r="CG826" s="430"/>
      <c r="CH826" s="430"/>
      <c r="CI826" s="430"/>
      <c r="CJ826" s="430"/>
      <c r="CK826" s="430"/>
      <c r="CL826" s="430"/>
    </row>
    <row r="827" spans="63:90" ht="14.25" customHeight="1">
      <c r="BK827" s="430"/>
      <c r="BL827" s="430"/>
      <c r="BM827" s="430"/>
      <c r="BN827" s="430"/>
      <c r="BO827" s="430"/>
      <c r="BP827" s="430"/>
      <c r="BQ827" s="430"/>
      <c r="BR827" s="430"/>
      <c r="BS827" s="430"/>
      <c r="BT827" s="430"/>
      <c r="BU827" s="430"/>
      <c r="BV827" s="430"/>
      <c r="BW827" s="430"/>
      <c r="BX827" s="430"/>
      <c r="BY827" s="430"/>
      <c r="BZ827" s="430"/>
      <c r="CA827" s="430"/>
      <c r="CB827" s="430"/>
      <c r="CC827" s="430"/>
      <c r="CD827" s="430"/>
      <c r="CE827" s="430"/>
      <c r="CF827" s="430"/>
      <c r="CG827" s="430"/>
      <c r="CH827" s="430"/>
      <c r="CI827" s="430"/>
      <c r="CJ827" s="430"/>
      <c r="CK827" s="430"/>
      <c r="CL827" s="430"/>
    </row>
    <row r="828" spans="63:90" ht="14.25" customHeight="1">
      <c r="BK828" s="430"/>
      <c r="BL828" s="430"/>
      <c r="BM828" s="430"/>
      <c r="BN828" s="430"/>
      <c r="BO828" s="430"/>
      <c r="BP828" s="430"/>
      <c r="BQ828" s="430"/>
      <c r="BR828" s="430"/>
      <c r="BS828" s="430"/>
      <c r="BT828" s="430"/>
      <c r="BU828" s="430"/>
      <c r="BV828" s="430"/>
      <c r="BW828" s="430"/>
      <c r="BX828" s="430"/>
      <c r="BY828" s="430"/>
      <c r="BZ828" s="430"/>
      <c r="CA828" s="430"/>
      <c r="CB828" s="430"/>
      <c r="CC828" s="430"/>
      <c r="CD828" s="430"/>
      <c r="CE828" s="430"/>
      <c r="CF828" s="430"/>
      <c r="CG828" s="430"/>
      <c r="CH828" s="430"/>
      <c r="CI828" s="430"/>
      <c r="CJ828" s="430"/>
      <c r="CK828" s="430"/>
      <c r="CL828" s="430"/>
    </row>
    <row r="829" spans="63:90" ht="14.25" customHeight="1">
      <c r="BK829" s="430"/>
      <c r="BL829" s="430"/>
      <c r="BM829" s="430"/>
      <c r="BN829" s="430"/>
      <c r="BO829" s="430"/>
      <c r="BP829" s="430"/>
      <c r="BQ829" s="430"/>
      <c r="BR829" s="430"/>
      <c r="BS829" s="430"/>
      <c r="BT829" s="430"/>
      <c r="BU829" s="430"/>
      <c r="BV829" s="430"/>
      <c r="BW829" s="430"/>
      <c r="BX829" s="430"/>
      <c r="BY829" s="430"/>
      <c r="BZ829" s="430"/>
      <c r="CA829" s="430"/>
      <c r="CB829" s="430"/>
      <c r="CC829" s="430"/>
      <c r="CD829" s="430"/>
      <c r="CE829" s="430"/>
      <c r="CF829" s="430"/>
      <c r="CG829" s="430"/>
      <c r="CH829" s="430"/>
      <c r="CI829" s="430"/>
      <c r="CJ829" s="430"/>
      <c r="CK829" s="430"/>
      <c r="CL829" s="430"/>
    </row>
    <row r="830" spans="63:90" ht="14.25" customHeight="1">
      <c r="BK830" s="430"/>
      <c r="BL830" s="430"/>
      <c r="BM830" s="430"/>
      <c r="BN830" s="430"/>
      <c r="BO830" s="430"/>
      <c r="BP830" s="430"/>
      <c r="BQ830" s="430"/>
      <c r="BR830" s="430"/>
      <c r="BS830" s="430"/>
      <c r="BT830" s="430"/>
      <c r="BU830" s="430"/>
      <c r="BV830" s="430"/>
      <c r="BW830" s="430"/>
      <c r="BX830" s="430"/>
      <c r="BY830" s="430"/>
      <c r="BZ830" s="430"/>
      <c r="CA830" s="430"/>
      <c r="CB830" s="430"/>
      <c r="CC830" s="430"/>
      <c r="CD830" s="430"/>
      <c r="CE830" s="430"/>
      <c r="CF830" s="430"/>
      <c r="CG830" s="430"/>
      <c r="CH830" s="430"/>
      <c r="CI830" s="430"/>
      <c r="CJ830" s="430"/>
      <c r="CK830" s="430"/>
      <c r="CL830" s="430"/>
    </row>
    <row r="831" spans="63:90" ht="14.25" customHeight="1">
      <c r="BK831" s="430"/>
      <c r="BL831" s="430"/>
      <c r="BM831" s="430"/>
      <c r="BN831" s="430"/>
      <c r="BO831" s="430"/>
      <c r="BP831" s="430"/>
      <c r="BQ831" s="430"/>
      <c r="BR831" s="430"/>
      <c r="BS831" s="430"/>
      <c r="BT831" s="430"/>
      <c r="BU831" s="430"/>
      <c r="BV831" s="430"/>
      <c r="BW831" s="430"/>
      <c r="BX831" s="430"/>
      <c r="BY831" s="430"/>
      <c r="BZ831" s="430"/>
      <c r="CA831" s="430"/>
      <c r="CB831" s="430"/>
      <c r="CC831" s="430"/>
      <c r="CD831" s="430"/>
      <c r="CE831" s="430"/>
      <c r="CF831" s="430"/>
      <c r="CG831" s="430"/>
      <c r="CH831" s="430"/>
      <c r="CI831" s="430"/>
      <c r="CJ831" s="430"/>
      <c r="CK831" s="430"/>
      <c r="CL831" s="430"/>
    </row>
    <row r="832" spans="63:90" ht="14.25" customHeight="1">
      <c r="BK832" s="430"/>
      <c r="BL832" s="430"/>
      <c r="BM832" s="430"/>
      <c r="BN832" s="430"/>
      <c r="BO832" s="430"/>
      <c r="BP832" s="430"/>
      <c r="BQ832" s="430"/>
      <c r="BR832" s="430"/>
      <c r="BS832" s="430"/>
      <c r="BT832" s="430"/>
      <c r="BU832" s="430"/>
      <c r="BV832" s="430"/>
      <c r="BW832" s="430"/>
      <c r="BX832" s="430"/>
      <c r="BY832" s="430"/>
      <c r="BZ832" s="430"/>
      <c r="CA832" s="430"/>
      <c r="CB832" s="430"/>
      <c r="CC832" s="430"/>
      <c r="CD832" s="430"/>
      <c r="CE832" s="430"/>
      <c r="CF832" s="430"/>
      <c r="CG832" s="430"/>
      <c r="CH832" s="430"/>
      <c r="CI832" s="430"/>
      <c r="CJ832" s="430"/>
      <c r="CK832" s="430"/>
      <c r="CL832" s="430"/>
    </row>
    <row r="833" spans="63:90" ht="14.25" customHeight="1">
      <c r="BK833" s="430"/>
      <c r="BL833" s="430"/>
      <c r="BM833" s="430"/>
      <c r="BN833" s="430"/>
      <c r="BO833" s="430"/>
      <c r="BP833" s="430"/>
      <c r="BQ833" s="430"/>
      <c r="BR833" s="430"/>
      <c r="BS833" s="430"/>
      <c r="BT833" s="430"/>
      <c r="BU833" s="430"/>
      <c r="BV833" s="430"/>
      <c r="BW833" s="430"/>
      <c r="BX833" s="430"/>
      <c r="BY833" s="430"/>
      <c r="BZ833" s="430"/>
      <c r="CA833" s="430"/>
      <c r="CB833" s="430"/>
      <c r="CC833" s="430"/>
      <c r="CD833" s="430"/>
      <c r="CE833" s="430"/>
      <c r="CF833" s="430"/>
      <c r="CG833" s="430"/>
      <c r="CH833" s="430"/>
      <c r="CI833" s="430"/>
      <c r="CJ833" s="430"/>
      <c r="CK833" s="430"/>
      <c r="CL833" s="430"/>
    </row>
    <row r="834" spans="63:90" ht="14.25" customHeight="1">
      <c r="BK834" s="430"/>
      <c r="BL834" s="430"/>
      <c r="BM834" s="430"/>
      <c r="BN834" s="430"/>
      <c r="BO834" s="430"/>
      <c r="BP834" s="430"/>
      <c r="BQ834" s="430"/>
      <c r="BR834" s="430"/>
      <c r="BS834" s="430"/>
      <c r="BT834" s="430"/>
      <c r="BU834" s="430"/>
      <c r="BV834" s="430"/>
      <c r="BW834" s="430"/>
      <c r="BX834" s="430"/>
      <c r="BY834" s="430"/>
      <c r="BZ834" s="430"/>
      <c r="CA834" s="430"/>
      <c r="CB834" s="430"/>
      <c r="CC834" s="430"/>
      <c r="CD834" s="430"/>
      <c r="CE834" s="430"/>
      <c r="CF834" s="430"/>
      <c r="CG834" s="430"/>
      <c r="CH834" s="430"/>
      <c r="CI834" s="430"/>
      <c r="CJ834" s="430"/>
      <c r="CK834" s="430"/>
      <c r="CL834" s="430"/>
    </row>
    <row r="835" spans="63:90" ht="14.25" customHeight="1">
      <c r="BK835" s="430"/>
      <c r="BL835" s="430"/>
      <c r="BM835" s="430"/>
      <c r="BN835" s="430"/>
      <c r="BO835" s="430"/>
      <c r="BP835" s="430"/>
      <c r="BQ835" s="430"/>
      <c r="BR835" s="430"/>
      <c r="BS835" s="430"/>
      <c r="BT835" s="430"/>
      <c r="BU835" s="430"/>
      <c r="BV835" s="430"/>
      <c r="BW835" s="430"/>
      <c r="BX835" s="430"/>
      <c r="BY835" s="430"/>
      <c r="BZ835" s="430"/>
      <c r="CA835" s="430"/>
      <c r="CB835" s="430"/>
      <c r="CC835" s="430"/>
      <c r="CD835" s="430"/>
      <c r="CE835" s="430"/>
      <c r="CF835" s="430"/>
      <c r="CG835" s="430"/>
      <c r="CH835" s="430"/>
      <c r="CI835" s="430"/>
      <c r="CJ835" s="430"/>
      <c r="CK835" s="430"/>
      <c r="CL835" s="430"/>
    </row>
    <row r="836" spans="63:90" ht="14.25" customHeight="1">
      <c r="BK836" s="430"/>
      <c r="BL836" s="430"/>
      <c r="BM836" s="430"/>
      <c r="BN836" s="430"/>
      <c r="BO836" s="430"/>
      <c r="BP836" s="430"/>
      <c r="BQ836" s="430"/>
      <c r="BR836" s="430"/>
      <c r="BS836" s="430"/>
      <c r="BT836" s="430"/>
      <c r="BU836" s="430"/>
      <c r="BV836" s="430"/>
      <c r="BW836" s="430"/>
      <c r="BX836" s="430"/>
      <c r="BY836" s="430"/>
      <c r="BZ836" s="430"/>
      <c r="CA836" s="430"/>
      <c r="CB836" s="430"/>
      <c r="CC836" s="430"/>
      <c r="CD836" s="430"/>
      <c r="CE836" s="430"/>
      <c r="CF836" s="430"/>
      <c r="CG836" s="430"/>
      <c r="CH836" s="430"/>
      <c r="CI836" s="430"/>
      <c r="CJ836" s="430"/>
      <c r="CK836" s="430"/>
      <c r="CL836" s="430"/>
    </row>
    <row r="837" spans="63:90" ht="14.25" customHeight="1">
      <c r="BK837" s="430"/>
      <c r="BL837" s="430"/>
      <c r="BM837" s="430"/>
      <c r="BN837" s="430"/>
      <c r="BO837" s="430"/>
      <c r="BP837" s="430"/>
      <c r="BQ837" s="430"/>
      <c r="BR837" s="430"/>
      <c r="BS837" s="430"/>
      <c r="BT837" s="430"/>
      <c r="BU837" s="430"/>
      <c r="BV837" s="430"/>
      <c r="BW837" s="430"/>
      <c r="BX837" s="430"/>
      <c r="BY837" s="430"/>
      <c r="BZ837" s="430"/>
      <c r="CA837" s="430"/>
      <c r="CB837" s="430"/>
      <c r="CC837" s="430"/>
      <c r="CD837" s="430"/>
      <c r="CE837" s="430"/>
      <c r="CF837" s="430"/>
      <c r="CG837" s="430"/>
      <c r="CH837" s="430"/>
      <c r="CI837" s="430"/>
      <c r="CJ837" s="430"/>
      <c r="CK837" s="430"/>
      <c r="CL837" s="430"/>
    </row>
    <row r="838" spans="63:90" ht="14.25" customHeight="1">
      <c r="BK838" s="430"/>
      <c r="BL838" s="430"/>
      <c r="BM838" s="430"/>
      <c r="BN838" s="430"/>
      <c r="BO838" s="430"/>
      <c r="BP838" s="430"/>
      <c r="BQ838" s="430"/>
      <c r="BR838" s="430"/>
      <c r="BS838" s="430"/>
      <c r="BT838" s="430"/>
      <c r="BU838" s="430"/>
      <c r="BV838" s="430"/>
      <c r="BW838" s="430"/>
      <c r="BX838" s="430"/>
      <c r="BY838" s="430"/>
      <c r="BZ838" s="430"/>
      <c r="CA838" s="430"/>
      <c r="CB838" s="430"/>
      <c r="CC838" s="430"/>
      <c r="CD838" s="430"/>
      <c r="CE838" s="430"/>
      <c r="CF838" s="430"/>
      <c r="CG838" s="430"/>
      <c r="CH838" s="430"/>
      <c r="CI838" s="430"/>
      <c r="CJ838" s="430"/>
      <c r="CK838" s="430"/>
      <c r="CL838" s="430"/>
    </row>
    <row r="839" spans="63:90" ht="14.25" customHeight="1">
      <c r="BK839" s="430"/>
      <c r="BL839" s="430"/>
      <c r="BM839" s="430"/>
      <c r="BN839" s="430"/>
      <c r="BO839" s="430"/>
      <c r="BP839" s="430"/>
      <c r="BQ839" s="430"/>
      <c r="BR839" s="430"/>
      <c r="BS839" s="430"/>
      <c r="BT839" s="430"/>
      <c r="BU839" s="430"/>
      <c r="BV839" s="430"/>
      <c r="BW839" s="430"/>
      <c r="BX839" s="430"/>
      <c r="BY839" s="430"/>
      <c r="BZ839" s="430"/>
      <c r="CA839" s="430"/>
      <c r="CB839" s="430"/>
      <c r="CC839" s="430"/>
      <c r="CD839" s="430"/>
      <c r="CE839" s="430"/>
      <c r="CF839" s="430"/>
      <c r="CG839" s="430"/>
      <c r="CH839" s="430"/>
      <c r="CI839" s="430"/>
      <c r="CJ839" s="430"/>
      <c r="CK839" s="430"/>
      <c r="CL839" s="430"/>
    </row>
    <row r="840" spans="63:90" ht="14.25" customHeight="1">
      <c r="BK840" s="430"/>
      <c r="BL840" s="430"/>
      <c r="BM840" s="430"/>
      <c r="BN840" s="430"/>
      <c r="BO840" s="430"/>
      <c r="BP840" s="430"/>
      <c r="BQ840" s="430"/>
      <c r="BR840" s="430"/>
      <c r="BS840" s="430"/>
      <c r="BT840" s="430"/>
      <c r="BU840" s="430"/>
      <c r="BV840" s="430"/>
      <c r="BW840" s="430"/>
      <c r="BX840" s="430"/>
      <c r="BY840" s="430"/>
      <c r="BZ840" s="430"/>
      <c r="CA840" s="430"/>
      <c r="CB840" s="430"/>
      <c r="CC840" s="430"/>
      <c r="CD840" s="430"/>
      <c r="CE840" s="430"/>
      <c r="CF840" s="430"/>
      <c r="CG840" s="430"/>
      <c r="CH840" s="430"/>
      <c r="CI840" s="430"/>
      <c r="CJ840" s="430"/>
      <c r="CK840" s="430"/>
      <c r="CL840" s="430"/>
    </row>
    <row r="841" spans="63:90" ht="14.25" customHeight="1">
      <c r="BK841" s="430"/>
      <c r="BL841" s="430"/>
      <c r="BM841" s="430"/>
      <c r="BN841" s="430"/>
      <c r="BO841" s="430"/>
      <c r="BP841" s="430"/>
      <c r="BQ841" s="430"/>
      <c r="BR841" s="430"/>
      <c r="BS841" s="430"/>
      <c r="BT841" s="430"/>
      <c r="BU841" s="430"/>
      <c r="BV841" s="430"/>
      <c r="BW841" s="430"/>
      <c r="BX841" s="430"/>
      <c r="BY841" s="430"/>
      <c r="BZ841" s="430"/>
      <c r="CA841" s="430"/>
      <c r="CB841" s="430"/>
      <c r="CC841" s="430"/>
      <c r="CD841" s="430"/>
      <c r="CE841" s="430"/>
      <c r="CF841" s="430"/>
      <c r="CG841" s="430"/>
      <c r="CH841" s="430"/>
      <c r="CI841" s="430"/>
      <c r="CJ841" s="430"/>
      <c r="CK841" s="430"/>
      <c r="CL841" s="430"/>
    </row>
    <row r="842" spans="63:90" ht="14.25" customHeight="1">
      <c r="BK842" s="430"/>
      <c r="BL842" s="430"/>
      <c r="BM842" s="430"/>
      <c r="BN842" s="430"/>
      <c r="BO842" s="430"/>
      <c r="BP842" s="430"/>
      <c r="BQ842" s="430"/>
      <c r="BR842" s="430"/>
      <c r="BS842" s="430"/>
      <c r="BT842" s="430"/>
      <c r="BU842" s="430"/>
      <c r="BV842" s="430"/>
      <c r="BW842" s="430"/>
      <c r="BX842" s="430"/>
      <c r="BY842" s="430"/>
      <c r="BZ842" s="430"/>
      <c r="CA842" s="430"/>
      <c r="CB842" s="430"/>
      <c r="CC842" s="430"/>
      <c r="CD842" s="430"/>
      <c r="CE842" s="430"/>
      <c r="CF842" s="430"/>
      <c r="CG842" s="430"/>
      <c r="CH842" s="430"/>
      <c r="CI842" s="430"/>
      <c r="CJ842" s="430"/>
      <c r="CK842" s="430"/>
      <c r="CL842" s="430"/>
    </row>
    <row r="843" spans="63:90" ht="14.25" customHeight="1">
      <c r="BK843" s="430"/>
      <c r="BL843" s="430"/>
      <c r="BM843" s="430"/>
      <c r="BN843" s="430"/>
      <c r="BO843" s="430"/>
      <c r="BP843" s="430"/>
      <c r="BQ843" s="430"/>
      <c r="BR843" s="430"/>
      <c r="BS843" s="430"/>
      <c r="BT843" s="430"/>
      <c r="BU843" s="430"/>
      <c r="BV843" s="430"/>
      <c r="BW843" s="430"/>
      <c r="BX843" s="430"/>
      <c r="BY843" s="430"/>
      <c r="BZ843" s="430"/>
      <c r="CA843" s="430"/>
      <c r="CB843" s="430"/>
      <c r="CC843" s="430"/>
      <c r="CD843" s="430"/>
      <c r="CE843" s="430"/>
      <c r="CF843" s="430"/>
      <c r="CG843" s="430"/>
      <c r="CH843" s="430"/>
      <c r="CI843" s="430"/>
      <c r="CJ843" s="430"/>
      <c r="CK843" s="430"/>
      <c r="CL843" s="430"/>
    </row>
    <row r="844" spans="63:90" ht="14.25" customHeight="1">
      <c r="BK844" s="430"/>
      <c r="BL844" s="430"/>
      <c r="BM844" s="430"/>
      <c r="BN844" s="430"/>
      <c r="BO844" s="430"/>
      <c r="BP844" s="430"/>
      <c r="BQ844" s="430"/>
      <c r="BR844" s="430"/>
      <c r="BS844" s="430"/>
      <c r="BT844" s="430"/>
      <c r="BU844" s="430"/>
      <c r="BV844" s="430"/>
      <c r="BW844" s="430"/>
      <c r="BX844" s="430"/>
      <c r="BY844" s="430"/>
      <c r="BZ844" s="430"/>
      <c r="CA844" s="430"/>
      <c r="CB844" s="430"/>
      <c r="CC844" s="430"/>
      <c r="CD844" s="430"/>
      <c r="CE844" s="430"/>
      <c r="CF844" s="430"/>
      <c r="CG844" s="430"/>
      <c r="CH844" s="430"/>
      <c r="CI844" s="430"/>
      <c r="CJ844" s="430"/>
      <c r="CK844" s="430"/>
      <c r="CL844" s="430"/>
    </row>
    <row r="845" spans="63:90" ht="14.25" customHeight="1">
      <c r="BK845" s="430"/>
      <c r="BL845" s="430"/>
      <c r="BM845" s="430"/>
      <c r="BN845" s="430"/>
      <c r="BO845" s="430"/>
      <c r="BP845" s="430"/>
      <c r="BQ845" s="430"/>
      <c r="BR845" s="430"/>
      <c r="BS845" s="430"/>
      <c r="BT845" s="430"/>
      <c r="BU845" s="430"/>
      <c r="BV845" s="430"/>
      <c r="BW845" s="430"/>
      <c r="BX845" s="430"/>
      <c r="BY845" s="430"/>
      <c r="BZ845" s="430"/>
      <c r="CA845" s="430"/>
      <c r="CB845" s="430"/>
      <c r="CC845" s="430"/>
      <c r="CD845" s="430"/>
      <c r="CE845" s="430"/>
      <c r="CF845" s="430"/>
      <c r="CG845" s="430"/>
      <c r="CH845" s="430"/>
      <c r="CI845" s="430"/>
      <c r="CJ845" s="430"/>
      <c r="CK845" s="430"/>
      <c r="CL845" s="430"/>
    </row>
    <row r="846" spans="63:90" ht="14.25" customHeight="1">
      <c r="BK846" s="430"/>
      <c r="BL846" s="430"/>
      <c r="BM846" s="430"/>
      <c r="BN846" s="430"/>
      <c r="BO846" s="430"/>
      <c r="BP846" s="430"/>
      <c r="BQ846" s="430"/>
      <c r="BR846" s="430"/>
      <c r="BS846" s="430"/>
      <c r="BT846" s="430"/>
      <c r="BU846" s="430"/>
      <c r="BV846" s="430"/>
      <c r="BW846" s="430"/>
      <c r="BX846" s="430"/>
      <c r="BY846" s="430"/>
      <c r="BZ846" s="430"/>
      <c r="CA846" s="430"/>
      <c r="CB846" s="430"/>
      <c r="CC846" s="430"/>
      <c r="CD846" s="430"/>
      <c r="CE846" s="430"/>
      <c r="CF846" s="430"/>
      <c r="CG846" s="430"/>
      <c r="CH846" s="430"/>
      <c r="CI846" s="430"/>
      <c r="CJ846" s="430"/>
      <c r="CK846" s="430"/>
      <c r="CL846" s="430"/>
    </row>
    <row r="847" spans="63:90" ht="14.25" customHeight="1">
      <c r="BK847" s="430"/>
      <c r="BL847" s="430"/>
      <c r="BM847" s="430"/>
      <c r="BN847" s="430"/>
      <c r="BO847" s="430"/>
      <c r="BP847" s="430"/>
      <c r="BQ847" s="430"/>
      <c r="BR847" s="430"/>
      <c r="BS847" s="430"/>
      <c r="BT847" s="430"/>
      <c r="BU847" s="430"/>
      <c r="BV847" s="430"/>
      <c r="BW847" s="430"/>
      <c r="BX847" s="430"/>
      <c r="BY847" s="430"/>
      <c r="BZ847" s="430"/>
      <c r="CA847" s="430"/>
      <c r="CB847" s="430"/>
      <c r="CC847" s="430"/>
      <c r="CD847" s="430"/>
      <c r="CE847" s="430"/>
      <c r="CF847" s="430"/>
      <c r="CG847" s="430"/>
      <c r="CH847" s="430"/>
      <c r="CI847" s="430"/>
      <c r="CJ847" s="430"/>
      <c r="CK847" s="430"/>
      <c r="CL847" s="430"/>
    </row>
    <row r="848" spans="63:90" ht="14.25" customHeight="1">
      <c r="BK848" s="430"/>
      <c r="BL848" s="430"/>
      <c r="BM848" s="430"/>
      <c r="BN848" s="430"/>
      <c r="BO848" s="430"/>
      <c r="BP848" s="430"/>
      <c r="BQ848" s="430"/>
      <c r="BR848" s="430"/>
      <c r="BS848" s="430"/>
      <c r="BT848" s="430"/>
      <c r="BU848" s="430"/>
      <c r="BV848" s="430"/>
      <c r="BW848" s="430"/>
      <c r="BX848" s="430"/>
      <c r="BY848" s="430"/>
      <c r="BZ848" s="430"/>
      <c r="CA848" s="430"/>
      <c r="CB848" s="430"/>
      <c r="CC848" s="430"/>
      <c r="CD848" s="430"/>
      <c r="CE848" s="430"/>
      <c r="CF848" s="430"/>
      <c r="CG848" s="430"/>
      <c r="CH848" s="430"/>
      <c r="CI848" s="430"/>
      <c r="CJ848" s="430"/>
      <c r="CK848" s="430"/>
      <c r="CL848" s="430"/>
    </row>
    <row r="849" spans="63:90" ht="14.25" customHeight="1">
      <c r="BK849" s="430"/>
      <c r="BL849" s="430"/>
      <c r="BM849" s="430"/>
      <c r="BN849" s="430"/>
      <c r="BO849" s="430"/>
      <c r="BP849" s="430"/>
      <c r="BQ849" s="430"/>
      <c r="BR849" s="430"/>
      <c r="BS849" s="430"/>
      <c r="BT849" s="430"/>
      <c r="BU849" s="430"/>
      <c r="BV849" s="430"/>
      <c r="BW849" s="430"/>
      <c r="BX849" s="430"/>
      <c r="BY849" s="430"/>
      <c r="BZ849" s="430"/>
      <c r="CA849" s="430"/>
      <c r="CB849" s="430"/>
      <c r="CC849" s="430"/>
      <c r="CD849" s="430"/>
      <c r="CE849" s="430"/>
      <c r="CF849" s="430"/>
      <c r="CG849" s="430"/>
      <c r="CH849" s="430"/>
      <c r="CI849" s="430"/>
      <c r="CJ849" s="430"/>
      <c r="CK849" s="430"/>
      <c r="CL849" s="430"/>
    </row>
    <row r="850" spans="63:90" ht="14.25" customHeight="1">
      <c r="BK850" s="430"/>
      <c r="BL850" s="430"/>
      <c r="BM850" s="430"/>
      <c r="BN850" s="430"/>
      <c r="BO850" s="430"/>
      <c r="BP850" s="430"/>
      <c r="BQ850" s="430"/>
      <c r="BR850" s="430"/>
      <c r="BS850" s="430"/>
      <c r="BT850" s="430"/>
      <c r="BU850" s="430"/>
      <c r="BV850" s="430"/>
      <c r="BW850" s="430"/>
      <c r="BX850" s="430"/>
      <c r="BY850" s="430"/>
      <c r="BZ850" s="430"/>
      <c r="CA850" s="430"/>
      <c r="CB850" s="430"/>
      <c r="CC850" s="430"/>
      <c r="CD850" s="430"/>
      <c r="CE850" s="430"/>
      <c r="CF850" s="430"/>
      <c r="CG850" s="430"/>
      <c r="CH850" s="430"/>
      <c r="CI850" s="430"/>
      <c r="CJ850" s="430"/>
      <c r="CK850" s="430"/>
      <c r="CL850" s="430"/>
    </row>
    <row r="851" spans="63:90" ht="14.25" customHeight="1">
      <c r="BK851" s="430"/>
      <c r="BL851" s="430"/>
      <c r="BM851" s="430"/>
      <c r="BN851" s="430"/>
      <c r="BO851" s="430"/>
      <c r="BP851" s="430"/>
      <c r="BQ851" s="430"/>
      <c r="BR851" s="430"/>
      <c r="BS851" s="430"/>
      <c r="BT851" s="430"/>
      <c r="BU851" s="430"/>
      <c r="BV851" s="430"/>
      <c r="BW851" s="430"/>
      <c r="BX851" s="430"/>
      <c r="BY851" s="430"/>
      <c r="BZ851" s="430"/>
      <c r="CA851" s="430"/>
      <c r="CB851" s="430"/>
      <c r="CC851" s="430"/>
      <c r="CD851" s="430"/>
      <c r="CE851" s="430"/>
      <c r="CF851" s="430"/>
      <c r="CG851" s="430"/>
      <c r="CH851" s="430"/>
      <c r="CI851" s="430"/>
      <c r="CJ851" s="430"/>
      <c r="CK851" s="430"/>
      <c r="CL851" s="430"/>
    </row>
    <row r="852" spans="63:90" ht="14.25" customHeight="1">
      <c r="BK852" s="430"/>
      <c r="BL852" s="430"/>
      <c r="BM852" s="430"/>
      <c r="BN852" s="430"/>
      <c r="BO852" s="430"/>
      <c r="BP852" s="430"/>
      <c r="BQ852" s="430"/>
      <c r="BR852" s="430"/>
      <c r="BS852" s="430"/>
      <c r="BT852" s="430"/>
      <c r="BU852" s="430"/>
      <c r="BV852" s="430"/>
      <c r="BW852" s="430"/>
      <c r="BX852" s="430"/>
      <c r="BY852" s="430"/>
      <c r="BZ852" s="430"/>
      <c r="CA852" s="430"/>
      <c r="CB852" s="430"/>
      <c r="CC852" s="430"/>
      <c r="CD852" s="430"/>
      <c r="CE852" s="430"/>
      <c r="CF852" s="430"/>
      <c r="CG852" s="430"/>
      <c r="CH852" s="430"/>
      <c r="CI852" s="430"/>
      <c r="CJ852" s="430"/>
      <c r="CK852" s="430"/>
      <c r="CL852" s="430"/>
    </row>
    <row r="853" spans="63:90" ht="14.25" customHeight="1">
      <c r="BK853" s="430"/>
      <c r="BL853" s="430"/>
      <c r="BM853" s="430"/>
      <c r="BN853" s="430"/>
      <c r="BO853" s="430"/>
      <c r="BP853" s="430"/>
      <c r="BQ853" s="430"/>
      <c r="BR853" s="430"/>
      <c r="BS853" s="430"/>
      <c r="BT853" s="430"/>
      <c r="BU853" s="430"/>
      <c r="BV853" s="430"/>
      <c r="BW853" s="430"/>
      <c r="BX853" s="430"/>
      <c r="BY853" s="430"/>
      <c r="BZ853" s="430"/>
      <c r="CA853" s="430"/>
      <c r="CB853" s="430"/>
      <c r="CC853" s="430"/>
      <c r="CD853" s="430"/>
      <c r="CE853" s="430"/>
      <c r="CF853" s="430"/>
      <c r="CG853" s="430"/>
      <c r="CH853" s="430"/>
      <c r="CI853" s="430"/>
      <c r="CJ853" s="430"/>
      <c r="CK853" s="430"/>
      <c r="CL853" s="430"/>
    </row>
    <row r="854" spans="63:90" ht="14.25" customHeight="1">
      <c r="BK854" s="430"/>
      <c r="BL854" s="430"/>
      <c r="BM854" s="430"/>
      <c r="BN854" s="430"/>
      <c r="BO854" s="430"/>
      <c r="BP854" s="430"/>
      <c r="BQ854" s="430"/>
      <c r="BR854" s="430"/>
      <c r="BS854" s="430"/>
      <c r="BT854" s="430"/>
      <c r="BU854" s="430"/>
      <c r="BV854" s="430"/>
      <c r="BW854" s="430"/>
      <c r="BX854" s="430"/>
      <c r="BY854" s="430"/>
      <c r="BZ854" s="430"/>
      <c r="CA854" s="430"/>
      <c r="CB854" s="430"/>
      <c r="CC854" s="430"/>
      <c r="CD854" s="430"/>
      <c r="CE854" s="430"/>
      <c r="CF854" s="430"/>
      <c r="CG854" s="430"/>
      <c r="CH854" s="430"/>
      <c r="CI854" s="430"/>
      <c r="CJ854" s="430"/>
      <c r="CK854" s="430"/>
      <c r="CL854" s="430"/>
    </row>
    <row r="855" spans="63:90" ht="14.25" customHeight="1">
      <c r="BK855" s="430"/>
      <c r="BL855" s="430"/>
      <c r="BM855" s="430"/>
      <c r="BN855" s="430"/>
      <c r="BO855" s="430"/>
      <c r="BP855" s="430"/>
      <c r="BQ855" s="430"/>
      <c r="BR855" s="430"/>
      <c r="BS855" s="430"/>
      <c r="BT855" s="430"/>
      <c r="BU855" s="430"/>
      <c r="BV855" s="430"/>
      <c r="BW855" s="430"/>
      <c r="BX855" s="430"/>
      <c r="BY855" s="430"/>
      <c r="BZ855" s="430"/>
      <c r="CA855" s="430"/>
      <c r="CB855" s="430"/>
      <c r="CC855" s="430"/>
      <c r="CD855" s="430"/>
      <c r="CE855" s="430"/>
      <c r="CF855" s="430"/>
      <c r="CG855" s="430"/>
      <c r="CH855" s="430"/>
      <c r="CI855" s="430"/>
      <c r="CJ855" s="430"/>
      <c r="CK855" s="430"/>
      <c r="CL855" s="430"/>
    </row>
    <row r="856" spans="63:90" ht="14.25" customHeight="1">
      <c r="BK856" s="430"/>
      <c r="BL856" s="430"/>
      <c r="BM856" s="430"/>
      <c r="BN856" s="430"/>
      <c r="BO856" s="430"/>
      <c r="BP856" s="430"/>
      <c r="BQ856" s="430"/>
      <c r="BR856" s="430"/>
      <c r="BS856" s="430"/>
      <c r="BT856" s="430"/>
      <c r="BU856" s="430"/>
      <c r="BV856" s="430"/>
      <c r="BW856" s="430"/>
      <c r="BX856" s="430"/>
      <c r="BY856" s="430"/>
      <c r="BZ856" s="430"/>
      <c r="CA856" s="430"/>
      <c r="CB856" s="430"/>
      <c r="CC856" s="430"/>
      <c r="CD856" s="430"/>
      <c r="CE856" s="430"/>
      <c r="CF856" s="430"/>
      <c r="CG856" s="430"/>
      <c r="CH856" s="430"/>
      <c r="CI856" s="430"/>
      <c r="CJ856" s="430"/>
      <c r="CK856" s="430"/>
      <c r="CL856" s="430"/>
    </row>
    <row r="857" spans="63:90" ht="14.25" customHeight="1">
      <c r="BK857" s="430"/>
      <c r="BL857" s="430"/>
      <c r="BM857" s="430"/>
      <c r="BN857" s="430"/>
      <c r="BO857" s="430"/>
      <c r="BP857" s="430"/>
      <c r="BQ857" s="430"/>
      <c r="BR857" s="430"/>
      <c r="BS857" s="430"/>
      <c r="BT857" s="430"/>
      <c r="BU857" s="430"/>
      <c r="BV857" s="430"/>
      <c r="BW857" s="430"/>
      <c r="BX857" s="430"/>
      <c r="BY857" s="430"/>
      <c r="BZ857" s="430"/>
      <c r="CA857" s="430"/>
      <c r="CB857" s="430"/>
      <c r="CC857" s="430"/>
      <c r="CD857" s="430"/>
      <c r="CE857" s="430"/>
      <c r="CF857" s="430"/>
      <c r="CG857" s="430"/>
      <c r="CH857" s="430"/>
      <c r="CI857" s="430"/>
      <c r="CJ857" s="430"/>
      <c r="CK857" s="430"/>
      <c r="CL857" s="430"/>
    </row>
    <row r="858" spans="63:90" ht="14.25" customHeight="1">
      <c r="BK858" s="430"/>
      <c r="BL858" s="430"/>
      <c r="BM858" s="430"/>
      <c r="BN858" s="430"/>
      <c r="BO858" s="430"/>
      <c r="BP858" s="430"/>
      <c r="BQ858" s="430"/>
      <c r="BR858" s="430"/>
      <c r="BS858" s="430"/>
      <c r="BT858" s="430"/>
      <c r="BU858" s="430"/>
      <c r="BV858" s="430"/>
      <c r="BW858" s="430"/>
      <c r="BX858" s="430"/>
      <c r="BY858" s="430"/>
      <c r="BZ858" s="430"/>
      <c r="CA858" s="430"/>
      <c r="CB858" s="430"/>
      <c r="CC858" s="430"/>
      <c r="CD858" s="430"/>
      <c r="CE858" s="430"/>
      <c r="CF858" s="430"/>
      <c r="CG858" s="430"/>
      <c r="CH858" s="430"/>
      <c r="CI858" s="430"/>
      <c r="CJ858" s="430"/>
      <c r="CK858" s="430"/>
      <c r="CL858" s="430"/>
    </row>
    <row r="859" spans="63:90" ht="14.25" customHeight="1">
      <c r="BK859" s="430"/>
      <c r="BL859" s="430"/>
      <c r="BM859" s="430"/>
      <c r="BN859" s="430"/>
      <c r="BO859" s="430"/>
      <c r="BP859" s="430"/>
      <c r="BQ859" s="430"/>
      <c r="BR859" s="430"/>
      <c r="BS859" s="430"/>
      <c r="BT859" s="430"/>
      <c r="BU859" s="430"/>
      <c r="BV859" s="430"/>
      <c r="BW859" s="430"/>
      <c r="BX859" s="430"/>
      <c r="BY859" s="430"/>
      <c r="BZ859" s="430"/>
      <c r="CA859" s="430"/>
      <c r="CB859" s="430"/>
      <c r="CC859" s="430"/>
      <c r="CD859" s="430"/>
      <c r="CE859" s="430"/>
      <c r="CF859" s="430"/>
      <c r="CG859" s="430"/>
      <c r="CH859" s="430"/>
      <c r="CI859" s="430"/>
      <c r="CJ859" s="430"/>
      <c r="CK859" s="430"/>
      <c r="CL859" s="430"/>
    </row>
    <row r="860" spans="63:90" ht="14.25" customHeight="1">
      <c r="BK860" s="430"/>
      <c r="BL860" s="430"/>
      <c r="BM860" s="430"/>
      <c r="BN860" s="430"/>
      <c r="BO860" s="430"/>
      <c r="BP860" s="430"/>
      <c r="BQ860" s="430"/>
      <c r="BR860" s="430"/>
      <c r="BS860" s="430"/>
      <c r="BT860" s="430"/>
      <c r="BU860" s="430"/>
      <c r="BV860" s="430"/>
      <c r="BW860" s="430"/>
      <c r="BX860" s="430"/>
      <c r="BY860" s="430"/>
      <c r="BZ860" s="430"/>
      <c r="CA860" s="430"/>
      <c r="CB860" s="430"/>
      <c r="CC860" s="430"/>
      <c r="CD860" s="430"/>
      <c r="CE860" s="430"/>
      <c r="CF860" s="430"/>
      <c r="CG860" s="430"/>
      <c r="CH860" s="430"/>
      <c r="CI860" s="430"/>
      <c r="CJ860" s="430"/>
      <c r="CK860" s="430"/>
      <c r="CL860" s="430"/>
    </row>
    <row r="861" spans="63:90" ht="14.25" customHeight="1">
      <c r="BK861" s="430"/>
      <c r="BL861" s="430"/>
      <c r="BM861" s="430"/>
      <c r="BN861" s="430"/>
      <c r="BO861" s="430"/>
      <c r="BP861" s="430"/>
      <c r="BQ861" s="430"/>
      <c r="BR861" s="430"/>
      <c r="BS861" s="430"/>
      <c r="BT861" s="430"/>
      <c r="BU861" s="430"/>
      <c r="BV861" s="430"/>
      <c r="BW861" s="430"/>
      <c r="BX861" s="430"/>
      <c r="BY861" s="430"/>
      <c r="BZ861" s="430"/>
      <c r="CA861" s="430"/>
      <c r="CB861" s="430"/>
      <c r="CC861" s="430"/>
      <c r="CD861" s="430"/>
      <c r="CE861" s="430"/>
      <c r="CF861" s="430"/>
      <c r="CG861" s="430"/>
      <c r="CH861" s="430"/>
      <c r="CI861" s="430"/>
      <c r="CJ861" s="430"/>
      <c r="CK861" s="430"/>
      <c r="CL861" s="430"/>
    </row>
    <row r="862" spans="63:90" ht="14.25" customHeight="1">
      <c r="BK862" s="430"/>
      <c r="BL862" s="430"/>
      <c r="BM862" s="430"/>
      <c r="BN862" s="430"/>
      <c r="BO862" s="430"/>
      <c r="BP862" s="430"/>
      <c r="BQ862" s="430"/>
      <c r="BR862" s="430"/>
      <c r="BS862" s="430"/>
      <c r="BT862" s="430"/>
      <c r="BU862" s="430"/>
      <c r="BV862" s="430"/>
      <c r="BW862" s="430"/>
      <c r="BX862" s="430"/>
      <c r="BY862" s="430"/>
      <c r="BZ862" s="430"/>
      <c r="CA862" s="430"/>
      <c r="CB862" s="430"/>
      <c r="CC862" s="430"/>
      <c r="CD862" s="430"/>
      <c r="CE862" s="430"/>
      <c r="CF862" s="430"/>
      <c r="CG862" s="430"/>
      <c r="CH862" s="430"/>
      <c r="CI862" s="430"/>
      <c r="CJ862" s="430"/>
      <c r="CK862" s="430"/>
      <c r="CL862" s="430"/>
    </row>
    <row r="863" spans="63:90" ht="14.25" customHeight="1">
      <c r="BK863" s="430"/>
      <c r="BL863" s="430"/>
      <c r="BM863" s="430"/>
      <c r="BN863" s="430"/>
      <c r="BO863" s="430"/>
      <c r="BP863" s="430"/>
      <c r="BQ863" s="430"/>
      <c r="BR863" s="430"/>
      <c r="BS863" s="430"/>
      <c r="BT863" s="430"/>
      <c r="BU863" s="430"/>
      <c r="BV863" s="430"/>
      <c r="BW863" s="430"/>
      <c r="BX863" s="430"/>
      <c r="BY863" s="430"/>
      <c r="BZ863" s="430"/>
      <c r="CA863" s="430"/>
      <c r="CB863" s="430"/>
      <c r="CC863" s="430"/>
      <c r="CD863" s="430"/>
      <c r="CE863" s="430"/>
      <c r="CF863" s="430"/>
      <c r="CG863" s="430"/>
      <c r="CH863" s="430"/>
      <c r="CI863" s="430"/>
      <c r="CJ863" s="430"/>
      <c r="CK863" s="430"/>
      <c r="CL863" s="430"/>
    </row>
    <row r="864" spans="63:90" ht="14.25" customHeight="1">
      <c r="BK864" s="430"/>
      <c r="BL864" s="430"/>
      <c r="BM864" s="430"/>
      <c r="BN864" s="430"/>
      <c r="BO864" s="430"/>
      <c r="BP864" s="430"/>
      <c r="BQ864" s="430"/>
      <c r="BR864" s="430"/>
      <c r="BS864" s="430"/>
      <c r="BT864" s="430"/>
      <c r="BU864" s="430"/>
      <c r="BV864" s="430"/>
      <c r="BW864" s="430"/>
      <c r="BX864" s="430"/>
      <c r="BY864" s="430"/>
      <c r="BZ864" s="430"/>
      <c r="CA864" s="430"/>
      <c r="CB864" s="430"/>
      <c r="CC864" s="430"/>
      <c r="CD864" s="430"/>
      <c r="CE864" s="430"/>
      <c r="CF864" s="430"/>
      <c r="CG864" s="430"/>
      <c r="CH864" s="430"/>
      <c r="CI864" s="430"/>
      <c r="CJ864" s="430"/>
      <c r="CK864" s="430"/>
      <c r="CL864" s="430"/>
    </row>
    <row r="865" spans="63:90" ht="14.25" customHeight="1">
      <c r="BK865" s="430"/>
      <c r="BL865" s="430"/>
      <c r="BM865" s="430"/>
      <c r="BN865" s="430"/>
      <c r="BO865" s="430"/>
      <c r="BP865" s="430"/>
      <c r="BQ865" s="430"/>
      <c r="BR865" s="430"/>
      <c r="BS865" s="430"/>
      <c r="BT865" s="430"/>
      <c r="BU865" s="430"/>
      <c r="BV865" s="430"/>
      <c r="BW865" s="430"/>
      <c r="BX865" s="430"/>
      <c r="BY865" s="430"/>
      <c r="BZ865" s="430"/>
      <c r="CA865" s="430"/>
      <c r="CB865" s="430"/>
      <c r="CC865" s="430"/>
      <c r="CD865" s="430"/>
      <c r="CE865" s="430"/>
      <c r="CF865" s="430"/>
      <c r="CG865" s="430"/>
      <c r="CH865" s="430"/>
      <c r="CI865" s="430"/>
      <c r="CJ865" s="430"/>
      <c r="CK865" s="430"/>
      <c r="CL865" s="430"/>
    </row>
    <row r="866" spans="63:90" ht="14.25" customHeight="1">
      <c r="BK866" s="430"/>
      <c r="BL866" s="430"/>
      <c r="BM866" s="430"/>
      <c r="BN866" s="430"/>
      <c r="BO866" s="430"/>
      <c r="BP866" s="430"/>
      <c r="BQ866" s="430"/>
      <c r="BR866" s="430"/>
      <c r="BS866" s="430"/>
      <c r="BT866" s="430"/>
      <c r="BU866" s="430"/>
      <c r="BV866" s="430"/>
      <c r="BW866" s="430"/>
      <c r="BX866" s="430"/>
      <c r="BY866" s="430"/>
      <c r="BZ866" s="430"/>
      <c r="CA866" s="430"/>
      <c r="CB866" s="430"/>
      <c r="CC866" s="430"/>
      <c r="CD866" s="430"/>
      <c r="CE866" s="430"/>
      <c r="CF866" s="430"/>
      <c r="CG866" s="430"/>
      <c r="CH866" s="430"/>
      <c r="CI866" s="430"/>
      <c r="CJ866" s="430"/>
      <c r="CK866" s="430"/>
      <c r="CL866" s="430"/>
    </row>
    <row r="867" spans="63:90" ht="14.25" customHeight="1">
      <c r="BK867" s="430"/>
      <c r="BL867" s="430"/>
      <c r="BM867" s="430"/>
      <c r="BN867" s="430"/>
      <c r="BO867" s="430"/>
      <c r="BP867" s="430"/>
      <c r="BQ867" s="430"/>
      <c r="BR867" s="430"/>
      <c r="BS867" s="430"/>
      <c r="BT867" s="430"/>
      <c r="BU867" s="430"/>
      <c r="BV867" s="430"/>
      <c r="BW867" s="430"/>
      <c r="BX867" s="430"/>
      <c r="BY867" s="430"/>
      <c r="BZ867" s="430"/>
      <c r="CA867" s="430"/>
      <c r="CB867" s="430"/>
      <c r="CC867" s="430"/>
      <c r="CD867" s="430"/>
      <c r="CE867" s="430"/>
      <c r="CF867" s="430"/>
      <c r="CG867" s="430"/>
      <c r="CH867" s="430"/>
      <c r="CI867" s="430"/>
      <c r="CJ867" s="430"/>
      <c r="CK867" s="430"/>
      <c r="CL867" s="430"/>
    </row>
    <row r="868" spans="63:90" ht="14.25" customHeight="1">
      <c r="BK868" s="430"/>
      <c r="BL868" s="430"/>
      <c r="BM868" s="430"/>
      <c r="BN868" s="430"/>
      <c r="BO868" s="430"/>
      <c r="BP868" s="430"/>
      <c r="BQ868" s="430"/>
      <c r="BR868" s="430"/>
      <c r="BS868" s="430"/>
      <c r="BT868" s="430"/>
      <c r="BU868" s="430"/>
      <c r="BV868" s="430"/>
      <c r="BW868" s="430"/>
      <c r="BX868" s="430"/>
      <c r="BY868" s="430"/>
      <c r="BZ868" s="430"/>
      <c r="CA868" s="430"/>
      <c r="CB868" s="430"/>
      <c r="CC868" s="430"/>
      <c r="CD868" s="430"/>
      <c r="CE868" s="430"/>
      <c r="CF868" s="430"/>
      <c r="CG868" s="430"/>
      <c r="CH868" s="430"/>
      <c r="CI868" s="430"/>
      <c r="CJ868" s="430"/>
      <c r="CK868" s="430"/>
      <c r="CL868" s="430"/>
    </row>
    <row r="869" spans="63:90" ht="14.25" customHeight="1">
      <c r="BK869" s="430"/>
      <c r="BL869" s="430"/>
      <c r="BM869" s="430"/>
      <c r="BN869" s="430"/>
      <c r="BO869" s="430"/>
      <c r="BP869" s="430"/>
      <c r="BQ869" s="430"/>
      <c r="BR869" s="430"/>
      <c r="BS869" s="430"/>
      <c r="BT869" s="430"/>
      <c r="BU869" s="430"/>
      <c r="BV869" s="430"/>
      <c r="BW869" s="430"/>
      <c r="BX869" s="430"/>
      <c r="BY869" s="430"/>
      <c r="BZ869" s="430"/>
      <c r="CA869" s="430"/>
      <c r="CB869" s="430"/>
      <c r="CC869" s="430"/>
      <c r="CD869" s="430"/>
      <c r="CE869" s="430"/>
      <c r="CF869" s="430"/>
      <c r="CG869" s="430"/>
      <c r="CH869" s="430"/>
      <c r="CI869" s="430"/>
      <c r="CJ869" s="430"/>
      <c r="CK869" s="430"/>
      <c r="CL869" s="430"/>
    </row>
    <row r="870" spans="63:90" ht="14.25" customHeight="1">
      <c r="BK870" s="430"/>
      <c r="BL870" s="430"/>
      <c r="BM870" s="430"/>
      <c r="BN870" s="430"/>
      <c r="BO870" s="430"/>
      <c r="BP870" s="430"/>
      <c r="BQ870" s="430"/>
      <c r="BR870" s="430"/>
      <c r="BS870" s="430"/>
      <c r="BT870" s="430"/>
      <c r="BU870" s="430"/>
      <c r="BV870" s="430"/>
      <c r="BW870" s="430"/>
      <c r="BX870" s="430"/>
      <c r="BY870" s="430"/>
      <c r="BZ870" s="430"/>
      <c r="CA870" s="430"/>
      <c r="CB870" s="430"/>
      <c r="CC870" s="430"/>
      <c r="CD870" s="430"/>
      <c r="CE870" s="430"/>
      <c r="CF870" s="430"/>
      <c r="CG870" s="430"/>
      <c r="CH870" s="430"/>
      <c r="CI870" s="430"/>
      <c r="CJ870" s="430"/>
      <c r="CK870" s="430"/>
      <c r="CL870" s="430"/>
    </row>
    <row r="871" spans="63:90" ht="14.25" customHeight="1">
      <c r="BK871" s="430"/>
      <c r="BL871" s="430"/>
      <c r="BM871" s="430"/>
      <c r="BN871" s="430"/>
      <c r="BO871" s="430"/>
      <c r="BP871" s="430"/>
      <c r="BQ871" s="430"/>
      <c r="BR871" s="430"/>
      <c r="BS871" s="430"/>
      <c r="BT871" s="430"/>
      <c r="BU871" s="430"/>
      <c r="BV871" s="430"/>
      <c r="BW871" s="430"/>
      <c r="BX871" s="430"/>
      <c r="BY871" s="430"/>
      <c r="BZ871" s="430"/>
      <c r="CA871" s="430"/>
      <c r="CB871" s="430"/>
      <c r="CC871" s="430"/>
      <c r="CD871" s="430"/>
      <c r="CE871" s="430"/>
      <c r="CF871" s="430"/>
      <c r="CG871" s="430"/>
      <c r="CH871" s="430"/>
      <c r="CI871" s="430"/>
      <c r="CJ871" s="430"/>
      <c r="CK871" s="430"/>
      <c r="CL871" s="430"/>
    </row>
    <row r="872" spans="63:90" ht="14.25" customHeight="1">
      <c r="BK872" s="430"/>
      <c r="BL872" s="430"/>
      <c r="BM872" s="430"/>
      <c r="BN872" s="430"/>
      <c r="BO872" s="430"/>
      <c r="BP872" s="430"/>
      <c r="BQ872" s="430"/>
      <c r="BR872" s="430"/>
      <c r="BS872" s="430"/>
      <c r="BT872" s="430"/>
      <c r="BU872" s="430"/>
      <c r="BV872" s="430"/>
      <c r="BW872" s="430"/>
      <c r="BX872" s="430"/>
      <c r="BY872" s="430"/>
      <c r="BZ872" s="430"/>
      <c r="CA872" s="430"/>
      <c r="CB872" s="430"/>
      <c r="CC872" s="430"/>
      <c r="CD872" s="430"/>
      <c r="CE872" s="430"/>
      <c r="CF872" s="430"/>
      <c r="CG872" s="430"/>
      <c r="CH872" s="430"/>
      <c r="CI872" s="430"/>
      <c r="CJ872" s="430"/>
      <c r="CK872" s="430"/>
      <c r="CL872" s="430"/>
    </row>
    <row r="873" spans="63:90" ht="14.25" customHeight="1">
      <c r="BK873" s="430"/>
      <c r="BL873" s="430"/>
      <c r="BM873" s="430"/>
      <c r="BN873" s="430"/>
      <c r="BO873" s="430"/>
      <c r="BP873" s="430"/>
      <c r="BQ873" s="430"/>
      <c r="BR873" s="430"/>
      <c r="BS873" s="430"/>
      <c r="BT873" s="430"/>
      <c r="BU873" s="430"/>
      <c r="BV873" s="430"/>
      <c r="BW873" s="430"/>
      <c r="BX873" s="430"/>
      <c r="BY873" s="430"/>
      <c r="BZ873" s="430"/>
      <c r="CA873" s="430"/>
      <c r="CB873" s="430"/>
      <c r="CC873" s="430"/>
      <c r="CD873" s="430"/>
      <c r="CE873" s="430"/>
      <c r="CF873" s="430"/>
      <c r="CG873" s="430"/>
      <c r="CH873" s="430"/>
      <c r="CI873" s="430"/>
      <c r="CJ873" s="430"/>
      <c r="CK873" s="430"/>
      <c r="CL873" s="430"/>
    </row>
    <row r="874" spans="63:90" ht="14.25" customHeight="1">
      <c r="BK874" s="430"/>
      <c r="BL874" s="430"/>
      <c r="BM874" s="430"/>
      <c r="BN874" s="430"/>
      <c r="BO874" s="430"/>
      <c r="BP874" s="430"/>
      <c r="BQ874" s="430"/>
      <c r="BR874" s="430"/>
      <c r="BS874" s="430"/>
      <c r="BT874" s="430"/>
      <c r="BU874" s="430"/>
      <c r="BV874" s="430"/>
      <c r="BW874" s="430"/>
      <c r="BX874" s="430"/>
      <c r="BY874" s="430"/>
      <c r="BZ874" s="430"/>
      <c r="CA874" s="430"/>
      <c r="CB874" s="430"/>
      <c r="CC874" s="430"/>
      <c r="CD874" s="430"/>
      <c r="CE874" s="430"/>
      <c r="CF874" s="430"/>
      <c r="CG874" s="430"/>
      <c r="CH874" s="430"/>
      <c r="CI874" s="430"/>
      <c r="CJ874" s="430"/>
      <c r="CK874" s="430"/>
      <c r="CL874" s="430"/>
    </row>
    <row r="875" spans="63:90" ht="14.25" customHeight="1">
      <c r="BK875" s="430"/>
      <c r="BL875" s="430"/>
      <c r="BM875" s="430"/>
      <c r="BN875" s="430"/>
      <c r="BO875" s="430"/>
      <c r="BP875" s="430"/>
      <c r="BQ875" s="430"/>
      <c r="BR875" s="430"/>
      <c r="BS875" s="430"/>
      <c r="BT875" s="430"/>
      <c r="BU875" s="430"/>
      <c r="BV875" s="430"/>
      <c r="BW875" s="430"/>
      <c r="BX875" s="430"/>
      <c r="BY875" s="430"/>
      <c r="BZ875" s="430"/>
      <c r="CA875" s="430"/>
      <c r="CB875" s="430"/>
      <c r="CC875" s="430"/>
      <c r="CD875" s="430"/>
      <c r="CE875" s="430"/>
      <c r="CF875" s="430"/>
      <c r="CG875" s="430"/>
      <c r="CH875" s="430"/>
      <c r="CI875" s="430"/>
      <c r="CJ875" s="430"/>
      <c r="CK875" s="430"/>
      <c r="CL875" s="430"/>
    </row>
    <row r="876" spans="63:90" ht="14.25" customHeight="1">
      <c r="BK876" s="430"/>
      <c r="BL876" s="430"/>
      <c r="BM876" s="430"/>
      <c r="BN876" s="430"/>
      <c r="BO876" s="430"/>
      <c r="BP876" s="430"/>
      <c r="BQ876" s="430"/>
      <c r="BR876" s="430"/>
      <c r="BS876" s="430"/>
      <c r="BT876" s="430"/>
      <c r="BU876" s="430"/>
      <c r="BV876" s="430"/>
      <c r="BW876" s="430"/>
      <c r="BX876" s="430"/>
      <c r="BY876" s="430"/>
      <c r="BZ876" s="430"/>
      <c r="CA876" s="430"/>
      <c r="CB876" s="430"/>
      <c r="CC876" s="430"/>
      <c r="CD876" s="430"/>
      <c r="CE876" s="430"/>
      <c r="CF876" s="430"/>
      <c r="CG876" s="430"/>
      <c r="CH876" s="430"/>
      <c r="CI876" s="430"/>
      <c r="CJ876" s="430"/>
      <c r="CK876" s="430"/>
      <c r="CL876" s="430"/>
    </row>
    <row r="877" spans="63:90" ht="14.25" customHeight="1">
      <c r="BK877" s="430"/>
      <c r="BL877" s="430"/>
      <c r="BM877" s="430"/>
      <c r="BN877" s="430"/>
      <c r="BO877" s="430"/>
      <c r="BP877" s="430"/>
      <c r="BQ877" s="430"/>
      <c r="BR877" s="430"/>
      <c r="BS877" s="430"/>
      <c r="BT877" s="430"/>
      <c r="BU877" s="430"/>
      <c r="BV877" s="430"/>
      <c r="BW877" s="430"/>
      <c r="BX877" s="430"/>
      <c r="BY877" s="430"/>
      <c r="BZ877" s="430"/>
      <c r="CA877" s="430"/>
      <c r="CB877" s="430"/>
      <c r="CC877" s="430"/>
      <c r="CD877" s="430"/>
      <c r="CE877" s="430"/>
      <c r="CF877" s="430"/>
      <c r="CG877" s="430"/>
      <c r="CH877" s="430"/>
      <c r="CI877" s="430"/>
      <c r="CJ877" s="430"/>
      <c r="CK877" s="430"/>
      <c r="CL877" s="430"/>
    </row>
    <row r="878" spans="63:90" ht="14.25" customHeight="1">
      <c r="BK878" s="430"/>
      <c r="BL878" s="430"/>
      <c r="BM878" s="430"/>
      <c r="BN878" s="430"/>
      <c r="BO878" s="430"/>
      <c r="BP878" s="430"/>
      <c r="BQ878" s="430"/>
      <c r="BR878" s="430"/>
      <c r="BS878" s="430"/>
      <c r="BT878" s="430"/>
      <c r="BU878" s="430"/>
      <c r="BV878" s="430"/>
      <c r="BW878" s="430"/>
      <c r="BX878" s="430"/>
      <c r="BY878" s="430"/>
      <c r="BZ878" s="430"/>
      <c r="CA878" s="430"/>
      <c r="CB878" s="430"/>
      <c r="CC878" s="430"/>
      <c r="CD878" s="430"/>
      <c r="CE878" s="430"/>
      <c r="CF878" s="430"/>
      <c r="CG878" s="430"/>
      <c r="CH878" s="430"/>
      <c r="CI878" s="430"/>
      <c r="CJ878" s="430"/>
      <c r="CK878" s="430"/>
      <c r="CL878" s="430"/>
    </row>
    <row r="879" spans="63:90" ht="14.25" customHeight="1">
      <c r="BK879" s="430"/>
      <c r="BL879" s="430"/>
      <c r="BM879" s="430"/>
      <c r="BN879" s="430"/>
      <c r="BO879" s="430"/>
      <c r="BP879" s="430"/>
      <c r="BQ879" s="430"/>
      <c r="BR879" s="430"/>
      <c r="BS879" s="430"/>
      <c r="BT879" s="430"/>
      <c r="BU879" s="430"/>
      <c r="BV879" s="430"/>
      <c r="BW879" s="430"/>
      <c r="BX879" s="430"/>
      <c r="BY879" s="430"/>
      <c r="BZ879" s="430"/>
      <c r="CA879" s="430"/>
      <c r="CB879" s="430"/>
      <c r="CC879" s="430"/>
      <c r="CD879" s="430"/>
      <c r="CE879" s="430"/>
      <c r="CF879" s="430"/>
      <c r="CG879" s="430"/>
      <c r="CH879" s="430"/>
      <c r="CI879" s="430"/>
      <c r="CJ879" s="430"/>
      <c r="CK879" s="430"/>
      <c r="CL879" s="430"/>
    </row>
    <row r="880" spans="63:90" ht="14.25" customHeight="1">
      <c r="BK880" s="430"/>
      <c r="BL880" s="430"/>
      <c r="BM880" s="430"/>
      <c r="BN880" s="430"/>
      <c r="BO880" s="430"/>
      <c r="BP880" s="430"/>
      <c r="BQ880" s="430"/>
      <c r="BR880" s="430"/>
      <c r="BS880" s="430"/>
      <c r="BT880" s="430"/>
      <c r="BU880" s="430"/>
      <c r="BV880" s="430"/>
      <c r="BW880" s="430"/>
      <c r="BX880" s="430"/>
      <c r="BY880" s="430"/>
      <c r="BZ880" s="430"/>
      <c r="CA880" s="430"/>
      <c r="CB880" s="430"/>
      <c r="CC880" s="430"/>
      <c r="CD880" s="430"/>
      <c r="CE880" s="430"/>
      <c r="CF880" s="430"/>
      <c r="CG880" s="430"/>
      <c r="CH880" s="430"/>
      <c r="CI880" s="430"/>
      <c r="CJ880" s="430"/>
      <c r="CK880" s="430"/>
      <c r="CL880" s="430"/>
    </row>
    <row r="881" spans="63:90" ht="14.25" customHeight="1">
      <c r="BK881" s="430"/>
      <c r="BL881" s="430"/>
      <c r="BM881" s="430"/>
      <c r="BN881" s="430"/>
      <c r="BO881" s="430"/>
      <c r="BP881" s="430"/>
      <c r="BQ881" s="430"/>
      <c r="BR881" s="430"/>
      <c r="BS881" s="430"/>
      <c r="BT881" s="430"/>
      <c r="BU881" s="430"/>
      <c r="BV881" s="430"/>
      <c r="BW881" s="430"/>
      <c r="BX881" s="430"/>
      <c r="BY881" s="430"/>
      <c r="BZ881" s="430"/>
      <c r="CA881" s="430"/>
      <c r="CB881" s="430"/>
      <c r="CC881" s="430"/>
      <c r="CD881" s="430"/>
      <c r="CE881" s="430"/>
      <c r="CF881" s="430"/>
      <c r="CG881" s="430"/>
      <c r="CH881" s="430"/>
      <c r="CI881" s="430"/>
      <c r="CJ881" s="430"/>
      <c r="CK881" s="430"/>
      <c r="CL881" s="430"/>
    </row>
    <row r="882" spans="63:90" ht="14.25" customHeight="1">
      <c r="BK882" s="430"/>
      <c r="BL882" s="430"/>
      <c r="BM882" s="430"/>
      <c r="BN882" s="430"/>
      <c r="BO882" s="430"/>
      <c r="BP882" s="430"/>
      <c r="BQ882" s="430"/>
      <c r="BR882" s="430"/>
      <c r="BS882" s="430"/>
      <c r="BT882" s="430"/>
      <c r="BU882" s="430"/>
      <c r="BV882" s="430"/>
      <c r="BW882" s="430"/>
      <c r="BX882" s="430"/>
      <c r="BY882" s="430"/>
      <c r="BZ882" s="430"/>
      <c r="CA882" s="430"/>
      <c r="CB882" s="430"/>
      <c r="CC882" s="430"/>
      <c r="CD882" s="430"/>
      <c r="CE882" s="430"/>
      <c r="CF882" s="430"/>
      <c r="CG882" s="430"/>
      <c r="CH882" s="430"/>
      <c r="CI882" s="430"/>
      <c r="CJ882" s="430"/>
      <c r="CK882" s="430"/>
      <c r="CL882" s="430"/>
    </row>
    <row r="883" spans="63:90" ht="14.25" customHeight="1">
      <c r="BK883" s="430"/>
      <c r="BL883" s="430"/>
      <c r="BM883" s="430"/>
      <c r="BN883" s="430"/>
      <c r="BO883" s="430"/>
      <c r="BP883" s="430"/>
      <c r="BQ883" s="430"/>
      <c r="BR883" s="430"/>
      <c r="BS883" s="430"/>
      <c r="BT883" s="430"/>
      <c r="BU883" s="430"/>
      <c r="BV883" s="430"/>
      <c r="BW883" s="430"/>
      <c r="BX883" s="430"/>
      <c r="BY883" s="430"/>
      <c r="BZ883" s="430"/>
      <c r="CA883" s="430"/>
      <c r="CB883" s="430"/>
      <c r="CC883" s="430"/>
      <c r="CD883" s="430"/>
      <c r="CE883" s="430"/>
      <c r="CF883" s="430"/>
      <c r="CG883" s="430"/>
      <c r="CH883" s="430"/>
      <c r="CI883" s="430"/>
      <c r="CJ883" s="430"/>
      <c r="CK883" s="430"/>
      <c r="CL883" s="430"/>
    </row>
    <row r="884" spans="63:90" ht="14.25" customHeight="1">
      <c r="BK884" s="430"/>
      <c r="BL884" s="430"/>
      <c r="BM884" s="430"/>
      <c r="BN884" s="430"/>
      <c r="BO884" s="430"/>
      <c r="BP884" s="430"/>
      <c r="BQ884" s="430"/>
      <c r="BR884" s="430"/>
      <c r="BS884" s="430"/>
      <c r="BT884" s="430"/>
      <c r="BU884" s="430"/>
      <c r="BV884" s="430"/>
      <c r="BW884" s="430"/>
      <c r="BX884" s="430"/>
      <c r="BY884" s="430"/>
      <c r="BZ884" s="430"/>
      <c r="CA884" s="430"/>
      <c r="CB884" s="430"/>
      <c r="CC884" s="430"/>
      <c r="CD884" s="430"/>
      <c r="CE884" s="430"/>
      <c r="CF884" s="430"/>
      <c r="CG884" s="430"/>
      <c r="CH884" s="430"/>
      <c r="CI884" s="430"/>
      <c r="CJ884" s="430"/>
      <c r="CK884" s="430"/>
      <c r="CL884" s="430"/>
    </row>
    <row r="885" spans="63:90" ht="14.25" customHeight="1">
      <c r="BK885" s="430"/>
      <c r="BL885" s="430"/>
      <c r="BM885" s="430"/>
      <c r="BN885" s="430"/>
      <c r="BO885" s="430"/>
      <c r="BP885" s="430"/>
      <c r="BQ885" s="430"/>
      <c r="BR885" s="430"/>
      <c r="BS885" s="430"/>
      <c r="BT885" s="430"/>
      <c r="BU885" s="430"/>
      <c r="BV885" s="430"/>
      <c r="BW885" s="430"/>
      <c r="BX885" s="430"/>
      <c r="BY885" s="430"/>
      <c r="BZ885" s="430"/>
      <c r="CA885" s="430"/>
      <c r="CB885" s="430"/>
      <c r="CC885" s="430"/>
      <c r="CD885" s="430"/>
      <c r="CE885" s="430"/>
      <c r="CF885" s="430"/>
      <c r="CG885" s="430"/>
      <c r="CH885" s="430"/>
      <c r="CI885" s="430"/>
      <c r="CJ885" s="430"/>
      <c r="CK885" s="430"/>
      <c r="CL885" s="430"/>
    </row>
    <row r="886" spans="63:90" ht="14.25" customHeight="1">
      <c r="BK886" s="430"/>
      <c r="BL886" s="430"/>
      <c r="BM886" s="430"/>
      <c r="BN886" s="430"/>
      <c r="BO886" s="430"/>
      <c r="BP886" s="430"/>
      <c r="BQ886" s="430"/>
      <c r="BR886" s="430"/>
      <c r="BS886" s="430"/>
      <c r="BT886" s="430"/>
      <c r="BU886" s="430"/>
      <c r="BV886" s="430"/>
      <c r="BW886" s="430"/>
      <c r="BX886" s="430"/>
      <c r="BY886" s="430"/>
      <c r="BZ886" s="430"/>
      <c r="CA886" s="430"/>
      <c r="CB886" s="430"/>
      <c r="CC886" s="430"/>
      <c r="CD886" s="430"/>
      <c r="CE886" s="430"/>
      <c r="CF886" s="430"/>
      <c r="CG886" s="430"/>
      <c r="CH886" s="430"/>
      <c r="CI886" s="430"/>
      <c r="CJ886" s="430"/>
      <c r="CK886" s="430"/>
      <c r="CL886" s="430"/>
    </row>
    <row r="887" spans="63:90" ht="14.25" customHeight="1">
      <c r="BK887" s="430"/>
      <c r="BL887" s="430"/>
      <c r="BM887" s="430"/>
      <c r="BN887" s="430"/>
      <c r="BO887" s="430"/>
      <c r="BP887" s="430"/>
      <c r="BQ887" s="430"/>
      <c r="BR887" s="430"/>
      <c r="BS887" s="430"/>
      <c r="BT887" s="430"/>
      <c r="BU887" s="430"/>
      <c r="BV887" s="430"/>
      <c r="BW887" s="430"/>
      <c r="BX887" s="430"/>
      <c r="BY887" s="430"/>
      <c r="BZ887" s="430"/>
      <c r="CA887" s="430"/>
      <c r="CB887" s="430"/>
      <c r="CC887" s="430"/>
      <c r="CD887" s="430"/>
      <c r="CE887" s="430"/>
      <c r="CF887" s="430"/>
      <c r="CG887" s="430"/>
      <c r="CH887" s="430"/>
      <c r="CI887" s="430"/>
      <c r="CJ887" s="430"/>
      <c r="CK887" s="430"/>
      <c r="CL887" s="430"/>
    </row>
    <row r="888" spans="63:90" ht="14.25" customHeight="1">
      <c r="BK888" s="430"/>
      <c r="BL888" s="430"/>
      <c r="BM888" s="430"/>
      <c r="BN888" s="430"/>
      <c r="BO888" s="430"/>
      <c r="BP888" s="430"/>
      <c r="BQ888" s="430"/>
      <c r="BR888" s="430"/>
      <c r="BS888" s="430"/>
      <c r="BT888" s="430"/>
      <c r="BU888" s="430"/>
      <c r="BV888" s="430"/>
      <c r="BW888" s="430"/>
      <c r="BX888" s="430"/>
      <c r="BY888" s="430"/>
      <c r="BZ888" s="430"/>
      <c r="CA888" s="430"/>
      <c r="CB888" s="430"/>
      <c r="CC888" s="430"/>
      <c r="CD888" s="430"/>
      <c r="CE888" s="430"/>
      <c r="CF888" s="430"/>
      <c r="CG888" s="430"/>
      <c r="CH888" s="430"/>
      <c r="CI888" s="430"/>
      <c r="CJ888" s="430"/>
      <c r="CK888" s="430"/>
      <c r="CL888" s="430"/>
    </row>
    <row r="889" spans="63:90" ht="14.25" customHeight="1">
      <c r="BK889" s="430"/>
      <c r="BL889" s="430"/>
      <c r="BM889" s="430"/>
      <c r="BN889" s="430"/>
      <c r="BO889" s="430"/>
      <c r="BP889" s="430"/>
      <c r="BQ889" s="430"/>
      <c r="BR889" s="430"/>
      <c r="BS889" s="430"/>
      <c r="BT889" s="430"/>
      <c r="BU889" s="430"/>
      <c r="BV889" s="430"/>
      <c r="BW889" s="430"/>
      <c r="BX889" s="430"/>
      <c r="BY889" s="430"/>
      <c r="BZ889" s="430"/>
      <c r="CA889" s="430"/>
      <c r="CB889" s="430"/>
      <c r="CC889" s="430"/>
      <c r="CD889" s="430"/>
      <c r="CE889" s="430"/>
      <c r="CF889" s="430"/>
      <c r="CG889" s="430"/>
      <c r="CH889" s="430"/>
      <c r="CI889" s="430"/>
      <c r="CJ889" s="430"/>
      <c r="CK889" s="430"/>
      <c r="CL889" s="430"/>
    </row>
    <row r="890" spans="63:90" ht="14.25" customHeight="1">
      <c r="BK890" s="430"/>
      <c r="BL890" s="430"/>
      <c r="BM890" s="430"/>
      <c r="BN890" s="430"/>
      <c r="BO890" s="430"/>
      <c r="BP890" s="430"/>
      <c r="BQ890" s="430"/>
      <c r="BR890" s="430"/>
      <c r="BS890" s="430"/>
      <c r="BT890" s="430"/>
      <c r="BU890" s="430"/>
      <c r="BV890" s="430"/>
      <c r="BW890" s="430"/>
      <c r="BX890" s="430"/>
      <c r="BY890" s="430"/>
      <c r="BZ890" s="430"/>
      <c r="CA890" s="430"/>
      <c r="CB890" s="430"/>
      <c r="CC890" s="430"/>
      <c r="CD890" s="430"/>
      <c r="CE890" s="430"/>
      <c r="CF890" s="430"/>
      <c r="CG890" s="430"/>
      <c r="CH890" s="430"/>
      <c r="CI890" s="430"/>
      <c r="CJ890" s="430"/>
      <c r="CK890" s="430"/>
      <c r="CL890" s="430"/>
    </row>
    <row r="891" spans="63:90" ht="14.25" customHeight="1">
      <c r="BK891" s="430"/>
      <c r="BL891" s="430"/>
      <c r="BM891" s="430"/>
      <c r="BN891" s="430"/>
      <c r="BO891" s="430"/>
      <c r="BP891" s="430"/>
      <c r="BQ891" s="430"/>
      <c r="BR891" s="430"/>
      <c r="BS891" s="430"/>
      <c r="BT891" s="430"/>
      <c r="BU891" s="430"/>
      <c r="BV891" s="430"/>
      <c r="BW891" s="430"/>
      <c r="BX891" s="430"/>
      <c r="BY891" s="430"/>
      <c r="BZ891" s="430"/>
      <c r="CA891" s="430"/>
      <c r="CB891" s="430"/>
      <c r="CC891" s="430"/>
      <c r="CD891" s="430"/>
      <c r="CE891" s="430"/>
      <c r="CF891" s="430"/>
      <c r="CG891" s="430"/>
      <c r="CH891" s="430"/>
      <c r="CI891" s="430"/>
      <c r="CJ891" s="430"/>
      <c r="CK891" s="430"/>
      <c r="CL891" s="430"/>
    </row>
    <row r="892" spans="63:90" ht="14.25" customHeight="1">
      <c r="BK892" s="430"/>
      <c r="BL892" s="430"/>
      <c r="BM892" s="430"/>
      <c r="BN892" s="430"/>
      <c r="BO892" s="430"/>
      <c r="BP892" s="430"/>
      <c r="BQ892" s="430"/>
      <c r="BR892" s="430"/>
      <c r="BS892" s="430"/>
      <c r="BT892" s="430"/>
      <c r="BU892" s="430"/>
      <c r="BV892" s="430"/>
      <c r="BW892" s="430"/>
      <c r="BX892" s="430"/>
      <c r="BY892" s="430"/>
      <c r="BZ892" s="430"/>
      <c r="CA892" s="430"/>
      <c r="CB892" s="430"/>
      <c r="CC892" s="430"/>
      <c r="CD892" s="430"/>
      <c r="CE892" s="430"/>
      <c r="CF892" s="430"/>
      <c r="CG892" s="430"/>
      <c r="CH892" s="430"/>
      <c r="CI892" s="430"/>
      <c r="CJ892" s="430"/>
      <c r="CK892" s="430"/>
      <c r="CL892" s="430"/>
    </row>
    <row r="893" spans="63:90" ht="14.25" customHeight="1">
      <c r="BK893" s="430"/>
      <c r="BL893" s="430"/>
      <c r="BM893" s="430"/>
      <c r="BN893" s="430"/>
      <c r="BO893" s="430"/>
      <c r="BP893" s="430"/>
      <c r="BQ893" s="430"/>
      <c r="BR893" s="430"/>
      <c r="BS893" s="430"/>
      <c r="BT893" s="430"/>
      <c r="BU893" s="430"/>
      <c r="BV893" s="430"/>
      <c r="BW893" s="430"/>
      <c r="BX893" s="430"/>
      <c r="BY893" s="430"/>
      <c r="BZ893" s="430"/>
      <c r="CA893" s="430"/>
      <c r="CB893" s="430"/>
      <c r="CC893" s="430"/>
      <c r="CD893" s="430"/>
      <c r="CE893" s="430"/>
      <c r="CF893" s="430"/>
      <c r="CG893" s="430"/>
      <c r="CH893" s="430"/>
      <c r="CI893" s="430"/>
      <c r="CJ893" s="430"/>
      <c r="CK893" s="430"/>
      <c r="CL893" s="430"/>
    </row>
    <row r="894" spans="63:90" ht="14.25" customHeight="1">
      <c r="BK894" s="430"/>
      <c r="BL894" s="430"/>
      <c r="BM894" s="430"/>
      <c r="BN894" s="430"/>
      <c r="BO894" s="430"/>
      <c r="BP894" s="430"/>
      <c r="BQ894" s="430"/>
      <c r="BR894" s="430"/>
      <c r="BS894" s="430"/>
      <c r="BT894" s="430"/>
      <c r="BU894" s="430"/>
      <c r="BV894" s="430"/>
      <c r="BW894" s="430"/>
      <c r="BX894" s="430"/>
      <c r="BY894" s="430"/>
      <c r="BZ894" s="430"/>
      <c r="CA894" s="430"/>
      <c r="CB894" s="430"/>
      <c r="CC894" s="430"/>
      <c r="CD894" s="430"/>
      <c r="CE894" s="430"/>
      <c r="CF894" s="430"/>
      <c r="CG894" s="430"/>
      <c r="CH894" s="430"/>
      <c r="CI894" s="430"/>
      <c r="CJ894" s="430"/>
      <c r="CK894" s="430"/>
      <c r="CL894" s="430"/>
    </row>
    <row r="895" spans="63:90" ht="14.25" customHeight="1">
      <c r="BK895" s="430"/>
      <c r="BL895" s="430"/>
      <c r="BM895" s="430"/>
      <c r="BN895" s="430"/>
      <c r="BO895" s="430"/>
      <c r="BP895" s="430"/>
      <c r="BQ895" s="430"/>
      <c r="BR895" s="430"/>
      <c r="BS895" s="430"/>
      <c r="BT895" s="430"/>
      <c r="BU895" s="430"/>
      <c r="BV895" s="430"/>
      <c r="BW895" s="430"/>
      <c r="BX895" s="430"/>
      <c r="BY895" s="430"/>
      <c r="BZ895" s="430"/>
      <c r="CA895" s="430"/>
      <c r="CB895" s="430"/>
      <c r="CC895" s="430"/>
      <c r="CD895" s="430"/>
      <c r="CE895" s="430"/>
      <c r="CF895" s="430"/>
      <c r="CG895" s="430"/>
      <c r="CH895" s="430"/>
      <c r="CI895" s="430"/>
      <c r="CJ895" s="430"/>
      <c r="CK895" s="430"/>
      <c r="CL895" s="430"/>
    </row>
    <row r="896" spans="63:90" ht="14.25" customHeight="1">
      <c r="BK896" s="430"/>
      <c r="BL896" s="430"/>
      <c r="BM896" s="430"/>
      <c r="BN896" s="430"/>
      <c r="BO896" s="430"/>
      <c r="BP896" s="430"/>
      <c r="BQ896" s="430"/>
      <c r="BR896" s="430"/>
      <c r="BS896" s="430"/>
      <c r="BT896" s="430"/>
      <c r="BU896" s="430"/>
      <c r="BV896" s="430"/>
      <c r="BW896" s="430"/>
      <c r="BX896" s="430"/>
      <c r="BY896" s="430"/>
      <c r="BZ896" s="430"/>
      <c r="CA896" s="430"/>
      <c r="CB896" s="430"/>
      <c r="CC896" s="430"/>
      <c r="CD896" s="430"/>
      <c r="CE896" s="430"/>
      <c r="CF896" s="430"/>
      <c r="CG896" s="430"/>
      <c r="CH896" s="430"/>
      <c r="CI896" s="430"/>
      <c r="CJ896" s="430"/>
      <c r="CK896" s="430"/>
      <c r="CL896" s="430"/>
    </row>
    <row r="897" spans="63:90" ht="14.25" customHeight="1">
      <c r="BK897" s="430"/>
      <c r="BL897" s="430"/>
      <c r="BM897" s="430"/>
      <c r="BN897" s="430"/>
      <c r="BO897" s="430"/>
      <c r="BP897" s="430"/>
      <c r="BQ897" s="430"/>
      <c r="BR897" s="430"/>
      <c r="BS897" s="430"/>
      <c r="BT897" s="430"/>
      <c r="BU897" s="430"/>
      <c r="BV897" s="430"/>
      <c r="BW897" s="430"/>
      <c r="BX897" s="430"/>
      <c r="BY897" s="430"/>
      <c r="BZ897" s="430"/>
      <c r="CA897" s="430"/>
      <c r="CB897" s="430"/>
      <c r="CC897" s="430"/>
      <c r="CD897" s="430"/>
      <c r="CE897" s="430"/>
      <c r="CF897" s="430"/>
      <c r="CG897" s="430"/>
      <c r="CH897" s="430"/>
      <c r="CI897" s="430"/>
      <c r="CJ897" s="430"/>
      <c r="CK897" s="430"/>
      <c r="CL897" s="430"/>
    </row>
    <row r="898" spans="63:90" ht="14.25" customHeight="1">
      <c r="BK898" s="430"/>
      <c r="BL898" s="430"/>
      <c r="BM898" s="430"/>
      <c r="BN898" s="430"/>
      <c r="BO898" s="430"/>
      <c r="BP898" s="430"/>
      <c r="BQ898" s="430"/>
      <c r="BR898" s="430"/>
      <c r="BS898" s="430"/>
      <c r="BT898" s="430"/>
      <c r="BU898" s="430"/>
      <c r="BV898" s="430"/>
      <c r="BW898" s="430"/>
      <c r="BX898" s="430"/>
      <c r="BY898" s="430"/>
      <c r="BZ898" s="430"/>
      <c r="CA898" s="430"/>
      <c r="CB898" s="430"/>
      <c r="CC898" s="430"/>
      <c r="CD898" s="430"/>
      <c r="CE898" s="430"/>
      <c r="CF898" s="430"/>
      <c r="CG898" s="430"/>
      <c r="CH898" s="430"/>
      <c r="CI898" s="430"/>
      <c r="CJ898" s="430"/>
      <c r="CK898" s="430"/>
      <c r="CL898" s="430"/>
    </row>
    <row r="899" spans="63:90" ht="14.25" customHeight="1">
      <c r="BK899" s="430"/>
      <c r="BL899" s="430"/>
      <c r="BM899" s="430"/>
      <c r="BN899" s="430"/>
      <c r="BO899" s="430"/>
      <c r="BP899" s="430"/>
      <c r="BQ899" s="430"/>
      <c r="BR899" s="430"/>
      <c r="BS899" s="430"/>
      <c r="BT899" s="430"/>
      <c r="BU899" s="430"/>
      <c r="BV899" s="430"/>
      <c r="BW899" s="430"/>
      <c r="BX899" s="430"/>
      <c r="BY899" s="430"/>
      <c r="BZ899" s="430"/>
      <c r="CA899" s="430"/>
      <c r="CB899" s="430"/>
      <c r="CC899" s="430"/>
      <c r="CD899" s="430"/>
      <c r="CE899" s="430"/>
      <c r="CF899" s="430"/>
      <c r="CG899" s="430"/>
      <c r="CH899" s="430"/>
      <c r="CI899" s="430"/>
      <c r="CJ899" s="430"/>
      <c r="CK899" s="430"/>
      <c r="CL899" s="430"/>
    </row>
    <row r="900" spans="63:90" ht="14.25" customHeight="1">
      <c r="BK900" s="430"/>
      <c r="BL900" s="430"/>
      <c r="BM900" s="430"/>
      <c r="BN900" s="430"/>
      <c r="BO900" s="430"/>
      <c r="BP900" s="430"/>
      <c r="BQ900" s="430"/>
      <c r="BR900" s="430"/>
      <c r="BS900" s="430"/>
      <c r="BT900" s="430"/>
      <c r="BU900" s="430"/>
      <c r="BV900" s="430"/>
      <c r="BW900" s="430"/>
      <c r="BX900" s="430"/>
      <c r="BY900" s="430"/>
      <c r="BZ900" s="430"/>
      <c r="CA900" s="430"/>
      <c r="CB900" s="430"/>
      <c r="CC900" s="430"/>
      <c r="CD900" s="430"/>
      <c r="CE900" s="430"/>
      <c r="CF900" s="430"/>
      <c r="CG900" s="430"/>
      <c r="CH900" s="430"/>
      <c r="CI900" s="430"/>
      <c r="CJ900" s="430"/>
      <c r="CK900" s="430"/>
      <c r="CL900" s="430"/>
    </row>
    <row r="901" spans="63:90" ht="14.25" customHeight="1">
      <c r="BK901" s="430"/>
      <c r="BL901" s="430"/>
      <c r="BM901" s="430"/>
      <c r="BN901" s="430"/>
      <c r="BO901" s="430"/>
      <c r="BP901" s="430"/>
      <c r="BQ901" s="430"/>
      <c r="BR901" s="430"/>
      <c r="BS901" s="430"/>
      <c r="BT901" s="430"/>
      <c r="BU901" s="430"/>
      <c r="BV901" s="430"/>
      <c r="BW901" s="430"/>
      <c r="BX901" s="430"/>
      <c r="BY901" s="430"/>
      <c r="BZ901" s="430"/>
      <c r="CA901" s="430"/>
      <c r="CB901" s="430"/>
      <c r="CC901" s="430"/>
      <c r="CD901" s="430"/>
      <c r="CE901" s="430"/>
      <c r="CF901" s="430"/>
      <c r="CG901" s="430"/>
      <c r="CH901" s="430"/>
      <c r="CI901" s="430"/>
      <c r="CJ901" s="430"/>
      <c r="CK901" s="430"/>
      <c r="CL901" s="430"/>
    </row>
    <row r="902" spans="63:90" ht="14.25" customHeight="1">
      <c r="BK902" s="430"/>
      <c r="BL902" s="430"/>
      <c r="BM902" s="430"/>
      <c r="BN902" s="430"/>
      <c r="BO902" s="430"/>
      <c r="BP902" s="430"/>
      <c r="BQ902" s="430"/>
      <c r="BR902" s="430"/>
      <c r="BS902" s="430"/>
      <c r="BT902" s="430"/>
      <c r="BU902" s="430"/>
      <c r="BV902" s="430"/>
      <c r="BW902" s="430"/>
      <c r="BX902" s="430"/>
      <c r="BY902" s="430"/>
      <c r="BZ902" s="430"/>
      <c r="CA902" s="430"/>
      <c r="CB902" s="430"/>
      <c r="CC902" s="430"/>
      <c r="CD902" s="430"/>
      <c r="CE902" s="430"/>
      <c r="CF902" s="430"/>
      <c r="CG902" s="430"/>
      <c r="CH902" s="430"/>
      <c r="CI902" s="430"/>
      <c r="CJ902" s="430"/>
      <c r="CK902" s="430"/>
      <c r="CL902" s="430"/>
    </row>
    <row r="903" spans="63:90" ht="14.25" customHeight="1">
      <c r="BK903" s="430"/>
      <c r="BL903" s="430"/>
      <c r="BM903" s="430"/>
      <c r="BN903" s="430"/>
      <c r="BO903" s="430"/>
      <c r="BP903" s="430"/>
      <c r="BQ903" s="430"/>
      <c r="BR903" s="430"/>
      <c r="BS903" s="430"/>
      <c r="BT903" s="430"/>
      <c r="BU903" s="430"/>
      <c r="BV903" s="430"/>
      <c r="BW903" s="430"/>
      <c r="BX903" s="430"/>
      <c r="BY903" s="430"/>
      <c r="BZ903" s="430"/>
      <c r="CA903" s="430"/>
      <c r="CB903" s="430"/>
      <c r="CC903" s="430"/>
      <c r="CD903" s="430"/>
      <c r="CE903" s="430"/>
      <c r="CF903" s="430"/>
      <c r="CG903" s="430"/>
      <c r="CH903" s="430"/>
      <c r="CI903" s="430"/>
      <c r="CJ903" s="430"/>
      <c r="CK903" s="430"/>
      <c r="CL903" s="430"/>
    </row>
    <row r="904" spans="63:90" ht="14.25" customHeight="1">
      <c r="BK904" s="430"/>
      <c r="BL904" s="430"/>
      <c r="BM904" s="430"/>
      <c r="BN904" s="430"/>
      <c r="BO904" s="430"/>
      <c r="BP904" s="430"/>
      <c r="BQ904" s="430"/>
      <c r="BR904" s="430"/>
      <c r="BS904" s="430"/>
      <c r="BT904" s="430"/>
      <c r="BU904" s="430"/>
      <c r="BV904" s="430"/>
      <c r="BW904" s="430"/>
      <c r="BX904" s="430"/>
      <c r="BY904" s="430"/>
      <c r="BZ904" s="430"/>
      <c r="CA904" s="430"/>
      <c r="CB904" s="430"/>
      <c r="CC904" s="430"/>
      <c r="CD904" s="430"/>
      <c r="CE904" s="430"/>
      <c r="CF904" s="430"/>
      <c r="CG904" s="430"/>
      <c r="CH904" s="430"/>
      <c r="CI904" s="430"/>
      <c r="CJ904" s="430"/>
      <c r="CK904" s="430"/>
      <c r="CL904" s="430"/>
    </row>
    <row r="905" spans="63:90" ht="14.25" customHeight="1">
      <c r="BK905" s="430"/>
      <c r="BL905" s="430"/>
      <c r="BM905" s="430"/>
      <c r="BN905" s="430"/>
      <c r="BO905" s="430"/>
      <c r="BP905" s="430"/>
      <c r="BQ905" s="430"/>
      <c r="BR905" s="430"/>
      <c r="BS905" s="430"/>
      <c r="BT905" s="430"/>
      <c r="BU905" s="430"/>
      <c r="BV905" s="430"/>
      <c r="BW905" s="430"/>
      <c r="BX905" s="430"/>
      <c r="BY905" s="430"/>
      <c r="BZ905" s="430"/>
      <c r="CA905" s="430"/>
      <c r="CB905" s="430"/>
      <c r="CC905" s="430"/>
      <c r="CD905" s="430"/>
      <c r="CE905" s="430"/>
      <c r="CF905" s="430"/>
      <c r="CG905" s="430"/>
      <c r="CH905" s="430"/>
      <c r="CI905" s="430"/>
      <c r="CJ905" s="430"/>
      <c r="CK905" s="430"/>
      <c r="CL905" s="430"/>
    </row>
    <row r="906" spans="63:90" ht="14.25" customHeight="1">
      <c r="BK906" s="430"/>
      <c r="BL906" s="430"/>
      <c r="BM906" s="430"/>
      <c r="BN906" s="430"/>
      <c r="BO906" s="430"/>
      <c r="BP906" s="430"/>
      <c r="BQ906" s="430"/>
      <c r="BR906" s="430"/>
      <c r="BS906" s="430"/>
      <c r="BT906" s="430"/>
      <c r="BU906" s="430"/>
      <c r="BV906" s="430"/>
      <c r="BW906" s="430"/>
      <c r="BX906" s="430"/>
      <c r="BY906" s="430"/>
      <c r="BZ906" s="430"/>
      <c r="CA906" s="430"/>
      <c r="CB906" s="430"/>
      <c r="CC906" s="430"/>
      <c r="CD906" s="430"/>
      <c r="CE906" s="430"/>
      <c r="CF906" s="430"/>
      <c r="CG906" s="430"/>
      <c r="CH906" s="430"/>
      <c r="CI906" s="430"/>
      <c r="CJ906" s="430"/>
      <c r="CK906" s="430"/>
      <c r="CL906" s="430"/>
    </row>
    <row r="907" spans="63:90" ht="14.25" customHeight="1">
      <c r="BK907" s="430"/>
      <c r="BL907" s="430"/>
      <c r="BM907" s="430"/>
      <c r="BN907" s="430"/>
      <c r="BO907" s="430"/>
      <c r="BP907" s="430"/>
      <c r="BQ907" s="430"/>
      <c r="BR907" s="430"/>
      <c r="BS907" s="430"/>
      <c r="BT907" s="430"/>
      <c r="BU907" s="430"/>
      <c r="BV907" s="430"/>
      <c r="BW907" s="430"/>
      <c r="BX907" s="430"/>
      <c r="BY907" s="430"/>
      <c r="BZ907" s="430"/>
      <c r="CA907" s="430"/>
      <c r="CB907" s="430"/>
      <c r="CC907" s="430"/>
      <c r="CD907" s="430"/>
      <c r="CE907" s="430"/>
      <c r="CF907" s="430"/>
      <c r="CG907" s="430"/>
      <c r="CH907" s="430"/>
      <c r="CI907" s="430"/>
      <c r="CJ907" s="430"/>
      <c r="CK907" s="430"/>
      <c r="CL907" s="430"/>
    </row>
    <row r="908" spans="63:90" ht="14.25" customHeight="1">
      <c r="BK908" s="430"/>
      <c r="BL908" s="430"/>
      <c r="BM908" s="430"/>
      <c r="BN908" s="430"/>
      <c r="BO908" s="430"/>
      <c r="BP908" s="430"/>
      <c r="BQ908" s="430"/>
      <c r="BR908" s="430"/>
      <c r="BS908" s="430"/>
      <c r="BT908" s="430"/>
      <c r="BU908" s="430"/>
      <c r="BV908" s="430"/>
      <c r="BW908" s="430"/>
      <c r="BX908" s="430"/>
      <c r="BY908" s="430"/>
      <c r="BZ908" s="430"/>
      <c r="CA908" s="430"/>
      <c r="CB908" s="430"/>
      <c r="CC908" s="430"/>
      <c r="CD908" s="430"/>
      <c r="CE908" s="430"/>
      <c r="CF908" s="430"/>
      <c r="CG908" s="430"/>
      <c r="CH908" s="430"/>
      <c r="CI908" s="430"/>
      <c r="CJ908" s="430"/>
      <c r="CK908" s="430"/>
      <c r="CL908" s="430"/>
    </row>
    <row r="909" spans="63:90" ht="14.25" customHeight="1">
      <c r="BK909" s="430"/>
      <c r="BL909" s="430"/>
      <c r="BM909" s="430"/>
      <c r="BN909" s="430"/>
      <c r="BO909" s="430"/>
      <c r="BP909" s="430"/>
      <c r="BQ909" s="430"/>
      <c r="BR909" s="430"/>
      <c r="BS909" s="430"/>
      <c r="BT909" s="430"/>
      <c r="BU909" s="430"/>
      <c r="BV909" s="430"/>
      <c r="BW909" s="430"/>
      <c r="BX909" s="430"/>
      <c r="BY909" s="430"/>
      <c r="BZ909" s="430"/>
      <c r="CA909" s="430"/>
      <c r="CB909" s="430"/>
      <c r="CC909" s="430"/>
      <c r="CD909" s="430"/>
      <c r="CE909" s="430"/>
      <c r="CF909" s="430"/>
      <c r="CG909" s="430"/>
      <c r="CH909" s="430"/>
      <c r="CI909" s="430"/>
      <c r="CJ909" s="430"/>
      <c r="CK909" s="430"/>
      <c r="CL909" s="430"/>
    </row>
    <row r="910" spans="63:90" ht="14.25" customHeight="1">
      <c r="BK910" s="430"/>
      <c r="BL910" s="430"/>
      <c r="BM910" s="430"/>
      <c r="BN910" s="430"/>
      <c r="BO910" s="430"/>
      <c r="BP910" s="430"/>
      <c r="BQ910" s="430"/>
      <c r="BR910" s="430"/>
      <c r="BS910" s="430"/>
      <c r="BT910" s="430"/>
      <c r="BU910" s="430"/>
      <c r="BV910" s="430"/>
      <c r="BW910" s="430"/>
      <c r="BX910" s="430"/>
      <c r="BY910" s="430"/>
      <c r="BZ910" s="430"/>
      <c r="CA910" s="430"/>
      <c r="CB910" s="430"/>
      <c r="CC910" s="430"/>
      <c r="CD910" s="430"/>
      <c r="CE910" s="430"/>
      <c r="CF910" s="430"/>
      <c r="CG910" s="430"/>
      <c r="CH910" s="430"/>
      <c r="CI910" s="430"/>
      <c r="CJ910" s="430"/>
      <c r="CK910" s="430"/>
      <c r="CL910" s="430"/>
    </row>
    <row r="911" spans="63:90" ht="14.25" customHeight="1">
      <c r="BK911" s="430"/>
      <c r="BL911" s="430"/>
      <c r="BM911" s="430"/>
      <c r="BN911" s="430"/>
      <c r="BO911" s="430"/>
      <c r="BP911" s="430"/>
      <c r="BQ911" s="430"/>
      <c r="BR911" s="430"/>
      <c r="BS911" s="430"/>
      <c r="BT911" s="430"/>
      <c r="BU911" s="430"/>
      <c r="BV911" s="430"/>
      <c r="BW911" s="430"/>
      <c r="BX911" s="430"/>
      <c r="BY911" s="430"/>
      <c r="BZ911" s="430"/>
      <c r="CA911" s="430"/>
      <c r="CB911" s="430"/>
      <c r="CC911" s="430"/>
      <c r="CD911" s="430"/>
      <c r="CE911" s="430"/>
      <c r="CF911" s="430"/>
      <c r="CG911" s="430"/>
      <c r="CH911" s="430"/>
      <c r="CI911" s="430"/>
      <c r="CJ911" s="430"/>
      <c r="CK911" s="430"/>
      <c r="CL911" s="430"/>
    </row>
    <row r="912" spans="63:90" ht="14.25" customHeight="1">
      <c r="BK912" s="430"/>
      <c r="BL912" s="430"/>
      <c r="BM912" s="430"/>
      <c r="BN912" s="430"/>
      <c r="BO912" s="430"/>
      <c r="BP912" s="430"/>
      <c r="BQ912" s="430"/>
      <c r="BR912" s="430"/>
      <c r="BS912" s="430"/>
      <c r="BT912" s="430"/>
      <c r="BU912" s="430"/>
      <c r="BV912" s="430"/>
      <c r="BW912" s="430"/>
      <c r="BX912" s="430"/>
      <c r="BY912" s="430"/>
      <c r="BZ912" s="430"/>
      <c r="CA912" s="430"/>
      <c r="CB912" s="430"/>
      <c r="CC912" s="430"/>
      <c r="CD912" s="430"/>
      <c r="CE912" s="430"/>
      <c r="CF912" s="430"/>
      <c r="CG912" s="430"/>
      <c r="CH912" s="430"/>
      <c r="CI912" s="430"/>
      <c r="CJ912" s="430"/>
      <c r="CK912" s="430"/>
      <c r="CL912" s="430"/>
    </row>
    <row r="913" spans="63:90" ht="14.25" customHeight="1">
      <c r="BK913" s="430"/>
      <c r="BL913" s="430"/>
      <c r="BM913" s="430"/>
      <c r="BN913" s="430"/>
      <c r="BO913" s="430"/>
      <c r="BP913" s="430"/>
      <c r="BQ913" s="430"/>
      <c r="BR913" s="430"/>
      <c r="BS913" s="430"/>
      <c r="BT913" s="430"/>
      <c r="BU913" s="430"/>
      <c r="BV913" s="430"/>
      <c r="BW913" s="430"/>
      <c r="BX913" s="430"/>
      <c r="BY913" s="430"/>
      <c r="BZ913" s="430"/>
      <c r="CA913" s="430"/>
      <c r="CB913" s="430"/>
      <c r="CC913" s="430"/>
      <c r="CD913" s="430"/>
      <c r="CE913" s="430"/>
      <c r="CF913" s="430"/>
      <c r="CG913" s="430"/>
      <c r="CH913" s="430"/>
      <c r="CI913" s="430"/>
      <c r="CJ913" s="430"/>
      <c r="CK913" s="430"/>
      <c r="CL913" s="430"/>
    </row>
    <row r="914" spans="63:90" ht="14.25" customHeight="1">
      <c r="BK914" s="430"/>
      <c r="BL914" s="430"/>
      <c r="BM914" s="430"/>
      <c r="BN914" s="430"/>
      <c r="BO914" s="430"/>
      <c r="BP914" s="430"/>
      <c r="BQ914" s="430"/>
      <c r="BR914" s="430"/>
      <c r="BS914" s="430"/>
      <c r="BT914" s="430"/>
      <c r="BU914" s="430"/>
      <c r="BV914" s="430"/>
      <c r="BW914" s="430"/>
      <c r="BX914" s="430"/>
      <c r="BY914" s="430"/>
      <c r="BZ914" s="430"/>
      <c r="CA914" s="430"/>
      <c r="CB914" s="430"/>
      <c r="CC914" s="430"/>
      <c r="CD914" s="430"/>
      <c r="CE914" s="430"/>
      <c r="CF914" s="430"/>
      <c r="CG914" s="430"/>
      <c r="CH914" s="430"/>
      <c r="CI914" s="430"/>
      <c r="CJ914" s="430"/>
      <c r="CK914" s="430"/>
      <c r="CL914" s="430"/>
    </row>
    <row r="915" spans="63:90" ht="14.25" customHeight="1">
      <c r="BK915" s="430"/>
      <c r="BL915" s="430"/>
      <c r="BM915" s="430"/>
      <c r="BN915" s="430"/>
      <c r="BO915" s="430"/>
      <c r="BP915" s="430"/>
      <c r="BQ915" s="430"/>
      <c r="BR915" s="430"/>
      <c r="BS915" s="430"/>
      <c r="BT915" s="430"/>
      <c r="BU915" s="430"/>
      <c r="BV915" s="430"/>
      <c r="BW915" s="430"/>
      <c r="BX915" s="430"/>
      <c r="BY915" s="430"/>
      <c r="BZ915" s="430"/>
      <c r="CA915" s="430"/>
      <c r="CB915" s="430"/>
      <c r="CC915" s="430"/>
      <c r="CD915" s="430"/>
      <c r="CE915" s="430"/>
      <c r="CF915" s="430"/>
      <c r="CG915" s="430"/>
      <c r="CH915" s="430"/>
      <c r="CI915" s="430"/>
      <c r="CJ915" s="430"/>
      <c r="CK915" s="430"/>
      <c r="CL915" s="430"/>
    </row>
    <row r="916" spans="63:90" ht="14.25" customHeight="1">
      <c r="BK916" s="430"/>
      <c r="BL916" s="430"/>
      <c r="BM916" s="430"/>
      <c r="BN916" s="430"/>
      <c r="BO916" s="430"/>
      <c r="BP916" s="430"/>
      <c r="BQ916" s="430"/>
      <c r="BR916" s="430"/>
      <c r="BS916" s="430"/>
      <c r="BT916" s="430"/>
      <c r="BU916" s="430"/>
      <c r="BV916" s="430"/>
      <c r="BW916" s="430"/>
      <c r="BX916" s="430"/>
      <c r="BY916" s="430"/>
      <c r="BZ916" s="430"/>
      <c r="CA916" s="430"/>
      <c r="CB916" s="430"/>
      <c r="CC916" s="430"/>
      <c r="CD916" s="430"/>
      <c r="CE916" s="430"/>
      <c r="CF916" s="430"/>
      <c r="CG916" s="430"/>
      <c r="CH916" s="430"/>
      <c r="CI916" s="430"/>
      <c r="CJ916" s="430"/>
      <c r="CK916" s="430"/>
      <c r="CL916" s="430"/>
    </row>
    <row r="917" spans="63:90" ht="14.25" customHeight="1">
      <c r="BK917" s="430"/>
      <c r="BL917" s="430"/>
      <c r="BM917" s="430"/>
      <c r="BN917" s="430"/>
      <c r="BO917" s="430"/>
      <c r="BP917" s="430"/>
      <c r="BQ917" s="430"/>
      <c r="BR917" s="430"/>
      <c r="BS917" s="430"/>
      <c r="BT917" s="430"/>
      <c r="BU917" s="430"/>
      <c r="BV917" s="430"/>
      <c r="BW917" s="430"/>
      <c r="BX917" s="430"/>
      <c r="BY917" s="430"/>
      <c r="BZ917" s="430"/>
      <c r="CA917" s="430"/>
      <c r="CB917" s="430"/>
      <c r="CC917" s="430"/>
      <c r="CD917" s="430"/>
      <c r="CE917" s="430"/>
      <c r="CF917" s="430"/>
      <c r="CG917" s="430"/>
      <c r="CH917" s="430"/>
      <c r="CI917" s="430"/>
      <c r="CJ917" s="430"/>
      <c r="CK917" s="430"/>
      <c r="CL917" s="430"/>
    </row>
    <row r="918" spans="63:90" ht="14.25" customHeight="1">
      <c r="BK918" s="430"/>
      <c r="BL918" s="430"/>
      <c r="BM918" s="430"/>
      <c r="BN918" s="430"/>
      <c r="BO918" s="430"/>
      <c r="BP918" s="430"/>
      <c r="BQ918" s="430"/>
      <c r="BR918" s="430"/>
      <c r="BS918" s="430"/>
      <c r="BT918" s="430"/>
      <c r="BU918" s="430"/>
      <c r="BV918" s="430"/>
      <c r="BW918" s="430"/>
      <c r="BX918" s="430"/>
      <c r="BY918" s="430"/>
      <c r="BZ918" s="430"/>
      <c r="CA918" s="430"/>
      <c r="CB918" s="430"/>
      <c r="CC918" s="430"/>
      <c r="CD918" s="430"/>
      <c r="CE918" s="430"/>
      <c r="CF918" s="430"/>
      <c r="CG918" s="430"/>
      <c r="CH918" s="430"/>
      <c r="CI918" s="430"/>
      <c r="CJ918" s="430"/>
      <c r="CK918" s="430"/>
      <c r="CL918" s="430"/>
    </row>
    <row r="919" spans="63:90" ht="14.25" customHeight="1">
      <c r="BK919" s="430"/>
      <c r="BL919" s="430"/>
      <c r="BM919" s="430"/>
      <c r="BN919" s="430"/>
      <c r="BO919" s="430"/>
      <c r="BP919" s="430"/>
      <c r="BQ919" s="430"/>
      <c r="BR919" s="430"/>
      <c r="BS919" s="430"/>
      <c r="BT919" s="430"/>
      <c r="BU919" s="430"/>
      <c r="BV919" s="430"/>
      <c r="BW919" s="430"/>
      <c r="BX919" s="430"/>
      <c r="BY919" s="430"/>
      <c r="BZ919" s="430"/>
      <c r="CA919" s="430"/>
      <c r="CB919" s="430"/>
      <c r="CC919" s="430"/>
      <c r="CD919" s="430"/>
      <c r="CE919" s="430"/>
      <c r="CF919" s="430"/>
      <c r="CG919" s="430"/>
      <c r="CH919" s="430"/>
      <c r="CI919" s="430"/>
      <c r="CJ919" s="430"/>
      <c r="CK919" s="430"/>
      <c r="CL919" s="430"/>
    </row>
    <row r="920" spans="63:90" ht="14.25" customHeight="1">
      <c r="BK920" s="430"/>
      <c r="BL920" s="430"/>
      <c r="BM920" s="430"/>
      <c r="BN920" s="430"/>
      <c r="BO920" s="430"/>
      <c r="BP920" s="430"/>
      <c r="BQ920" s="430"/>
      <c r="BR920" s="430"/>
      <c r="BS920" s="430"/>
      <c r="BT920" s="430"/>
      <c r="BU920" s="430"/>
      <c r="BV920" s="430"/>
      <c r="BW920" s="430"/>
      <c r="BX920" s="430"/>
      <c r="BY920" s="430"/>
      <c r="BZ920" s="430"/>
      <c r="CA920" s="430"/>
      <c r="CB920" s="430"/>
      <c r="CC920" s="430"/>
      <c r="CD920" s="430"/>
      <c r="CE920" s="430"/>
      <c r="CF920" s="430"/>
      <c r="CG920" s="430"/>
      <c r="CH920" s="430"/>
      <c r="CI920" s="430"/>
      <c r="CJ920" s="430"/>
      <c r="CK920" s="430"/>
      <c r="CL920" s="430"/>
    </row>
    <row r="921" spans="63:90" ht="14.25" customHeight="1">
      <c r="BK921" s="430"/>
      <c r="BL921" s="430"/>
      <c r="BM921" s="430"/>
      <c r="BN921" s="430"/>
      <c r="BO921" s="430"/>
      <c r="BP921" s="430"/>
      <c r="BQ921" s="430"/>
      <c r="BR921" s="430"/>
      <c r="BS921" s="430"/>
      <c r="BT921" s="430"/>
      <c r="BU921" s="430"/>
      <c r="BV921" s="430"/>
      <c r="BW921" s="430"/>
      <c r="BX921" s="430"/>
      <c r="BY921" s="430"/>
      <c r="BZ921" s="430"/>
      <c r="CA921" s="430"/>
      <c r="CB921" s="430"/>
      <c r="CC921" s="430"/>
      <c r="CD921" s="430"/>
      <c r="CE921" s="430"/>
      <c r="CF921" s="430"/>
      <c r="CG921" s="430"/>
      <c r="CH921" s="430"/>
      <c r="CI921" s="430"/>
      <c r="CJ921" s="430"/>
      <c r="CK921" s="430"/>
      <c r="CL921" s="430"/>
    </row>
    <row r="922" spans="63:90" ht="14.25" customHeight="1">
      <c r="BK922" s="430"/>
      <c r="BL922" s="430"/>
      <c r="BM922" s="430"/>
      <c r="BN922" s="430"/>
      <c r="BO922" s="430"/>
      <c r="BP922" s="430"/>
      <c r="BQ922" s="430"/>
      <c r="BR922" s="430"/>
      <c r="BS922" s="430"/>
      <c r="BT922" s="430"/>
      <c r="BU922" s="430"/>
      <c r="BV922" s="430"/>
      <c r="BW922" s="430"/>
      <c r="BX922" s="430"/>
      <c r="BY922" s="430"/>
      <c r="BZ922" s="430"/>
      <c r="CA922" s="430"/>
      <c r="CB922" s="430"/>
      <c r="CC922" s="430"/>
      <c r="CD922" s="430"/>
      <c r="CE922" s="430"/>
      <c r="CF922" s="430"/>
      <c r="CG922" s="430"/>
      <c r="CH922" s="430"/>
      <c r="CI922" s="430"/>
      <c r="CJ922" s="430"/>
      <c r="CK922" s="430"/>
      <c r="CL922" s="430"/>
    </row>
    <row r="923" spans="63:90" ht="14.25" customHeight="1">
      <c r="BK923" s="430"/>
      <c r="BL923" s="430"/>
      <c r="BM923" s="430"/>
      <c r="BN923" s="430"/>
      <c r="BO923" s="430"/>
      <c r="BP923" s="430"/>
      <c r="BQ923" s="430"/>
      <c r="BR923" s="430"/>
      <c r="BS923" s="430"/>
      <c r="BT923" s="430"/>
      <c r="BU923" s="430"/>
      <c r="BV923" s="430"/>
      <c r="BW923" s="430"/>
      <c r="BX923" s="430"/>
      <c r="BY923" s="430"/>
      <c r="BZ923" s="430"/>
      <c r="CA923" s="430"/>
      <c r="CB923" s="430"/>
      <c r="CC923" s="430"/>
      <c r="CD923" s="430"/>
      <c r="CE923" s="430"/>
      <c r="CF923" s="430"/>
      <c r="CG923" s="430"/>
      <c r="CH923" s="430"/>
      <c r="CI923" s="430"/>
      <c r="CJ923" s="430"/>
      <c r="CK923" s="430"/>
      <c r="CL923" s="430"/>
    </row>
    <row r="924" spans="63:90" ht="14.25" customHeight="1">
      <c r="BK924" s="430"/>
      <c r="BL924" s="430"/>
      <c r="BM924" s="430"/>
      <c r="BN924" s="430"/>
      <c r="BO924" s="430"/>
      <c r="BP924" s="430"/>
      <c r="BQ924" s="430"/>
      <c r="BR924" s="430"/>
      <c r="BS924" s="430"/>
      <c r="BT924" s="430"/>
      <c r="BU924" s="430"/>
      <c r="BV924" s="430"/>
      <c r="BW924" s="430"/>
      <c r="BX924" s="430"/>
      <c r="BY924" s="430"/>
      <c r="BZ924" s="430"/>
      <c r="CA924" s="430"/>
      <c r="CB924" s="430"/>
      <c r="CC924" s="430"/>
      <c r="CD924" s="430"/>
      <c r="CE924" s="430"/>
      <c r="CF924" s="430"/>
      <c r="CG924" s="430"/>
      <c r="CH924" s="430"/>
      <c r="CI924" s="430"/>
      <c r="CJ924" s="430"/>
      <c r="CK924" s="430"/>
      <c r="CL924" s="430"/>
    </row>
    <row r="925" spans="63:90" ht="14.25" customHeight="1">
      <c r="BK925" s="430"/>
      <c r="BL925" s="430"/>
      <c r="BM925" s="430"/>
      <c r="BN925" s="430"/>
      <c r="BO925" s="430"/>
      <c r="BP925" s="430"/>
      <c r="BQ925" s="430"/>
      <c r="BR925" s="430"/>
      <c r="BS925" s="430"/>
      <c r="BT925" s="430"/>
      <c r="BU925" s="430"/>
      <c r="BV925" s="430"/>
      <c r="BW925" s="430"/>
      <c r="BX925" s="430"/>
      <c r="BY925" s="430"/>
      <c r="BZ925" s="430"/>
      <c r="CA925" s="430"/>
      <c r="CB925" s="430"/>
      <c r="CC925" s="430"/>
      <c r="CD925" s="430"/>
      <c r="CE925" s="430"/>
      <c r="CF925" s="430"/>
      <c r="CG925" s="430"/>
      <c r="CH925" s="430"/>
      <c r="CI925" s="430"/>
      <c r="CJ925" s="430"/>
      <c r="CK925" s="430"/>
      <c r="CL925" s="430"/>
    </row>
    <row r="926" spans="63:90" ht="14.25" customHeight="1">
      <c r="BK926" s="430"/>
      <c r="BL926" s="430"/>
      <c r="BM926" s="430"/>
      <c r="BN926" s="430"/>
      <c r="BO926" s="430"/>
      <c r="BP926" s="430"/>
      <c r="BQ926" s="430"/>
      <c r="BR926" s="430"/>
      <c r="BS926" s="430"/>
      <c r="BT926" s="430"/>
      <c r="BU926" s="430"/>
      <c r="BV926" s="430"/>
      <c r="BW926" s="430"/>
      <c r="BX926" s="430"/>
      <c r="BY926" s="430"/>
      <c r="BZ926" s="430"/>
      <c r="CA926" s="430"/>
      <c r="CB926" s="430"/>
      <c r="CC926" s="430"/>
      <c r="CD926" s="430"/>
      <c r="CE926" s="430"/>
      <c r="CF926" s="430"/>
      <c r="CG926" s="430"/>
      <c r="CH926" s="430"/>
      <c r="CI926" s="430"/>
      <c r="CJ926" s="430"/>
      <c r="CK926" s="430"/>
      <c r="CL926" s="430"/>
    </row>
    <row r="927" spans="63:90" ht="14.25" customHeight="1">
      <c r="BK927" s="430"/>
      <c r="BL927" s="430"/>
      <c r="BM927" s="430"/>
      <c r="BN927" s="430"/>
      <c r="BO927" s="430"/>
      <c r="BP927" s="430"/>
      <c r="BQ927" s="430"/>
      <c r="BR927" s="430"/>
      <c r="BS927" s="430"/>
      <c r="BT927" s="430"/>
      <c r="BU927" s="430"/>
      <c r="BV927" s="430"/>
      <c r="BW927" s="430"/>
      <c r="BX927" s="430"/>
      <c r="BY927" s="430"/>
      <c r="BZ927" s="430"/>
      <c r="CA927" s="430"/>
      <c r="CB927" s="430"/>
      <c r="CC927" s="430"/>
      <c r="CD927" s="430"/>
      <c r="CE927" s="430"/>
      <c r="CF927" s="430"/>
      <c r="CG927" s="430"/>
      <c r="CH927" s="430"/>
      <c r="CI927" s="430"/>
      <c r="CJ927" s="430"/>
      <c r="CK927" s="430"/>
      <c r="CL927" s="430"/>
    </row>
    <row r="928" spans="63:90" ht="14.25" customHeight="1">
      <c r="BK928" s="430"/>
      <c r="BL928" s="430"/>
      <c r="BM928" s="430"/>
      <c r="BN928" s="430"/>
      <c r="BO928" s="430"/>
      <c r="BP928" s="430"/>
      <c r="BQ928" s="430"/>
      <c r="BR928" s="430"/>
      <c r="BS928" s="430"/>
      <c r="BT928" s="430"/>
      <c r="BU928" s="430"/>
      <c r="BV928" s="430"/>
      <c r="BW928" s="430"/>
      <c r="BX928" s="430"/>
      <c r="BY928" s="430"/>
      <c r="BZ928" s="430"/>
      <c r="CA928" s="430"/>
      <c r="CB928" s="430"/>
      <c r="CC928" s="430"/>
      <c r="CD928" s="430"/>
      <c r="CE928" s="430"/>
      <c r="CF928" s="430"/>
      <c r="CG928" s="430"/>
      <c r="CH928" s="430"/>
      <c r="CI928" s="430"/>
      <c r="CJ928" s="430"/>
      <c r="CK928" s="430"/>
      <c r="CL928" s="430"/>
    </row>
    <row r="929" spans="63:90" ht="14.25" customHeight="1">
      <c r="BK929" s="430"/>
      <c r="BL929" s="430"/>
      <c r="BM929" s="430"/>
      <c r="BN929" s="430"/>
      <c r="BO929" s="430"/>
      <c r="BP929" s="430"/>
      <c r="BQ929" s="430"/>
      <c r="BR929" s="430"/>
      <c r="BS929" s="430"/>
      <c r="BT929" s="430"/>
      <c r="BU929" s="430"/>
      <c r="BV929" s="430"/>
      <c r="BW929" s="430"/>
      <c r="BX929" s="430"/>
      <c r="BY929" s="430"/>
      <c r="BZ929" s="430"/>
      <c r="CA929" s="430"/>
      <c r="CB929" s="430"/>
      <c r="CC929" s="430"/>
      <c r="CD929" s="430"/>
      <c r="CE929" s="430"/>
      <c r="CF929" s="430"/>
      <c r="CG929" s="430"/>
      <c r="CH929" s="430"/>
      <c r="CI929" s="430"/>
      <c r="CJ929" s="430"/>
      <c r="CK929" s="430"/>
      <c r="CL929" s="430"/>
    </row>
    <row r="930" spans="63:90" ht="14.25" customHeight="1">
      <c r="BK930" s="430"/>
      <c r="BL930" s="430"/>
      <c r="BM930" s="430"/>
      <c r="BN930" s="430"/>
      <c r="BO930" s="430"/>
      <c r="BP930" s="430"/>
      <c r="BQ930" s="430"/>
      <c r="BR930" s="430"/>
      <c r="BS930" s="430"/>
      <c r="BT930" s="430"/>
      <c r="BU930" s="430"/>
      <c r="BV930" s="430"/>
      <c r="BW930" s="430"/>
      <c r="BX930" s="430"/>
      <c r="BY930" s="430"/>
      <c r="BZ930" s="430"/>
      <c r="CA930" s="430"/>
      <c r="CB930" s="430"/>
      <c r="CC930" s="430"/>
      <c r="CD930" s="430"/>
      <c r="CE930" s="430"/>
      <c r="CF930" s="430"/>
      <c r="CG930" s="430"/>
      <c r="CH930" s="430"/>
      <c r="CI930" s="430"/>
      <c r="CJ930" s="430"/>
      <c r="CK930" s="430"/>
      <c r="CL930" s="430"/>
    </row>
    <row r="931" spans="63:90" ht="14.25" customHeight="1">
      <c r="BK931" s="430"/>
      <c r="BL931" s="430"/>
      <c r="BM931" s="430"/>
      <c r="BN931" s="430"/>
      <c r="BO931" s="430"/>
      <c r="BP931" s="430"/>
      <c r="BQ931" s="430"/>
      <c r="BR931" s="430"/>
      <c r="BS931" s="430"/>
      <c r="BT931" s="430"/>
      <c r="BU931" s="430"/>
      <c r="BV931" s="430"/>
      <c r="BW931" s="430"/>
      <c r="BX931" s="430"/>
      <c r="BY931" s="430"/>
      <c r="BZ931" s="430"/>
      <c r="CA931" s="430"/>
      <c r="CB931" s="430"/>
      <c r="CC931" s="430"/>
      <c r="CD931" s="430"/>
      <c r="CE931" s="430"/>
      <c r="CF931" s="430"/>
      <c r="CG931" s="430"/>
      <c r="CH931" s="430"/>
      <c r="CI931" s="430"/>
      <c r="CJ931" s="430"/>
      <c r="CK931" s="430"/>
      <c r="CL931" s="430"/>
    </row>
    <row r="932" spans="63:90" ht="14.25" customHeight="1">
      <c r="BK932" s="430"/>
      <c r="BL932" s="430"/>
      <c r="BM932" s="430"/>
      <c r="BN932" s="430"/>
      <c r="BO932" s="430"/>
      <c r="BP932" s="430"/>
      <c r="BQ932" s="430"/>
      <c r="BR932" s="430"/>
      <c r="BS932" s="430"/>
      <c r="BT932" s="430"/>
      <c r="BU932" s="430"/>
      <c r="BV932" s="430"/>
      <c r="BW932" s="430"/>
      <c r="BX932" s="430"/>
      <c r="BY932" s="430"/>
      <c r="BZ932" s="430"/>
      <c r="CA932" s="430"/>
      <c r="CB932" s="430"/>
      <c r="CC932" s="430"/>
      <c r="CD932" s="430"/>
      <c r="CE932" s="430"/>
      <c r="CF932" s="430"/>
      <c r="CG932" s="430"/>
      <c r="CH932" s="430"/>
      <c r="CI932" s="430"/>
      <c r="CJ932" s="430"/>
      <c r="CK932" s="430"/>
      <c r="CL932" s="430"/>
    </row>
    <row r="933" spans="63:90" ht="14.25" customHeight="1">
      <c r="BK933" s="430"/>
      <c r="BL933" s="430"/>
      <c r="BM933" s="430"/>
      <c r="BN933" s="430"/>
      <c r="BO933" s="430"/>
      <c r="BP933" s="430"/>
      <c r="BQ933" s="430"/>
      <c r="BR933" s="430"/>
      <c r="BS933" s="430"/>
      <c r="BT933" s="430"/>
      <c r="BU933" s="430"/>
      <c r="BV933" s="430"/>
      <c r="BW933" s="430"/>
      <c r="BX933" s="430"/>
      <c r="BY933" s="430"/>
      <c r="BZ933" s="430"/>
      <c r="CA933" s="430"/>
      <c r="CB933" s="430"/>
      <c r="CC933" s="430"/>
      <c r="CD933" s="430"/>
      <c r="CE933" s="430"/>
      <c r="CF933" s="430"/>
      <c r="CG933" s="430"/>
      <c r="CH933" s="430"/>
      <c r="CI933" s="430"/>
      <c r="CJ933" s="430"/>
      <c r="CK933" s="430"/>
      <c r="CL933" s="430"/>
    </row>
    <row r="934" spans="63:90" ht="14.25" customHeight="1">
      <c r="BK934" s="430"/>
      <c r="BL934" s="430"/>
      <c r="BM934" s="430"/>
      <c r="BN934" s="430"/>
      <c r="BO934" s="430"/>
      <c r="BP934" s="430"/>
      <c r="BQ934" s="430"/>
      <c r="BR934" s="430"/>
      <c r="BS934" s="430"/>
      <c r="BT934" s="430"/>
      <c r="BU934" s="430"/>
      <c r="BV934" s="430"/>
      <c r="BW934" s="430"/>
      <c r="BX934" s="430"/>
      <c r="BY934" s="430"/>
      <c r="BZ934" s="430"/>
      <c r="CA934" s="430"/>
      <c r="CB934" s="430"/>
      <c r="CC934" s="430"/>
      <c r="CD934" s="430"/>
      <c r="CE934" s="430"/>
      <c r="CF934" s="430"/>
      <c r="CG934" s="430"/>
      <c r="CH934" s="430"/>
      <c r="CI934" s="430"/>
      <c r="CJ934" s="430"/>
      <c r="CK934" s="430"/>
      <c r="CL934" s="430"/>
    </row>
    <row r="935" spans="63:90" ht="14.25" customHeight="1">
      <c r="BK935" s="430"/>
      <c r="BL935" s="430"/>
      <c r="BM935" s="430"/>
      <c r="BN935" s="430"/>
      <c r="BO935" s="430"/>
      <c r="BP935" s="430"/>
      <c r="BQ935" s="430"/>
      <c r="BR935" s="430"/>
      <c r="BS935" s="430"/>
      <c r="BT935" s="430"/>
      <c r="BU935" s="430"/>
      <c r="BV935" s="430"/>
      <c r="BW935" s="430"/>
      <c r="BX935" s="430"/>
      <c r="BY935" s="430"/>
      <c r="BZ935" s="430"/>
      <c r="CA935" s="430"/>
      <c r="CB935" s="430"/>
      <c r="CC935" s="430"/>
      <c r="CD935" s="430"/>
      <c r="CE935" s="430"/>
      <c r="CF935" s="430"/>
      <c r="CG935" s="430"/>
      <c r="CH935" s="430"/>
      <c r="CI935" s="430"/>
      <c r="CJ935" s="430"/>
      <c r="CK935" s="430"/>
      <c r="CL935" s="430"/>
    </row>
    <row r="936" spans="63:90" ht="14.25" customHeight="1">
      <c r="BK936" s="430"/>
      <c r="BL936" s="430"/>
      <c r="BM936" s="430"/>
      <c r="BN936" s="430"/>
      <c r="BO936" s="430"/>
      <c r="BP936" s="430"/>
      <c r="BQ936" s="430"/>
      <c r="BR936" s="430"/>
      <c r="BS936" s="430"/>
      <c r="BT936" s="430"/>
      <c r="BU936" s="430"/>
      <c r="BV936" s="430"/>
      <c r="BW936" s="430"/>
      <c r="BX936" s="430"/>
      <c r="BY936" s="430"/>
      <c r="BZ936" s="430"/>
      <c r="CA936" s="430"/>
      <c r="CB936" s="430"/>
      <c r="CC936" s="430"/>
      <c r="CD936" s="430"/>
      <c r="CE936" s="430"/>
      <c r="CF936" s="430"/>
      <c r="CG936" s="430"/>
      <c r="CH936" s="430"/>
      <c r="CI936" s="430"/>
      <c r="CJ936" s="430"/>
      <c r="CK936" s="430"/>
      <c r="CL936" s="430"/>
    </row>
    <row r="937" spans="63:90" ht="14.25" customHeight="1">
      <c r="BK937" s="430"/>
      <c r="BL937" s="430"/>
      <c r="BM937" s="430"/>
      <c r="BN937" s="430"/>
      <c r="BO937" s="430"/>
      <c r="BP937" s="430"/>
      <c r="BQ937" s="430"/>
      <c r="BR937" s="430"/>
      <c r="BS937" s="430"/>
      <c r="BT937" s="430"/>
      <c r="BU937" s="430"/>
      <c r="BV937" s="430"/>
      <c r="BW937" s="430"/>
      <c r="BX937" s="430"/>
      <c r="BY937" s="430"/>
      <c r="BZ937" s="430"/>
      <c r="CA937" s="430"/>
      <c r="CB937" s="430"/>
      <c r="CC937" s="430"/>
      <c r="CD937" s="430"/>
      <c r="CE937" s="430"/>
      <c r="CF937" s="430"/>
      <c r="CG937" s="430"/>
      <c r="CH937" s="430"/>
      <c r="CI937" s="430"/>
      <c r="CJ937" s="430"/>
      <c r="CK937" s="430"/>
      <c r="CL937" s="430"/>
    </row>
    <row r="938" spans="63:90" ht="14.25" customHeight="1">
      <c r="BK938" s="430"/>
      <c r="BL938" s="430"/>
      <c r="BM938" s="430"/>
      <c r="BN938" s="430"/>
      <c r="BO938" s="430"/>
      <c r="BP938" s="430"/>
      <c r="BQ938" s="430"/>
      <c r="BR938" s="430"/>
      <c r="BS938" s="430"/>
      <c r="BT938" s="430"/>
      <c r="BU938" s="430"/>
      <c r="BV938" s="430"/>
      <c r="BW938" s="430"/>
      <c r="BX938" s="430"/>
      <c r="BY938" s="430"/>
      <c r="BZ938" s="430"/>
      <c r="CA938" s="430"/>
      <c r="CB938" s="430"/>
      <c r="CC938" s="430"/>
      <c r="CD938" s="430"/>
      <c r="CE938" s="430"/>
      <c r="CF938" s="430"/>
      <c r="CG938" s="430"/>
      <c r="CH938" s="430"/>
      <c r="CI938" s="430"/>
      <c r="CJ938" s="430"/>
      <c r="CK938" s="430"/>
      <c r="CL938" s="430"/>
    </row>
    <row r="939" spans="63:90" ht="14.25" customHeight="1">
      <c r="BK939" s="430"/>
      <c r="BL939" s="430"/>
      <c r="BM939" s="430"/>
      <c r="BN939" s="430"/>
      <c r="BO939" s="430"/>
      <c r="BP939" s="430"/>
      <c r="BQ939" s="430"/>
      <c r="BR939" s="430"/>
      <c r="BS939" s="430"/>
      <c r="BT939" s="430"/>
      <c r="BU939" s="430"/>
      <c r="BV939" s="430"/>
      <c r="BW939" s="430"/>
      <c r="BX939" s="430"/>
      <c r="BY939" s="430"/>
      <c r="BZ939" s="430"/>
      <c r="CA939" s="430"/>
      <c r="CB939" s="430"/>
      <c r="CC939" s="430"/>
      <c r="CD939" s="430"/>
      <c r="CE939" s="430"/>
      <c r="CF939" s="430"/>
      <c r="CG939" s="430"/>
      <c r="CH939" s="430"/>
      <c r="CI939" s="430"/>
      <c r="CJ939" s="430"/>
      <c r="CK939" s="430"/>
      <c r="CL939" s="430"/>
    </row>
    <row r="940" spans="63:90" ht="14.25" customHeight="1">
      <c r="BK940" s="430"/>
      <c r="BL940" s="430"/>
      <c r="BM940" s="430"/>
      <c r="BN940" s="430"/>
      <c r="BO940" s="430"/>
      <c r="BP940" s="430"/>
      <c r="BQ940" s="430"/>
      <c r="BR940" s="430"/>
      <c r="BS940" s="430"/>
      <c r="BT940" s="430"/>
      <c r="BU940" s="430"/>
      <c r="BV940" s="430"/>
      <c r="BW940" s="430"/>
      <c r="BX940" s="430"/>
      <c r="BY940" s="430"/>
      <c r="BZ940" s="430"/>
      <c r="CA940" s="430"/>
      <c r="CB940" s="430"/>
      <c r="CC940" s="430"/>
      <c r="CD940" s="430"/>
      <c r="CE940" s="430"/>
      <c r="CF940" s="430"/>
      <c r="CG940" s="430"/>
      <c r="CH940" s="430"/>
      <c r="CI940" s="430"/>
      <c r="CJ940" s="430"/>
      <c r="CK940" s="430"/>
      <c r="CL940" s="430"/>
    </row>
    <row r="941" spans="63:90" ht="14.25" customHeight="1">
      <c r="BK941" s="430"/>
      <c r="BL941" s="430"/>
      <c r="BM941" s="430"/>
      <c r="BN941" s="430"/>
      <c r="BO941" s="430"/>
      <c r="BP941" s="430"/>
      <c r="BQ941" s="430"/>
      <c r="BR941" s="430"/>
      <c r="BS941" s="430"/>
      <c r="BT941" s="430"/>
      <c r="BU941" s="430"/>
      <c r="BV941" s="430"/>
      <c r="BW941" s="430"/>
      <c r="BX941" s="430"/>
      <c r="BY941" s="430"/>
      <c r="BZ941" s="430"/>
      <c r="CA941" s="430"/>
      <c r="CB941" s="430"/>
      <c r="CC941" s="430"/>
      <c r="CD941" s="430"/>
      <c r="CE941" s="430"/>
      <c r="CF941" s="430"/>
      <c r="CG941" s="430"/>
      <c r="CH941" s="430"/>
      <c r="CI941" s="430"/>
      <c r="CJ941" s="430"/>
      <c r="CK941" s="430"/>
      <c r="CL941" s="430"/>
    </row>
    <row r="942" spans="63:90" ht="14.25" customHeight="1">
      <c r="BK942" s="430"/>
      <c r="BL942" s="430"/>
      <c r="BM942" s="430"/>
      <c r="BN942" s="430"/>
      <c r="BO942" s="430"/>
      <c r="BP942" s="430"/>
      <c r="BQ942" s="430"/>
      <c r="BR942" s="430"/>
      <c r="BS942" s="430"/>
      <c r="BT942" s="430"/>
      <c r="BU942" s="430"/>
      <c r="BV942" s="430"/>
      <c r="BW942" s="430"/>
      <c r="BX942" s="430"/>
      <c r="BY942" s="430"/>
      <c r="BZ942" s="430"/>
      <c r="CA942" s="430"/>
      <c r="CB942" s="430"/>
      <c r="CC942" s="430"/>
      <c r="CD942" s="430"/>
      <c r="CE942" s="430"/>
      <c r="CF942" s="430"/>
      <c r="CG942" s="430"/>
      <c r="CH942" s="430"/>
      <c r="CI942" s="430"/>
      <c r="CJ942" s="430"/>
      <c r="CK942" s="430"/>
      <c r="CL942" s="430"/>
    </row>
    <row r="943" spans="63:90" ht="14.25" customHeight="1">
      <c r="BK943" s="430"/>
      <c r="BL943" s="430"/>
      <c r="BM943" s="430"/>
      <c r="BN943" s="430"/>
      <c r="BO943" s="430"/>
      <c r="BP943" s="430"/>
      <c r="BQ943" s="430"/>
      <c r="BR943" s="430"/>
      <c r="BS943" s="430"/>
      <c r="BT943" s="430"/>
      <c r="BU943" s="430"/>
      <c r="BV943" s="430"/>
      <c r="BW943" s="430"/>
      <c r="BX943" s="430"/>
      <c r="BY943" s="430"/>
      <c r="BZ943" s="430"/>
      <c r="CA943" s="430"/>
      <c r="CB943" s="430"/>
      <c r="CC943" s="430"/>
      <c r="CD943" s="430"/>
      <c r="CE943" s="430"/>
      <c r="CF943" s="430"/>
      <c r="CG943" s="430"/>
      <c r="CH943" s="430"/>
      <c r="CI943" s="430"/>
      <c r="CJ943" s="430"/>
      <c r="CK943" s="430"/>
      <c r="CL943" s="430"/>
    </row>
    <row r="944" spans="63:90" ht="14.25" customHeight="1">
      <c r="BK944" s="430"/>
      <c r="BL944" s="430"/>
      <c r="BM944" s="430"/>
      <c r="BN944" s="430"/>
      <c r="BO944" s="430"/>
      <c r="BP944" s="430"/>
      <c r="BQ944" s="430"/>
      <c r="BR944" s="430"/>
      <c r="BS944" s="430"/>
      <c r="BT944" s="430"/>
      <c r="BU944" s="430"/>
      <c r="BV944" s="430"/>
      <c r="BW944" s="430"/>
      <c r="BX944" s="430"/>
      <c r="BY944" s="430"/>
      <c r="BZ944" s="430"/>
      <c r="CA944" s="430"/>
      <c r="CB944" s="430"/>
      <c r="CC944" s="430"/>
      <c r="CD944" s="430"/>
      <c r="CE944" s="430"/>
      <c r="CF944" s="430"/>
      <c r="CG944" s="430"/>
      <c r="CH944" s="430"/>
      <c r="CI944" s="430"/>
      <c r="CJ944" s="430"/>
      <c r="CK944" s="430"/>
      <c r="CL944" s="430"/>
    </row>
    <row r="945" spans="63:90" ht="14.25" customHeight="1">
      <c r="BK945" s="430"/>
      <c r="BL945" s="430"/>
      <c r="BM945" s="430"/>
      <c r="BN945" s="430"/>
      <c r="BO945" s="430"/>
      <c r="BP945" s="430"/>
      <c r="BQ945" s="430"/>
      <c r="BR945" s="430"/>
      <c r="BS945" s="430"/>
      <c r="BT945" s="430"/>
      <c r="BU945" s="430"/>
      <c r="BV945" s="430"/>
      <c r="BW945" s="430"/>
      <c r="BX945" s="430"/>
      <c r="BY945" s="430"/>
      <c r="BZ945" s="430"/>
      <c r="CA945" s="430"/>
      <c r="CB945" s="430"/>
      <c r="CC945" s="430"/>
      <c r="CD945" s="430"/>
      <c r="CE945" s="430"/>
      <c r="CF945" s="430"/>
      <c r="CG945" s="430"/>
      <c r="CH945" s="430"/>
      <c r="CI945" s="430"/>
      <c r="CJ945" s="430"/>
      <c r="CK945" s="430"/>
      <c r="CL945" s="430"/>
    </row>
    <row r="946" spans="63:90" ht="14.25" customHeight="1">
      <c r="BK946" s="430"/>
      <c r="BL946" s="430"/>
      <c r="BM946" s="430"/>
      <c r="BN946" s="430"/>
      <c r="BO946" s="430"/>
      <c r="BP946" s="430"/>
      <c r="BQ946" s="430"/>
      <c r="BR946" s="430"/>
      <c r="BS946" s="430"/>
      <c r="BT946" s="430"/>
      <c r="BU946" s="430"/>
      <c r="BV946" s="430"/>
      <c r="BW946" s="430"/>
      <c r="BX946" s="430"/>
      <c r="BY946" s="430"/>
      <c r="BZ946" s="430"/>
      <c r="CA946" s="430"/>
      <c r="CB946" s="430"/>
      <c r="CC946" s="430"/>
      <c r="CD946" s="430"/>
      <c r="CE946" s="430"/>
      <c r="CF946" s="430"/>
      <c r="CG946" s="430"/>
      <c r="CH946" s="430"/>
      <c r="CI946" s="430"/>
      <c r="CJ946" s="430"/>
      <c r="CK946" s="430"/>
      <c r="CL946" s="430"/>
    </row>
    <row r="947" spans="63:90" ht="14.25" customHeight="1">
      <c r="BK947" s="430"/>
      <c r="BL947" s="430"/>
      <c r="BM947" s="430"/>
      <c r="BN947" s="430"/>
      <c r="BO947" s="430"/>
      <c r="BP947" s="430"/>
      <c r="BQ947" s="430"/>
      <c r="BR947" s="430"/>
      <c r="BS947" s="430"/>
      <c r="BT947" s="430"/>
      <c r="BU947" s="430"/>
      <c r="BV947" s="430"/>
      <c r="BW947" s="430"/>
      <c r="BX947" s="430"/>
      <c r="BY947" s="430"/>
      <c r="BZ947" s="430"/>
      <c r="CA947" s="430"/>
      <c r="CB947" s="430"/>
      <c r="CC947" s="430"/>
      <c r="CD947" s="430"/>
      <c r="CE947" s="430"/>
      <c r="CF947" s="430"/>
      <c r="CG947" s="430"/>
      <c r="CH947" s="430"/>
      <c r="CI947" s="430"/>
      <c r="CJ947" s="430"/>
      <c r="CK947" s="430"/>
      <c r="CL947" s="430"/>
    </row>
    <row r="948" spans="63:90" ht="14.25" customHeight="1">
      <c r="BK948" s="430"/>
      <c r="BL948" s="430"/>
      <c r="BM948" s="430"/>
      <c r="BN948" s="430"/>
      <c r="BO948" s="430"/>
      <c r="BP948" s="430"/>
      <c r="BQ948" s="430"/>
      <c r="BR948" s="430"/>
      <c r="BS948" s="430"/>
      <c r="BT948" s="430"/>
      <c r="BU948" s="430"/>
      <c r="BV948" s="430"/>
      <c r="BW948" s="430"/>
      <c r="BX948" s="430"/>
      <c r="BY948" s="430"/>
      <c r="BZ948" s="430"/>
      <c r="CA948" s="430"/>
      <c r="CB948" s="430"/>
      <c r="CC948" s="430"/>
      <c r="CD948" s="430"/>
      <c r="CE948" s="430"/>
      <c r="CF948" s="430"/>
      <c r="CG948" s="430"/>
      <c r="CH948" s="430"/>
      <c r="CI948" s="430"/>
      <c r="CJ948" s="430"/>
      <c r="CK948" s="430"/>
      <c r="CL948" s="430"/>
    </row>
    <row r="949" spans="63:90" ht="14.25" customHeight="1">
      <c r="BK949" s="430"/>
      <c r="BL949" s="430"/>
      <c r="BM949" s="430"/>
      <c r="BN949" s="430"/>
      <c r="BO949" s="430"/>
      <c r="BP949" s="430"/>
      <c r="BQ949" s="430"/>
      <c r="BR949" s="430"/>
      <c r="BS949" s="430"/>
      <c r="BT949" s="430"/>
      <c r="BU949" s="430"/>
      <c r="BV949" s="430"/>
      <c r="BW949" s="430"/>
      <c r="BX949" s="430"/>
      <c r="BY949" s="430"/>
      <c r="BZ949" s="430"/>
      <c r="CA949" s="430"/>
      <c r="CB949" s="430"/>
      <c r="CC949" s="430"/>
      <c r="CD949" s="430"/>
      <c r="CE949" s="430"/>
      <c r="CF949" s="430"/>
      <c r="CG949" s="430"/>
      <c r="CH949" s="430"/>
      <c r="CI949" s="430"/>
      <c r="CJ949" s="430"/>
      <c r="CK949" s="430"/>
      <c r="CL949" s="430"/>
    </row>
    <row r="950" spans="63:90" ht="14.25" customHeight="1">
      <c r="BK950" s="430"/>
      <c r="BL950" s="430"/>
      <c r="BM950" s="430"/>
      <c r="BN950" s="430"/>
      <c r="BO950" s="430"/>
      <c r="BP950" s="430"/>
      <c r="BQ950" s="430"/>
      <c r="BR950" s="430"/>
      <c r="BS950" s="430"/>
      <c r="BT950" s="430"/>
      <c r="BU950" s="430"/>
      <c r="BV950" s="430"/>
      <c r="BW950" s="430"/>
      <c r="BX950" s="430"/>
      <c r="BY950" s="430"/>
      <c r="BZ950" s="430"/>
      <c r="CA950" s="430"/>
      <c r="CB950" s="430"/>
      <c r="CC950" s="430"/>
      <c r="CD950" s="430"/>
      <c r="CE950" s="430"/>
      <c r="CF950" s="430"/>
      <c r="CG950" s="430"/>
      <c r="CH950" s="430"/>
      <c r="CI950" s="430"/>
      <c r="CJ950" s="430"/>
      <c r="CK950" s="430"/>
      <c r="CL950" s="430"/>
    </row>
    <row r="951" spans="63:90" ht="14.25" customHeight="1">
      <c r="BK951" s="430"/>
      <c r="BL951" s="430"/>
      <c r="BM951" s="430"/>
      <c r="BN951" s="430"/>
      <c r="BO951" s="430"/>
      <c r="BP951" s="430"/>
      <c r="BQ951" s="430"/>
      <c r="BR951" s="430"/>
      <c r="BS951" s="430"/>
      <c r="BT951" s="430"/>
      <c r="BU951" s="430"/>
      <c r="BV951" s="430"/>
      <c r="BW951" s="430"/>
      <c r="BX951" s="430"/>
      <c r="BY951" s="430"/>
      <c r="BZ951" s="430"/>
      <c r="CA951" s="430"/>
      <c r="CB951" s="430"/>
      <c r="CC951" s="430"/>
      <c r="CD951" s="430"/>
      <c r="CE951" s="430"/>
      <c r="CF951" s="430"/>
      <c r="CG951" s="430"/>
      <c r="CH951" s="430"/>
      <c r="CI951" s="430"/>
      <c r="CJ951" s="430"/>
      <c r="CK951" s="430"/>
      <c r="CL951" s="430"/>
    </row>
    <row r="952" spans="63:90" ht="14.25" customHeight="1">
      <c r="BK952" s="430"/>
      <c r="BL952" s="430"/>
      <c r="BM952" s="430"/>
      <c r="BN952" s="430"/>
      <c r="BO952" s="430"/>
      <c r="BP952" s="430"/>
      <c r="BQ952" s="430"/>
      <c r="BR952" s="430"/>
      <c r="BS952" s="430"/>
      <c r="BT952" s="430"/>
      <c r="BU952" s="430"/>
      <c r="BV952" s="430"/>
      <c r="BW952" s="430"/>
      <c r="BX952" s="430"/>
      <c r="BY952" s="430"/>
      <c r="BZ952" s="430"/>
      <c r="CA952" s="430"/>
      <c r="CB952" s="430"/>
      <c r="CC952" s="430"/>
      <c r="CD952" s="430"/>
      <c r="CE952" s="430"/>
      <c r="CF952" s="430"/>
      <c r="CG952" s="430"/>
      <c r="CH952" s="430"/>
      <c r="CI952" s="430"/>
      <c r="CJ952" s="430"/>
      <c r="CK952" s="430"/>
      <c r="CL952" s="430"/>
    </row>
    <row r="953" spans="63:90" ht="14.25" customHeight="1">
      <c r="BK953" s="430"/>
      <c r="BL953" s="430"/>
      <c r="BM953" s="430"/>
      <c r="BN953" s="430"/>
      <c r="BO953" s="430"/>
      <c r="BP953" s="430"/>
      <c r="BQ953" s="430"/>
      <c r="BR953" s="430"/>
      <c r="BS953" s="430"/>
      <c r="BT953" s="430"/>
      <c r="BU953" s="430"/>
      <c r="BV953" s="430"/>
      <c r="BW953" s="430"/>
      <c r="BX953" s="430"/>
      <c r="BY953" s="430"/>
      <c r="BZ953" s="430"/>
      <c r="CA953" s="430"/>
      <c r="CB953" s="430"/>
      <c r="CC953" s="430"/>
      <c r="CD953" s="430"/>
      <c r="CE953" s="430"/>
      <c r="CF953" s="430"/>
      <c r="CG953" s="430"/>
      <c r="CH953" s="430"/>
      <c r="CI953" s="430"/>
      <c r="CJ953" s="430"/>
      <c r="CK953" s="430"/>
      <c r="CL953" s="430"/>
    </row>
    <row r="954" spans="63:90" ht="14.25" customHeight="1">
      <c r="BK954" s="430"/>
      <c r="BL954" s="430"/>
      <c r="BM954" s="430"/>
      <c r="BN954" s="430"/>
      <c r="BO954" s="430"/>
      <c r="BP954" s="430"/>
      <c r="BQ954" s="430"/>
      <c r="BR954" s="430"/>
      <c r="BS954" s="430"/>
      <c r="BT954" s="430"/>
      <c r="BU954" s="430"/>
      <c r="BV954" s="430"/>
      <c r="BW954" s="430"/>
      <c r="BX954" s="430"/>
      <c r="BY954" s="430"/>
      <c r="BZ954" s="430"/>
      <c r="CA954" s="430"/>
      <c r="CB954" s="430"/>
      <c r="CC954" s="430"/>
      <c r="CD954" s="430"/>
      <c r="CE954" s="430"/>
      <c r="CF954" s="430"/>
      <c r="CG954" s="430"/>
      <c r="CH954" s="430"/>
      <c r="CI954" s="430"/>
      <c r="CJ954" s="430"/>
      <c r="CK954" s="430"/>
      <c r="CL954" s="430"/>
    </row>
    <row r="955" spans="63:90" ht="14.25" customHeight="1">
      <c r="BK955" s="430"/>
      <c r="BL955" s="430"/>
      <c r="BM955" s="430"/>
      <c r="BN955" s="430"/>
      <c r="BO955" s="430"/>
      <c r="BP955" s="430"/>
      <c r="BQ955" s="430"/>
      <c r="BR955" s="430"/>
      <c r="BS955" s="430"/>
      <c r="BT955" s="430"/>
      <c r="BU955" s="430"/>
      <c r="BV955" s="430"/>
      <c r="BW955" s="430"/>
      <c r="BX955" s="430"/>
      <c r="BY955" s="430"/>
      <c r="BZ955" s="430"/>
      <c r="CA955" s="430"/>
      <c r="CB955" s="430"/>
      <c r="CC955" s="430"/>
      <c r="CD955" s="430"/>
      <c r="CE955" s="430"/>
      <c r="CF955" s="430"/>
      <c r="CG955" s="430"/>
      <c r="CH955" s="430"/>
      <c r="CI955" s="430"/>
      <c r="CJ955" s="430"/>
      <c r="CK955" s="430"/>
      <c r="CL955" s="430"/>
    </row>
    <row r="956" spans="63:90" ht="14.25" customHeight="1">
      <c r="BK956" s="430"/>
      <c r="BL956" s="430"/>
      <c r="BM956" s="430"/>
      <c r="BN956" s="430"/>
      <c r="BO956" s="430"/>
      <c r="BP956" s="430"/>
      <c r="BQ956" s="430"/>
      <c r="BR956" s="430"/>
      <c r="BS956" s="430"/>
      <c r="BT956" s="430"/>
      <c r="BU956" s="430"/>
      <c r="BV956" s="430"/>
      <c r="BW956" s="430"/>
      <c r="BX956" s="430"/>
      <c r="BY956" s="430"/>
      <c r="BZ956" s="430"/>
      <c r="CA956" s="430"/>
      <c r="CB956" s="430"/>
      <c r="CC956" s="430"/>
      <c r="CD956" s="430"/>
      <c r="CE956" s="430"/>
      <c r="CF956" s="430"/>
      <c r="CG956" s="430"/>
      <c r="CH956" s="430"/>
      <c r="CI956" s="430"/>
      <c r="CJ956" s="430"/>
      <c r="CK956" s="430"/>
      <c r="CL956" s="430"/>
    </row>
    <row r="957" spans="63:90" ht="14.25" customHeight="1">
      <c r="BK957" s="430"/>
      <c r="BL957" s="430"/>
      <c r="BM957" s="430"/>
      <c r="BN957" s="430"/>
      <c r="BO957" s="430"/>
      <c r="BP957" s="430"/>
      <c r="BQ957" s="430"/>
      <c r="BR957" s="430"/>
      <c r="BS957" s="430"/>
      <c r="BT957" s="430"/>
      <c r="BU957" s="430"/>
      <c r="BV957" s="430"/>
      <c r="BW957" s="430"/>
      <c r="BX957" s="430"/>
      <c r="BY957" s="430"/>
      <c r="BZ957" s="430"/>
      <c r="CA957" s="430"/>
      <c r="CB957" s="430"/>
      <c r="CC957" s="430"/>
      <c r="CD957" s="430"/>
      <c r="CE957" s="430"/>
      <c r="CF957" s="430"/>
      <c r="CG957" s="430"/>
      <c r="CH957" s="430"/>
      <c r="CI957" s="430"/>
      <c r="CJ957" s="430"/>
      <c r="CK957" s="430"/>
      <c r="CL957" s="430"/>
    </row>
    <row r="958" spans="63:90" ht="14.25" customHeight="1">
      <c r="BK958" s="430"/>
      <c r="BL958" s="430"/>
      <c r="BM958" s="430"/>
      <c r="BN958" s="430"/>
      <c r="BO958" s="430"/>
      <c r="BP958" s="430"/>
      <c r="BQ958" s="430"/>
      <c r="BR958" s="430"/>
      <c r="BS958" s="430"/>
      <c r="BT958" s="430"/>
      <c r="BU958" s="430"/>
      <c r="BV958" s="430"/>
      <c r="BW958" s="430"/>
      <c r="BX958" s="430"/>
      <c r="BY958" s="430"/>
      <c r="BZ958" s="430"/>
      <c r="CA958" s="430"/>
      <c r="CB958" s="430"/>
      <c r="CC958" s="430"/>
      <c r="CD958" s="430"/>
      <c r="CE958" s="430"/>
      <c r="CF958" s="430"/>
      <c r="CG958" s="430"/>
      <c r="CH958" s="430"/>
      <c r="CI958" s="430"/>
      <c r="CJ958" s="430"/>
      <c r="CK958" s="430"/>
      <c r="CL958" s="430"/>
    </row>
    <row r="959" spans="63:90" ht="14.25" customHeight="1">
      <c r="BK959" s="430"/>
      <c r="BL959" s="430"/>
      <c r="BM959" s="430"/>
      <c r="BN959" s="430"/>
      <c r="BO959" s="430"/>
      <c r="BP959" s="430"/>
      <c r="BQ959" s="430"/>
      <c r="BR959" s="430"/>
      <c r="BS959" s="430"/>
      <c r="BT959" s="430"/>
      <c r="BU959" s="430"/>
      <c r="BV959" s="430"/>
      <c r="BW959" s="430"/>
      <c r="BX959" s="430"/>
      <c r="BY959" s="430"/>
      <c r="BZ959" s="430"/>
      <c r="CA959" s="430"/>
      <c r="CB959" s="430"/>
      <c r="CC959" s="430"/>
      <c r="CD959" s="430"/>
      <c r="CE959" s="430"/>
      <c r="CF959" s="430"/>
      <c r="CG959" s="430"/>
      <c r="CH959" s="430"/>
      <c r="CI959" s="430"/>
      <c r="CJ959" s="430"/>
      <c r="CK959" s="430"/>
      <c r="CL959" s="430"/>
    </row>
    <row r="960" spans="63:90" ht="14.25" customHeight="1">
      <c r="BK960" s="430"/>
      <c r="BL960" s="430"/>
      <c r="BM960" s="430"/>
      <c r="BN960" s="430"/>
      <c r="BO960" s="430"/>
      <c r="BP960" s="430"/>
      <c r="BQ960" s="430"/>
      <c r="BR960" s="430"/>
      <c r="BS960" s="430"/>
      <c r="BT960" s="430"/>
      <c r="BU960" s="430"/>
      <c r="BV960" s="430"/>
      <c r="BW960" s="430"/>
      <c r="BX960" s="430"/>
      <c r="BY960" s="430"/>
      <c r="BZ960" s="430"/>
      <c r="CA960" s="430"/>
      <c r="CB960" s="430"/>
      <c r="CC960" s="430"/>
      <c r="CD960" s="430"/>
      <c r="CE960" s="430"/>
      <c r="CF960" s="430"/>
      <c r="CG960" s="430"/>
      <c r="CH960" s="430"/>
      <c r="CI960" s="430"/>
      <c r="CJ960" s="430"/>
      <c r="CK960" s="430"/>
      <c r="CL960" s="430"/>
    </row>
    <row r="961" spans="63:90" ht="14.25" customHeight="1">
      <c r="BK961" s="430"/>
      <c r="BL961" s="430"/>
      <c r="BM961" s="430"/>
      <c r="BN961" s="430"/>
      <c r="BO961" s="430"/>
      <c r="BP961" s="430"/>
      <c r="BQ961" s="430"/>
      <c r="BR961" s="430"/>
      <c r="BS961" s="430"/>
      <c r="BT961" s="430"/>
      <c r="BU961" s="430"/>
      <c r="BV961" s="430"/>
      <c r="BW961" s="430"/>
      <c r="BX961" s="430"/>
      <c r="BY961" s="430"/>
      <c r="BZ961" s="430"/>
      <c r="CA961" s="430"/>
      <c r="CB961" s="430"/>
      <c r="CC961" s="430"/>
      <c r="CD961" s="430"/>
      <c r="CE961" s="430"/>
      <c r="CF961" s="430"/>
      <c r="CG961" s="430"/>
      <c r="CH961" s="430"/>
      <c r="CI961" s="430"/>
      <c r="CJ961" s="430"/>
      <c r="CK961" s="430"/>
      <c r="CL961" s="430"/>
    </row>
    <row r="962" spans="63:90" ht="14.25" customHeight="1">
      <c r="BK962" s="430"/>
      <c r="BL962" s="430"/>
      <c r="BM962" s="430"/>
      <c r="BN962" s="430"/>
      <c r="BO962" s="430"/>
      <c r="BP962" s="430"/>
      <c r="BQ962" s="430"/>
      <c r="BR962" s="430"/>
      <c r="BS962" s="430"/>
      <c r="BT962" s="430"/>
      <c r="BU962" s="430"/>
      <c r="BV962" s="430"/>
      <c r="BW962" s="430"/>
      <c r="BX962" s="430"/>
      <c r="BY962" s="430"/>
      <c r="BZ962" s="430"/>
      <c r="CA962" s="430"/>
      <c r="CB962" s="430"/>
      <c r="CC962" s="430"/>
      <c r="CD962" s="430"/>
      <c r="CE962" s="430"/>
      <c r="CF962" s="430"/>
      <c r="CG962" s="430"/>
      <c r="CH962" s="430"/>
      <c r="CI962" s="430"/>
      <c r="CJ962" s="430"/>
      <c r="CK962" s="430"/>
      <c r="CL962" s="430"/>
    </row>
    <row r="963" spans="63:90" ht="14.25" customHeight="1">
      <c r="BK963" s="430"/>
      <c r="BL963" s="430"/>
      <c r="BM963" s="430"/>
      <c r="BN963" s="430"/>
      <c r="BO963" s="430"/>
      <c r="BP963" s="430"/>
      <c r="BQ963" s="430"/>
      <c r="BR963" s="430"/>
      <c r="BS963" s="430"/>
      <c r="BT963" s="430"/>
      <c r="BU963" s="430"/>
      <c r="BV963" s="430"/>
      <c r="BW963" s="430"/>
      <c r="BX963" s="430"/>
      <c r="BY963" s="430"/>
      <c r="BZ963" s="430"/>
      <c r="CA963" s="430"/>
      <c r="CB963" s="430"/>
      <c r="CC963" s="430"/>
      <c r="CD963" s="430"/>
      <c r="CE963" s="430"/>
      <c r="CF963" s="430"/>
      <c r="CG963" s="430"/>
      <c r="CH963" s="430"/>
      <c r="CI963" s="430"/>
      <c r="CJ963" s="430"/>
      <c r="CK963" s="430"/>
      <c r="CL963" s="430"/>
    </row>
    <row r="964" spans="63:90" ht="14.25" customHeight="1">
      <c r="BK964" s="430"/>
      <c r="BL964" s="430"/>
      <c r="BM964" s="430"/>
      <c r="BN964" s="430"/>
      <c r="BO964" s="430"/>
      <c r="BP964" s="430"/>
      <c r="BQ964" s="430"/>
      <c r="BR964" s="430"/>
      <c r="BS964" s="430"/>
      <c r="BT964" s="430"/>
      <c r="BU964" s="430"/>
      <c r="BV964" s="430"/>
      <c r="BW964" s="430"/>
      <c r="BX964" s="430"/>
      <c r="BY964" s="430"/>
      <c r="BZ964" s="430"/>
      <c r="CA964" s="430"/>
      <c r="CB964" s="430"/>
      <c r="CC964" s="430"/>
      <c r="CD964" s="430"/>
      <c r="CE964" s="430"/>
      <c r="CF964" s="430"/>
      <c r="CG964" s="430"/>
      <c r="CH964" s="430"/>
      <c r="CI964" s="430"/>
      <c r="CJ964" s="430"/>
      <c r="CK964" s="430"/>
      <c r="CL964" s="430"/>
    </row>
    <row r="965" spans="63:90" ht="14.25" customHeight="1">
      <c r="BK965" s="430"/>
      <c r="BL965" s="430"/>
      <c r="BM965" s="430"/>
      <c r="BN965" s="430"/>
      <c r="BO965" s="430"/>
      <c r="BP965" s="430"/>
      <c r="BQ965" s="430"/>
      <c r="BR965" s="430"/>
      <c r="BS965" s="430"/>
      <c r="BT965" s="430"/>
      <c r="BU965" s="430"/>
      <c r="BV965" s="430"/>
      <c r="BW965" s="430"/>
      <c r="BX965" s="430"/>
      <c r="BY965" s="430"/>
      <c r="BZ965" s="430"/>
      <c r="CA965" s="430"/>
      <c r="CB965" s="430"/>
      <c r="CC965" s="430"/>
      <c r="CD965" s="430"/>
      <c r="CE965" s="430"/>
      <c r="CF965" s="430"/>
      <c r="CG965" s="430"/>
      <c r="CH965" s="430"/>
      <c r="CI965" s="430"/>
      <c r="CJ965" s="430"/>
      <c r="CK965" s="430"/>
      <c r="CL965" s="430"/>
    </row>
    <row r="966" spans="63:90" ht="14.25" customHeight="1">
      <c r="BK966" s="430"/>
      <c r="BL966" s="430"/>
      <c r="BM966" s="430"/>
      <c r="BN966" s="430"/>
      <c r="BO966" s="430"/>
      <c r="BP966" s="430"/>
      <c r="BQ966" s="430"/>
      <c r="BR966" s="430"/>
      <c r="BS966" s="430"/>
      <c r="BT966" s="430"/>
      <c r="BU966" s="430"/>
      <c r="BV966" s="430"/>
      <c r="BW966" s="430"/>
      <c r="BX966" s="430"/>
      <c r="BY966" s="430"/>
      <c r="BZ966" s="430"/>
      <c r="CA966" s="430"/>
      <c r="CB966" s="430"/>
      <c r="CC966" s="430"/>
      <c r="CD966" s="430"/>
      <c r="CE966" s="430"/>
      <c r="CF966" s="430"/>
      <c r="CG966" s="430"/>
      <c r="CH966" s="430"/>
      <c r="CI966" s="430"/>
      <c r="CJ966" s="430"/>
      <c r="CK966" s="430"/>
      <c r="CL966" s="430"/>
    </row>
    <row r="967" spans="63:90" ht="14.25" customHeight="1">
      <c r="BK967" s="430"/>
      <c r="BL967" s="430"/>
      <c r="BM967" s="430"/>
      <c r="BN967" s="430"/>
      <c r="BO967" s="430"/>
      <c r="BP967" s="430"/>
      <c r="BQ967" s="430"/>
      <c r="BR967" s="430"/>
      <c r="BS967" s="430"/>
      <c r="BT967" s="430"/>
      <c r="BU967" s="430"/>
      <c r="BV967" s="430"/>
      <c r="BW967" s="430"/>
      <c r="BX967" s="430"/>
      <c r="BY967" s="430"/>
      <c r="BZ967" s="430"/>
      <c r="CA967" s="430"/>
      <c r="CB967" s="430"/>
      <c r="CC967" s="430"/>
      <c r="CD967" s="430"/>
      <c r="CE967" s="430"/>
      <c r="CF967" s="430"/>
      <c r="CG967" s="430"/>
      <c r="CH967" s="430"/>
      <c r="CI967" s="430"/>
      <c r="CJ967" s="430"/>
      <c r="CK967" s="430"/>
      <c r="CL967" s="430"/>
    </row>
    <row r="968" spans="63:90" ht="14.25" customHeight="1">
      <c r="BK968" s="430"/>
      <c r="BL968" s="430"/>
      <c r="BM968" s="430"/>
      <c r="BN968" s="430"/>
      <c r="BO968" s="430"/>
      <c r="BP968" s="430"/>
      <c r="BQ968" s="430"/>
      <c r="BR968" s="430"/>
      <c r="BS968" s="430"/>
      <c r="BT968" s="430"/>
      <c r="BU968" s="430"/>
      <c r="BV968" s="430"/>
      <c r="BW968" s="430"/>
      <c r="BX968" s="430"/>
      <c r="BY968" s="430"/>
      <c r="BZ968" s="430"/>
      <c r="CA968" s="430"/>
      <c r="CB968" s="430"/>
      <c r="CC968" s="430"/>
      <c r="CD968" s="430"/>
      <c r="CE968" s="430"/>
      <c r="CF968" s="430"/>
      <c r="CG968" s="430"/>
      <c r="CH968" s="430"/>
      <c r="CI968" s="430"/>
      <c r="CJ968" s="430"/>
      <c r="CK968" s="430"/>
      <c r="CL968" s="430"/>
    </row>
    <row r="969" spans="63:90" ht="14.25" customHeight="1">
      <c r="BK969" s="430"/>
      <c r="BL969" s="430"/>
      <c r="BM969" s="430"/>
      <c r="BN969" s="430"/>
      <c r="BO969" s="430"/>
      <c r="BP969" s="430"/>
      <c r="BQ969" s="430"/>
      <c r="BR969" s="430"/>
      <c r="BS969" s="430"/>
      <c r="BT969" s="430"/>
      <c r="BU969" s="430"/>
      <c r="BV969" s="430"/>
      <c r="BW969" s="430"/>
      <c r="BX969" s="430"/>
      <c r="BY969" s="430"/>
      <c r="BZ969" s="430"/>
      <c r="CA969" s="430"/>
      <c r="CB969" s="430"/>
      <c r="CC969" s="430"/>
      <c r="CD969" s="430"/>
      <c r="CE969" s="430"/>
      <c r="CF969" s="430"/>
      <c r="CG969" s="430"/>
      <c r="CH969" s="430"/>
      <c r="CI969" s="430"/>
      <c r="CJ969" s="430"/>
      <c r="CK969" s="430"/>
      <c r="CL969" s="430"/>
    </row>
    <row r="970" spans="63:90" ht="14.25" customHeight="1">
      <c r="BK970" s="430"/>
      <c r="BL970" s="430"/>
      <c r="BM970" s="430"/>
      <c r="BN970" s="430"/>
      <c r="BO970" s="430"/>
      <c r="BP970" s="430"/>
      <c r="BQ970" s="430"/>
      <c r="BR970" s="430"/>
      <c r="BS970" s="430"/>
      <c r="BT970" s="430"/>
      <c r="BU970" s="430"/>
      <c r="BV970" s="430"/>
      <c r="BW970" s="430"/>
      <c r="BX970" s="430"/>
      <c r="BY970" s="430"/>
      <c r="BZ970" s="430"/>
      <c r="CA970" s="430"/>
      <c r="CB970" s="430"/>
      <c r="CC970" s="430"/>
      <c r="CD970" s="430"/>
      <c r="CE970" s="430"/>
      <c r="CF970" s="430"/>
      <c r="CG970" s="430"/>
      <c r="CH970" s="430"/>
      <c r="CI970" s="430"/>
      <c r="CJ970" s="430"/>
      <c r="CK970" s="430"/>
      <c r="CL970" s="430"/>
    </row>
    <row r="971" spans="63:90" ht="14.25" customHeight="1">
      <c r="BK971" s="430"/>
      <c r="BL971" s="430"/>
      <c r="BM971" s="430"/>
      <c r="BN971" s="430"/>
      <c r="BO971" s="430"/>
      <c r="BP971" s="430"/>
      <c r="BQ971" s="430"/>
      <c r="BR971" s="430"/>
      <c r="BS971" s="430"/>
      <c r="BT971" s="430"/>
      <c r="BU971" s="430"/>
      <c r="BV971" s="430"/>
      <c r="BW971" s="430"/>
      <c r="BX971" s="430"/>
      <c r="BY971" s="430"/>
      <c r="BZ971" s="430"/>
      <c r="CA971" s="430"/>
      <c r="CB971" s="430"/>
      <c r="CC971" s="430"/>
      <c r="CD971" s="430"/>
      <c r="CE971" s="430"/>
      <c r="CF971" s="430"/>
      <c r="CG971" s="430"/>
      <c r="CH971" s="430"/>
      <c r="CI971" s="430"/>
      <c r="CJ971" s="430"/>
      <c r="CK971" s="430"/>
      <c r="CL971" s="430"/>
    </row>
    <row r="972" spans="63:90" ht="14.25" customHeight="1">
      <c r="BK972" s="430"/>
      <c r="BL972" s="430"/>
      <c r="BM972" s="430"/>
      <c r="BN972" s="430"/>
      <c r="BO972" s="430"/>
      <c r="BP972" s="430"/>
      <c r="BQ972" s="430"/>
      <c r="BR972" s="430"/>
      <c r="BS972" s="430"/>
      <c r="BT972" s="430"/>
      <c r="BU972" s="430"/>
      <c r="BV972" s="430"/>
      <c r="BW972" s="430"/>
      <c r="BX972" s="430"/>
      <c r="BY972" s="430"/>
      <c r="BZ972" s="430"/>
      <c r="CA972" s="430"/>
      <c r="CB972" s="430"/>
      <c r="CC972" s="430"/>
      <c r="CD972" s="430"/>
      <c r="CE972" s="430"/>
      <c r="CF972" s="430"/>
      <c r="CG972" s="430"/>
      <c r="CH972" s="430"/>
      <c r="CI972" s="430"/>
      <c r="CJ972" s="430"/>
      <c r="CK972" s="430"/>
      <c r="CL972" s="430"/>
    </row>
    <row r="973" spans="63:90" ht="14.25" customHeight="1">
      <c r="BK973" s="430"/>
      <c r="BL973" s="430"/>
      <c r="BM973" s="430"/>
      <c r="BN973" s="430"/>
      <c r="BO973" s="430"/>
      <c r="BP973" s="430"/>
      <c r="BQ973" s="430"/>
      <c r="BR973" s="430"/>
      <c r="BS973" s="430"/>
      <c r="BT973" s="430"/>
      <c r="BU973" s="430"/>
      <c r="BV973" s="430"/>
      <c r="BW973" s="430"/>
      <c r="BX973" s="430"/>
      <c r="BY973" s="430"/>
      <c r="BZ973" s="430"/>
      <c r="CA973" s="430"/>
      <c r="CB973" s="430"/>
      <c r="CC973" s="430"/>
      <c r="CD973" s="430"/>
      <c r="CE973" s="430"/>
      <c r="CF973" s="430"/>
      <c r="CG973" s="430"/>
      <c r="CH973" s="430"/>
      <c r="CI973" s="430"/>
      <c r="CJ973" s="430"/>
      <c r="CK973" s="430"/>
      <c r="CL973" s="430"/>
    </row>
    <row r="974" spans="63:90" ht="14.25" customHeight="1">
      <c r="BK974" s="430"/>
      <c r="BL974" s="430"/>
      <c r="BM974" s="430"/>
      <c r="BN974" s="430"/>
      <c r="BO974" s="430"/>
      <c r="BP974" s="430"/>
      <c r="BQ974" s="430"/>
      <c r="BR974" s="430"/>
      <c r="BS974" s="430"/>
      <c r="BT974" s="430"/>
      <c r="BU974" s="430"/>
      <c r="BV974" s="430"/>
      <c r="BW974" s="430"/>
      <c r="BX974" s="430"/>
      <c r="BY974" s="430"/>
      <c r="BZ974" s="430"/>
      <c r="CA974" s="430"/>
      <c r="CB974" s="430"/>
      <c r="CC974" s="430"/>
      <c r="CD974" s="430"/>
      <c r="CE974" s="430"/>
      <c r="CF974" s="430"/>
      <c r="CG974" s="430"/>
      <c r="CH974" s="430"/>
      <c r="CI974" s="430"/>
      <c r="CJ974" s="430"/>
      <c r="CK974" s="430"/>
      <c r="CL974" s="430"/>
    </row>
    <row r="975" spans="63:90" ht="14.25" customHeight="1">
      <c r="BK975" s="430"/>
      <c r="BL975" s="430"/>
      <c r="BM975" s="430"/>
      <c r="BN975" s="430"/>
      <c r="BO975" s="430"/>
      <c r="BP975" s="430"/>
      <c r="BQ975" s="430"/>
      <c r="BR975" s="430"/>
      <c r="BS975" s="430"/>
      <c r="BT975" s="430"/>
      <c r="BU975" s="430"/>
      <c r="BV975" s="430"/>
      <c r="BW975" s="430"/>
      <c r="BX975" s="430"/>
      <c r="BY975" s="430"/>
      <c r="BZ975" s="430"/>
      <c r="CA975" s="430"/>
      <c r="CB975" s="430"/>
      <c r="CC975" s="430"/>
      <c r="CD975" s="430"/>
      <c r="CE975" s="430"/>
      <c r="CF975" s="430"/>
      <c r="CG975" s="430"/>
      <c r="CH975" s="430"/>
      <c r="CI975" s="430"/>
      <c r="CJ975" s="430"/>
      <c r="CK975" s="430"/>
      <c r="CL975" s="430"/>
    </row>
    <row r="976" spans="63:90" ht="14.25" customHeight="1">
      <c r="BK976" s="430"/>
      <c r="BL976" s="430"/>
      <c r="BM976" s="430"/>
      <c r="BN976" s="430"/>
      <c r="BO976" s="430"/>
      <c r="BP976" s="430"/>
      <c r="BQ976" s="430"/>
      <c r="BR976" s="430"/>
      <c r="BS976" s="430"/>
      <c r="BT976" s="430"/>
      <c r="BU976" s="430"/>
      <c r="BV976" s="430"/>
      <c r="BW976" s="430"/>
      <c r="BX976" s="430"/>
      <c r="BY976" s="430"/>
      <c r="BZ976" s="430"/>
      <c r="CA976" s="430"/>
      <c r="CB976" s="430"/>
      <c r="CC976" s="430"/>
      <c r="CD976" s="430"/>
      <c r="CE976" s="430"/>
      <c r="CF976" s="430"/>
      <c r="CG976" s="430"/>
      <c r="CH976" s="430"/>
      <c r="CI976" s="430"/>
      <c r="CJ976" s="430"/>
      <c r="CK976" s="430"/>
      <c r="CL976" s="430"/>
    </row>
    <row r="977" spans="63:90" ht="14.25" customHeight="1">
      <c r="BK977" s="430"/>
      <c r="BL977" s="430"/>
      <c r="BM977" s="430"/>
      <c r="BN977" s="430"/>
      <c r="BO977" s="430"/>
      <c r="BP977" s="430"/>
      <c r="BQ977" s="430"/>
      <c r="BR977" s="430"/>
      <c r="BS977" s="430"/>
      <c r="BT977" s="430"/>
      <c r="BU977" s="430"/>
      <c r="BV977" s="430"/>
      <c r="BW977" s="430"/>
      <c r="BX977" s="430"/>
      <c r="BY977" s="430"/>
      <c r="BZ977" s="430"/>
      <c r="CA977" s="430"/>
      <c r="CB977" s="430"/>
      <c r="CC977" s="430"/>
      <c r="CD977" s="430"/>
      <c r="CE977" s="430"/>
      <c r="CF977" s="430"/>
      <c r="CG977" s="430"/>
      <c r="CH977" s="430"/>
      <c r="CI977" s="430"/>
      <c r="CJ977" s="430"/>
      <c r="CK977" s="430"/>
      <c r="CL977" s="430"/>
    </row>
    <row r="978" spans="63:90" ht="14.25" customHeight="1">
      <c r="BK978" s="430"/>
      <c r="BL978" s="430"/>
      <c r="BM978" s="430"/>
      <c r="BN978" s="430"/>
      <c r="BO978" s="430"/>
      <c r="BP978" s="430"/>
      <c r="BQ978" s="430"/>
      <c r="BR978" s="430"/>
      <c r="BS978" s="430"/>
      <c r="BT978" s="430"/>
      <c r="BU978" s="430"/>
      <c r="BV978" s="430"/>
      <c r="BW978" s="430"/>
      <c r="BX978" s="430"/>
      <c r="BY978" s="430"/>
      <c r="BZ978" s="430"/>
      <c r="CA978" s="430"/>
      <c r="CB978" s="430"/>
      <c r="CC978" s="430"/>
      <c r="CD978" s="430"/>
      <c r="CE978" s="430"/>
      <c r="CF978" s="430"/>
      <c r="CG978" s="430"/>
      <c r="CH978" s="430"/>
      <c r="CI978" s="430"/>
      <c r="CJ978" s="430"/>
      <c r="CK978" s="430"/>
      <c r="CL978" s="430"/>
    </row>
    <row r="979" spans="63:90" ht="14.25" customHeight="1">
      <c r="BK979" s="430"/>
      <c r="BL979" s="430"/>
      <c r="BM979" s="430"/>
      <c r="BN979" s="430"/>
      <c r="BO979" s="430"/>
      <c r="BP979" s="430"/>
      <c r="BQ979" s="430"/>
      <c r="BR979" s="430"/>
      <c r="BS979" s="430"/>
      <c r="BT979" s="430"/>
      <c r="BU979" s="430"/>
      <c r="BV979" s="430"/>
      <c r="BW979" s="430"/>
      <c r="BX979" s="430"/>
      <c r="BY979" s="430"/>
      <c r="BZ979" s="430"/>
      <c r="CA979" s="430"/>
      <c r="CB979" s="430"/>
      <c r="CC979" s="430"/>
      <c r="CD979" s="430"/>
      <c r="CE979" s="430"/>
      <c r="CF979" s="430"/>
      <c r="CG979" s="430"/>
      <c r="CH979" s="430"/>
      <c r="CI979" s="430"/>
      <c r="CJ979" s="430"/>
      <c r="CK979" s="430"/>
      <c r="CL979" s="430"/>
    </row>
    <row r="980" spans="63:90" ht="14.25" customHeight="1">
      <c r="BK980" s="430"/>
      <c r="BL980" s="430"/>
      <c r="BM980" s="430"/>
      <c r="BN980" s="430"/>
      <c r="BO980" s="430"/>
      <c r="BP980" s="430"/>
      <c r="BQ980" s="430"/>
      <c r="BR980" s="430"/>
      <c r="BS980" s="430"/>
      <c r="BT980" s="430"/>
      <c r="BU980" s="430"/>
      <c r="BV980" s="430"/>
      <c r="BW980" s="430"/>
      <c r="BX980" s="430"/>
      <c r="BY980" s="430"/>
      <c r="BZ980" s="430"/>
      <c r="CA980" s="430"/>
      <c r="CB980" s="430"/>
      <c r="CC980" s="430"/>
      <c r="CD980" s="430"/>
      <c r="CE980" s="430"/>
      <c r="CF980" s="430"/>
      <c r="CG980" s="430"/>
      <c r="CH980" s="430"/>
      <c r="CI980" s="430"/>
      <c r="CJ980" s="430"/>
      <c r="CK980" s="430"/>
      <c r="CL980" s="430"/>
    </row>
    <row r="981" spans="63:90" ht="14.25" customHeight="1">
      <c r="BK981" s="430"/>
      <c r="BL981" s="430"/>
      <c r="BM981" s="430"/>
      <c r="BN981" s="430"/>
      <c r="BO981" s="430"/>
      <c r="BP981" s="430"/>
      <c r="BQ981" s="430"/>
      <c r="BR981" s="430"/>
      <c r="BS981" s="430"/>
      <c r="BT981" s="430"/>
      <c r="BU981" s="430"/>
      <c r="BV981" s="430"/>
      <c r="BW981" s="430"/>
      <c r="BX981" s="430"/>
      <c r="BY981" s="430"/>
      <c r="BZ981" s="430"/>
      <c r="CA981" s="430"/>
      <c r="CB981" s="430"/>
      <c r="CC981" s="430"/>
      <c r="CD981" s="430"/>
      <c r="CE981" s="430"/>
      <c r="CF981" s="430"/>
      <c r="CG981" s="430"/>
      <c r="CH981" s="430"/>
      <c r="CI981" s="430"/>
      <c r="CJ981" s="430"/>
      <c r="CK981" s="430"/>
      <c r="CL981" s="430"/>
    </row>
    <row r="982" spans="63:90" ht="14.25" customHeight="1">
      <c r="BK982" s="430"/>
      <c r="BL982" s="430"/>
      <c r="BM982" s="430"/>
      <c r="BN982" s="430"/>
      <c r="BO982" s="430"/>
      <c r="BP982" s="430"/>
      <c r="BQ982" s="430"/>
      <c r="BR982" s="430"/>
      <c r="BS982" s="430"/>
      <c r="BT982" s="430"/>
      <c r="BU982" s="430"/>
      <c r="BV982" s="430"/>
      <c r="BW982" s="430"/>
      <c r="BX982" s="430"/>
      <c r="BY982" s="430"/>
      <c r="BZ982" s="430"/>
      <c r="CA982" s="430"/>
      <c r="CB982" s="430"/>
      <c r="CC982" s="430"/>
      <c r="CD982" s="430"/>
      <c r="CE982" s="430"/>
      <c r="CF982" s="430"/>
      <c r="CG982" s="430"/>
      <c r="CH982" s="430"/>
      <c r="CI982" s="430"/>
      <c r="CJ982" s="430"/>
      <c r="CK982" s="430"/>
      <c r="CL982" s="430"/>
    </row>
    <row r="983" spans="63:90" ht="14.25" customHeight="1">
      <c r="BK983" s="430"/>
      <c r="BL983" s="430"/>
      <c r="BM983" s="430"/>
      <c r="BN983" s="430"/>
      <c r="BO983" s="430"/>
      <c r="BP983" s="430"/>
      <c r="BQ983" s="430"/>
      <c r="BR983" s="430"/>
      <c r="BS983" s="430"/>
      <c r="BT983" s="430"/>
      <c r="BU983" s="430"/>
      <c r="BV983" s="430"/>
      <c r="BW983" s="430"/>
      <c r="BX983" s="430"/>
      <c r="BY983" s="430"/>
      <c r="BZ983" s="430"/>
      <c r="CA983" s="430"/>
      <c r="CB983" s="430"/>
      <c r="CC983" s="430"/>
      <c r="CD983" s="430"/>
      <c r="CE983" s="430"/>
      <c r="CF983" s="430"/>
      <c r="CG983" s="430"/>
      <c r="CH983" s="430"/>
      <c r="CI983" s="430"/>
      <c r="CJ983" s="430"/>
      <c r="CK983" s="430"/>
      <c r="CL983" s="430"/>
    </row>
    <row r="984" spans="63:90" ht="14.25" customHeight="1">
      <c r="BK984" s="430"/>
      <c r="BL984" s="430"/>
      <c r="BM984" s="430"/>
      <c r="BN984" s="430"/>
      <c r="BO984" s="430"/>
      <c r="BP984" s="430"/>
      <c r="BQ984" s="430"/>
      <c r="BR984" s="430"/>
      <c r="BS984" s="430"/>
      <c r="BT984" s="430"/>
      <c r="BU984" s="430"/>
      <c r="BV984" s="430"/>
      <c r="BW984" s="430"/>
      <c r="BX984" s="430"/>
      <c r="BY984" s="430"/>
      <c r="BZ984" s="430"/>
      <c r="CA984" s="430"/>
      <c r="CB984" s="430"/>
      <c r="CC984" s="430"/>
      <c r="CD984" s="430"/>
      <c r="CE984" s="430"/>
      <c r="CF984" s="430"/>
      <c r="CG984" s="430"/>
      <c r="CH984" s="430"/>
      <c r="CI984" s="430"/>
      <c r="CJ984" s="430"/>
      <c r="CK984" s="430"/>
      <c r="CL984" s="430"/>
    </row>
    <row r="985" spans="63:90" ht="14.25" customHeight="1">
      <c r="BK985" s="430"/>
      <c r="BL985" s="430"/>
      <c r="BM985" s="430"/>
      <c r="BN985" s="430"/>
      <c r="BO985" s="430"/>
      <c r="BP985" s="430"/>
      <c r="BQ985" s="430"/>
      <c r="BR985" s="430"/>
      <c r="BS985" s="430"/>
      <c r="BT985" s="430"/>
      <c r="BU985" s="430"/>
      <c r="BV985" s="430"/>
      <c r="BW985" s="430"/>
      <c r="BX985" s="430"/>
      <c r="BY985" s="430"/>
      <c r="BZ985" s="430"/>
      <c r="CA985" s="430"/>
      <c r="CB985" s="430"/>
      <c r="CC985" s="430"/>
      <c r="CD985" s="430"/>
      <c r="CE985" s="430"/>
      <c r="CF985" s="430"/>
      <c r="CG985" s="430"/>
      <c r="CH985" s="430"/>
      <c r="CI985" s="430"/>
      <c r="CJ985" s="430"/>
      <c r="CK985" s="430"/>
      <c r="CL985" s="430"/>
    </row>
    <row r="986" spans="63:90" ht="14.25" customHeight="1">
      <c r="BK986" s="430"/>
      <c r="BL986" s="430"/>
      <c r="BM986" s="430"/>
      <c r="BN986" s="430"/>
      <c r="BO986" s="430"/>
      <c r="BP986" s="430"/>
      <c r="BQ986" s="430"/>
      <c r="BR986" s="430"/>
      <c r="BS986" s="430"/>
      <c r="BT986" s="430"/>
      <c r="BU986" s="430"/>
      <c r="BV986" s="430"/>
      <c r="BW986" s="430"/>
      <c r="BX986" s="430"/>
      <c r="BY986" s="430"/>
      <c r="BZ986" s="430"/>
      <c r="CA986" s="430"/>
      <c r="CB986" s="430"/>
      <c r="CC986" s="430"/>
      <c r="CD986" s="430"/>
      <c r="CE986" s="430"/>
      <c r="CF986" s="430"/>
      <c r="CG986" s="430"/>
      <c r="CH986" s="430"/>
      <c r="CI986" s="430"/>
      <c r="CJ986" s="430"/>
      <c r="CK986" s="430"/>
      <c r="CL986" s="430"/>
    </row>
    <row r="987" spans="63:90" ht="14.25" customHeight="1">
      <c r="BK987" s="430"/>
      <c r="BL987" s="430"/>
      <c r="BM987" s="430"/>
      <c r="BN987" s="430"/>
      <c r="BO987" s="430"/>
      <c r="BP987" s="430"/>
      <c r="BQ987" s="430"/>
      <c r="BR987" s="430"/>
      <c r="BS987" s="430"/>
      <c r="BT987" s="430"/>
      <c r="BU987" s="430"/>
      <c r="BV987" s="430"/>
      <c r="BW987" s="430"/>
      <c r="BX987" s="430"/>
      <c r="BY987" s="430"/>
      <c r="BZ987" s="430"/>
      <c r="CA987" s="430"/>
      <c r="CB987" s="430"/>
      <c r="CC987" s="430"/>
      <c r="CD987" s="430"/>
      <c r="CE987" s="430"/>
      <c r="CF987" s="430"/>
      <c r="CG987" s="430"/>
      <c r="CH987" s="430"/>
      <c r="CI987" s="430"/>
      <c r="CJ987" s="430"/>
      <c r="CK987" s="430"/>
      <c r="CL987" s="430"/>
    </row>
    <row r="988" spans="63:90" ht="14.25" customHeight="1">
      <c r="BK988" s="430"/>
      <c r="BL988" s="430"/>
      <c r="BM988" s="430"/>
      <c r="BN988" s="430"/>
      <c r="BO988" s="430"/>
      <c r="BP988" s="430"/>
      <c r="BQ988" s="430"/>
      <c r="BR988" s="430"/>
      <c r="BS988" s="430"/>
      <c r="BT988" s="430"/>
      <c r="BU988" s="430"/>
      <c r="BV988" s="430"/>
      <c r="BW988" s="430"/>
      <c r="BX988" s="430"/>
      <c r="BY988" s="430"/>
      <c r="BZ988" s="430"/>
      <c r="CA988" s="430"/>
      <c r="CB988" s="430"/>
      <c r="CC988" s="430"/>
      <c r="CD988" s="430"/>
      <c r="CE988" s="430"/>
      <c r="CF988" s="430"/>
      <c r="CG988" s="430"/>
      <c r="CH988" s="430"/>
      <c r="CI988" s="430"/>
      <c r="CJ988" s="430"/>
      <c r="CK988" s="430"/>
      <c r="CL988" s="430"/>
    </row>
    <row r="989" spans="63:90" ht="14.25" customHeight="1">
      <c r="BK989" s="430"/>
      <c r="BL989" s="430"/>
      <c r="BM989" s="430"/>
      <c r="BN989" s="430"/>
      <c r="BO989" s="430"/>
      <c r="BP989" s="430"/>
      <c r="BQ989" s="430"/>
      <c r="BR989" s="430"/>
      <c r="BS989" s="430"/>
      <c r="BT989" s="430"/>
      <c r="BU989" s="430"/>
      <c r="BV989" s="430"/>
      <c r="BW989" s="430"/>
      <c r="BX989" s="430"/>
      <c r="BY989" s="430"/>
      <c r="BZ989" s="430"/>
      <c r="CA989" s="430"/>
      <c r="CB989" s="430"/>
      <c r="CC989" s="430"/>
      <c r="CD989" s="430"/>
      <c r="CE989" s="430"/>
      <c r="CF989" s="430"/>
      <c r="CG989" s="430"/>
      <c r="CH989" s="430"/>
      <c r="CI989" s="430"/>
      <c r="CJ989" s="430"/>
      <c r="CK989" s="430"/>
      <c r="CL989" s="430"/>
    </row>
    <row r="990" spans="63:90" ht="14.25" customHeight="1">
      <c r="BK990" s="430"/>
      <c r="BL990" s="430"/>
      <c r="BM990" s="430"/>
      <c r="BN990" s="430"/>
      <c r="BO990" s="430"/>
      <c r="BP990" s="430"/>
      <c r="BQ990" s="430"/>
      <c r="BR990" s="430"/>
      <c r="BS990" s="430"/>
      <c r="BT990" s="430"/>
      <c r="BU990" s="430"/>
      <c r="BV990" s="430"/>
      <c r="BW990" s="430"/>
      <c r="BX990" s="430"/>
      <c r="BY990" s="430"/>
      <c r="BZ990" s="430"/>
      <c r="CA990" s="430"/>
      <c r="CB990" s="430"/>
      <c r="CC990" s="430"/>
      <c r="CD990" s="430"/>
      <c r="CE990" s="430"/>
      <c r="CF990" s="430"/>
      <c r="CG990" s="430"/>
      <c r="CH990" s="430"/>
      <c r="CI990" s="430"/>
      <c r="CJ990" s="430"/>
      <c r="CK990" s="430"/>
      <c r="CL990" s="430"/>
    </row>
    <row r="991" spans="63:90" ht="14.25" customHeight="1">
      <c r="BK991" s="430"/>
      <c r="BL991" s="430"/>
      <c r="BM991" s="430"/>
      <c r="BN991" s="430"/>
      <c r="BO991" s="430"/>
      <c r="BP991" s="430"/>
      <c r="BQ991" s="430"/>
      <c r="BR991" s="430"/>
      <c r="BS991" s="430"/>
      <c r="BT991" s="430"/>
      <c r="BU991" s="430"/>
      <c r="BV991" s="430"/>
      <c r="BW991" s="430"/>
      <c r="BX991" s="430"/>
      <c r="BY991" s="430"/>
      <c r="BZ991" s="430"/>
      <c r="CA991" s="430"/>
      <c r="CB991" s="430"/>
      <c r="CC991" s="430"/>
      <c r="CD991" s="430"/>
      <c r="CE991" s="430"/>
      <c r="CF991" s="430"/>
      <c r="CG991" s="430"/>
      <c r="CH991" s="430"/>
      <c r="CI991" s="430"/>
      <c r="CJ991" s="430"/>
      <c r="CK991" s="430"/>
      <c r="CL991" s="430"/>
    </row>
    <row r="992" spans="63:90" ht="14.25" customHeight="1">
      <c r="BK992" s="430"/>
      <c r="BL992" s="430"/>
      <c r="BM992" s="430"/>
      <c r="BN992" s="430"/>
      <c r="BO992" s="430"/>
      <c r="BP992" s="430"/>
      <c r="BQ992" s="430"/>
      <c r="BR992" s="430"/>
      <c r="BS992" s="430"/>
      <c r="BT992" s="430"/>
      <c r="BU992" s="430"/>
      <c r="BV992" s="430"/>
      <c r="BW992" s="430"/>
      <c r="BX992" s="430"/>
      <c r="BY992" s="430"/>
      <c r="BZ992" s="430"/>
      <c r="CA992" s="430"/>
      <c r="CB992" s="430"/>
      <c r="CC992" s="430"/>
      <c r="CD992" s="430"/>
      <c r="CE992" s="430"/>
      <c r="CF992" s="430"/>
      <c r="CG992" s="430"/>
      <c r="CH992" s="430"/>
      <c r="CI992" s="430"/>
      <c r="CJ992" s="430"/>
      <c r="CK992" s="430"/>
      <c r="CL992" s="430"/>
    </row>
    <row r="993" spans="63:90" ht="14.25" customHeight="1">
      <c r="BK993" s="430"/>
      <c r="BL993" s="430"/>
      <c r="BM993" s="430"/>
      <c r="BN993" s="430"/>
      <c r="BO993" s="430"/>
      <c r="BP993" s="430"/>
      <c r="BQ993" s="430"/>
      <c r="BR993" s="430"/>
      <c r="BS993" s="430"/>
      <c r="BT993" s="430"/>
      <c r="BU993" s="430"/>
      <c r="BV993" s="430"/>
      <c r="BW993" s="430"/>
      <c r="BX993" s="430"/>
      <c r="BY993" s="430"/>
      <c r="BZ993" s="430"/>
      <c r="CA993" s="430"/>
      <c r="CB993" s="430"/>
      <c r="CC993" s="430"/>
      <c r="CD993" s="430"/>
      <c r="CE993" s="430"/>
      <c r="CF993" s="430"/>
      <c r="CG993" s="430"/>
      <c r="CH993" s="430"/>
      <c r="CI993" s="430"/>
      <c r="CJ993" s="430"/>
      <c r="CK993" s="430"/>
      <c r="CL993" s="430"/>
    </row>
    <row r="994" spans="63:90" ht="14.25" customHeight="1">
      <c r="BK994" s="430"/>
      <c r="BL994" s="430"/>
      <c r="BM994" s="430"/>
      <c r="BN994" s="430"/>
      <c r="BO994" s="430"/>
      <c r="BP994" s="430"/>
      <c r="BQ994" s="430"/>
      <c r="BR994" s="430"/>
      <c r="BS994" s="430"/>
      <c r="BT994" s="430"/>
      <c r="BU994" s="430"/>
      <c r="BV994" s="430"/>
      <c r="BW994" s="430"/>
      <c r="BX994" s="430"/>
      <c r="BY994" s="430"/>
      <c r="BZ994" s="430"/>
      <c r="CA994" s="430"/>
      <c r="CB994" s="430"/>
      <c r="CC994" s="430"/>
      <c r="CD994" s="430"/>
      <c r="CE994" s="430"/>
      <c r="CF994" s="430"/>
      <c r="CG994" s="430"/>
      <c r="CH994" s="430"/>
      <c r="CI994" s="430"/>
      <c r="CJ994" s="430"/>
      <c r="CK994" s="430"/>
      <c r="CL994" s="430"/>
    </row>
    <row r="995" spans="63:90" ht="14.25" customHeight="1">
      <c r="BK995" s="430"/>
      <c r="BL995" s="430"/>
      <c r="BM995" s="430"/>
      <c r="BN995" s="430"/>
      <c r="BO995" s="430"/>
      <c r="BP995" s="430"/>
      <c r="BQ995" s="430"/>
      <c r="BR995" s="430"/>
      <c r="BS995" s="430"/>
      <c r="BT995" s="430"/>
      <c r="BU995" s="430"/>
      <c r="BV995" s="430"/>
      <c r="BW995" s="430"/>
      <c r="BX995" s="430"/>
      <c r="BY995" s="430"/>
      <c r="BZ995" s="430"/>
      <c r="CA995" s="430"/>
      <c r="CB995" s="430"/>
      <c r="CC995" s="430"/>
      <c r="CD995" s="430"/>
      <c r="CE995" s="430"/>
      <c r="CF995" s="430"/>
      <c r="CG995" s="430"/>
      <c r="CH995" s="430"/>
      <c r="CI995" s="430"/>
      <c r="CJ995" s="430"/>
      <c r="CK995" s="430"/>
      <c r="CL995" s="430"/>
    </row>
    <row r="996" spans="63:90" ht="14.25" customHeight="1">
      <c r="BK996" s="430"/>
      <c r="BL996" s="430"/>
      <c r="BM996" s="430"/>
      <c r="BN996" s="430"/>
      <c r="BO996" s="430"/>
      <c r="BP996" s="430"/>
      <c r="BQ996" s="430"/>
      <c r="BR996" s="430"/>
      <c r="BS996" s="430"/>
      <c r="BT996" s="430"/>
      <c r="BU996" s="430"/>
      <c r="BV996" s="430"/>
      <c r="BW996" s="430"/>
      <c r="BX996" s="430"/>
      <c r="BY996" s="430"/>
      <c r="BZ996" s="430"/>
      <c r="CA996" s="430"/>
      <c r="CB996" s="430"/>
      <c r="CC996" s="430"/>
      <c r="CD996" s="430"/>
      <c r="CE996" s="430"/>
      <c r="CF996" s="430"/>
      <c r="CG996" s="430"/>
      <c r="CH996" s="430"/>
      <c r="CI996" s="430"/>
      <c r="CJ996" s="430"/>
      <c r="CK996" s="430"/>
      <c r="CL996" s="430"/>
    </row>
    <row r="997" spans="63:90" ht="14.25" customHeight="1">
      <c r="BK997" s="430"/>
      <c r="BL997" s="430"/>
      <c r="BM997" s="430"/>
      <c r="BN997" s="430"/>
      <c r="BO997" s="430"/>
      <c r="BP997" s="430"/>
      <c r="BQ997" s="430"/>
      <c r="BR997" s="430"/>
      <c r="BS997" s="430"/>
      <c r="BT997" s="430"/>
      <c r="BU997" s="430"/>
      <c r="BV997" s="430"/>
      <c r="BW997" s="430"/>
      <c r="BX997" s="430"/>
      <c r="BY997" s="430"/>
      <c r="BZ997" s="430"/>
      <c r="CA997" s="430"/>
      <c r="CB997" s="430"/>
      <c r="CC997" s="430"/>
      <c r="CD997" s="430"/>
      <c r="CE997" s="430"/>
      <c r="CF997" s="430"/>
      <c r="CG997" s="430"/>
      <c r="CH997" s="430"/>
      <c r="CI997" s="430"/>
      <c r="CJ997" s="430"/>
      <c r="CK997" s="430"/>
      <c r="CL997" s="430"/>
    </row>
    <row r="998" spans="63:90" ht="14.25" customHeight="1">
      <c r="BK998" s="430"/>
      <c r="BL998" s="430"/>
      <c r="BM998" s="430"/>
      <c r="BN998" s="430"/>
      <c r="BO998" s="430"/>
      <c r="BP998" s="430"/>
      <c r="BQ998" s="430"/>
      <c r="BR998" s="430"/>
      <c r="BS998" s="430"/>
      <c r="BT998" s="430"/>
      <c r="BU998" s="430"/>
      <c r="BV998" s="430"/>
      <c r="BW998" s="430"/>
      <c r="BX998" s="430"/>
      <c r="BY998" s="430"/>
      <c r="BZ998" s="430"/>
      <c r="CA998" s="430"/>
      <c r="CB998" s="430"/>
      <c r="CC998" s="430"/>
      <c r="CD998" s="430"/>
      <c r="CE998" s="430"/>
      <c r="CF998" s="430"/>
      <c r="CG998" s="430"/>
      <c r="CH998" s="430"/>
      <c r="CI998" s="430"/>
      <c r="CJ998" s="430"/>
      <c r="CK998" s="430"/>
      <c r="CL998" s="430"/>
    </row>
    <row r="999" spans="63:90" ht="14.25" customHeight="1">
      <c r="BK999" s="430"/>
      <c r="BL999" s="430"/>
      <c r="BM999" s="430"/>
      <c r="BN999" s="430"/>
      <c r="BO999" s="430"/>
      <c r="BP999" s="430"/>
      <c r="BQ999" s="430"/>
      <c r="BR999" s="430"/>
      <c r="BS999" s="430"/>
      <c r="BT999" s="430"/>
      <c r="BU999" s="430"/>
      <c r="BV999" s="430"/>
      <c r="BW999" s="430"/>
      <c r="BX999" s="430"/>
      <c r="BY999" s="430"/>
      <c r="BZ999" s="430"/>
      <c r="CA999" s="430"/>
      <c r="CB999" s="430"/>
      <c r="CC999" s="430"/>
      <c r="CD999" s="430"/>
      <c r="CE999" s="430"/>
      <c r="CF999" s="430"/>
      <c r="CG999" s="430"/>
      <c r="CH999" s="430"/>
      <c r="CI999" s="430"/>
      <c r="CJ999" s="430"/>
      <c r="CK999" s="430"/>
      <c r="CL999" s="430"/>
    </row>
    <row r="1000" spans="63:90" ht="14.25" customHeight="1">
      <c r="BK1000" s="430"/>
      <c r="BL1000" s="430"/>
      <c r="BM1000" s="430"/>
      <c r="BN1000" s="430"/>
      <c r="BO1000" s="430"/>
      <c r="BP1000" s="430"/>
      <c r="BQ1000" s="430"/>
      <c r="BR1000" s="430"/>
      <c r="BS1000" s="430"/>
      <c r="BT1000" s="430"/>
      <c r="BU1000" s="430"/>
      <c r="BV1000" s="430"/>
      <c r="BW1000" s="430"/>
      <c r="BX1000" s="430"/>
      <c r="BY1000" s="430"/>
      <c r="BZ1000" s="430"/>
      <c r="CA1000" s="430"/>
      <c r="CB1000" s="430"/>
      <c r="CC1000" s="430"/>
      <c r="CD1000" s="430"/>
      <c r="CE1000" s="430"/>
      <c r="CF1000" s="430"/>
      <c r="CG1000" s="430"/>
      <c r="CH1000" s="430"/>
      <c r="CI1000" s="430"/>
      <c r="CJ1000" s="430"/>
      <c r="CK1000" s="430"/>
      <c r="CL1000" s="430"/>
    </row>
    <row r="1001" spans="63:90" ht="14.25" customHeight="1">
      <c r="BK1001" s="430"/>
      <c r="BL1001" s="430"/>
      <c r="BM1001" s="430"/>
      <c r="BN1001" s="430"/>
      <c r="BO1001" s="430"/>
      <c r="BP1001" s="430"/>
      <c r="BQ1001" s="430"/>
      <c r="BR1001" s="430"/>
      <c r="BS1001" s="430"/>
      <c r="BT1001" s="430"/>
      <c r="BU1001" s="430"/>
      <c r="BV1001" s="430"/>
      <c r="BW1001" s="430"/>
      <c r="BX1001" s="430"/>
      <c r="BY1001" s="430"/>
      <c r="BZ1001" s="430"/>
      <c r="CA1001" s="430"/>
      <c r="CB1001" s="430"/>
      <c r="CC1001" s="430"/>
      <c r="CD1001" s="430"/>
      <c r="CE1001" s="430"/>
      <c r="CF1001" s="430"/>
      <c r="CG1001" s="430"/>
      <c r="CH1001" s="430"/>
      <c r="CI1001" s="430"/>
      <c r="CJ1001" s="430"/>
      <c r="CK1001" s="430"/>
      <c r="CL1001" s="430"/>
    </row>
    <row r="1002" spans="63:90" ht="14.25" customHeight="1">
      <c r="BK1002" s="430"/>
      <c r="BL1002" s="430"/>
      <c r="BM1002" s="430"/>
      <c r="BN1002" s="430"/>
      <c r="BO1002" s="430"/>
      <c r="BP1002" s="430"/>
      <c r="BQ1002" s="430"/>
      <c r="BR1002" s="430"/>
      <c r="BS1002" s="430"/>
      <c r="BT1002" s="430"/>
      <c r="BU1002" s="430"/>
      <c r="BV1002" s="430"/>
      <c r="BW1002" s="430"/>
      <c r="BX1002" s="430"/>
      <c r="BY1002" s="430"/>
      <c r="BZ1002" s="430"/>
      <c r="CA1002" s="430"/>
      <c r="CB1002" s="430"/>
      <c r="CC1002" s="430"/>
      <c r="CD1002" s="430"/>
      <c r="CE1002" s="430"/>
      <c r="CF1002" s="430"/>
      <c r="CG1002" s="430"/>
      <c r="CH1002" s="430"/>
      <c r="CI1002" s="430"/>
      <c r="CJ1002" s="430"/>
      <c r="CK1002" s="430"/>
      <c r="CL1002" s="430"/>
    </row>
    <row r="1003" spans="63:90" ht="14.25" customHeight="1">
      <c r="BK1003" s="430"/>
      <c r="BL1003" s="430"/>
      <c r="BM1003" s="430"/>
      <c r="BN1003" s="430"/>
      <c r="BO1003" s="430"/>
      <c r="BP1003" s="430"/>
      <c r="BQ1003" s="430"/>
      <c r="BR1003" s="430"/>
      <c r="BS1003" s="430"/>
      <c r="BT1003" s="430"/>
      <c r="BU1003" s="430"/>
      <c r="BV1003" s="430"/>
      <c r="BW1003" s="430"/>
      <c r="BX1003" s="430"/>
      <c r="BY1003" s="430"/>
      <c r="BZ1003" s="430"/>
      <c r="CA1003" s="430"/>
      <c r="CB1003" s="430"/>
      <c r="CC1003" s="430"/>
      <c r="CD1003" s="430"/>
      <c r="CE1003" s="430"/>
      <c r="CF1003" s="430"/>
      <c r="CG1003" s="430"/>
      <c r="CH1003" s="430"/>
      <c r="CI1003" s="430"/>
      <c r="CJ1003" s="430"/>
      <c r="CK1003" s="430"/>
      <c r="CL1003" s="430"/>
    </row>
    <row r="1004" spans="63:90" ht="14.25" customHeight="1">
      <c r="BK1004" s="430"/>
      <c r="BL1004" s="430"/>
      <c r="BM1004" s="430"/>
      <c r="BN1004" s="430"/>
      <c r="BO1004" s="430"/>
      <c r="BP1004" s="430"/>
      <c r="BQ1004" s="430"/>
      <c r="BR1004" s="430"/>
      <c r="BS1004" s="430"/>
      <c r="BT1004" s="430"/>
      <c r="BU1004" s="430"/>
      <c r="BV1004" s="430"/>
      <c r="BW1004" s="430"/>
      <c r="BX1004" s="430"/>
      <c r="BY1004" s="430"/>
      <c r="BZ1004" s="430"/>
      <c r="CA1004" s="430"/>
      <c r="CB1004" s="430"/>
      <c r="CC1004" s="430"/>
      <c r="CD1004" s="430"/>
      <c r="CE1004" s="430"/>
      <c r="CF1004" s="430"/>
      <c r="CG1004" s="430"/>
      <c r="CH1004" s="430"/>
      <c r="CI1004" s="430"/>
      <c r="CJ1004" s="430"/>
      <c r="CK1004" s="430"/>
      <c r="CL1004" s="430"/>
    </row>
    <row r="1005" spans="63:90" ht="14.25" customHeight="1">
      <c r="BK1005" s="1149"/>
      <c r="BL1005" s="1149"/>
      <c r="BM1005" s="1149"/>
      <c r="BN1005" s="1149"/>
      <c r="BO1005" s="1149"/>
      <c r="BP1005" s="1149"/>
      <c r="BQ1005" s="1149"/>
      <c r="BR1005" s="1149"/>
      <c r="BS1005" s="1149"/>
      <c r="BT1005" s="1149"/>
      <c r="BU1005" s="1149"/>
      <c r="BV1005" s="1149"/>
      <c r="BW1005" s="1149"/>
      <c r="BX1005" s="1149"/>
      <c r="BY1005" s="1149"/>
      <c r="BZ1005" s="1149"/>
      <c r="CA1005" s="1149"/>
      <c r="CB1005" s="1149"/>
      <c r="CC1005" s="1149"/>
      <c r="CD1005" s="1149"/>
      <c r="CE1005" s="1149"/>
      <c r="CF1005" s="1149"/>
      <c r="CG1005" s="1149"/>
      <c r="CH1005" s="1149"/>
      <c r="CI1005" s="1149"/>
      <c r="CJ1005" s="1149"/>
      <c r="CK1005" s="1149"/>
      <c r="CL1005" s="1149"/>
    </row>
  </sheetData>
  <mergeCells count="42">
    <mergeCell ref="AL6:AT6"/>
    <mergeCell ref="K8:L8"/>
    <mergeCell ref="M8:O8"/>
    <mergeCell ref="P8:S8"/>
    <mergeCell ref="T8:U8"/>
    <mergeCell ref="AL8:AM8"/>
    <mergeCell ref="AN8:AP8"/>
    <mergeCell ref="AQ8:AT8"/>
    <mergeCell ref="B6:B9"/>
    <mergeCell ref="C6:J8"/>
    <mergeCell ref="K6:S6"/>
    <mergeCell ref="T6:AB6"/>
    <mergeCell ref="AC6:AK6"/>
    <mergeCell ref="V8:X8"/>
    <mergeCell ref="Y8:AB8"/>
    <mergeCell ref="AC8:AD8"/>
    <mergeCell ref="AE8:AG8"/>
    <mergeCell ref="AH8:AK8"/>
    <mergeCell ref="CF6:CL7"/>
    <mergeCell ref="BM8:BO8"/>
    <mergeCell ref="BP8:BQ8"/>
    <mergeCell ref="BS8:BS9"/>
    <mergeCell ref="BT8:BT9"/>
    <mergeCell ref="CI8:CI9"/>
    <mergeCell ref="CJ8:CJ9"/>
    <mergeCell ref="CK8:CK9"/>
    <mergeCell ref="CL8:CL9"/>
    <mergeCell ref="CF8:CF9"/>
    <mergeCell ref="CG8:CG9"/>
    <mergeCell ref="CH8:CH9"/>
    <mergeCell ref="AU6:BC6"/>
    <mergeCell ref="BD6:BJ8"/>
    <mergeCell ref="BK6:BR6"/>
    <mergeCell ref="BS6:CA7"/>
    <mergeCell ref="CB6:CE7"/>
    <mergeCell ref="BK8:BL8"/>
    <mergeCell ref="AU8:AV8"/>
    <mergeCell ref="AW8:AY8"/>
    <mergeCell ref="AZ8:BC8"/>
    <mergeCell ref="BU8:BV8"/>
    <mergeCell ref="BW8:BX8"/>
    <mergeCell ref="BY8:BZ8"/>
  </mergeCells>
  <dataValidations count="10">
    <dataValidation type="list" allowBlank="1" showInputMessage="1" showErrorMessage="1" sqref="G1:K1" xr:uid="{00000000-0002-0000-0800-000000000000}">
      <formula1>MIX_PARAM</formula1>
    </dataValidation>
    <dataValidation type="list" allowBlank="1" showInputMessage="1" showErrorMessage="1" sqref="A2" xr:uid="{EB36E3E9-D503-384C-890A-5D8536B68E50}">
      <formula1>SC_GLOB</formula1>
    </dataValidation>
    <dataValidation type="list" allowBlank="1" showInputMessage="1" showErrorMessage="1" sqref="B2" xr:uid="{BEB212E7-DDFD-DE45-A49B-759C64893016}">
      <formula1>RM_Avion</formula1>
    </dataValidation>
    <dataValidation type="list" allowBlank="1" showInputMessage="1" showErrorMessage="1" sqref="BM7:BP7" xr:uid="{00000000-0002-0000-0800-000003000000}">
      <formula1>BIOCARB</formula1>
    </dataValidation>
    <dataValidation type="list" allowBlank="1" showInputMessage="1" showErrorMessage="1" sqref="F2" xr:uid="{FD8BAA69-DC8E-4644-A158-26667C0715F2}">
      <formula1>MIX</formula1>
    </dataValidation>
    <dataValidation type="list" allowBlank="1" showInputMessage="1" showErrorMessage="1" sqref="M9:O9 V9:X9 AE9:AG9 AN9:AP9 AW9:AY9" xr:uid="{00000000-0002-0000-0800-000005000000}">
      <formula1>CAR_Avion</formula1>
    </dataValidation>
    <dataValidation type="list" allowBlank="1" showInputMessage="1" showErrorMessage="1" sqref="BM9 BO9:BP9" xr:uid="{00000000-0002-0000-0800-000006000000}">
      <formula1>BIOCARB_PARAM</formula1>
    </dataValidation>
    <dataValidation type="list" allowBlank="1" showInputMessage="1" showErrorMessage="1" sqref="BU8:CA8" xr:uid="{00000000-0002-0000-0800-000007000000}">
      <formula1>CARB</formula1>
    </dataValidation>
    <dataValidation type="list" allowBlank="1" showInputMessage="1" showErrorMessage="1" sqref="K7:BC7" xr:uid="{00000000-0002-0000-0800-000008000000}">
      <formula1>TYPE_Avion</formula1>
    </dataValidation>
    <dataValidation type="list" allowBlank="1" showInputMessage="1" showErrorMessage="1" sqref="C2" xr:uid="{F5D154FA-635B-9246-A07D-1F9B560214CA}">
      <formula1>CA</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E598"/>
    <outlinePr summaryBelow="0" summaryRight="0"/>
  </sheetPr>
  <dimension ref="A1:BE1000"/>
  <sheetViews>
    <sheetView zoomScale="70" zoomScaleNormal="70" workbookViewId="0">
      <pane xSplit="2" topLeftCell="C1" activePane="topRight" state="frozen"/>
      <selection pane="topRight" activeCell="AL26" sqref="AL26:AL30"/>
    </sheetView>
  </sheetViews>
  <sheetFormatPr defaultColWidth="12.625" defaultRowHeight="15" customHeight="1"/>
  <cols>
    <col min="1" max="1" width="3.125" style="108" customWidth="1"/>
    <col min="2" max="2" width="13" style="108" customWidth="1"/>
    <col min="3" max="3" width="13.5" style="108" customWidth="1"/>
    <col min="4" max="4" width="16.625" style="108" customWidth="1"/>
    <col min="5" max="5" width="13.625" style="108" customWidth="1"/>
    <col min="6" max="6" width="16.625" style="108" customWidth="1"/>
    <col min="7" max="8" width="6.125" style="108" customWidth="1"/>
    <col min="9" max="9" width="8.875" style="108" customWidth="1"/>
    <col min="10" max="10" width="14.625" style="108" customWidth="1"/>
    <col min="11" max="11" width="15.375" style="108" customWidth="1"/>
    <col min="12" max="12" width="11" style="108" customWidth="1"/>
    <col min="13" max="13" width="10.125" style="108" customWidth="1"/>
    <col min="14" max="14" width="9.625" style="108" customWidth="1"/>
    <col min="15" max="15" width="6" style="108" customWidth="1"/>
    <col min="16" max="16" width="8.625" style="108" customWidth="1"/>
    <col min="17" max="17" width="7.625" style="108" customWidth="1"/>
    <col min="18" max="18" width="11.125" style="108" customWidth="1"/>
    <col min="19" max="19" width="16.625" style="108" customWidth="1"/>
    <col min="20" max="20" width="14.625" style="108" customWidth="1"/>
    <col min="21" max="21" width="15.375" style="108" customWidth="1"/>
    <col min="22" max="22" width="8.875" style="108" customWidth="1"/>
    <col min="23" max="23" width="8.625" style="108" customWidth="1"/>
    <col min="24" max="24" width="9.625" style="108" customWidth="1"/>
    <col min="25" max="25" width="6.5" style="108" customWidth="1"/>
    <col min="26" max="26" width="8.625" style="108" customWidth="1"/>
    <col min="27" max="27" width="7.625" style="108" customWidth="1"/>
    <col min="28" max="28" width="10.875" style="108" customWidth="1"/>
    <col min="29" max="29" width="10" style="108" customWidth="1"/>
    <col min="30" max="30" width="9.125" style="108" customWidth="1"/>
    <col min="31" max="31" width="16.125" style="108" customWidth="1"/>
    <col min="32" max="32" width="21.375" style="108" customWidth="1"/>
    <col min="33" max="33" width="23" style="108" customWidth="1"/>
    <col min="34" max="34" width="29.875" style="108" customWidth="1"/>
    <col min="35" max="35" width="24.625" style="108" customWidth="1"/>
    <col min="36" max="36" width="19.125" style="108" customWidth="1"/>
    <col min="37" max="39" width="24" style="108" customWidth="1"/>
    <col min="40" max="40" width="24.625" style="108" customWidth="1"/>
    <col min="41" max="57" width="13" style="108" customWidth="1"/>
    <col min="58" max="16384" width="12.625" style="108"/>
  </cols>
  <sheetData>
    <row r="1" spans="1:57" ht="15.75" customHeight="1" thickBot="1">
      <c r="A1" s="430"/>
      <c r="B1" s="429"/>
      <c r="C1" s="429"/>
      <c r="D1" s="429"/>
      <c r="E1" s="429"/>
      <c r="F1" s="429"/>
      <c r="G1" s="429"/>
      <c r="H1" s="429"/>
      <c r="I1" s="429"/>
      <c r="J1" s="427"/>
      <c r="K1" s="427"/>
      <c r="L1" s="428"/>
      <c r="M1" s="427"/>
      <c r="N1" s="429"/>
      <c r="O1" s="429"/>
      <c r="P1" s="429"/>
      <c r="Q1" s="429"/>
      <c r="R1" s="429"/>
      <c r="S1" s="427"/>
      <c r="T1" s="427"/>
      <c r="U1" s="427"/>
      <c r="V1" s="428"/>
      <c r="W1" s="427"/>
      <c r="X1" s="429"/>
      <c r="Y1" s="429"/>
      <c r="Z1" s="429"/>
      <c r="AA1" s="429"/>
      <c r="AB1" s="429"/>
      <c r="AC1" s="429"/>
      <c r="AD1" s="429"/>
      <c r="AE1" s="429"/>
      <c r="AF1" s="429"/>
      <c r="AG1" s="429"/>
      <c r="AH1" s="429"/>
      <c r="AI1" s="429"/>
      <c r="AJ1" s="429"/>
      <c r="AK1" s="429"/>
      <c r="AL1" s="429"/>
      <c r="AM1" s="429"/>
      <c r="AN1" s="430"/>
      <c r="AO1" s="430"/>
      <c r="AP1" s="430"/>
      <c r="AQ1" s="430"/>
      <c r="AR1" s="430"/>
      <c r="AS1" s="430"/>
      <c r="AT1" s="430"/>
      <c r="AU1" s="430"/>
      <c r="AV1" s="430"/>
      <c r="AW1" s="430"/>
      <c r="AX1" s="430"/>
      <c r="AY1" s="430"/>
      <c r="AZ1" s="430"/>
      <c r="BA1" s="430"/>
      <c r="BB1" s="430"/>
      <c r="BC1" s="430"/>
      <c r="BD1" s="430"/>
      <c r="BE1" s="430"/>
    </row>
    <row r="2" spans="1:57" ht="13.5" customHeight="1">
      <c r="A2" s="430"/>
      <c r="B2" s="1379" t="s">
        <v>496</v>
      </c>
      <c r="C2" s="1382" t="s">
        <v>555</v>
      </c>
      <c r="D2" s="1383"/>
      <c r="E2" s="1383"/>
      <c r="F2" s="1383"/>
      <c r="G2" s="1383"/>
      <c r="H2" s="1383"/>
      <c r="I2" s="1384"/>
      <c r="J2" s="1386" t="s">
        <v>556</v>
      </c>
      <c r="K2" s="1383"/>
      <c r="L2" s="1383"/>
      <c r="M2" s="1383"/>
      <c r="N2" s="1383"/>
      <c r="O2" s="1383"/>
      <c r="P2" s="1383"/>
      <c r="Q2" s="1383"/>
      <c r="R2" s="1384"/>
      <c r="S2" s="1390" t="s">
        <v>557</v>
      </c>
      <c r="T2" s="1383"/>
      <c r="U2" s="1383"/>
      <c r="V2" s="1383"/>
      <c r="W2" s="1383"/>
      <c r="X2" s="1383"/>
      <c r="Y2" s="1383"/>
      <c r="Z2" s="1383"/>
      <c r="AA2" s="1383"/>
      <c r="AB2" s="1384"/>
      <c r="AC2" s="1383"/>
      <c r="AD2" s="1383"/>
      <c r="AE2" s="1383"/>
      <c r="AF2" s="1383"/>
      <c r="AG2" s="1383"/>
      <c r="AH2" s="1383"/>
      <c r="AI2" s="1383"/>
      <c r="AJ2" s="1383"/>
      <c r="AK2" s="1383"/>
      <c r="AL2" s="1383"/>
      <c r="AM2" s="1384"/>
      <c r="AN2" s="668"/>
      <c r="AO2" s="669"/>
      <c r="AP2" s="430"/>
      <c r="AQ2" s="430"/>
      <c r="AR2" s="430"/>
      <c r="AS2" s="430"/>
      <c r="AT2" s="430"/>
      <c r="AU2" s="430"/>
      <c r="AV2" s="430"/>
      <c r="AW2" s="430"/>
      <c r="AX2" s="430"/>
      <c r="AY2" s="430"/>
      <c r="AZ2" s="430"/>
      <c r="BA2" s="430"/>
      <c r="BB2" s="430"/>
      <c r="BC2" s="430"/>
      <c r="BD2" s="430"/>
      <c r="BE2" s="430"/>
    </row>
    <row r="3" spans="1:57" ht="13.5" customHeight="1" thickBot="1">
      <c r="A3" s="670"/>
      <c r="B3" s="1380"/>
      <c r="C3" s="1385"/>
      <c r="D3" s="1370"/>
      <c r="E3" s="1370"/>
      <c r="F3" s="1370"/>
      <c r="G3" s="1370"/>
      <c r="H3" s="1370"/>
      <c r="I3" s="1373"/>
      <c r="J3" s="1387"/>
      <c r="K3" s="1388"/>
      <c r="L3" s="1388"/>
      <c r="M3" s="1388"/>
      <c r="N3" s="1388"/>
      <c r="O3" s="1388"/>
      <c r="P3" s="1388"/>
      <c r="Q3" s="1388"/>
      <c r="R3" s="1389"/>
      <c r="S3" s="1385"/>
      <c r="T3" s="1370"/>
      <c r="U3" s="1370"/>
      <c r="V3" s="1370"/>
      <c r="W3" s="1370"/>
      <c r="X3" s="1370"/>
      <c r="Y3" s="1370"/>
      <c r="Z3" s="1370"/>
      <c r="AA3" s="1370"/>
      <c r="AB3" s="1373"/>
      <c r="AC3" s="1370"/>
      <c r="AD3" s="1370"/>
      <c r="AE3" s="1370"/>
      <c r="AF3" s="1370"/>
      <c r="AG3" s="1370"/>
      <c r="AH3" s="1370"/>
      <c r="AI3" s="1370"/>
      <c r="AJ3" s="1370"/>
      <c r="AK3" s="1370"/>
      <c r="AL3" s="1370"/>
      <c r="AM3" s="1373"/>
      <c r="AN3" s="669"/>
      <c r="AO3" s="669"/>
      <c r="AP3" s="430"/>
      <c r="AQ3" s="430"/>
      <c r="AR3" s="430"/>
      <c r="AS3" s="430"/>
      <c r="AT3" s="430"/>
      <c r="AU3" s="430"/>
      <c r="AV3" s="430"/>
      <c r="AW3" s="430"/>
      <c r="AX3" s="430"/>
      <c r="AY3" s="430"/>
      <c r="AZ3" s="430"/>
      <c r="BA3" s="430"/>
      <c r="BB3" s="430"/>
      <c r="BC3" s="430"/>
      <c r="BD3" s="430"/>
      <c r="BE3" s="430"/>
    </row>
    <row r="4" spans="1:57" ht="13.5" customHeight="1">
      <c r="A4" s="670"/>
      <c r="B4" s="1380"/>
      <c r="C4" s="1391" t="s">
        <v>558</v>
      </c>
      <c r="D4" s="1371" t="s">
        <v>559</v>
      </c>
      <c r="E4" s="1371" t="s">
        <v>560</v>
      </c>
      <c r="F4" s="1371" t="s">
        <v>561</v>
      </c>
      <c r="G4" s="1392" t="s">
        <v>527</v>
      </c>
      <c r="H4" s="1392" t="s">
        <v>526</v>
      </c>
      <c r="I4" s="1372" t="s">
        <v>562</v>
      </c>
      <c r="J4" s="1393" t="s">
        <v>563</v>
      </c>
      <c r="K4" s="1394" t="s">
        <v>564</v>
      </c>
      <c r="L4" s="671" t="s">
        <v>565</v>
      </c>
      <c r="M4" s="672" t="s">
        <v>566</v>
      </c>
      <c r="N4" s="673" t="s">
        <v>565</v>
      </c>
      <c r="O4" s="673" t="s">
        <v>544</v>
      </c>
      <c r="P4" s="674" t="s">
        <v>565</v>
      </c>
      <c r="Q4" s="675" t="s">
        <v>544</v>
      </c>
      <c r="R4" s="676" t="s">
        <v>565</v>
      </c>
      <c r="S4" s="1391" t="s">
        <v>567</v>
      </c>
      <c r="T4" s="1371" t="s">
        <v>563</v>
      </c>
      <c r="U4" s="1372" t="s">
        <v>564</v>
      </c>
      <c r="V4" s="677" t="s">
        <v>565</v>
      </c>
      <c r="W4" s="678" t="s">
        <v>566</v>
      </c>
      <c r="X4" s="1150" t="s">
        <v>565</v>
      </c>
      <c r="Y4" s="1150" t="s">
        <v>544</v>
      </c>
      <c r="Z4" s="679" t="s">
        <v>565</v>
      </c>
      <c r="AA4" s="680" t="s">
        <v>544</v>
      </c>
      <c r="AB4" s="681" t="s">
        <v>565</v>
      </c>
      <c r="AC4" s="673"/>
      <c r="AD4" s="673"/>
      <c r="AE4" s="673"/>
      <c r="AF4" s="673"/>
      <c r="AG4" s="673"/>
      <c r="AH4" s="673"/>
      <c r="AI4" s="673"/>
      <c r="AJ4" s="673"/>
      <c r="AK4" s="673"/>
      <c r="AL4" s="673"/>
      <c r="AM4" s="676"/>
      <c r="AN4" s="669"/>
      <c r="AO4" s="669"/>
      <c r="AP4" s="430"/>
      <c r="AQ4" s="430"/>
      <c r="AR4" s="430"/>
      <c r="AS4" s="430"/>
      <c r="AT4" s="430"/>
      <c r="AU4" s="430"/>
      <c r="AV4" s="430"/>
      <c r="AW4" s="430"/>
      <c r="AX4" s="430"/>
      <c r="AY4" s="430"/>
      <c r="AZ4" s="430"/>
      <c r="BA4" s="430"/>
      <c r="BB4" s="430"/>
      <c r="BC4" s="430"/>
      <c r="BD4" s="430"/>
      <c r="BE4" s="430"/>
    </row>
    <row r="5" spans="1:57" ht="39" customHeight="1" thickBot="1">
      <c r="A5" s="670"/>
      <c r="B5" s="1381"/>
      <c r="C5" s="1385"/>
      <c r="D5" s="1370"/>
      <c r="E5" s="1370"/>
      <c r="F5" s="1370"/>
      <c r="G5" s="1370"/>
      <c r="H5" s="1370"/>
      <c r="I5" s="1373"/>
      <c r="J5" s="1385"/>
      <c r="K5" s="1377"/>
      <c r="L5" s="1374" t="s">
        <v>568</v>
      </c>
      <c r="M5" s="1370"/>
      <c r="N5" s="1375" t="s">
        <v>569</v>
      </c>
      <c r="O5" s="1370"/>
      <c r="P5" s="1376" t="s">
        <v>570</v>
      </c>
      <c r="Q5" s="1377"/>
      <c r="R5" s="682" t="s">
        <v>571</v>
      </c>
      <c r="S5" s="1385"/>
      <c r="T5" s="1370"/>
      <c r="U5" s="1373"/>
      <c r="V5" s="1378" t="s">
        <v>568</v>
      </c>
      <c r="W5" s="1370"/>
      <c r="X5" s="1369" t="s">
        <v>569</v>
      </c>
      <c r="Y5" s="1370"/>
      <c r="Z5" s="1395" t="s">
        <v>570</v>
      </c>
      <c r="AA5" s="1377"/>
      <c r="AB5" s="683" t="s">
        <v>571</v>
      </c>
      <c r="AC5" s="1151" t="s">
        <v>527</v>
      </c>
      <c r="AD5" s="1151" t="s">
        <v>526</v>
      </c>
      <c r="AE5" s="1151" t="s">
        <v>572</v>
      </c>
      <c r="AF5" s="1151" t="s">
        <v>573</v>
      </c>
      <c r="AG5" s="684" t="s">
        <v>574</v>
      </c>
      <c r="AH5" s="684" t="s">
        <v>553</v>
      </c>
      <c r="AI5" s="684" t="s">
        <v>575</v>
      </c>
      <c r="AJ5" s="684" t="s">
        <v>576</v>
      </c>
      <c r="AK5" s="684" t="s">
        <v>577</v>
      </c>
      <c r="AL5" s="684" t="s">
        <v>578</v>
      </c>
      <c r="AM5" s="685" t="s">
        <v>579</v>
      </c>
      <c r="AN5" s="686"/>
      <c r="AO5" s="669"/>
      <c r="AP5" s="430"/>
      <c r="AQ5" s="430"/>
      <c r="AR5" s="430"/>
      <c r="AS5" s="430"/>
      <c r="AT5" s="430"/>
      <c r="AU5" s="430"/>
      <c r="AV5" s="430"/>
      <c r="AW5" s="430"/>
      <c r="AX5" s="430"/>
      <c r="AY5" s="430"/>
      <c r="AZ5" s="430"/>
      <c r="BA5" s="430"/>
      <c r="BB5" s="430"/>
      <c r="BC5" s="430"/>
      <c r="BD5" s="430"/>
      <c r="BE5" s="430"/>
    </row>
    <row r="6" spans="1:57" ht="15.75" customHeight="1">
      <c r="A6" s="670"/>
      <c r="B6" s="687">
        <v>2014</v>
      </c>
      <c r="C6" s="688">
        <f>Trajectoires!F6</f>
        <v>885.83864771181118</v>
      </c>
      <c r="D6" s="500"/>
      <c r="E6" s="689">
        <f>C6*(Hypothèses!$B$23/Hypothèses!$D$23)</f>
        <v>744.10446407792131</v>
      </c>
      <c r="F6" s="500"/>
      <c r="G6" s="500" t="s">
        <v>580</v>
      </c>
      <c r="H6" s="500">
        <f>I6*Hypothèses!$B$5</f>
        <v>328.35085875184461</v>
      </c>
      <c r="I6" s="690">
        <f>E6/Hypothèses!$B$23</f>
        <v>236.2236393898163</v>
      </c>
      <c r="J6" s="691"/>
      <c r="K6" s="486"/>
      <c r="L6" s="487"/>
      <c r="M6" s="488"/>
      <c r="N6" s="498"/>
      <c r="O6" s="498"/>
      <c r="P6" s="496"/>
      <c r="Q6" s="497"/>
      <c r="R6" s="690"/>
      <c r="S6" s="691"/>
      <c r="T6" s="486"/>
      <c r="U6" s="692"/>
      <c r="V6" s="693"/>
      <c r="W6" s="488"/>
      <c r="X6" s="498"/>
      <c r="Y6" s="498"/>
      <c r="Z6" s="496"/>
      <c r="AA6" s="497"/>
      <c r="AB6" s="690">
        <f t="shared" ref="AB6:AB42" si="0">I6-V6-X6</f>
        <v>236.2236393898163</v>
      </c>
      <c r="AC6" s="498"/>
      <c r="AD6" s="498"/>
      <c r="AE6" s="498"/>
      <c r="AF6" s="498"/>
      <c r="AG6" s="498"/>
      <c r="AH6" s="498"/>
      <c r="AI6" s="498"/>
      <c r="AJ6" s="503">
        <f>(AB6+V6*Prod_Carburant_Alt!$D$75)*Hypothèses!$D$23+AI6</f>
        <v>885.83864771181106</v>
      </c>
      <c r="AK6" s="505">
        <f>(AB6+V6*Prod_Carburant_Alt!$D$75)*Hypothèses!$B$23</f>
        <v>744.10446407792131</v>
      </c>
      <c r="AL6" s="506"/>
      <c r="AM6" s="694"/>
      <c r="AN6" s="695"/>
      <c r="AO6" s="696"/>
      <c r="AP6" s="696"/>
      <c r="AQ6" s="696"/>
      <c r="AR6" s="696"/>
      <c r="AS6" s="696"/>
      <c r="AT6" s="696"/>
      <c r="AU6" s="696"/>
      <c r="AV6" s="696"/>
      <c r="AW6" s="696"/>
      <c r="AX6" s="696"/>
      <c r="AY6" s="696"/>
      <c r="AZ6" s="696"/>
      <c r="BA6" s="696"/>
      <c r="BB6" s="696"/>
      <c r="BC6" s="696"/>
      <c r="BD6" s="696"/>
      <c r="BE6" s="696"/>
    </row>
    <row r="7" spans="1:57" ht="15.75" customHeight="1">
      <c r="A7" s="670"/>
      <c r="B7" s="687">
        <v>2015</v>
      </c>
      <c r="C7" s="688">
        <f>Trajectoires!F7</f>
        <v>930.26844806902204</v>
      </c>
      <c r="D7" s="500"/>
      <c r="E7" s="689">
        <f>C7*(Hypothèses!$B$23/Hypothèses!$D$23)</f>
        <v>781.42549637797845</v>
      </c>
      <c r="F7" s="500"/>
      <c r="G7" s="500" t="s">
        <v>580</v>
      </c>
      <c r="H7" s="500">
        <f>I7*Hypothèses!$B$5</f>
        <v>344.81950475091742</v>
      </c>
      <c r="I7" s="690">
        <f>E7/Hypothèses!$B$23</f>
        <v>248.07158615173918</v>
      </c>
      <c r="J7" s="691"/>
      <c r="K7" s="486"/>
      <c r="L7" s="487"/>
      <c r="M7" s="488"/>
      <c r="N7" s="498"/>
      <c r="O7" s="498"/>
      <c r="P7" s="496"/>
      <c r="Q7" s="497"/>
      <c r="R7" s="690"/>
      <c r="S7" s="691"/>
      <c r="T7" s="486"/>
      <c r="U7" s="692"/>
      <c r="V7" s="693"/>
      <c r="W7" s="488"/>
      <c r="X7" s="498"/>
      <c r="Y7" s="498"/>
      <c r="Z7" s="496"/>
      <c r="AA7" s="497"/>
      <c r="AB7" s="690">
        <f t="shared" si="0"/>
        <v>248.07158615173918</v>
      </c>
      <c r="AC7" s="498"/>
      <c r="AD7" s="498"/>
      <c r="AE7" s="498"/>
      <c r="AF7" s="498"/>
      <c r="AG7" s="498"/>
      <c r="AH7" s="498"/>
      <c r="AI7" s="498"/>
      <c r="AJ7" s="503">
        <f>(AB7+V7*Prod_Carburant_Alt!$D$75)*Hypothèses!$D$23+AI7</f>
        <v>930.26844806902193</v>
      </c>
      <c r="AK7" s="505">
        <f>(AB7+V7*Prod_Carburant_Alt!$D$75)*Hypothèses!$B$23</f>
        <v>781.42549637797845</v>
      </c>
      <c r="AL7" s="506"/>
      <c r="AM7" s="694"/>
      <c r="AN7" s="695"/>
      <c r="AO7" s="696"/>
      <c r="AP7" s="696"/>
      <c r="AQ7" s="696"/>
      <c r="AR7" s="696"/>
      <c r="AS7" s="696"/>
      <c r="AT7" s="696"/>
      <c r="AU7" s="696"/>
      <c r="AV7" s="696"/>
      <c r="AW7" s="696"/>
      <c r="AX7" s="696"/>
      <c r="AY7" s="696"/>
      <c r="AZ7" s="696"/>
      <c r="BA7" s="696"/>
      <c r="BB7" s="696"/>
      <c r="BC7" s="696"/>
      <c r="BD7" s="696"/>
      <c r="BE7" s="696"/>
    </row>
    <row r="8" spans="1:57" ht="15.75" customHeight="1">
      <c r="A8" s="670"/>
      <c r="B8" s="687">
        <v>2016</v>
      </c>
      <c r="C8" s="688">
        <f>Trajectoires!F8</f>
        <v>976.92665329983004</v>
      </c>
      <c r="D8" s="500"/>
      <c r="E8" s="689">
        <f>C8*(Hypothèses!$B$23/Hypothèses!$D$23)</f>
        <v>820.61838877185721</v>
      </c>
      <c r="F8" s="500"/>
      <c r="G8" s="500" t="s">
        <v>580</v>
      </c>
      <c r="H8" s="500">
        <f>I8*Hypothèses!$B$5</f>
        <v>362.11414615647027</v>
      </c>
      <c r="I8" s="690">
        <f>E8/Hypothèses!$B$23</f>
        <v>260.513774213288</v>
      </c>
      <c r="J8" s="691"/>
      <c r="K8" s="486"/>
      <c r="L8" s="487"/>
      <c r="M8" s="488"/>
      <c r="N8" s="498"/>
      <c r="O8" s="498"/>
      <c r="P8" s="496"/>
      <c r="Q8" s="497"/>
      <c r="R8" s="690"/>
      <c r="S8" s="691"/>
      <c r="T8" s="486"/>
      <c r="U8" s="692"/>
      <c r="V8" s="693"/>
      <c r="W8" s="488"/>
      <c r="X8" s="498"/>
      <c r="Y8" s="498"/>
      <c r="Z8" s="496"/>
      <c r="AA8" s="497"/>
      <c r="AB8" s="690">
        <f t="shared" si="0"/>
        <v>260.513774213288</v>
      </c>
      <c r="AC8" s="498"/>
      <c r="AD8" s="498"/>
      <c r="AE8" s="498"/>
      <c r="AF8" s="498"/>
      <c r="AG8" s="498"/>
      <c r="AH8" s="498"/>
      <c r="AI8" s="498"/>
      <c r="AJ8" s="503">
        <f>(AB8+V8*Prod_Carburant_Alt!$D$75)*Hypothèses!$D$23+AI8</f>
        <v>976.92665329983004</v>
      </c>
      <c r="AK8" s="505">
        <f>(AB8+V8*Prod_Carburant_Alt!$D$75)*Hypothèses!$B$23</f>
        <v>820.61838877185721</v>
      </c>
      <c r="AL8" s="506"/>
      <c r="AM8" s="694"/>
      <c r="AN8" s="695"/>
      <c r="AO8" s="696"/>
      <c r="AP8" s="696"/>
      <c r="AQ8" s="696"/>
      <c r="AR8" s="696"/>
      <c r="AS8" s="696"/>
      <c r="AT8" s="696"/>
      <c r="AU8" s="696"/>
      <c r="AV8" s="696"/>
      <c r="AW8" s="696"/>
      <c r="AX8" s="696"/>
      <c r="AY8" s="696"/>
      <c r="AZ8" s="696"/>
      <c r="BA8" s="696"/>
      <c r="BB8" s="696"/>
      <c r="BC8" s="696"/>
      <c r="BD8" s="696"/>
      <c r="BE8" s="696"/>
    </row>
    <row r="9" spans="1:57" ht="15.75" customHeight="1">
      <c r="A9" s="670"/>
      <c r="B9" s="687">
        <v>2017</v>
      </c>
      <c r="C9" s="688">
        <f>Trajectoires!F9</f>
        <v>1025.9250304668988</v>
      </c>
      <c r="D9" s="500"/>
      <c r="E9" s="689">
        <f>C9*(Hypothèses!$B$23/Hypothèses!$D$23)</f>
        <v>861.77702559219495</v>
      </c>
      <c r="F9" s="500"/>
      <c r="G9" s="500" t="s">
        <v>580</v>
      </c>
      <c r="H9" s="500">
        <f>I9*Hypothèses!$B$5</f>
        <v>380.27621129306374</v>
      </c>
      <c r="I9" s="690">
        <f>E9/Hypothèses!$B$23</f>
        <v>273.58000812450632</v>
      </c>
      <c r="J9" s="691"/>
      <c r="K9" s="486"/>
      <c r="L9" s="487"/>
      <c r="M9" s="488"/>
      <c r="N9" s="498"/>
      <c r="O9" s="498"/>
      <c r="P9" s="496"/>
      <c r="Q9" s="497"/>
      <c r="R9" s="690"/>
      <c r="S9" s="691"/>
      <c r="T9" s="486"/>
      <c r="U9" s="692"/>
      <c r="V9" s="693"/>
      <c r="W9" s="488"/>
      <c r="X9" s="498"/>
      <c r="Y9" s="498"/>
      <c r="Z9" s="496"/>
      <c r="AA9" s="497"/>
      <c r="AB9" s="690">
        <f t="shared" si="0"/>
        <v>273.58000812450632</v>
      </c>
      <c r="AC9" s="498"/>
      <c r="AD9" s="498"/>
      <c r="AE9" s="498"/>
      <c r="AF9" s="498"/>
      <c r="AG9" s="498"/>
      <c r="AH9" s="498"/>
      <c r="AI9" s="498"/>
      <c r="AJ9" s="503">
        <f>(AB9+V9*Prod_Carburant_Alt!$D$75)*Hypothèses!$D$23+AI9</f>
        <v>1025.9250304668988</v>
      </c>
      <c r="AK9" s="505">
        <f>(AB9+V9*Prod_Carburant_Alt!$D$75)*Hypothèses!$B$23</f>
        <v>861.77702559219483</v>
      </c>
      <c r="AL9" s="506"/>
      <c r="AM9" s="694"/>
      <c r="AN9" s="695"/>
      <c r="AO9" s="696"/>
      <c r="AP9" s="696"/>
      <c r="AQ9" s="696"/>
      <c r="AR9" s="696"/>
      <c r="AS9" s="696"/>
      <c r="AT9" s="696"/>
      <c r="AU9" s="696"/>
      <c r="AV9" s="696"/>
      <c r="AW9" s="696"/>
      <c r="AX9" s="696"/>
      <c r="AY9" s="696"/>
      <c r="AZ9" s="696"/>
      <c r="BA9" s="696"/>
      <c r="BB9" s="696"/>
      <c r="BC9" s="696"/>
      <c r="BD9" s="696"/>
      <c r="BE9" s="696"/>
    </row>
    <row r="10" spans="1:57" ht="15.75" customHeight="1">
      <c r="A10" s="670"/>
      <c r="B10" s="687">
        <v>2035</v>
      </c>
      <c r="C10" s="688">
        <f>Trajectoires!F10</f>
        <v>1077.3809523809523</v>
      </c>
      <c r="D10" s="500"/>
      <c r="E10" s="689">
        <f>C10*(Hypothèses!$B$23/Hypothèses!$D$23)</f>
        <v>904.99999999999989</v>
      </c>
      <c r="F10" s="500"/>
      <c r="G10" s="500" t="s">
        <v>580</v>
      </c>
      <c r="H10" s="500">
        <f>I10*Hypothèses!$B$5</f>
        <v>399.34920634920633</v>
      </c>
      <c r="I10" s="690">
        <f>E10/Hypothèses!$B$23</f>
        <v>287.30158730158729</v>
      </c>
      <c r="J10" s="697"/>
      <c r="K10" s="486"/>
      <c r="L10" s="487"/>
      <c r="M10" s="488"/>
      <c r="N10" s="498"/>
      <c r="O10" s="498"/>
      <c r="P10" s="496"/>
      <c r="Q10" s="497"/>
      <c r="R10" s="690"/>
      <c r="S10" s="691"/>
      <c r="T10" s="486"/>
      <c r="U10" s="692"/>
      <c r="V10" s="693"/>
      <c r="W10" s="488"/>
      <c r="X10" s="498"/>
      <c r="Y10" s="498"/>
      <c r="Z10" s="496"/>
      <c r="AA10" s="497"/>
      <c r="AB10" s="690">
        <f t="shared" si="0"/>
        <v>287.30158730158729</v>
      </c>
      <c r="AC10" s="498"/>
      <c r="AD10" s="498"/>
      <c r="AE10" s="498"/>
      <c r="AF10" s="498"/>
      <c r="AG10" s="498"/>
      <c r="AH10" s="498"/>
      <c r="AI10" s="498"/>
      <c r="AJ10" s="503">
        <f>(AB10+V10*Prod_Carburant_Alt!$D$75)*Hypothèses!$D$23+AI10</f>
        <v>1077.3809523809523</v>
      </c>
      <c r="AK10" s="505">
        <f>(AB10+V10*Prod_Carburant_Alt!$D$75)*Hypothèses!$B$23</f>
        <v>904.99999999999989</v>
      </c>
      <c r="AL10" s="506"/>
      <c r="AM10" s="694"/>
      <c r="AN10" s="695"/>
      <c r="AO10" s="696"/>
      <c r="AP10" s="696"/>
      <c r="AQ10" s="696"/>
      <c r="AR10" s="696"/>
      <c r="AS10" s="696"/>
      <c r="AT10" s="696"/>
      <c r="AU10" s="696"/>
      <c r="AV10" s="696"/>
      <c r="AW10" s="696"/>
      <c r="AX10" s="696"/>
      <c r="AY10" s="696"/>
      <c r="AZ10" s="696"/>
      <c r="BA10" s="696"/>
      <c r="BB10" s="696"/>
      <c r="BC10" s="696"/>
      <c r="BD10" s="696"/>
      <c r="BE10" s="696"/>
    </row>
    <row r="11" spans="1:57" ht="15.75" customHeight="1">
      <c r="A11" s="670"/>
      <c r="B11" s="687">
        <v>2019</v>
      </c>
      <c r="C11" s="688">
        <f>Trajectoires!F11</f>
        <v>1088.0952380952381</v>
      </c>
      <c r="D11" s="500"/>
      <c r="E11" s="689">
        <f>C11*(Hypothèses!$B$23/Hypothèses!$D$23)</f>
        <v>914</v>
      </c>
      <c r="F11" s="500"/>
      <c r="G11" s="500" t="s">
        <v>580</v>
      </c>
      <c r="H11" s="500">
        <f>I11*Hypothèses!$B$5</f>
        <v>403.32063492063492</v>
      </c>
      <c r="I11" s="690">
        <f>E11/Hypothèses!$B$23</f>
        <v>290.15873015873018</v>
      </c>
      <c r="J11" s="691"/>
      <c r="K11" s="486"/>
      <c r="L11" s="487"/>
      <c r="M11" s="488"/>
      <c r="N11" s="498"/>
      <c r="O11" s="498"/>
      <c r="P11" s="496"/>
      <c r="Q11" s="497"/>
      <c r="R11" s="690"/>
      <c r="S11" s="691"/>
      <c r="T11" s="486"/>
      <c r="U11" s="692"/>
      <c r="V11" s="693"/>
      <c r="W11" s="488"/>
      <c r="X11" s="498"/>
      <c r="Y11" s="498"/>
      <c r="Z11" s="496"/>
      <c r="AA11" s="497"/>
      <c r="AB11" s="690">
        <f t="shared" si="0"/>
        <v>290.15873015873018</v>
      </c>
      <c r="AC11" s="498"/>
      <c r="AD11" s="498"/>
      <c r="AE11" s="498"/>
      <c r="AF11" s="498"/>
      <c r="AG11" s="498"/>
      <c r="AH11" s="498"/>
      <c r="AI11" s="498"/>
      <c r="AJ11" s="505">
        <f>(AB11+V11*Prod_Carburant_Alt!$D$75)*Hypothèses!$D$23+AI11</f>
        <v>1088.0952380952381</v>
      </c>
      <c r="AK11" s="505">
        <f>(AB11+V11*Prod_Carburant_Alt!$D$75)*Hypothèses!$B$23</f>
        <v>914</v>
      </c>
      <c r="AL11" s="506"/>
      <c r="AM11" s="694"/>
      <c r="AN11" s="695"/>
      <c r="AO11" s="696"/>
      <c r="AP11" s="696"/>
      <c r="AQ11" s="696"/>
      <c r="AR11" s="696"/>
      <c r="AS11" s="696"/>
      <c r="AT11" s="696"/>
      <c r="AU11" s="696"/>
      <c r="AV11" s="696"/>
      <c r="AW11" s="696"/>
      <c r="AX11" s="696"/>
      <c r="AY11" s="696"/>
      <c r="AZ11" s="696"/>
      <c r="BA11" s="696"/>
      <c r="BB11" s="696"/>
      <c r="BC11" s="696"/>
      <c r="BD11" s="696"/>
      <c r="BE11" s="696"/>
    </row>
    <row r="12" spans="1:57" ht="15.75" customHeight="1">
      <c r="A12" s="430"/>
      <c r="B12" s="698">
        <v>2020</v>
      </c>
      <c r="C12" s="699">
        <f>Trajectoires!F12</f>
        <v>362.55333333333328</v>
      </c>
      <c r="D12" s="428">
        <f>C12</f>
        <v>362.55333333333328</v>
      </c>
      <c r="E12" s="700">
        <f>C12*(Hypothèses!$B$23/Hypothèses!$D$23)</f>
        <v>304.54479999999995</v>
      </c>
      <c r="F12" s="428">
        <f>E12</f>
        <v>304.54479999999995</v>
      </c>
      <c r="G12" s="428" t="s">
        <v>580</v>
      </c>
      <c r="H12" s="428">
        <f>I12*Hypothèses!$B$5</f>
        <v>134.38643555555552</v>
      </c>
      <c r="I12" s="701">
        <f>E12/Hypothèses!$B$23</f>
        <v>96.680888888888873</v>
      </c>
      <c r="J12" s="702">
        <f>I12*0.001</f>
        <v>9.6680888888888872E-2</v>
      </c>
      <c r="K12" s="703">
        <f t="shared" ref="K12:K42" si="1">J12/I12</f>
        <v>1E-3</v>
      </c>
      <c r="L12" s="535">
        <f t="shared" ref="L12:L42" si="2">J12*0.5</f>
        <v>4.8340444444444436E-2</v>
      </c>
      <c r="M12" s="703">
        <f t="shared" ref="M12:M42" si="3">L12/I12</f>
        <v>5.0000000000000001E-4</v>
      </c>
      <c r="N12" s="428">
        <f t="shared" ref="N12:N42" si="4">J12*0.5</f>
        <v>4.8340444444444436E-2</v>
      </c>
      <c r="O12" s="703">
        <f t="shared" ref="O12:O42" si="5">N12/I12</f>
        <v>5.0000000000000001E-4</v>
      </c>
      <c r="P12" s="535" t="s">
        <v>580</v>
      </c>
      <c r="Q12" s="539" t="s">
        <v>580</v>
      </c>
      <c r="R12" s="701">
        <f t="shared" ref="R12:R42" si="6">I12-L12-N12</f>
        <v>96.584207999999975</v>
      </c>
      <c r="S12" s="704">
        <v>0.5</v>
      </c>
      <c r="T12" s="428">
        <f t="shared" ref="T12:T42" si="7">IF(J12&gt;0,(U12/K12)*J12,0)</f>
        <v>9.6680888888888872E-2</v>
      </c>
      <c r="U12" s="705">
        <f t="shared" ref="U12:U42" si="8">MIN(K12,S12)</f>
        <v>1E-3</v>
      </c>
      <c r="V12" s="706">
        <f t="shared" ref="V12:V42" si="9">IF(L12&gt;0,(L12/J12)*T12,0)</f>
        <v>4.8340444444444436E-2</v>
      </c>
      <c r="W12" s="703">
        <f t="shared" ref="W12:W42" si="10">IF(L12&gt;0,V12/T12,0)</f>
        <v>0.5</v>
      </c>
      <c r="X12" s="428">
        <f t="shared" ref="X12:X42" si="11">IF(N12&gt;0,(N12/J12)*T12,0)</f>
        <v>4.8340444444444436E-2</v>
      </c>
      <c r="Y12" s="703">
        <f t="shared" ref="Y12:Y42" si="12">IF(N12&gt;0,X12/T12,0)</f>
        <v>0.5</v>
      </c>
      <c r="Z12" s="535">
        <v>0</v>
      </c>
      <c r="AA12" s="707">
        <v>0</v>
      </c>
      <c r="AB12" s="701">
        <f t="shared" si="0"/>
        <v>96.584207999999975</v>
      </c>
      <c r="AC12" s="245"/>
      <c r="AD12" s="428">
        <f>(V12+X12+AB12)*Hypothèses!$B$5+Z12*Hypothèses!$B$10</f>
        <v>134.38643555555549</v>
      </c>
      <c r="AE12" s="245"/>
      <c r="AF12" s="428">
        <f>X12*Prod_Carburant_Alt!$I$61+Z12*Hypothèses!$B$13</f>
        <v>2.1890433150617277</v>
      </c>
      <c r="AG12" s="428">
        <f>AF12*'Synthèse scénarios'!$L$9/'Synthèse scénarios'!$M$9</f>
        <v>1.0142827032777115</v>
      </c>
      <c r="AH12" s="708">
        <f>AG12/'Synthèse scénarios'!$L$9</f>
        <v>1.5580379466631513E-3</v>
      </c>
      <c r="AI12" s="428">
        <f>('Synthèse scénarios'!$K$9/1000)*AF12</f>
        <v>2.4079476465679001E-2</v>
      </c>
      <c r="AJ12" s="505">
        <f>(AB12+V12*Prod_Carburant_Alt!$D$75)*Hypothèses!$D$23+AI12</f>
        <v>362.25190925796909</v>
      </c>
      <c r="AK12" s="505">
        <f>(AB12+V12*Prod_Carburant_Alt!$D$75)*Hypothèses!$B$23</f>
        <v>304.27137701646285</v>
      </c>
      <c r="AL12" s="505">
        <f t="shared" ref="AL12:AL42" si="13">MAX(0,AK12-$AK$11)</f>
        <v>0</v>
      </c>
      <c r="AM12" s="709">
        <f>AJ11</f>
        <v>1088.0952380952381</v>
      </c>
      <c r="AN12" s="710"/>
      <c r="AO12" s="430"/>
      <c r="AP12" s="430"/>
      <c r="AQ12" s="430"/>
      <c r="AR12" s="430"/>
      <c r="AS12" s="430"/>
      <c r="AT12" s="430"/>
      <c r="AU12" s="430"/>
      <c r="AV12" s="430"/>
      <c r="AW12" s="430"/>
      <c r="AX12" s="430"/>
      <c r="AY12" s="430"/>
      <c r="AZ12" s="430"/>
      <c r="BA12" s="430"/>
      <c r="BB12" s="430"/>
      <c r="BC12" s="430"/>
      <c r="BD12" s="430"/>
      <c r="BE12" s="430"/>
    </row>
    <row r="13" spans="1:57" ht="15.75" customHeight="1">
      <c r="A13" s="430"/>
      <c r="B13" s="698">
        <v>2021</v>
      </c>
      <c r="C13" s="699">
        <f>Trajectoires!F13</f>
        <v>794.20506666666665</v>
      </c>
      <c r="D13" s="428">
        <f t="shared" ref="D13:D42" si="14">D12+C13</f>
        <v>1156.7583999999999</v>
      </c>
      <c r="E13" s="700">
        <f>C13*(Hypothèses!$B$23/Hypothèses!$D$23)</f>
        <v>667.13225599999998</v>
      </c>
      <c r="F13" s="428">
        <f t="shared" ref="F13:F42" si="15">F12+E13</f>
        <v>971.67705599999999</v>
      </c>
      <c r="G13" s="428" t="s">
        <v>580</v>
      </c>
      <c r="H13" s="428">
        <f>I13*Hypothèses!$B$5</f>
        <v>294.38534471111109</v>
      </c>
      <c r="I13" s="701">
        <f>E13/Hypothèses!$B$23</f>
        <v>211.78801777777778</v>
      </c>
      <c r="J13" s="706">
        <f t="shared" ref="J13:J16" si="16">J12*($J$17/$J$12)^(1/5)</f>
        <v>0.22075103975695659</v>
      </c>
      <c r="K13" s="703">
        <f t="shared" si="1"/>
        <v>1.0423207227359926E-3</v>
      </c>
      <c r="L13" s="535">
        <f t="shared" si="2"/>
        <v>0.1103755198784783</v>
      </c>
      <c r="M13" s="703">
        <f t="shared" si="3"/>
        <v>5.2116036136799629E-4</v>
      </c>
      <c r="N13" s="428">
        <f t="shared" si="4"/>
        <v>0.1103755198784783</v>
      </c>
      <c r="O13" s="703">
        <f t="shared" si="5"/>
        <v>5.2116036136799629E-4</v>
      </c>
      <c r="P13" s="535" t="s">
        <v>580</v>
      </c>
      <c r="Q13" s="539" t="s">
        <v>580</v>
      </c>
      <c r="R13" s="701">
        <f t="shared" si="6"/>
        <v>211.56726673802081</v>
      </c>
      <c r="S13" s="704">
        <v>0.5</v>
      </c>
      <c r="T13" s="428">
        <f t="shared" si="7"/>
        <v>0.22075103975695659</v>
      </c>
      <c r="U13" s="705">
        <f t="shared" si="8"/>
        <v>1.0423207227359926E-3</v>
      </c>
      <c r="V13" s="706">
        <f t="shared" si="9"/>
        <v>0.1103755198784783</v>
      </c>
      <c r="W13" s="703">
        <f t="shared" si="10"/>
        <v>0.5</v>
      </c>
      <c r="X13" s="428">
        <f t="shared" si="11"/>
        <v>0.1103755198784783</v>
      </c>
      <c r="Y13" s="703">
        <f t="shared" si="12"/>
        <v>0.5</v>
      </c>
      <c r="Z13" s="535">
        <v>0</v>
      </c>
      <c r="AA13" s="707">
        <v>0</v>
      </c>
      <c r="AB13" s="701">
        <f t="shared" si="0"/>
        <v>211.56726673802081</v>
      </c>
      <c r="AC13" s="245"/>
      <c r="AD13" s="428">
        <f>(V13+X13+AB13)*Hypothèses!$B$5+Z13*Hypothèses!$B$10</f>
        <v>294.38534471111103</v>
      </c>
      <c r="AE13" s="245"/>
      <c r="AF13" s="428">
        <f>X13*Prod_Carburant_Alt!$I$61+Z13*Hypothèses!$B$13</f>
        <v>4.9982327782303573</v>
      </c>
      <c r="AG13" s="428">
        <f>AF13*'Synthèse scénarios'!$L$9/'Synthèse scénarios'!$M$9</f>
        <v>2.3159071449309341</v>
      </c>
      <c r="AH13" s="708">
        <f>AG13/'Synthèse scénarios'!$L$9</f>
        <v>3.5574610521212505E-3</v>
      </c>
      <c r="AI13" s="428">
        <f>('Synthèse scénarios'!$K$9/1000)*AF13</f>
        <v>5.498056056053393E-2</v>
      </c>
      <c r="AJ13" s="505">
        <f>(AB13+V13*Prod_Carburant_Alt!$D$75)*Hypothèses!$D$23+AI13</f>
        <v>793.51682642798949</v>
      </c>
      <c r="AK13" s="505">
        <f>(AB13+V13*Prod_Carburant_Alt!$D$75)*Hypothèses!$B$23</f>
        <v>666.50795052864021</v>
      </c>
      <c r="AL13" s="505">
        <f t="shared" si="13"/>
        <v>0</v>
      </c>
      <c r="AM13" s="709">
        <f t="shared" ref="AM13:AM42" si="17">AM12+AJ12</f>
        <v>1450.3471473532072</v>
      </c>
      <c r="AN13" s="710"/>
      <c r="AO13" s="430"/>
      <c r="AP13" s="430"/>
      <c r="AQ13" s="430"/>
      <c r="AR13" s="430"/>
      <c r="AS13" s="430"/>
      <c r="AT13" s="430"/>
      <c r="AU13" s="430"/>
      <c r="AV13" s="430"/>
      <c r="AW13" s="430"/>
      <c r="AX13" s="430"/>
      <c r="AY13" s="430"/>
      <c r="AZ13" s="430"/>
      <c r="BA13" s="430"/>
      <c r="BB13" s="430"/>
      <c r="BC13" s="430"/>
      <c r="BD13" s="430"/>
      <c r="BE13" s="430"/>
    </row>
    <row r="14" spans="1:57" ht="15.75" customHeight="1">
      <c r="A14" s="430"/>
      <c r="B14" s="698">
        <v>2022</v>
      </c>
      <c r="C14" s="699">
        <f>Trajectoires!F14</f>
        <v>852.87921694534054</v>
      </c>
      <c r="D14" s="428">
        <f t="shared" si="14"/>
        <v>2009.6376169453406</v>
      </c>
      <c r="E14" s="700">
        <f>C14*(Hypothèses!$B$23/Hypothèses!$D$23)</f>
        <v>716.41854223408598</v>
      </c>
      <c r="F14" s="428">
        <f t="shared" si="15"/>
        <v>1688.0955982340861</v>
      </c>
      <c r="G14" s="428" t="s">
        <v>580</v>
      </c>
      <c r="H14" s="428">
        <f>I14*Hypothèses!$B$5</f>
        <v>316.13389641440619</v>
      </c>
      <c r="I14" s="701">
        <f>E14/Hypothèses!$B$23</f>
        <v>227.43445785209079</v>
      </c>
      <c r="J14" s="706">
        <f t="shared" si="16"/>
        <v>0.50403985848518484</v>
      </c>
      <c r="K14" s="703">
        <f t="shared" si="1"/>
        <v>2.2161982983817737E-3</v>
      </c>
      <c r="L14" s="535">
        <f t="shared" si="2"/>
        <v>0.25201992924259242</v>
      </c>
      <c r="M14" s="703">
        <f t="shared" si="3"/>
        <v>1.1080991491908868E-3</v>
      </c>
      <c r="N14" s="428">
        <f t="shared" si="4"/>
        <v>0.25201992924259242</v>
      </c>
      <c r="O14" s="703">
        <f t="shared" si="5"/>
        <v>1.1080991491908868E-3</v>
      </c>
      <c r="P14" s="535" t="s">
        <v>580</v>
      </c>
      <c r="Q14" s="539" t="s">
        <v>580</v>
      </c>
      <c r="R14" s="701">
        <f t="shared" si="6"/>
        <v>226.93041799360563</v>
      </c>
      <c r="S14" s="704">
        <v>0.5</v>
      </c>
      <c r="T14" s="428">
        <f t="shared" si="7"/>
        <v>0.50403985848518484</v>
      </c>
      <c r="U14" s="705">
        <f t="shared" si="8"/>
        <v>2.2161982983817737E-3</v>
      </c>
      <c r="V14" s="706">
        <f t="shared" si="9"/>
        <v>0.25201992924259242</v>
      </c>
      <c r="W14" s="703">
        <f t="shared" si="10"/>
        <v>0.5</v>
      </c>
      <c r="X14" s="428">
        <f t="shared" si="11"/>
        <v>0.25201992924259242</v>
      </c>
      <c r="Y14" s="703">
        <f t="shared" si="12"/>
        <v>0.5</v>
      </c>
      <c r="Z14" s="535">
        <v>0</v>
      </c>
      <c r="AA14" s="707">
        <v>0</v>
      </c>
      <c r="AB14" s="701">
        <f t="shared" si="0"/>
        <v>226.93041799360563</v>
      </c>
      <c r="AC14" s="245"/>
      <c r="AD14" s="428">
        <f>(V14+X14+AB14)*Hypothèses!$B$5+Z14*Hypothèses!$B$10</f>
        <v>316.13389641440619</v>
      </c>
      <c r="AE14" s="245"/>
      <c r="AF14" s="428">
        <f>X14*Prod_Carburant_Alt!$I$61+Z14*Hypothèses!$B$13</f>
        <v>11.412442473607193</v>
      </c>
      <c r="AG14" s="428">
        <f>AF14*'Synthèse scénarios'!$L$9/'Synthèse scénarios'!$M$9</f>
        <v>5.2879003916856107</v>
      </c>
      <c r="AH14" s="708">
        <f>AG14/'Synthèse scénarios'!$L$9</f>
        <v>8.1227348566599248E-3</v>
      </c>
      <c r="AI14" s="428">
        <f>('Synthèse scénarios'!$K$9/1000)*AF14</f>
        <v>0.1255368672096791</v>
      </c>
      <c r="AJ14" s="505">
        <f>(AB14+V14*Prod_Carburant_Alt!$D$75)*Hypothèses!$D$23+AI14</f>
        <v>851.30776109675833</v>
      </c>
      <c r="AK14" s="505">
        <f>(AB14+V14*Prod_Carburant_Alt!$D$75)*Hypothèses!$B$23</f>
        <v>714.99306835282084</v>
      </c>
      <c r="AL14" s="505">
        <f t="shared" si="13"/>
        <v>0</v>
      </c>
      <c r="AM14" s="709">
        <f t="shared" si="17"/>
        <v>2243.8639737811968</v>
      </c>
      <c r="AN14" s="710"/>
      <c r="AO14" s="430"/>
      <c r="AP14" s="430"/>
      <c r="AQ14" s="430"/>
      <c r="AR14" s="430"/>
      <c r="AS14" s="430"/>
      <c r="AT14" s="430"/>
      <c r="AU14" s="430"/>
      <c r="AV14" s="430"/>
      <c r="AW14" s="430"/>
      <c r="AX14" s="430"/>
      <c r="AY14" s="430"/>
      <c r="AZ14" s="430"/>
      <c r="BA14" s="430"/>
      <c r="BB14" s="430"/>
      <c r="BC14" s="430"/>
      <c r="BD14" s="430"/>
      <c r="BE14" s="430"/>
    </row>
    <row r="15" spans="1:57" ht="15.75" customHeight="1">
      <c r="A15" s="430"/>
      <c r="B15" s="698">
        <v>2023</v>
      </c>
      <c r="C15" s="699">
        <f>Trajectoires!F15</f>
        <v>915.88808637328077</v>
      </c>
      <c r="D15" s="428">
        <f t="shared" si="14"/>
        <v>2925.5257033186213</v>
      </c>
      <c r="E15" s="700">
        <f>C15*(Hypothèses!$B$23/Hypothèses!$D$23)</f>
        <v>769.34599255355579</v>
      </c>
      <c r="F15" s="428">
        <f t="shared" si="15"/>
        <v>2457.4415907876419</v>
      </c>
      <c r="G15" s="428" t="s">
        <v>580</v>
      </c>
      <c r="H15" s="428">
        <f>I15*Hypothèses!$B$5</f>
        <v>339.48918401569603</v>
      </c>
      <c r="I15" s="701">
        <f>E15/Hypothèses!$B$23</f>
        <v>244.23682303287487</v>
      </c>
      <c r="J15" s="706">
        <f t="shared" si="16"/>
        <v>1.1508719470652415</v>
      </c>
      <c r="K15" s="703">
        <f t="shared" si="1"/>
        <v>4.7121147940510652E-3</v>
      </c>
      <c r="L15" s="535">
        <f t="shared" si="2"/>
        <v>0.57543597353262077</v>
      </c>
      <c r="M15" s="703">
        <f t="shared" si="3"/>
        <v>2.3560573970255326E-3</v>
      </c>
      <c r="N15" s="428">
        <f t="shared" si="4"/>
        <v>0.57543597353262077</v>
      </c>
      <c r="O15" s="703">
        <f t="shared" si="5"/>
        <v>2.3560573970255326E-3</v>
      </c>
      <c r="P15" s="535" t="s">
        <v>580</v>
      </c>
      <c r="Q15" s="539" t="s">
        <v>580</v>
      </c>
      <c r="R15" s="701">
        <f t="shared" si="6"/>
        <v>243.08595108580963</v>
      </c>
      <c r="S15" s="704">
        <v>0.5</v>
      </c>
      <c r="T15" s="428">
        <f t="shared" si="7"/>
        <v>1.1508719470652415</v>
      </c>
      <c r="U15" s="705">
        <f t="shared" si="8"/>
        <v>4.7121147940510652E-3</v>
      </c>
      <c r="V15" s="706">
        <f t="shared" si="9"/>
        <v>0.57543597353262077</v>
      </c>
      <c r="W15" s="703">
        <f t="shared" si="10"/>
        <v>0.5</v>
      </c>
      <c r="X15" s="428">
        <f t="shared" si="11"/>
        <v>0.57543597353262077</v>
      </c>
      <c r="Y15" s="703">
        <f t="shared" si="12"/>
        <v>0.5</v>
      </c>
      <c r="Z15" s="535">
        <v>0</v>
      </c>
      <c r="AA15" s="707">
        <v>0</v>
      </c>
      <c r="AB15" s="701">
        <f t="shared" si="0"/>
        <v>243.08595108580963</v>
      </c>
      <c r="AC15" s="245"/>
      <c r="AD15" s="428">
        <f>(V15+X15+AB15)*Hypothèses!$B$5+Z15*Hypothèses!$B$10</f>
        <v>339.48918401569603</v>
      </c>
      <c r="AE15" s="245"/>
      <c r="AF15" s="428">
        <f>X15*Prod_Carburant_Alt!$I$61+Z15*Hypothèses!$B$13</f>
        <v>26.057978688120802</v>
      </c>
      <c r="AG15" s="428">
        <f>AF15*'Synthèse scénarios'!$L$9/'Synthèse scénarios'!$M$9</f>
        <v>12.073839235563446</v>
      </c>
      <c r="AH15" s="708">
        <f>AG15/'Synthèse scénarios'!$L$9</f>
        <v>1.8546604048484554E-2</v>
      </c>
      <c r="AI15" s="428">
        <f>('Synthèse scénarios'!$K$9/1000)*AF15</f>
        <v>0.2866377655693288</v>
      </c>
      <c r="AJ15" s="505">
        <f>(AB15+V15*Prod_Carburant_Alt!$D$75)*Hypothèses!$D$23+AI15</f>
        <v>912.29998828591863</v>
      </c>
      <c r="AK15" s="505">
        <f>(AB15+V15*Prod_Carburant_Alt!$D$75)*Hypothèses!$B$23</f>
        <v>766.0912144370933</v>
      </c>
      <c r="AL15" s="505">
        <f t="shared" si="13"/>
        <v>0</v>
      </c>
      <c r="AM15" s="709">
        <f t="shared" si="17"/>
        <v>3095.1717348779553</v>
      </c>
      <c r="AN15" s="710"/>
      <c r="AO15" s="430"/>
      <c r="AP15" s="430"/>
      <c r="AQ15" s="430"/>
      <c r="AR15" s="430"/>
      <c r="AS15" s="430"/>
      <c r="AT15" s="430"/>
      <c r="AU15" s="430"/>
      <c r="AV15" s="430"/>
      <c r="AW15" s="430"/>
      <c r="AX15" s="430"/>
      <c r="AY15" s="430"/>
      <c r="AZ15" s="430"/>
      <c r="BA15" s="430"/>
      <c r="BB15" s="430"/>
      <c r="BC15" s="430"/>
      <c r="BD15" s="430"/>
      <c r="BE15" s="430"/>
    </row>
    <row r="16" spans="1:57" ht="15.75" customHeight="1">
      <c r="A16" s="430"/>
      <c r="B16" s="698">
        <v>2024</v>
      </c>
      <c r="C16" s="699">
        <f>Trajectoires!F16</f>
        <v>983.55191461333345</v>
      </c>
      <c r="D16" s="428">
        <f t="shared" si="14"/>
        <v>3909.0776179319546</v>
      </c>
      <c r="E16" s="700">
        <f>C16*(Hypothèses!$B$23/Hypothèses!$D$23)</f>
        <v>826.18360827520007</v>
      </c>
      <c r="F16" s="428">
        <f t="shared" si="15"/>
        <v>3283.6251990628421</v>
      </c>
      <c r="G16" s="428" t="s">
        <v>580</v>
      </c>
      <c r="H16" s="428">
        <f>I16*Hypothèses!$B$5</f>
        <v>364.56990968334225</v>
      </c>
      <c r="I16" s="701">
        <f>E16/Hypothèses!$B$23</f>
        <v>262.28051056355559</v>
      </c>
      <c r="J16" s="706">
        <f t="shared" si="16"/>
        <v>2.6277807523443526</v>
      </c>
      <c r="K16" s="703">
        <f t="shared" si="1"/>
        <v>1.001897070696601E-2</v>
      </c>
      <c r="L16" s="535">
        <f t="shared" si="2"/>
        <v>1.3138903761721763</v>
      </c>
      <c r="M16" s="703">
        <f t="shared" si="3"/>
        <v>5.0094853534830052E-3</v>
      </c>
      <c r="N16" s="428">
        <f t="shared" si="4"/>
        <v>1.3138903761721763</v>
      </c>
      <c r="O16" s="703">
        <f t="shared" si="5"/>
        <v>5.0094853534830052E-3</v>
      </c>
      <c r="P16" s="535" t="s">
        <v>580</v>
      </c>
      <c r="Q16" s="539" t="s">
        <v>580</v>
      </c>
      <c r="R16" s="701">
        <f t="shared" si="6"/>
        <v>259.6527298112112</v>
      </c>
      <c r="S16" s="704">
        <v>0.5</v>
      </c>
      <c r="T16" s="428">
        <f t="shared" si="7"/>
        <v>2.6277807523443526</v>
      </c>
      <c r="U16" s="705">
        <f t="shared" si="8"/>
        <v>1.001897070696601E-2</v>
      </c>
      <c r="V16" s="706">
        <f t="shared" si="9"/>
        <v>1.3138903761721763</v>
      </c>
      <c r="W16" s="703">
        <f t="shared" si="10"/>
        <v>0.5</v>
      </c>
      <c r="X16" s="428">
        <f t="shared" si="11"/>
        <v>1.3138903761721763</v>
      </c>
      <c r="Y16" s="703">
        <f t="shared" si="12"/>
        <v>0.5</v>
      </c>
      <c r="Z16" s="535">
        <v>0</v>
      </c>
      <c r="AA16" s="707">
        <v>0</v>
      </c>
      <c r="AB16" s="701">
        <f t="shared" si="0"/>
        <v>259.6527298112112</v>
      </c>
      <c r="AC16" s="245"/>
      <c r="AD16" s="428">
        <f>(V16+X16+AB16)*Hypothèses!$B$5+Z16*Hypothèses!$B$10</f>
        <v>364.56990968334219</v>
      </c>
      <c r="AE16" s="245"/>
      <c r="AF16" s="428">
        <f>X16*Prod_Carburant_Alt!$I$61+Z16*Hypothèses!$B$13</f>
        <v>59.498065806761247</v>
      </c>
      <c r="AG16" s="428">
        <f>AF16*'Synthèse scénarios'!$L$9/'Synthèse scénarios'!$M$9</f>
        <v>27.568142946762684</v>
      </c>
      <c r="AH16" s="708">
        <f>AG16/'Synthèse scénarios'!$L$9</f>
        <v>4.2347377798406582E-2</v>
      </c>
      <c r="AI16" s="428">
        <f>('Synthèse scénarios'!$K$9/1000)*AF16</f>
        <v>0.65447872387437367</v>
      </c>
      <c r="AJ16" s="505">
        <f>(AB16+V16*Prod_Carburant_Alt!$D$75)*Hypothèses!$D$23+AI16</f>
        <v>975.35922635158772</v>
      </c>
      <c r="AK16" s="505">
        <f>(AB16+V16*Prod_Carburant_Alt!$D$75)*Hypothèses!$B$23</f>
        <v>818.75198800727912</v>
      </c>
      <c r="AL16" s="505">
        <f t="shared" si="13"/>
        <v>0</v>
      </c>
      <c r="AM16" s="709">
        <f t="shared" si="17"/>
        <v>4007.4717231638738</v>
      </c>
      <c r="AN16" s="710"/>
      <c r="AO16" s="430"/>
      <c r="AP16" s="430"/>
      <c r="AQ16" s="430"/>
      <c r="AR16" s="430"/>
      <c r="AS16" s="430"/>
      <c r="AT16" s="430"/>
      <c r="AU16" s="430"/>
      <c r="AV16" s="430"/>
      <c r="AW16" s="430"/>
      <c r="AX16" s="430"/>
      <c r="AY16" s="430"/>
      <c r="AZ16" s="430"/>
      <c r="BA16" s="430"/>
      <c r="BB16" s="430"/>
      <c r="BC16" s="430"/>
      <c r="BD16" s="430"/>
      <c r="BE16" s="430"/>
    </row>
    <row r="17" spans="1:57" ht="15.75" customHeight="1">
      <c r="A17" s="430"/>
      <c r="B17" s="698">
        <v>2025</v>
      </c>
      <c r="C17" s="699">
        <f>Trajectoires!F17</f>
        <v>1002.4361113739095</v>
      </c>
      <c r="D17" s="428">
        <f t="shared" si="14"/>
        <v>4911.5137293058642</v>
      </c>
      <c r="E17" s="700">
        <f>C17*(Hypothèses!$B$23/Hypothèses!$D$23)</f>
        <v>842.04633355408396</v>
      </c>
      <c r="F17" s="428">
        <f t="shared" si="15"/>
        <v>4125.671532616926</v>
      </c>
      <c r="G17" s="428" t="s">
        <v>580</v>
      </c>
      <c r="H17" s="428">
        <f>I17*Hypothèses!$B$5</f>
        <v>371.56965194926244</v>
      </c>
      <c r="I17" s="701">
        <f>E17/Hypothèses!$B$23</f>
        <v>267.31629636637587</v>
      </c>
      <c r="J17" s="711">
        <v>6</v>
      </c>
      <c r="K17" s="703">
        <f t="shared" si="1"/>
        <v>2.2445320698954233E-2</v>
      </c>
      <c r="L17" s="535">
        <f t="shared" si="2"/>
        <v>3</v>
      </c>
      <c r="M17" s="703">
        <f t="shared" si="3"/>
        <v>1.1222660349477116E-2</v>
      </c>
      <c r="N17" s="428">
        <f t="shared" si="4"/>
        <v>3</v>
      </c>
      <c r="O17" s="703">
        <f t="shared" si="5"/>
        <v>1.1222660349477116E-2</v>
      </c>
      <c r="P17" s="535" t="s">
        <v>580</v>
      </c>
      <c r="Q17" s="539" t="s">
        <v>580</v>
      </c>
      <c r="R17" s="701">
        <f t="shared" si="6"/>
        <v>261.31629636637587</v>
      </c>
      <c r="S17" s="704">
        <v>0.5</v>
      </c>
      <c r="T17" s="428">
        <f t="shared" si="7"/>
        <v>6</v>
      </c>
      <c r="U17" s="705">
        <f t="shared" si="8"/>
        <v>2.2445320698954233E-2</v>
      </c>
      <c r="V17" s="706">
        <f t="shared" si="9"/>
        <v>3</v>
      </c>
      <c r="W17" s="703">
        <f t="shared" si="10"/>
        <v>0.5</v>
      </c>
      <c r="X17" s="428">
        <f t="shared" si="11"/>
        <v>3</v>
      </c>
      <c r="Y17" s="703">
        <f t="shared" si="12"/>
        <v>0.5</v>
      </c>
      <c r="Z17" s="535">
        <v>0</v>
      </c>
      <c r="AA17" s="707">
        <v>0</v>
      </c>
      <c r="AB17" s="701">
        <f t="shared" si="0"/>
        <v>261.31629636637587</v>
      </c>
      <c r="AC17" s="245"/>
      <c r="AD17" s="428">
        <f>(V17+X17+AB17)*Hypothèses!$B$5+Z17*Hypothèses!$B$10</f>
        <v>371.56965194926244</v>
      </c>
      <c r="AE17" s="245"/>
      <c r="AF17" s="428">
        <f>X17*Prod_Carburant_Alt!$I$61+Z17*Hypothèses!$B$13</f>
        <v>135.85166666666663</v>
      </c>
      <c r="AG17" s="428">
        <f>AF17*'Synthèse scénarios'!$L$9/'Synthèse scénarios'!$M$9</f>
        <v>62.94621708185052</v>
      </c>
      <c r="AH17" s="708">
        <f>AG17/'Synthèse scénarios'!$L$9</f>
        <v>9.6691577698695116E-2</v>
      </c>
      <c r="AI17" s="428">
        <f>('Synthèse scénarios'!$K$9/1000)*AF17</f>
        <v>1.4943683333333329</v>
      </c>
      <c r="AJ17" s="505">
        <f>(AB17+V17*Prod_Carburant_Alt!$D$75)*Hypothèses!$D$23+AI17</f>
        <v>983.72978302949957</v>
      </c>
      <c r="AK17" s="505">
        <f>(AB17+V17*Prod_Carburant_Alt!$D$75)*Hypothèses!$B$23</f>
        <v>825.07774834477959</v>
      </c>
      <c r="AL17" s="505">
        <f t="shared" si="13"/>
        <v>0</v>
      </c>
      <c r="AM17" s="709">
        <f t="shared" si="17"/>
        <v>4982.8309495154617</v>
      </c>
      <c r="AN17" s="710"/>
      <c r="AO17" s="430"/>
      <c r="AP17" s="430"/>
      <c r="AQ17" s="430"/>
      <c r="AR17" s="430"/>
      <c r="AS17" s="430"/>
      <c r="AT17" s="430"/>
      <c r="AU17" s="430"/>
      <c r="AV17" s="430"/>
      <c r="AW17" s="430"/>
      <c r="AX17" s="430"/>
      <c r="AY17" s="430"/>
      <c r="AZ17" s="430"/>
      <c r="BA17" s="430"/>
      <c r="BB17" s="430"/>
      <c r="BC17" s="430"/>
      <c r="BD17" s="430"/>
      <c r="BE17" s="430"/>
    </row>
    <row r="18" spans="1:57" ht="15.75" customHeight="1">
      <c r="A18" s="430"/>
      <c r="B18" s="698">
        <v>2026</v>
      </c>
      <c r="C18" s="699">
        <f>Trajectoires!F18</f>
        <v>1021.6828847122886</v>
      </c>
      <c r="D18" s="428">
        <f t="shared" si="14"/>
        <v>5933.196614018153</v>
      </c>
      <c r="E18" s="700">
        <f>C18*(Hypothèses!$B$23/Hypothèses!$D$23)</f>
        <v>858.21362315832232</v>
      </c>
      <c r="F18" s="428">
        <f t="shared" si="15"/>
        <v>4983.8851557752487</v>
      </c>
      <c r="G18" s="428" t="s">
        <v>580</v>
      </c>
      <c r="H18" s="428">
        <f>I18*Hypothèses!$B$5</f>
        <v>378.70378926668826</v>
      </c>
      <c r="I18" s="701">
        <f>E18/Hypothèses!$B$23</f>
        <v>272.44876925661026</v>
      </c>
      <c r="J18" s="706">
        <f t="shared" ref="J18:J40" si="18">J17*($J$42/$J$17)^(1/25)</f>
        <v>7.118125368454141</v>
      </c>
      <c r="K18" s="703">
        <f t="shared" si="1"/>
        <v>2.6126472833319425E-2</v>
      </c>
      <c r="L18" s="535">
        <f t="shared" si="2"/>
        <v>3.5590626842270705</v>
      </c>
      <c r="M18" s="703">
        <f t="shared" si="3"/>
        <v>1.3063236416659713E-2</v>
      </c>
      <c r="N18" s="428">
        <f t="shared" si="4"/>
        <v>3.5590626842270705</v>
      </c>
      <c r="O18" s="703">
        <f t="shared" si="5"/>
        <v>1.3063236416659713E-2</v>
      </c>
      <c r="P18" s="535" t="s">
        <v>580</v>
      </c>
      <c r="Q18" s="539" t="s">
        <v>580</v>
      </c>
      <c r="R18" s="701">
        <f t="shared" si="6"/>
        <v>265.33064388815615</v>
      </c>
      <c r="S18" s="704">
        <v>0.5</v>
      </c>
      <c r="T18" s="428">
        <f t="shared" si="7"/>
        <v>7.118125368454141</v>
      </c>
      <c r="U18" s="705">
        <f t="shared" si="8"/>
        <v>2.6126472833319425E-2</v>
      </c>
      <c r="V18" s="706">
        <f t="shared" si="9"/>
        <v>3.5590626842270705</v>
      </c>
      <c r="W18" s="703">
        <f t="shared" si="10"/>
        <v>0.5</v>
      </c>
      <c r="X18" s="428">
        <f t="shared" si="11"/>
        <v>3.5590626842270705</v>
      </c>
      <c r="Y18" s="703">
        <f t="shared" si="12"/>
        <v>0.5</v>
      </c>
      <c r="Z18" s="535">
        <v>0</v>
      </c>
      <c r="AA18" s="707">
        <v>0</v>
      </c>
      <c r="AB18" s="701">
        <f t="shared" si="0"/>
        <v>265.33064388815615</v>
      </c>
      <c r="AC18" s="245"/>
      <c r="AD18" s="428">
        <f>(V18+X18+AB18)*Hypothèses!$B$5+Z18*Hypothèses!$B$10</f>
        <v>378.70378926668826</v>
      </c>
      <c r="AE18" s="245"/>
      <c r="AF18" s="428">
        <f>X18*Prod_Carburant_Alt!$I$61+Z18*Hypothèses!$B$13</f>
        <v>161.16819914112926</v>
      </c>
      <c r="AG18" s="428">
        <f>AF18*'Synthèse scénarios'!$L$9/'Synthèse scénarios'!$M$9</f>
        <v>74.676510776423598</v>
      </c>
      <c r="AH18" s="708">
        <f>AG18/'Synthèse scénarios'!$L$9</f>
        <v>0.11471046202215607</v>
      </c>
      <c r="AI18" s="428">
        <f>('Synthèse scénarios'!$K$9/1000)*AF18</f>
        <v>1.7728501905524219</v>
      </c>
      <c r="AJ18" s="505">
        <f>(AB18+V18*Prod_Carburant_Alt!$D$75)*Hypothèses!$D$23+AI18</f>
        <v>999.4905529891256</v>
      </c>
      <c r="AK18" s="505">
        <f>(AB18+V18*Prod_Carburant_Alt!$D$75)*Hypothèses!$B$23</f>
        <v>838.0828703508015</v>
      </c>
      <c r="AL18" s="505">
        <f t="shared" si="13"/>
        <v>0</v>
      </c>
      <c r="AM18" s="709">
        <f t="shared" si="17"/>
        <v>5966.560732544961</v>
      </c>
      <c r="AN18" s="710"/>
      <c r="AO18" s="430"/>
      <c r="AP18" s="430"/>
      <c r="AQ18" s="430"/>
      <c r="AR18" s="430"/>
      <c r="AS18" s="430"/>
      <c r="AT18" s="430"/>
      <c r="AU18" s="430"/>
      <c r="AV18" s="430"/>
      <c r="AW18" s="430"/>
      <c r="AX18" s="430"/>
      <c r="AY18" s="430"/>
      <c r="AZ18" s="430"/>
      <c r="BA18" s="430"/>
      <c r="BB18" s="430"/>
      <c r="BC18" s="430"/>
      <c r="BD18" s="430"/>
      <c r="BE18" s="430"/>
    </row>
    <row r="19" spans="1:57" ht="15.75" customHeight="1">
      <c r="A19" s="430"/>
      <c r="B19" s="698">
        <v>2027</v>
      </c>
      <c r="C19" s="699">
        <f>Trajectoires!F19</f>
        <v>1041.2991960987645</v>
      </c>
      <c r="D19" s="428">
        <f t="shared" si="14"/>
        <v>6974.4958101169177</v>
      </c>
      <c r="E19" s="700">
        <f>C19*(Hypothèses!$B$23/Hypothèses!$D$23)</f>
        <v>874.69132472296212</v>
      </c>
      <c r="F19" s="428">
        <f t="shared" si="15"/>
        <v>5858.5764804982109</v>
      </c>
      <c r="G19" s="428" t="s">
        <v>580</v>
      </c>
      <c r="H19" s="428">
        <f>I19*Hypothèses!$B$5</f>
        <v>385.97490202060868</v>
      </c>
      <c r="I19" s="701">
        <f>E19/Hypothèses!$B$23</f>
        <v>277.67978562633721</v>
      </c>
      <c r="J19" s="706">
        <f t="shared" si="18"/>
        <v>8.4446181268384013</v>
      </c>
      <c r="K19" s="703">
        <f t="shared" si="1"/>
        <v>3.0411353522873979E-2</v>
      </c>
      <c r="L19" s="535">
        <f t="shared" si="2"/>
        <v>4.2223090634192006</v>
      </c>
      <c r="M19" s="703">
        <f t="shared" si="3"/>
        <v>1.5205676761436989E-2</v>
      </c>
      <c r="N19" s="428">
        <f t="shared" si="4"/>
        <v>4.2223090634192006</v>
      </c>
      <c r="O19" s="703">
        <f t="shared" si="5"/>
        <v>1.5205676761436989E-2</v>
      </c>
      <c r="P19" s="535" t="s">
        <v>580</v>
      </c>
      <c r="Q19" s="539" t="s">
        <v>580</v>
      </c>
      <c r="R19" s="701">
        <f t="shared" si="6"/>
        <v>269.23516749949886</v>
      </c>
      <c r="S19" s="704">
        <v>0.5</v>
      </c>
      <c r="T19" s="428">
        <f t="shared" si="7"/>
        <v>8.4446181268384013</v>
      </c>
      <c r="U19" s="705">
        <f t="shared" si="8"/>
        <v>3.0411353522873979E-2</v>
      </c>
      <c r="V19" s="706">
        <f t="shared" si="9"/>
        <v>4.2223090634192006</v>
      </c>
      <c r="W19" s="703">
        <f t="shared" si="10"/>
        <v>0.5</v>
      </c>
      <c r="X19" s="428">
        <f t="shared" si="11"/>
        <v>4.2223090634192006</v>
      </c>
      <c r="Y19" s="703">
        <f t="shared" si="12"/>
        <v>0.5</v>
      </c>
      <c r="Z19" s="535">
        <v>0</v>
      </c>
      <c r="AA19" s="707">
        <v>0</v>
      </c>
      <c r="AB19" s="701">
        <f t="shared" si="0"/>
        <v>269.23516749949886</v>
      </c>
      <c r="AC19" s="245"/>
      <c r="AD19" s="428">
        <f>(V19+X19+AB19)*Hypothèses!$B$5+Z19*Hypothèses!$B$10</f>
        <v>385.97490202060879</v>
      </c>
      <c r="AE19" s="245"/>
      <c r="AF19" s="428">
        <f>X19*Prod_Carburant_Alt!$I$61+Z19*Hypothèses!$B$13</f>
        <v>191.20257448242356</v>
      </c>
      <c r="AG19" s="428">
        <f>AF19*'Synthèse scénarios'!$L$9/'Synthèse scénarios'!$M$9</f>
        <v>88.59279429755</v>
      </c>
      <c r="AH19" s="708">
        <f>AG19/'Synthèse scénarios'!$L$9</f>
        <v>0.13608724162450078</v>
      </c>
      <c r="AI19" s="428">
        <f>('Synthèse scénarios'!$K$9/1000)*AF19</f>
        <v>2.103228319306659</v>
      </c>
      <c r="AJ19" s="505">
        <f>(AB19+V19*Prod_Carburant_Alt!$D$75)*Hypothèses!$D$23+AI19</f>
        <v>1014.971229528132</v>
      </c>
      <c r="AK19" s="505">
        <f>(AB19+V19*Prod_Carburant_Alt!$D$75)*Hypothèses!$B$23</f>
        <v>850.80912101541321</v>
      </c>
      <c r="AL19" s="505">
        <f t="shared" si="13"/>
        <v>0</v>
      </c>
      <c r="AM19" s="709">
        <f t="shared" si="17"/>
        <v>6966.0512855340867</v>
      </c>
      <c r="AN19" s="710"/>
      <c r="AO19" s="430"/>
      <c r="AP19" s="430"/>
      <c r="AQ19" s="430"/>
      <c r="AR19" s="430"/>
      <c r="AS19" s="430"/>
      <c r="AT19" s="430"/>
      <c r="AU19" s="430"/>
      <c r="AV19" s="430"/>
      <c r="AW19" s="430"/>
      <c r="AX19" s="430"/>
      <c r="AY19" s="430"/>
      <c r="AZ19" s="430"/>
      <c r="BA19" s="430"/>
      <c r="BB19" s="430"/>
      <c r="BC19" s="430"/>
      <c r="BD19" s="430"/>
      <c r="BE19" s="430"/>
    </row>
    <row r="20" spans="1:57" ht="15.75" customHeight="1">
      <c r="A20" s="430"/>
      <c r="B20" s="698">
        <v>2028</v>
      </c>
      <c r="C20" s="699">
        <f>Trajectoires!F20</f>
        <v>1061.2921406638607</v>
      </c>
      <c r="D20" s="428">
        <f t="shared" si="14"/>
        <v>8035.7879507807784</v>
      </c>
      <c r="E20" s="700">
        <f>C20*(Hypothèses!$B$23/Hypothèses!$D$23)</f>
        <v>891.48539815764298</v>
      </c>
      <c r="F20" s="428">
        <f t="shared" si="15"/>
        <v>6750.0618786558534</v>
      </c>
      <c r="G20" s="428" t="s">
        <v>580</v>
      </c>
      <c r="H20" s="428">
        <f>I20*Hypothèses!$B$5</f>
        <v>393.3856201394043</v>
      </c>
      <c r="I20" s="701">
        <f>E20/Hypothèses!$B$23</f>
        <v>283.01123751036283</v>
      </c>
      <c r="J20" s="706">
        <f t="shared" si="18"/>
        <v>10.018308419259354</v>
      </c>
      <c r="K20" s="703">
        <f t="shared" si="1"/>
        <v>3.5398977466018534E-2</v>
      </c>
      <c r="L20" s="535">
        <f t="shared" si="2"/>
        <v>5.0091542096296768</v>
      </c>
      <c r="M20" s="703">
        <f t="shared" si="3"/>
        <v>1.7699488733009267E-2</v>
      </c>
      <c r="N20" s="428">
        <f t="shared" si="4"/>
        <v>5.0091542096296768</v>
      </c>
      <c r="O20" s="703">
        <f t="shared" si="5"/>
        <v>1.7699488733009267E-2</v>
      </c>
      <c r="P20" s="535" t="s">
        <v>580</v>
      </c>
      <c r="Q20" s="539" t="s">
        <v>580</v>
      </c>
      <c r="R20" s="701">
        <f t="shared" si="6"/>
        <v>272.99292909110346</v>
      </c>
      <c r="S20" s="704">
        <v>0.5</v>
      </c>
      <c r="T20" s="428">
        <f t="shared" si="7"/>
        <v>10.018308419259354</v>
      </c>
      <c r="U20" s="705">
        <f t="shared" si="8"/>
        <v>3.5398977466018534E-2</v>
      </c>
      <c r="V20" s="706">
        <f t="shared" si="9"/>
        <v>5.0091542096296768</v>
      </c>
      <c r="W20" s="703">
        <f t="shared" si="10"/>
        <v>0.5</v>
      </c>
      <c r="X20" s="428">
        <f t="shared" si="11"/>
        <v>5.0091542096296768</v>
      </c>
      <c r="Y20" s="703">
        <f t="shared" si="12"/>
        <v>0.5</v>
      </c>
      <c r="Z20" s="535">
        <v>0</v>
      </c>
      <c r="AA20" s="707">
        <v>0</v>
      </c>
      <c r="AB20" s="701">
        <f t="shared" si="0"/>
        <v>272.99292909110346</v>
      </c>
      <c r="AC20" s="245"/>
      <c r="AD20" s="428">
        <f>(V20+X20+AB20)*Hypothèses!$B$5+Z20*Hypothèses!$B$10</f>
        <v>393.3856201394043</v>
      </c>
      <c r="AE20" s="245"/>
      <c r="AF20" s="428">
        <f>X20*Prod_Carburant_Alt!$I$61+Z20*Hypothèses!$B$13</f>
        <v>226.8339826561803</v>
      </c>
      <c r="AG20" s="428">
        <f>AF20*'Synthèse scénarios'!$L$9/'Synthèse scénarios'!$M$9</f>
        <v>105.10243609193834</v>
      </c>
      <c r="AH20" s="708">
        <f>AG20/'Synthèse scénarios'!$L$9</f>
        <v>0.16144767448838454</v>
      </c>
      <c r="AI20" s="428">
        <f>('Synthèse scénarios'!$K$9/1000)*AF20</f>
        <v>2.4951738092179832</v>
      </c>
      <c r="AJ20" s="505">
        <f>(AB20+V20*Prod_Carburant_Alt!$D$75)*Hypothèses!$D$23+AI20</f>
        <v>1030.0578462061549</v>
      </c>
      <c r="AK20" s="505">
        <f>(AB20+V20*Prod_Carburant_Alt!$D$75)*Hypothèses!$B$23</f>
        <v>863.15264481342706</v>
      </c>
      <c r="AL20" s="505">
        <f t="shared" si="13"/>
        <v>0</v>
      </c>
      <c r="AM20" s="709">
        <f t="shared" si="17"/>
        <v>7981.0225150622191</v>
      </c>
      <c r="AN20" s="710"/>
      <c r="AO20" s="430"/>
      <c r="AP20" s="430"/>
      <c r="AQ20" s="430"/>
      <c r="AR20" s="430"/>
      <c r="AS20" s="430"/>
      <c r="AT20" s="430"/>
      <c r="AU20" s="430"/>
      <c r="AV20" s="430"/>
      <c r="AW20" s="430"/>
      <c r="AX20" s="430"/>
      <c r="AY20" s="430"/>
      <c r="AZ20" s="430"/>
      <c r="BA20" s="430"/>
      <c r="BB20" s="430"/>
      <c r="BC20" s="430"/>
      <c r="BD20" s="430"/>
      <c r="BE20" s="430"/>
    </row>
    <row r="21" spans="1:57" ht="15.75" customHeight="1">
      <c r="A21" s="430"/>
      <c r="B21" s="698">
        <v>2029</v>
      </c>
      <c r="C21" s="699">
        <f>Trajectoires!F21</f>
        <v>1081.6689497646069</v>
      </c>
      <c r="D21" s="428">
        <f t="shared" si="14"/>
        <v>9117.456900545385</v>
      </c>
      <c r="E21" s="700">
        <f>C21*(Hypothèses!$B$23/Hypothèses!$D$23)</f>
        <v>908.60191780226967</v>
      </c>
      <c r="F21" s="428">
        <f t="shared" si="15"/>
        <v>7658.6637964581232</v>
      </c>
      <c r="G21" s="428" t="s">
        <v>580</v>
      </c>
      <c r="H21" s="428">
        <f>I21*Hypothèses!$B$5</f>
        <v>400.93862404608086</v>
      </c>
      <c r="I21" s="701">
        <f>E21/Hypothèses!$B$23</f>
        <v>288.4450532705618</v>
      </c>
      <c r="J21" s="706">
        <f t="shared" si="18"/>
        <v>11.88526255135462</v>
      </c>
      <c r="K21" s="703">
        <f t="shared" si="1"/>
        <v>4.1204598299025876E-2</v>
      </c>
      <c r="L21" s="535">
        <f t="shared" si="2"/>
        <v>5.9426312756773099</v>
      </c>
      <c r="M21" s="703">
        <f t="shared" si="3"/>
        <v>2.0602299149512938E-2</v>
      </c>
      <c r="N21" s="428">
        <f t="shared" si="4"/>
        <v>5.9426312756773099</v>
      </c>
      <c r="O21" s="703">
        <f t="shared" si="5"/>
        <v>2.0602299149512938E-2</v>
      </c>
      <c r="P21" s="535" t="s">
        <v>580</v>
      </c>
      <c r="Q21" s="539" t="s">
        <v>580</v>
      </c>
      <c r="R21" s="701">
        <f t="shared" si="6"/>
        <v>276.55979071920723</v>
      </c>
      <c r="S21" s="704">
        <v>0.5</v>
      </c>
      <c r="T21" s="428">
        <f t="shared" si="7"/>
        <v>11.88526255135462</v>
      </c>
      <c r="U21" s="705">
        <f t="shared" si="8"/>
        <v>4.1204598299025876E-2</v>
      </c>
      <c r="V21" s="706">
        <f t="shared" si="9"/>
        <v>5.9426312756773099</v>
      </c>
      <c r="W21" s="703">
        <f t="shared" si="10"/>
        <v>0.5</v>
      </c>
      <c r="X21" s="428">
        <f t="shared" si="11"/>
        <v>5.9426312756773099</v>
      </c>
      <c r="Y21" s="703">
        <f t="shared" si="12"/>
        <v>0.5</v>
      </c>
      <c r="Z21" s="535">
        <v>0</v>
      </c>
      <c r="AA21" s="707">
        <v>0</v>
      </c>
      <c r="AB21" s="701">
        <f t="shared" si="0"/>
        <v>276.55979071920723</v>
      </c>
      <c r="AC21" s="245"/>
      <c r="AD21" s="428">
        <f>(V21+X21+AB21)*Hypothèses!$B$5+Z21*Hypothèses!$B$10</f>
        <v>400.93862404608097</v>
      </c>
      <c r="AE21" s="245"/>
      <c r="AF21" s="428">
        <f>X21*Prod_Carburant_Alt!$I$61+Z21*Hypothèses!$B$13</f>
        <v>269.10545439540732</v>
      </c>
      <c r="AG21" s="428">
        <f>AF21*'Synthèse scénarios'!$L$9/'Synthèse scénarios'!$M$9</f>
        <v>124.6887194387261</v>
      </c>
      <c r="AH21" s="708">
        <f>AG21/'Synthèse scénarios'!$L$9</f>
        <v>0.1915341312422828</v>
      </c>
      <c r="AI21" s="428">
        <f>('Synthèse scénarios'!$K$9/1000)*AF21</f>
        <v>2.9601599983494804</v>
      </c>
      <c r="AJ21" s="505">
        <f>(AB21+V21*Prod_Carburant_Alt!$D$75)*Hypothèses!$D$23+AI21</f>
        <v>1044.6140124737469</v>
      </c>
      <c r="AK21" s="505">
        <f>(AB21+V21*Prod_Carburant_Alt!$D$75)*Hypothèses!$B$23</f>
        <v>874.98923607933375</v>
      </c>
      <c r="AL21" s="505">
        <f t="shared" si="13"/>
        <v>0</v>
      </c>
      <c r="AM21" s="709">
        <f t="shared" si="17"/>
        <v>9011.080361268374</v>
      </c>
      <c r="AN21" s="710"/>
      <c r="AO21" s="430"/>
      <c r="AP21" s="430"/>
      <c r="AQ21" s="430"/>
      <c r="AR21" s="430"/>
      <c r="AS21" s="430"/>
      <c r="AT21" s="430"/>
      <c r="AU21" s="430"/>
      <c r="AV21" s="430"/>
      <c r="AW21" s="430"/>
      <c r="AX21" s="430"/>
      <c r="AY21" s="430"/>
      <c r="AZ21" s="430"/>
      <c r="BA21" s="430"/>
      <c r="BB21" s="430"/>
      <c r="BC21" s="430"/>
      <c r="BD21" s="430"/>
      <c r="BE21" s="430"/>
    </row>
    <row r="22" spans="1:57" ht="15.75" customHeight="1">
      <c r="A22" s="430"/>
      <c r="B22" s="698">
        <v>2030</v>
      </c>
      <c r="C22" s="699">
        <f>Trajectoires!F22</f>
        <v>1102.4369936000871</v>
      </c>
      <c r="D22" s="428">
        <f t="shared" si="14"/>
        <v>10219.893894145473</v>
      </c>
      <c r="E22" s="700">
        <f>C22*(Hypothèses!$B$23/Hypothèses!$D$23)</f>
        <v>926.04707462407316</v>
      </c>
      <c r="F22" s="428">
        <f t="shared" si="15"/>
        <v>8584.7108710821958</v>
      </c>
      <c r="G22" s="428" t="s">
        <v>580</v>
      </c>
      <c r="H22" s="428">
        <f>I22*Hypothèses!$B$5</f>
        <v>408.63664562776557</v>
      </c>
      <c r="I22" s="701">
        <f>E22/Hypothèses!$B$23</f>
        <v>293.98319829335657</v>
      </c>
      <c r="J22" s="706">
        <f t="shared" si="18"/>
        <v>14.100131479589219</v>
      </c>
      <c r="K22" s="703">
        <f t="shared" si="1"/>
        <v>4.7962371868337669E-2</v>
      </c>
      <c r="L22" s="535">
        <f t="shared" si="2"/>
        <v>7.0500657397946096</v>
      </c>
      <c r="M22" s="703">
        <f t="shared" si="3"/>
        <v>2.3981185934168835E-2</v>
      </c>
      <c r="N22" s="428">
        <f t="shared" si="4"/>
        <v>7.0500657397946096</v>
      </c>
      <c r="O22" s="703">
        <f t="shared" si="5"/>
        <v>2.3981185934168835E-2</v>
      </c>
      <c r="P22" s="535" t="s">
        <v>580</v>
      </c>
      <c r="Q22" s="539" t="s">
        <v>580</v>
      </c>
      <c r="R22" s="701">
        <f t="shared" si="6"/>
        <v>279.88306681376736</v>
      </c>
      <c r="S22" s="704">
        <v>0.5</v>
      </c>
      <c r="T22" s="428">
        <f t="shared" si="7"/>
        <v>14.100131479589219</v>
      </c>
      <c r="U22" s="705">
        <f t="shared" si="8"/>
        <v>4.7962371868337669E-2</v>
      </c>
      <c r="V22" s="706">
        <f t="shared" si="9"/>
        <v>7.0500657397946096</v>
      </c>
      <c r="W22" s="703">
        <f t="shared" si="10"/>
        <v>0.5</v>
      </c>
      <c r="X22" s="428">
        <f t="shared" si="11"/>
        <v>7.0500657397946096</v>
      </c>
      <c r="Y22" s="703">
        <f t="shared" si="12"/>
        <v>0.5</v>
      </c>
      <c r="Z22" s="535">
        <v>0</v>
      </c>
      <c r="AA22" s="707">
        <v>0</v>
      </c>
      <c r="AB22" s="701">
        <f t="shared" si="0"/>
        <v>279.88306681376736</v>
      </c>
      <c r="AC22" s="245"/>
      <c r="AD22" s="428">
        <f>(V22+X22+AB22)*Hypothèses!$B$5+Z22*Hypothèses!$B$10</f>
        <v>408.63664562776557</v>
      </c>
      <c r="AE22" s="245"/>
      <c r="AF22" s="428">
        <f>X22*Prod_Carburant_Alt!$I$61+Z22*Hypothèses!$B$13</f>
        <v>319.25439362022132</v>
      </c>
      <c r="AG22" s="428">
        <f>AF22*'Synthèse scénarios'!$L$9/'Synthèse scénarios'!$M$9</f>
        <v>147.92498949947623</v>
      </c>
      <c r="AH22" s="708">
        <f>AG22/'Synthèse scénarios'!$L$9</f>
        <v>0.22722732642008636</v>
      </c>
      <c r="AI22" s="428">
        <f>('Synthèse scénarios'!$K$9/1000)*AF22</f>
        <v>3.5117983298224345</v>
      </c>
      <c r="AJ22" s="505">
        <f>(AB22+V22*Prod_Carburant_Alt!$D$75)*Hypothèses!$D$23+AI22</f>
        <v>1058.4767120739957</v>
      </c>
      <c r="AK22" s="505">
        <f>(AB22+V22*Prod_Carburant_Alt!$D$75)*Hypothèses!$B$23</f>
        <v>886.17052754510564</v>
      </c>
      <c r="AL22" s="505">
        <f t="shared" si="13"/>
        <v>0</v>
      </c>
      <c r="AM22" s="709">
        <f t="shared" si="17"/>
        <v>10055.694373742121</v>
      </c>
      <c r="AN22" s="710"/>
      <c r="AO22" s="430"/>
      <c r="AP22" s="430"/>
      <c r="AQ22" s="430"/>
      <c r="AR22" s="430"/>
      <c r="AS22" s="430"/>
      <c r="AT22" s="430"/>
      <c r="AU22" s="430"/>
      <c r="AV22" s="430"/>
      <c r="AW22" s="430"/>
      <c r="AX22" s="430"/>
      <c r="AY22" s="430"/>
      <c r="AZ22" s="430"/>
      <c r="BA22" s="430"/>
      <c r="BB22" s="430"/>
      <c r="BC22" s="430"/>
      <c r="BD22" s="430"/>
      <c r="BE22" s="430"/>
    </row>
    <row r="23" spans="1:57" ht="15.75" customHeight="1">
      <c r="A23" s="430"/>
      <c r="B23" s="698">
        <v>2031</v>
      </c>
      <c r="C23" s="699">
        <f>Trajectoires!F23</f>
        <v>1123.6037838772088</v>
      </c>
      <c r="D23" s="428">
        <f t="shared" si="14"/>
        <v>11343.497678022681</v>
      </c>
      <c r="E23" s="700">
        <f>C23*(Hypothèses!$B$23/Hypothèses!$D$23)</f>
        <v>943.82717845685534</v>
      </c>
      <c r="F23" s="428">
        <f t="shared" si="15"/>
        <v>9528.5380495390509</v>
      </c>
      <c r="G23" s="428" t="s">
        <v>580</v>
      </c>
      <c r="H23" s="428">
        <f>I23*Hypothèses!$B$5</f>
        <v>416.48246922381867</v>
      </c>
      <c r="I23" s="701">
        <f>E23/Hypothèses!$B$23</f>
        <v>299.62767570058901</v>
      </c>
      <c r="J23" s="706">
        <f t="shared" si="18"/>
        <v>16.727750597233808</v>
      </c>
      <c r="K23" s="703">
        <f t="shared" si="1"/>
        <v>5.582845629370186E-2</v>
      </c>
      <c r="L23" s="535">
        <f t="shared" si="2"/>
        <v>8.3638752986169038</v>
      </c>
      <c r="M23" s="703">
        <f t="shared" si="3"/>
        <v>2.791422814685093E-2</v>
      </c>
      <c r="N23" s="428">
        <f t="shared" si="4"/>
        <v>8.3638752986169038</v>
      </c>
      <c r="O23" s="703">
        <f t="shared" si="5"/>
        <v>2.791422814685093E-2</v>
      </c>
      <c r="P23" s="535" t="s">
        <v>580</v>
      </c>
      <c r="Q23" s="539" t="s">
        <v>580</v>
      </c>
      <c r="R23" s="701">
        <f t="shared" si="6"/>
        <v>282.8999251033552</v>
      </c>
      <c r="S23" s="704">
        <v>0.5</v>
      </c>
      <c r="T23" s="428">
        <f t="shared" si="7"/>
        <v>16.727750597233808</v>
      </c>
      <c r="U23" s="705">
        <f t="shared" si="8"/>
        <v>5.582845629370186E-2</v>
      </c>
      <c r="V23" s="706">
        <f t="shared" si="9"/>
        <v>8.3638752986169038</v>
      </c>
      <c r="W23" s="703">
        <f t="shared" si="10"/>
        <v>0.5</v>
      </c>
      <c r="X23" s="428">
        <f t="shared" si="11"/>
        <v>8.3638752986169038</v>
      </c>
      <c r="Y23" s="703">
        <f t="shared" si="12"/>
        <v>0.5</v>
      </c>
      <c r="Z23" s="535">
        <v>0</v>
      </c>
      <c r="AA23" s="707">
        <v>0</v>
      </c>
      <c r="AB23" s="701">
        <f t="shared" si="0"/>
        <v>282.8999251033552</v>
      </c>
      <c r="AC23" s="245"/>
      <c r="AD23" s="428">
        <f>(V23+X23+AB23)*Hypothèses!$B$5+Z23*Hypothèses!$B$10</f>
        <v>416.48246922381867</v>
      </c>
      <c r="AE23" s="245"/>
      <c r="AF23" s="428">
        <f>X23*Prod_Carburant_Alt!$I$61+Z23*Hypothèses!$B$13</f>
        <v>378.74879970309019</v>
      </c>
      <c r="AG23" s="428">
        <f>AF23*'Synthèse scénarios'!$L$9/'Synthèse scénarios'!$M$9</f>
        <v>175.49143673075568</v>
      </c>
      <c r="AH23" s="708">
        <f>AG23/'Synthèse scénarios'!$L$9</f>
        <v>0.26957209943280441</v>
      </c>
      <c r="AI23" s="428">
        <f>('Synthèse scénarios'!$K$9/1000)*AF23</f>
        <v>4.1662367967339922</v>
      </c>
      <c r="AJ23" s="505">
        <f>(AB23+V23*Prod_Carburant_Alt!$D$75)*Hypothèses!$D$23+AI23</f>
        <v>1071.4513180213326</v>
      </c>
      <c r="AK23" s="505">
        <f>(AB23+V23*Prod_Carburant_Alt!$D$75)*Hypothèses!$B$23</f>
        <v>896.51946822866284</v>
      </c>
      <c r="AL23" s="505">
        <f t="shared" si="13"/>
        <v>0</v>
      </c>
      <c r="AM23" s="709">
        <f t="shared" si="17"/>
        <v>11114.171085816117</v>
      </c>
      <c r="AN23" s="710"/>
      <c r="AO23" s="430"/>
      <c r="AP23" s="430"/>
      <c r="AQ23" s="430"/>
      <c r="AR23" s="430"/>
      <c r="AS23" s="430"/>
      <c r="AT23" s="430"/>
      <c r="AU23" s="430"/>
      <c r="AV23" s="430"/>
      <c r="AW23" s="430"/>
      <c r="AX23" s="430"/>
      <c r="AY23" s="430"/>
      <c r="AZ23" s="430"/>
      <c r="BA23" s="430"/>
      <c r="BB23" s="430"/>
      <c r="BC23" s="430"/>
      <c r="BD23" s="430"/>
      <c r="BE23" s="430"/>
    </row>
    <row r="24" spans="1:57" ht="15.75" customHeight="1">
      <c r="A24" s="430"/>
      <c r="B24" s="698">
        <v>2032</v>
      </c>
      <c r="C24" s="699">
        <f>Trajectoires!F24</f>
        <v>1145.1769765276513</v>
      </c>
      <c r="D24" s="428">
        <f t="shared" si="14"/>
        <v>12488.674654550332</v>
      </c>
      <c r="E24" s="700">
        <f>C24*(Hypothèses!$B$23/Hypothèses!$D$23)</f>
        <v>961.94866028322701</v>
      </c>
      <c r="F24" s="428">
        <f t="shared" si="15"/>
        <v>10490.486709822278</v>
      </c>
      <c r="G24" s="428" t="s">
        <v>580</v>
      </c>
      <c r="H24" s="428">
        <f>I24*Hypothèses!$B$5</f>
        <v>424.47893263291604</v>
      </c>
      <c r="I24" s="701">
        <f>E24/Hypothèses!$B$23</f>
        <v>305.38052707404034</v>
      </c>
      <c r="J24" s="706">
        <f t="shared" si="18"/>
        <v>19.845037647223979</v>
      </c>
      <c r="K24" s="703">
        <f t="shared" si="1"/>
        <v>6.4984620458175102E-2</v>
      </c>
      <c r="L24" s="535">
        <f t="shared" si="2"/>
        <v>9.9225188236119894</v>
      </c>
      <c r="M24" s="703">
        <f t="shared" si="3"/>
        <v>3.2492310229087551E-2</v>
      </c>
      <c r="N24" s="428">
        <f t="shared" si="4"/>
        <v>9.9225188236119894</v>
      </c>
      <c r="O24" s="703">
        <f t="shared" si="5"/>
        <v>3.2492310229087551E-2</v>
      </c>
      <c r="P24" s="535" t="s">
        <v>580</v>
      </c>
      <c r="Q24" s="539" t="s">
        <v>580</v>
      </c>
      <c r="R24" s="701">
        <f t="shared" si="6"/>
        <v>285.53548942681635</v>
      </c>
      <c r="S24" s="704">
        <v>0.5</v>
      </c>
      <c r="T24" s="428">
        <f t="shared" si="7"/>
        <v>19.845037647223979</v>
      </c>
      <c r="U24" s="705">
        <f t="shared" si="8"/>
        <v>6.4984620458175102E-2</v>
      </c>
      <c r="V24" s="706">
        <f t="shared" si="9"/>
        <v>9.9225188236119894</v>
      </c>
      <c r="W24" s="703">
        <f t="shared" si="10"/>
        <v>0.5</v>
      </c>
      <c r="X24" s="428">
        <f t="shared" si="11"/>
        <v>9.9225188236119894</v>
      </c>
      <c r="Y24" s="703">
        <f t="shared" si="12"/>
        <v>0.5</v>
      </c>
      <c r="Z24" s="535">
        <v>0</v>
      </c>
      <c r="AA24" s="707">
        <v>0</v>
      </c>
      <c r="AB24" s="701">
        <f t="shared" si="0"/>
        <v>285.53548942681635</v>
      </c>
      <c r="AC24" s="245"/>
      <c r="AD24" s="428">
        <f>(V24+X24+AB24)*Hypothèses!$B$5+Z24*Hypothèses!$B$10</f>
        <v>424.47893263291604</v>
      </c>
      <c r="AE24" s="245"/>
      <c r="AF24" s="428">
        <f>X24*Prod_Carburant_Alt!$I$61+Z24*Hypothèses!$B$13</f>
        <v>449.33023990635377</v>
      </c>
      <c r="AG24" s="428">
        <f>AF24*'Synthèse scénarios'!$L$9/'Synthèse scénarios'!$M$9</f>
        <v>208.19500795660949</v>
      </c>
      <c r="AH24" s="708">
        <f>AG24/'Synthèse scénarios'!$L$9</f>
        <v>0.31980799993334791</v>
      </c>
      <c r="AI24" s="428">
        <f>('Synthèse scénarios'!$K$9/1000)*AF24</f>
        <v>4.9426326389698909</v>
      </c>
      <c r="AJ24" s="505">
        <f>(AB24+V24*Prod_Carburant_Alt!$D$75)*Hypothèses!$D$23+AI24</f>
        <v>1083.3056781549594</v>
      </c>
      <c r="AK24" s="505">
        <f>(AB24+V24*Prod_Carburant_Alt!$D$75)*Hypothèses!$B$23</f>
        <v>905.82495823343129</v>
      </c>
      <c r="AL24" s="505">
        <f t="shared" si="13"/>
        <v>0</v>
      </c>
      <c r="AM24" s="709">
        <f t="shared" si="17"/>
        <v>12185.622403837449</v>
      </c>
      <c r="AN24" s="710"/>
      <c r="AO24" s="430"/>
      <c r="AP24" s="430"/>
      <c r="AQ24" s="430"/>
      <c r="AR24" s="430"/>
      <c r="AS24" s="430"/>
      <c r="AT24" s="430"/>
      <c r="AU24" s="430"/>
      <c r="AV24" s="430"/>
      <c r="AW24" s="430"/>
      <c r="AX24" s="430"/>
      <c r="AY24" s="430"/>
      <c r="AZ24" s="430"/>
      <c r="BA24" s="430"/>
      <c r="BB24" s="430"/>
      <c r="BC24" s="430"/>
      <c r="BD24" s="430"/>
      <c r="BE24" s="430"/>
    </row>
    <row r="25" spans="1:57" ht="15.75" customHeight="1">
      <c r="A25" s="430"/>
      <c r="B25" s="698">
        <v>2033</v>
      </c>
      <c r="C25" s="699">
        <f>Trajectoires!F25</f>
        <v>1167.1643744769822</v>
      </c>
      <c r="D25" s="428">
        <f t="shared" si="14"/>
        <v>13655.839029027315</v>
      </c>
      <c r="E25" s="700">
        <f>C25*(Hypothèses!$B$23/Hypothèses!$D$23)</f>
        <v>980.41807456066499</v>
      </c>
      <c r="F25" s="428">
        <f t="shared" si="15"/>
        <v>11470.904784382943</v>
      </c>
      <c r="G25" s="428" t="s">
        <v>580</v>
      </c>
      <c r="H25" s="428">
        <f>I25*Hypothèses!$B$5</f>
        <v>432.62892813946803</v>
      </c>
      <c r="I25" s="701">
        <f>E25/Hypothèses!$B$23</f>
        <v>311.24383319386192</v>
      </c>
      <c r="J25" s="706">
        <f t="shared" si="18"/>
        <v>23.543244319105415</v>
      </c>
      <c r="K25" s="703">
        <f t="shared" si="1"/>
        <v>7.5642444309703724E-2</v>
      </c>
      <c r="L25" s="535">
        <f t="shared" si="2"/>
        <v>11.771622159552708</v>
      </c>
      <c r="M25" s="703">
        <f t="shared" si="3"/>
        <v>3.7821222154851862E-2</v>
      </c>
      <c r="N25" s="428">
        <f t="shared" si="4"/>
        <v>11.771622159552708</v>
      </c>
      <c r="O25" s="703">
        <f t="shared" si="5"/>
        <v>3.7821222154851862E-2</v>
      </c>
      <c r="P25" s="535" t="s">
        <v>580</v>
      </c>
      <c r="Q25" s="539" t="s">
        <v>580</v>
      </c>
      <c r="R25" s="701">
        <f t="shared" si="6"/>
        <v>287.70058887475653</v>
      </c>
      <c r="S25" s="704">
        <v>0.5</v>
      </c>
      <c r="T25" s="428">
        <f t="shared" si="7"/>
        <v>23.543244319105415</v>
      </c>
      <c r="U25" s="705">
        <f t="shared" si="8"/>
        <v>7.5642444309703724E-2</v>
      </c>
      <c r="V25" s="706">
        <f t="shared" si="9"/>
        <v>11.771622159552708</v>
      </c>
      <c r="W25" s="703">
        <f t="shared" si="10"/>
        <v>0.5</v>
      </c>
      <c r="X25" s="428">
        <f t="shared" si="11"/>
        <v>11.771622159552708</v>
      </c>
      <c r="Y25" s="703">
        <f t="shared" si="12"/>
        <v>0.5</v>
      </c>
      <c r="Z25" s="535">
        <v>0</v>
      </c>
      <c r="AA25" s="707">
        <v>0</v>
      </c>
      <c r="AB25" s="701">
        <f t="shared" si="0"/>
        <v>287.70058887475653</v>
      </c>
      <c r="AC25" s="245"/>
      <c r="AD25" s="428">
        <f>(V25+X25+AB25)*Hypothèses!$B$5+Z25*Hypothèses!$B$10</f>
        <v>432.62892813946809</v>
      </c>
      <c r="AE25" s="245"/>
      <c r="AF25" s="428">
        <f>X25*Prod_Carburant_Alt!$I$61+Z25*Hypothèses!$B$13</f>
        <v>533.06482991516702</v>
      </c>
      <c r="AG25" s="428">
        <f>AF25*'Synthèse scénarios'!$L$9/'Synthèse scénarios'!$M$9</f>
        <v>246.99302795357559</v>
      </c>
      <c r="AH25" s="708">
        <f>AG25/'Synthèse scénarios'!$L$9</f>
        <v>0.3794055728933573</v>
      </c>
      <c r="AI25" s="428">
        <f>('Synthèse scénarios'!$K$9/1000)*AF25</f>
        <v>5.8637131290668369</v>
      </c>
      <c r="AJ25" s="505">
        <f>(AB25+V25*Prod_Carburant_Alt!$D$75)*Hypothèses!$D$23+AI25</f>
        <v>1093.7630980560068</v>
      </c>
      <c r="AK25" s="505">
        <f>(AB25+V25*Prod_Carburant_Alt!$D$75)*Hypothèses!$B$23</f>
        <v>913.83548333862961</v>
      </c>
      <c r="AL25" s="505">
        <f t="shared" si="13"/>
        <v>0</v>
      </c>
      <c r="AM25" s="709">
        <f t="shared" si="17"/>
        <v>13268.92808199241</v>
      </c>
      <c r="AN25" s="710"/>
      <c r="AO25" s="430"/>
      <c r="AP25" s="430"/>
      <c r="AQ25" s="430"/>
      <c r="AR25" s="430"/>
      <c r="AS25" s="430"/>
      <c r="AT25" s="430"/>
      <c r="AU25" s="430"/>
      <c r="AV25" s="430"/>
      <c r="AW25" s="430"/>
      <c r="AX25" s="430"/>
      <c r="AY25" s="430"/>
      <c r="AZ25" s="430"/>
      <c r="BA25" s="430"/>
      <c r="BB25" s="430"/>
      <c r="BC25" s="430"/>
      <c r="BD25" s="430"/>
      <c r="BE25" s="430"/>
    </row>
    <row r="26" spans="1:57" ht="15.75" customHeight="1">
      <c r="A26" s="430"/>
      <c r="B26" s="698">
        <v>2034</v>
      </c>
      <c r="C26" s="699">
        <f>Trajectoires!F26</f>
        <v>1189.5739304669403</v>
      </c>
      <c r="D26" s="428">
        <f t="shared" si="14"/>
        <v>14845.412959494255</v>
      </c>
      <c r="E26" s="700">
        <f>C26*(Hypothèses!$B$23/Hypothèses!$D$23)</f>
        <v>999.2421015922298</v>
      </c>
      <c r="F26" s="428">
        <f t="shared" si="15"/>
        <v>12470.146885975173</v>
      </c>
      <c r="G26" s="428" t="s">
        <v>580</v>
      </c>
      <c r="H26" s="428">
        <f>I26*Hypothèses!$B$5</f>
        <v>440.93540355974579</v>
      </c>
      <c r="I26" s="701">
        <f>E26/Hypothèses!$B$23</f>
        <v>317.21971479118406</v>
      </c>
      <c r="J26" s="706">
        <f t="shared" si="18"/>
        <v>27.930627440589685</v>
      </c>
      <c r="K26" s="703">
        <f t="shared" si="1"/>
        <v>8.8048208034533906E-2</v>
      </c>
      <c r="L26" s="535">
        <f t="shared" si="2"/>
        <v>13.965313720294843</v>
      </c>
      <c r="M26" s="703">
        <f t="shared" si="3"/>
        <v>4.4024104017266953E-2</v>
      </c>
      <c r="N26" s="428">
        <f t="shared" si="4"/>
        <v>13.965313720294843</v>
      </c>
      <c r="O26" s="703">
        <f t="shared" si="5"/>
        <v>4.4024104017266953E-2</v>
      </c>
      <c r="P26" s="535" t="s">
        <v>580</v>
      </c>
      <c r="Q26" s="539" t="s">
        <v>580</v>
      </c>
      <c r="R26" s="701">
        <f t="shared" si="6"/>
        <v>289.2890873505944</v>
      </c>
      <c r="S26" s="704">
        <v>0.5</v>
      </c>
      <c r="T26" s="428">
        <f t="shared" si="7"/>
        <v>27.930627440589685</v>
      </c>
      <c r="U26" s="705">
        <f t="shared" si="8"/>
        <v>8.8048208034533906E-2</v>
      </c>
      <c r="V26" s="706">
        <f t="shared" si="9"/>
        <v>13.965313720294843</v>
      </c>
      <c r="W26" s="703">
        <f t="shared" si="10"/>
        <v>0.5</v>
      </c>
      <c r="X26" s="428">
        <f t="shared" si="11"/>
        <v>13.965313720294843</v>
      </c>
      <c r="Y26" s="703">
        <f t="shared" si="12"/>
        <v>0.5</v>
      </c>
      <c r="Z26" s="535">
        <v>0</v>
      </c>
      <c r="AA26" s="707">
        <v>0</v>
      </c>
      <c r="AB26" s="701">
        <f t="shared" si="0"/>
        <v>289.2890873505944</v>
      </c>
      <c r="AC26" s="245"/>
      <c r="AD26" s="428">
        <f>(V26+X26+AB26)*Hypothèses!$B$5+Z26*Hypothèses!$B$10</f>
        <v>440.93540355974579</v>
      </c>
      <c r="AE26" s="245"/>
      <c r="AF26" s="428">
        <f>X26*Prod_Carburant_Alt!$I$61+Z26*Hypothèses!$B$13</f>
        <v>632.40371480830709</v>
      </c>
      <c r="AG26" s="428">
        <f>AF26*'Synthèse scénarios'!$L$9/'Synthèse scénarios'!$M$9</f>
        <v>293.02122301794157</v>
      </c>
      <c r="AH26" s="708">
        <f>AG26/'Synthèse scénarios'!$L$9</f>
        <v>0.45010940555751394</v>
      </c>
      <c r="AI26" s="428">
        <f>('Synthèse scénarios'!$K$9/1000)*AF26</f>
        <v>6.9564408628913776</v>
      </c>
      <c r="AJ26" s="505">
        <f>(AB26+V26*Prod_Carburant_Alt!$D$75)*Hypothèses!$D$23+AI26</f>
        <v>1102.4940158387637</v>
      </c>
      <c r="AK26" s="505">
        <f>(AB26+V26*Prod_Carburant_Alt!$D$75)*Hypothèses!$B$23</f>
        <v>920.25156297973274</v>
      </c>
      <c r="AL26" s="505">
        <f t="shared" si="13"/>
        <v>6.2515629797327392</v>
      </c>
      <c r="AM26" s="709">
        <f t="shared" si="17"/>
        <v>14362.691180048416</v>
      </c>
      <c r="AN26" s="710"/>
      <c r="AO26" s="430"/>
      <c r="AP26" s="430"/>
      <c r="AQ26" s="430"/>
      <c r="AR26" s="430"/>
      <c r="AS26" s="430"/>
      <c r="AT26" s="430"/>
      <c r="AU26" s="430"/>
      <c r="AV26" s="430"/>
      <c r="AW26" s="430"/>
      <c r="AX26" s="430"/>
      <c r="AY26" s="430"/>
      <c r="AZ26" s="430"/>
      <c r="BA26" s="430"/>
      <c r="BB26" s="430"/>
      <c r="BC26" s="430"/>
      <c r="BD26" s="430"/>
      <c r="BE26" s="430"/>
    </row>
    <row r="27" spans="1:57" ht="15.75" customHeight="1">
      <c r="A27" s="430"/>
      <c r="B27" s="698">
        <v>2035</v>
      </c>
      <c r="C27" s="699">
        <f>Trajectoires!F27</f>
        <v>1212.4137499319056</v>
      </c>
      <c r="D27" s="428">
        <f t="shared" si="14"/>
        <v>16057.826709426161</v>
      </c>
      <c r="E27" s="700">
        <f>C27*(Hypothèses!$B$23/Hypothèses!$D$23)</f>
        <v>1018.4275499428006</v>
      </c>
      <c r="F27" s="428">
        <f t="shared" si="15"/>
        <v>13488.574435917973</v>
      </c>
      <c r="G27" s="428" t="s">
        <v>580</v>
      </c>
      <c r="H27" s="428">
        <f>I27*Hypothèses!$B$5</f>
        <v>449.40136330809298</v>
      </c>
      <c r="I27" s="701">
        <f>E27/Hypothèses!$B$23</f>
        <v>323.31033331517483</v>
      </c>
      <c r="J27" s="706">
        <f t="shared" si="18"/>
        <v>33.135617956950469</v>
      </c>
      <c r="K27" s="703">
        <f t="shared" si="1"/>
        <v>0.10248858308110012</v>
      </c>
      <c r="L27" s="535">
        <f t="shared" si="2"/>
        <v>16.567808978475234</v>
      </c>
      <c r="M27" s="703">
        <f t="shared" si="3"/>
        <v>5.124429154055006E-2</v>
      </c>
      <c r="N27" s="428">
        <f t="shared" si="4"/>
        <v>16.567808978475234</v>
      </c>
      <c r="O27" s="703">
        <f t="shared" si="5"/>
        <v>5.124429154055006E-2</v>
      </c>
      <c r="P27" s="535" t="s">
        <v>580</v>
      </c>
      <c r="Q27" s="539" t="s">
        <v>580</v>
      </c>
      <c r="R27" s="701">
        <f t="shared" si="6"/>
        <v>290.17471535822438</v>
      </c>
      <c r="S27" s="704">
        <v>0.5</v>
      </c>
      <c r="T27" s="428">
        <f t="shared" si="7"/>
        <v>33.135617956950469</v>
      </c>
      <c r="U27" s="705">
        <f t="shared" si="8"/>
        <v>0.10248858308110012</v>
      </c>
      <c r="V27" s="706">
        <f t="shared" si="9"/>
        <v>16.567808978475234</v>
      </c>
      <c r="W27" s="703">
        <f t="shared" si="10"/>
        <v>0.5</v>
      </c>
      <c r="X27" s="428">
        <f t="shared" si="11"/>
        <v>16.567808978475234</v>
      </c>
      <c r="Y27" s="703">
        <f t="shared" si="12"/>
        <v>0.5</v>
      </c>
      <c r="Z27" s="535">
        <v>0</v>
      </c>
      <c r="AA27" s="707">
        <v>0</v>
      </c>
      <c r="AB27" s="701">
        <f t="shared" si="0"/>
        <v>290.17471535822438</v>
      </c>
      <c r="AC27" s="245"/>
      <c r="AD27" s="428">
        <f>(V27+X27+AB27)*Hypothèses!$B$5+Z27*Hypothèses!$B$10</f>
        <v>449.40136330809298</v>
      </c>
      <c r="AE27" s="245"/>
      <c r="AF27" s="428">
        <f>X27*Prod_Carburant_Alt!$I$61+Z27*Hypothèses!$B$13</f>
        <v>750.25482091360811</v>
      </c>
      <c r="AG27" s="428">
        <f>AF27*'Synthèse scénarios'!$L$9/'Synthèse scénarios'!$M$9</f>
        <v>347.62696684324476</v>
      </c>
      <c r="AH27" s="708">
        <f>AG27/'Synthèse scénarios'!$L$9</f>
        <v>0.53398919637979225</v>
      </c>
      <c r="AI27" s="428">
        <f>('Synthèse scénarios'!$K$9/1000)*AF27</f>
        <v>8.2528030300496891</v>
      </c>
      <c r="AJ27" s="505">
        <f>(AB27+V27*Prod_Carburant_Alt!$D$75)*Hypothèses!$D$23+AI27</f>
        <v>1109.1061250322985</v>
      </c>
      <c r="AK27" s="505">
        <f>(AB27+V27*Prod_Carburant_Alt!$D$75)*Hypothèses!$B$23</f>
        <v>924.71679048188878</v>
      </c>
      <c r="AL27" s="505">
        <f t="shared" si="13"/>
        <v>10.716790481888779</v>
      </c>
      <c r="AM27" s="709">
        <f t="shared" si="17"/>
        <v>15465.185195887179</v>
      </c>
      <c r="AN27" s="710"/>
      <c r="AO27" s="430"/>
      <c r="AP27" s="430"/>
      <c r="AQ27" s="430"/>
      <c r="AR27" s="430"/>
      <c r="AS27" s="430"/>
      <c r="AT27" s="430"/>
      <c r="AU27" s="430"/>
      <c r="AV27" s="430"/>
      <c r="AW27" s="430"/>
      <c r="AX27" s="430"/>
      <c r="AY27" s="430"/>
      <c r="AZ27" s="430"/>
      <c r="BA27" s="430"/>
      <c r="BB27" s="430"/>
      <c r="BC27" s="430"/>
      <c r="BD27" s="430"/>
      <c r="BE27" s="430"/>
    </row>
    <row r="28" spans="1:57" ht="15.75" customHeight="1">
      <c r="A28" s="430"/>
      <c r="B28" s="698">
        <v>2036</v>
      </c>
      <c r="C28" s="699">
        <f>Trajectoires!F28</f>
        <v>1235.6920939305983</v>
      </c>
      <c r="D28" s="428">
        <f t="shared" si="14"/>
        <v>17293.518803356761</v>
      </c>
      <c r="E28" s="700">
        <f>C28*(Hypothèses!$B$23/Hypothèses!$D$23)</f>
        <v>1037.9813589017026</v>
      </c>
      <c r="F28" s="428">
        <f t="shared" si="15"/>
        <v>14526.555794819677</v>
      </c>
      <c r="G28" s="428" t="s">
        <v>580</v>
      </c>
      <c r="H28" s="428">
        <f>I28*Hypothèses!$B$5</f>
        <v>458.02986948360848</v>
      </c>
      <c r="I28" s="701">
        <f>E28/Hypothèses!$B$23</f>
        <v>329.51789171482625</v>
      </c>
      <c r="J28" s="706">
        <f t="shared" si="18"/>
        <v>39.310580463128957</v>
      </c>
      <c r="K28" s="703">
        <f t="shared" si="1"/>
        <v>0.11929725654214067</v>
      </c>
      <c r="L28" s="535">
        <f t="shared" si="2"/>
        <v>19.655290231564479</v>
      </c>
      <c r="M28" s="703">
        <f t="shared" si="3"/>
        <v>5.9648628271070335E-2</v>
      </c>
      <c r="N28" s="428">
        <f t="shared" si="4"/>
        <v>19.655290231564479</v>
      </c>
      <c r="O28" s="703">
        <f t="shared" si="5"/>
        <v>5.9648628271070335E-2</v>
      </c>
      <c r="P28" s="535" t="s">
        <v>580</v>
      </c>
      <c r="Q28" s="539" t="s">
        <v>580</v>
      </c>
      <c r="R28" s="701">
        <f t="shared" si="6"/>
        <v>290.20731125169726</v>
      </c>
      <c r="S28" s="704">
        <v>1</v>
      </c>
      <c r="T28" s="428">
        <f t="shared" si="7"/>
        <v>39.310580463128957</v>
      </c>
      <c r="U28" s="705">
        <f t="shared" si="8"/>
        <v>0.11929725654214067</v>
      </c>
      <c r="V28" s="706">
        <f t="shared" si="9"/>
        <v>19.655290231564479</v>
      </c>
      <c r="W28" s="703">
        <f t="shared" si="10"/>
        <v>0.5</v>
      </c>
      <c r="X28" s="428">
        <f t="shared" si="11"/>
        <v>19.655290231564479</v>
      </c>
      <c r="Y28" s="703">
        <f t="shared" si="12"/>
        <v>0.5</v>
      </c>
      <c r="Z28" s="535">
        <v>0</v>
      </c>
      <c r="AA28" s="707">
        <v>0</v>
      </c>
      <c r="AB28" s="701">
        <f t="shared" si="0"/>
        <v>290.20731125169726</v>
      </c>
      <c r="AC28" s="245"/>
      <c r="AD28" s="428">
        <f>(V28+X28+AB28)*Hypothèses!$B$5+Z28*Hypothèses!$B$10</f>
        <v>458.02986948360837</v>
      </c>
      <c r="AE28" s="245"/>
      <c r="AF28" s="428">
        <f>X28*Prod_Carburant_Alt!$I$61+Z28*Hypothèses!$B$13</f>
        <v>890.06797892502891</v>
      </c>
      <c r="AG28" s="428">
        <f>AF28*'Synthèse scénarios'!$L$9/'Synthèse scénarios'!$M$9</f>
        <v>412.40872190761127</v>
      </c>
      <c r="AH28" s="708">
        <f>AG28/'Synthèse scénarios'!$L$9</f>
        <v>0.63350034087190665</v>
      </c>
      <c r="AI28" s="428">
        <f>('Synthèse scénarios'!$K$9/1000)*AF28</f>
        <v>9.7907477681753168</v>
      </c>
      <c r="AJ28" s="505">
        <f>(AB28+V28*Prod_Carburant_Alt!$D$75)*Hypothèses!$D$23+AI28</f>
        <v>1113.1326563384916</v>
      </c>
      <c r="AK28" s="505">
        <f>(AB28+V28*Prod_Carburant_Alt!$D$75)*Hypothèses!$B$23</f>
        <v>926.8072031990655</v>
      </c>
      <c r="AL28" s="505">
        <f t="shared" si="13"/>
        <v>12.807203199065498</v>
      </c>
      <c r="AM28" s="709">
        <f t="shared" si="17"/>
        <v>16574.291320919478</v>
      </c>
      <c r="AN28" s="710"/>
      <c r="AO28" s="430"/>
      <c r="AP28" s="430"/>
      <c r="AQ28" s="430"/>
      <c r="AR28" s="430"/>
      <c r="AS28" s="430"/>
      <c r="AT28" s="430"/>
      <c r="AU28" s="430"/>
      <c r="AV28" s="430"/>
      <c r="AW28" s="430"/>
      <c r="AX28" s="430"/>
      <c r="AY28" s="430"/>
      <c r="AZ28" s="430"/>
      <c r="BA28" s="430"/>
      <c r="BB28" s="430"/>
      <c r="BC28" s="430"/>
      <c r="BD28" s="430"/>
      <c r="BE28" s="430"/>
    </row>
    <row r="29" spans="1:57" ht="15.75" customHeight="1">
      <c r="A29" s="430"/>
      <c r="B29" s="698">
        <v>2037</v>
      </c>
      <c r="C29" s="699">
        <f>Trajectoires!F29</f>
        <v>1259.4173821340657</v>
      </c>
      <c r="D29" s="428">
        <f t="shared" si="14"/>
        <v>18552.936185490827</v>
      </c>
      <c r="E29" s="700">
        <f>C29*(Hypothèses!$B$23/Hypothèses!$D$23)</f>
        <v>1057.9106009926152</v>
      </c>
      <c r="F29" s="428">
        <f t="shared" si="15"/>
        <v>15584.466395812291</v>
      </c>
      <c r="G29" s="428" t="s">
        <v>580</v>
      </c>
      <c r="H29" s="428">
        <f>I29*Hypothèses!$B$5</f>
        <v>466.82404297769364</v>
      </c>
      <c r="I29" s="701">
        <f>E29/Hypothèses!$B$23</f>
        <v>335.84463523575084</v>
      </c>
      <c r="J29" s="706">
        <f t="shared" si="18"/>
        <v>46.636273340542665</v>
      </c>
      <c r="K29" s="703">
        <f t="shared" si="1"/>
        <v>0.13886264197076031</v>
      </c>
      <c r="L29" s="535">
        <f t="shared" si="2"/>
        <v>23.318136670271333</v>
      </c>
      <c r="M29" s="703">
        <f t="shared" si="3"/>
        <v>6.9431320985380157E-2</v>
      </c>
      <c r="N29" s="428">
        <f t="shared" si="4"/>
        <v>23.318136670271333</v>
      </c>
      <c r="O29" s="703">
        <f t="shared" si="5"/>
        <v>6.9431320985380157E-2</v>
      </c>
      <c r="P29" s="535" t="s">
        <v>580</v>
      </c>
      <c r="Q29" s="539" t="s">
        <v>580</v>
      </c>
      <c r="R29" s="701">
        <f t="shared" si="6"/>
        <v>289.20836189520821</v>
      </c>
      <c r="S29" s="704">
        <v>1</v>
      </c>
      <c r="T29" s="428">
        <f t="shared" si="7"/>
        <v>46.636273340542665</v>
      </c>
      <c r="U29" s="705">
        <f t="shared" si="8"/>
        <v>0.13886264197076031</v>
      </c>
      <c r="V29" s="706">
        <f t="shared" si="9"/>
        <v>23.318136670271333</v>
      </c>
      <c r="W29" s="703">
        <f t="shared" si="10"/>
        <v>0.5</v>
      </c>
      <c r="X29" s="428">
        <f t="shared" si="11"/>
        <v>23.318136670271333</v>
      </c>
      <c r="Y29" s="703">
        <f t="shared" si="12"/>
        <v>0.5</v>
      </c>
      <c r="Z29" s="535">
        <v>0</v>
      </c>
      <c r="AA29" s="707">
        <v>0</v>
      </c>
      <c r="AB29" s="701">
        <f t="shared" si="0"/>
        <v>289.20836189520821</v>
      </c>
      <c r="AC29" s="245"/>
      <c r="AD29" s="428">
        <f>(V29+X29+AB29)*Hypothèses!$B$5+Z29*Hypothèses!$B$10</f>
        <v>466.82404297769369</v>
      </c>
      <c r="AE29" s="245"/>
      <c r="AF29" s="428">
        <f>X29*Prod_Carburant_Alt!$I$61+Z29*Hypothèses!$B$13</f>
        <v>1055.9359100724923</v>
      </c>
      <c r="AG29" s="428">
        <f>AF29*'Synthèse scénarios'!$L$9/'Synthèse scénarios'!$M$9</f>
        <v>489.26283093038614</v>
      </c>
      <c r="AH29" s="708">
        <f>AG29/'Synthèse scénarios'!$L$9</f>
        <v>0.75155580788077747</v>
      </c>
      <c r="AI29" s="428">
        <f>('Synthèse scénarios'!$K$9/1000)*AF29</f>
        <v>11.615295010797414</v>
      </c>
      <c r="AJ29" s="505">
        <f>(AB29+V29*Prod_Carburant_Alt!$D$75)*Hypothèses!$D$23+AI29</f>
        <v>1114.018475156091</v>
      </c>
      <c r="AK29" s="505">
        <f>(AB29+V29*Prod_Carburant_Alt!$D$75)*Hypothèses!$B$23</f>
        <v>926.01867132204666</v>
      </c>
      <c r="AL29" s="505">
        <f t="shared" si="13"/>
        <v>12.018671322046657</v>
      </c>
      <c r="AM29" s="709">
        <f t="shared" si="17"/>
        <v>17687.423977257968</v>
      </c>
      <c r="AN29" s="710"/>
      <c r="AO29" s="430"/>
      <c r="AP29" s="430"/>
      <c r="AQ29" s="430"/>
      <c r="AR29" s="430"/>
      <c r="AS29" s="430"/>
      <c r="AT29" s="430"/>
      <c r="AU29" s="430"/>
      <c r="AV29" s="430"/>
      <c r="AW29" s="430"/>
      <c r="AX29" s="430"/>
      <c r="AY29" s="430"/>
      <c r="AZ29" s="430"/>
      <c r="BA29" s="430"/>
      <c r="BB29" s="430"/>
      <c r="BC29" s="430"/>
      <c r="BD29" s="430"/>
      <c r="BE29" s="430"/>
    </row>
    <row r="30" spans="1:57" ht="15.75" customHeight="1">
      <c r="A30" s="430"/>
      <c r="B30" s="698">
        <v>2038</v>
      </c>
      <c r="C30" s="699">
        <f>Trajectoires!F30</f>
        <v>1283.5981958710399</v>
      </c>
      <c r="D30" s="428">
        <f t="shared" si="14"/>
        <v>19836.534381361867</v>
      </c>
      <c r="E30" s="700">
        <f>C30*(Hypothèses!$B$23/Hypothèses!$D$23)</f>
        <v>1078.2224845316734</v>
      </c>
      <c r="F30" s="428">
        <f t="shared" si="15"/>
        <v>16662.688880343965</v>
      </c>
      <c r="G30" s="428" t="s">
        <v>580</v>
      </c>
      <c r="H30" s="428">
        <f>I30*Hypothèses!$B$5</f>
        <v>475.78706460286543</v>
      </c>
      <c r="I30" s="701">
        <f>E30/Hypothèses!$B$23</f>
        <v>342.29285223227731</v>
      </c>
      <c r="J30" s="706">
        <f t="shared" si="18"/>
        <v>55.327140059246389</v>
      </c>
      <c r="K30" s="703">
        <f t="shared" si="1"/>
        <v>0.16163685481139353</v>
      </c>
      <c r="L30" s="535">
        <f t="shared" si="2"/>
        <v>27.663570029623195</v>
      </c>
      <c r="M30" s="703">
        <f t="shared" si="3"/>
        <v>8.0818427405696766E-2</v>
      </c>
      <c r="N30" s="428">
        <f t="shared" si="4"/>
        <v>27.663570029623195</v>
      </c>
      <c r="O30" s="703">
        <f t="shared" si="5"/>
        <v>8.0818427405696766E-2</v>
      </c>
      <c r="P30" s="535" t="s">
        <v>580</v>
      </c>
      <c r="Q30" s="539" t="s">
        <v>580</v>
      </c>
      <c r="R30" s="701">
        <f t="shared" si="6"/>
        <v>286.96571217303091</v>
      </c>
      <c r="S30" s="704">
        <v>1</v>
      </c>
      <c r="T30" s="428">
        <f t="shared" si="7"/>
        <v>55.327140059246389</v>
      </c>
      <c r="U30" s="705">
        <f t="shared" si="8"/>
        <v>0.16163685481139353</v>
      </c>
      <c r="V30" s="706">
        <f t="shared" si="9"/>
        <v>27.663570029623195</v>
      </c>
      <c r="W30" s="703">
        <f t="shared" si="10"/>
        <v>0.5</v>
      </c>
      <c r="X30" s="428">
        <f t="shared" si="11"/>
        <v>27.663570029623195</v>
      </c>
      <c r="Y30" s="703">
        <f t="shared" si="12"/>
        <v>0.5</v>
      </c>
      <c r="Z30" s="535">
        <v>0</v>
      </c>
      <c r="AA30" s="707">
        <v>0</v>
      </c>
      <c r="AB30" s="701">
        <f t="shared" si="0"/>
        <v>286.96571217303091</v>
      </c>
      <c r="AC30" s="245"/>
      <c r="AD30" s="428">
        <f>(V30+X30+AB30)*Hypothèses!$B$5+Z30*Hypothèses!$B$10</f>
        <v>475.78706460286543</v>
      </c>
      <c r="AE30" s="245"/>
      <c r="AF30" s="428">
        <f>X30*Prod_Carburant_Alt!$I$61+Z30*Hypothèses!$B$13</f>
        <v>1252.7140314914532</v>
      </c>
      <c r="AG30" s="428">
        <f>AF30*'Synthèse scénarios'!$L$9/'Synthèse scénarios'!$M$9</f>
        <v>580.43902811454518</v>
      </c>
      <c r="AH30" s="708">
        <f>AG30/'Synthèse scénarios'!$L$9</f>
        <v>0.89161141031420155</v>
      </c>
      <c r="AI30" s="428">
        <f>('Synthèse scénarios'!$K$9/1000)*AF30</f>
        <v>13.779854346405983</v>
      </c>
      <c r="AJ30" s="505">
        <f>(AB30+V30*Prod_Carburant_Alt!$D$75)*Hypothèses!$D$23+AI30</f>
        <v>1111.1035878201355</v>
      </c>
      <c r="AK30" s="505">
        <f>(AB30+V30*Prod_Carburant_Alt!$D$75)*Hypothèses!$B$23</f>
        <v>921.75193611793293</v>
      </c>
      <c r="AL30" s="505">
        <f t="shared" si="13"/>
        <v>7.751936117932928</v>
      </c>
      <c r="AM30" s="709">
        <f t="shared" si="17"/>
        <v>18801.44245241406</v>
      </c>
      <c r="AN30" s="710"/>
      <c r="AO30" s="430"/>
      <c r="AP30" s="430"/>
      <c r="AQ30" s="430"/>
      <c r="AR30" s="430"/>
      <c r="AS30" s="430"/>
      <c r="AT30" s="430"/>
      <c r="AU30" s="430"/>
      <c r="AV30" s="430"/>
      <c r="AW30" s="430"/>
      <c r="AX30" s="430"/>
      <c r="AY30" s="430"/>
      <c r="AZ30" s="430"/>
      <c r="BA30" s="430"/>
      <c r="BB30" s="430"/>
      <c r="BC30" s="430"/>
      <c r="BD30" s="430"/>
      <c r="BE30" s="430"/>
    </row>
    <row r="31" spans="1:57" ht="15.75" customHeight="1">
      <c r="A31" s="430"/>
      <c r="B31" s="698">
        <v>2039</v>
      </c>
      <c r="C31" s="699">
        <f>Trajectoires!F31</f>
        <v>1308.2432812317641</v>
      </c>
      <c r="D31" s="428">
        <f t="shared" si="14"/>
        <v>21144.777662593631</v>
      </c>
      <c r="E31" s="700">
        <f>C31*(Hypothèses!$B$23/Hypothèses!$D$23)</f>
        <v>1098.9243562346817</v>
      </c>
      <c r="F31" s="428">
        <f t="shared" si="15"/>
        <v>17761.613236578647</v>
      </c>
      <c r="G31" s="428" t="s">
        <v>580</v>
      </c>
      <c r="H31" s="428">
        <f>I31*Hypothèses!$B$5</f>
        <v>484.92217624324041</v>
      </c>
      <c r="I31" s="701">
        <f>E31/Hypothèses!$B$23</f>
        <v>348.86487499513703</v>
      </c>
      <c r="J31" s="706">
        <f t="shared" si="18"/>
        <v>65.637586536622848</v>
      </c>
      <c r="K31" s="703">
        <f t="shared" si="1"/>
        <v>0.18814615984924765</v>
      </c>
      <c r="L31" s="535">
        <f t="shared" si="2"/>
        <v>32.818793268311424</v>
      </c>
      <c r="M31" s="703">
        <f t="shared" si="3"/>
        <v>9.4073079924623826E-2</v>
      </c>
      <c r="N31" s="428">
        <f t="shared" si="4"/>
        <v>32.818793268311424</v>
      </c>
      <c r="O31" s="703">
        <f t="shared" si="5"/>
        <v>9.4073079924623826E-2</v>
      </c>
      <c r="P31" s="535" t="s">
        <v>580</v>
      </c>
      <c r="Q31" s="539" t="s">
        <v>580</v>
      </c>
      <c r="R31" s="701">
        <f t="shared" si="6"/>
        <v>283.22728845851418</v>
      </c>
      <c r="S31" s="704">
        <v>1</v>
      </c>
      <c r="T31" s="428">
        <f t="shared" si="7"/>
        <v>65.637586536622848</v>
      </c>
      <c r="U31" s="705">
        <f t="shared" si="8"/>
        <v>0.18814615984924765</v>
      </c>
      <c r="V31" s="706">
        <f t="shared" si="9"/>
        <v>32.818793268311424</v>
      </c>
      <c r="W31" s="703">
        <f t="shared" si="10"/>
        <v>0.5</v>
      </c>
      <c r="X31" s="428">
        <f t="shared" si="11"/>
        <v>32.818793268311424</v>
      </c>
      <c r="Y31" s="703">
        <f t="shared" si="12"/>
        <v>0.5</v>
      </c>
      <c r="Z31" s="535">
        <v>0</v>
      </c>
      <c r="AA31" s="707">
        <v>0</v>
      </c>
      <c r="AB31" s="701">
        <f t="shared" si="0"/>
        <v>283.22728845851418</v>
      </c>
      <c r="AC31" s="245"/>
      <c r="AD31" s="428">
        <f>(V31+X31+AB31)*Hypothèses!$B$5+Z31*Hypothèses!$B$10</f>
        <v>484.92217624324041</v>
      </c>
      <c r="AE31" s="245"/>
      <c r="AF31" s="428">
        <f>X31*Prod_Carburant_Alt!$I$61+Z31*Hypothèses!$B$13</f>
        <v>1486.1625878296288</v>
      </c>
      <c r="AG31" s="428">
        <f>AF31*'Synthèse scénarios'!$L$9/'Synthèse scénarios'!$M$9</f>
        <v>688.60629514383515</v>
      </c>
      <c r="AH31" s="708">
        <f>AG31/'Synthèse scénarios'!$L$9</f>
        <v>1.0577669664267821</v>
      </c>
      <c r="AI31" s="428">
        <f>('Synthèse scénarios'!$K$9/1000)*AF31</f>
        <v>16.347788466125916</v>
      </c>
      <c r="AJ31" s="505">
        <f>(AB31+V31*Prod_Carburant_Alt!$D$75)*Hypothèses!$D$23+AI31</f>
        <v>1103.6035736503147</v>
      </c>
      <c r="AK31" s="505">
        <f>(AB31+V31*Prod_Carburant_Alt!$D$75)*Hypothèses!$B$23</f>
        <v>913.29485955471853</v>
      </c>
      <c r="AL31" s="505">
        <f t="shared" si="13"/>
        <v>0</v>
      </c>
      <c r="AM31" s="709">
        <f t="shared" si="17"/>
        <v>19912.546040234196</v>
      </c>
      <c r="AN31" s="710"/>
      <c r="AO31" s="430"/>
      <c r="AP31" s="430"/>
      <c r="AQ31" s="430"/>
      <c r="AR31" s="430"/>
      <c r="AS31" s="430"/>
      <c r="AT31" s="430"/>
      <c r="AU31" s="430"/>
      <c r="AV31" s="430"/>
      <c r="AW31" s="430"/>
      <c r="AX31" s="430"/>
      <c r="AY31" s="430"/>
      <c r="AZ31" s="430"/>
      <c r="BA31" s="430"/>
      <c r="BB31" s="430"/>
      <c r="BC31" s="430"/>
      <c r="BD31" s="430"/>
      <c r="BE31" s="430"/>
    </row>
    <row r="32" spans="1:57" ht="15.75" customHeight="1">
      <c r="A32" s="430"/>
      <c r="B32" s="698">
        <v>2040</v>
      </c>
      <c r="C32" s="699">
        <f>Trajectoires!F32</f>
        <v>1333.361552231414</v>
      </c>
      <c r="D32" s="428">
        <f t="shared" si="14"/>
        <v>22478.139214825045</v>
      </c>
      <c r="E32" s="700">
        <f>C32*(Hypothèses!$B$23/Hypothèses!$D$23)</f>
        <v>1120.0237038743876</v>
      </c>
      <c r="F32" s="428">
        <f t="shared" si="15"/>
        <v>18881.636940453034</v>
      </c>
      <c r="G32" s="428" t="s">
        <v>580</v>
      </c>
      <c r="H32" s="428">
        <f>I32*Hypothèses!$B$5</f>
        <v>494.23268202711068</v>
      </c>
      <c r="I32" s="701">
        <f>E32/Hypothèses!$B$23</f>
        <v>355.56308059504369</v>
      </c>
      <c r="J32" s="706">
        <f t="shared" si="18"/>
        <v>77.869428308406512</v>
      </c>
      <c r="K32" s="703">
        <f t="shared" si="1"/>
        <v>0.21900313209709535</v>
      </c>
      <c r="L32" s="535">
        <f t="shared" si="2"/>
        <v>38.934714154203256</v>
      </c>
      <c r="M32" s="703">
        <f t="shared" si="3"/>
        <v>0.10950156604854767</v>
      </c>
      <c r="N32" s="428">
        <f t="shared" si="4"/>
        <v>38.934714154203256</v>
      </c>
      <c r="O32" s="703">
        <f t="shared" si="5"/>
        <v>0.10950156604854767</v>
      </c>
      <c r="P32" s="535" t="s">
        <v>580</v>
      </c>
      <c r="Q32" s="539" t="s">
        <v>580</v>
      </c>
      <c r="R32" s="701">
        <f t="shared" si="6"/>
        <v>277.69365228663713</v>
      </c>
      <c r="S32" s="704">
        <v>1</v>
      </c>
      <c r="T32" s="428">
        <f t="shared" si="7"/>
        <v>77.869428308406512</v>
      </c>
      <c r="U32" s="705">
        <f t="shared" si="8"/>
        <v>0.21900313209709535</v>
      </c>
      <c r="V32" s="706">
        <f t="shared" si="9"/>
        <v>38.934714154203256</v>
      </c>
      <c r="W32" s="703">
        <f t="shared" si="10"/>
        <v>0.5</v>
      </c>
      <c r="X32" s="428">
        <f t="shared" si="11"/>
        <v>38.934714154203256</v>
      </c>
      <c r="Y32" s="703">
        <f t="shared" si="12"/>
        <v>0.5</v>
      </c>
      <c r="Z32" s="535">
        <v>0</v>
      </c>
      <c r="AA32" s="707">
        <v>0</v>
      </c>
      <c r="AB32" s="701">
        <f t="shared" si="0"/>
        <v>277.69365228663713</v>
      </c>
      <c r="AC32" s="245"/>
      <c r="AD32" s="428">
        <f>(V32+X32+AB32)*Hypothèses!$B$5+Z32*Hypothèses!$B$10</f>
        <v>494.23268202711063</v>
      </c>
      <c r="AE32" s="245"/>
      <c r="AF32" s="428">
        <f>X32*Prod_Carburant_Alt!$I$61+Z32*Hypothèses!$B$13</f>
        <v>1763.1152696795896</v>
      </c>
      <c r="AG32" s="428">
        <f>AF32*'Synthèse scénarios'!$L$9/'Synthèse scénarios'!$M$9</f>
        <v>816.93098972342557</v>
      </c>
      <c r="AH32" s="708">
        <f>AG32/'Synthèse scénarios'!$L$9</f>
        <v>1.2548863129392098</v>
      </c>
      <c r="AI32" s="428">
        <f>('Synthèse scénarios'!$K$9/1000)*AF32</f>
        <v>19.394267966475486</v>
      </c>
      <c r="AJ32" s="505">
        <f>(AB32+V32*Prod_Carburant_Alt!$D$75)*Hypothèses!$D$23+AI32</f>
        <v>1090.5863699099887</v>
      </c>
      <c r="AK32" s="505">
        <f>(AB32+V32*Prod_Carburant_Alt!$D$75)*Hypothèses!$B$23</f>
        <v>899.80136563255098</v>
      </c>
      <c r="AL32" s="505">
        <f t="shared" si="13"/>
        <v>0</v>
      </c>
      <c r="AM32" s="709">
        <f t="shared" si="17"/>
        <v>21016.14961388451</v>
      </c>
      <c r="AN32" s="710"/>
      <c r="AO32" s="430"/>
      <c r="AP32" s="430"/>
      <c r="AQ32" s="430"/>
      <c r="AR32" s="430"/>
      <c r="AS32" s="430"/>
      <c r="AT32" s="430"/>
      <c r="AU32" s="430"/>
      <c r="AV32" s="430"/>
      <c r="AW32" s="430"/>
      <c r="AX32" s="430"/>
      <c r="AY32" s="430"/>
      <c r="AZ32" s="430"/>
      <c r="BA32" s="430"/>
      <c r="BB32" s="430"/>
      <c r="BC32" s="430"/>
      <c r="BD32" s="430"/>
      <c r="BE32" s="430"/>
    </row>
    <row r="33" spans="1:57" ht="15.75" customHeight="1">
      <c r="A33" s="430"/>
      <c r="B33" s="698">
        <v>2041</v>
      </c>
      <c r="C33" s="699">
        <f>Trajectoires!F33</f>
        <v>1358.9620940342572</v>
      </c>
      <c r="D33" s="428">
        <f t="shared" si="14"/>
        <v>23837.101308859303</v>
      </c>
      <c r="E33" s="700">
        <f>C33*(Hypothèses!$B$23/Hypothèses!$D$23)</f>
        <v>1141.5281589887761</v>
      </c>
      <c r="F33" s="428">
        <f t="shared" si="15"/>
        <v>20023.165099441809</v>
      </c>
      <c r="G33" s="428" t="s">
        <v>580</v>
      </c>
      <c r="H33" s="428">
        <f>I33*Hypothèses!$B$5</f>
        <v>503.72194952203131</v>
      </c>
      <c r="I33" s="701">
        <f>E33/Hypothèses!$B$23</f>
        <v>362.38989174246859</v>
      </c>
      <c r="J33" s="706">
        <f t="shared" si="18"/>
        <v>92.38072551151491</v>
      </c>
      <c r="K33" s="703">
        <f t="shared" si="1"/>
        <v>0.25492081213226836</v>
      </c>
      <c r="L33" s="535">
        <f t="shared" si="2"/>
        <v>46.190362755757455</v>
      </c>
      <c r="M33" s="703">
        <f t="shared" si="3"/>
        <v>0.12746040606613418</v>
      </c>
      <c r="N33" s="428">
        <f t="shared" si="4"/>
        <v>46.190362755757455</v>
      </c>
      <c r="O33" s="703">
        <f t="shared" si="5"/>
        <v>0.12746040606613418</v>
      </c>
      <c r="P33" s="535" t="s">
        <v>580</v>
      </c>
      <c r="Q33" s="539" t="s">
        <v>580</v>
      </c>
      <c r="R33" s="701">
        <f t="shared" si="6"/>
        <v>270.00916623095367</v>
      </c>
      <c r="S33" s="704">
        <v>1</v>
      </c>
      <c r="T33" s="428">
        <f t="shared" si="7"/>
        <v>92.38072551151491</v>
      </c>
      <c r="U33" s="705">
        <f t="shared" si="8"/>
        <v>0.25492081213226836</v>
      </c>
      <c r="V33" s="706">
        <f t="shared" si="9"/>
        <v>46.190362755757455</v>
      </c>
      <c r="W33" s="703">
        <f t="shared" si="10"/>
        <v>0.5</v>
      </c>
      <c r="X33" s="428">
        <f t="shared" si="11"/>
        <v>46.190362755757455</v>
      </c>
      <c r="Y33" s="703">
        <f t="shared" si="12"/>
        <v>0.5</v>
      </c>
      <c r="Z33" s="535">
        <v>0</v>
      </c>
      <c r="AA33" s="707">
        <v>0</v>
      </c>
      <c r="AB33" s="701">
        <f t="shared" si="0"/>
        <v>270.00916623095367</v>
      </c>
      <c r="AC33" s="245"/>
      <c r="AD33" s="428">
        <f>(V33+X33+AB33)*Hypothèses!$B$5+Z33*Hypothèses!$B$10</f>
        <v>503.72194952203131</v>
      </c>
      <c r="AE33" s="245"/>
      <c r="AF33" s="428">
        <f>X33*Prod_Carburant_Alt!$I$61+Z33*Hypothèses!$B$13</f>
        <v>2091.6792547691916</v>
      </c>
      <c r="AG33" s="428">
        <f>AF33*'Synthèse scénarios'!$L$9/'Synthèse scénarios'!$M$9</f>
        <v>969.16953370444401</v>
      </c>
      <c r="AH33" s="708">
        <f>AG33/'Synthèse scénarios'!$L$9</f>
        <v>1.488739683109745</v>
      </c>
      <c r="AI33" s="428">
        <f>('Synthèse scénarios'!$K$9/1000)*AF33</f>
        <v>23.008471802461106</v>
      </c>
      <c r="AJ33" s="505">
        <f>(AB33+V33*Prod_Carburant_Alt!$D$75)*Hypothèses!$D$23+AI33</f>
        <v>1070.9447300153879</v>
      </c>
      <c r="AK33" s="505">
        <f>(AB33+V33*Prod_Carburant_Alt!$D$75)*Hypothèses!$B$23</f>
        <v>880.26645689885845</v>
      </c>
      <c r="AL33" s="505">
        <f t="shared" si="13"/>
        <v>0</v>
      </c>
      <c r="AM33" s="709">
        <f t="shared" si="17"/>
        <v>22106.7359837945</v>
      </c>
      <c r="AN33" s="710"/>
      <c r="AO33" s="430"/>
      <c r="AP33" s="430"/>
      <c r="AQ33" s="430"/>
      <c r="AR33" s="430"/>
      <c r="AS33" s="430"/>
      <c r="AT33" s="430"/>
      <c r="AU33" s="430"/>
      <c r="AV33" s="430"/>
      <c r="AW33" s="430"/>
      <c r="AX33" s="430"/>
      <c r="AY33" s="430"/>
      <c r="AZ33" s="430"/>
      <c r="BA33" s="430"/>
      <c r="BB33" s="430"/>
      <c r="BC33" s="430"/>
      <c r="BD33" s="430"/>
      <c r="BE33" s="430"/>
    </row>
    <row r="34" spans="1:57" ht="15.75" customHeight="1">
      <c r="A34" s="430"/>
      <c r="B34" s="698">
        <v>2042</v>
      </c>
      <c r="C34" s="699">
        <f>Trajectoires!F34</f>
        <v>1385.054166239715</v>
      </c>
      <c r="D34" s="428">
        <f t="shared" si="14"/>
        <v>25222.155475099018</v>
      </c>
      <c r="E34" s="700">
        <f>C34*(Hypothèses!$B$23/Hypothèses!$D$23)</f>
        <v>1163.4454996413606</v>
      </c>
      <c r="F34" s="428">
        <f t="shared" si="15"/>
        <v>21186.610599083171</v>
      </c>
      <c r="G34" s="428" t="s">
        <v>580</v>
      </c>
      <c r="H34" s="428">
        <f>I34*Hypothèses!$B$5</f>
        <v>513.39341095285431</v>
      </c>
      <c r="I34" s="701">
        <f>E34/Hypothèses!$B$23</f>
        <v>369.34777766392398</v>
      </c>
      <c r="J34" s="706">
        <f t="shared" si="18"/>
        <v>109.59626430328549</v>
      </c>
      <c r="K34" s="703">
        <f t="shared" si="1"/>
        <v>0.29672918298430662</v>
      </c>
      <c r="L34" s="535">
        <f t="shared" si="2"/>
        <v>54.798132151642747</v>
      </c>
      <c r="M34" s="703">
        <f t="shared" si="3"/>
        <v>0.14836459149215331</v>
      </c>
      <c r="N34" s="428">
        <f t="shared" si="4"/>
        <v>54.798132151642747</v>
      </c>
      <c r="O34" s="703">
        <f t="shared" si="5"/>
        <v>0.14836459149215331</v>
      </c>
      <c r="P34" s="535" t="s">
        <v>580</v>
      </c>
      <c r="Q34" s="539" t="s">
        <v>580</v>
      </c>
      <c r="R34" s="701">
        <f t="shared" si="6"/>
        <v>259.75151336063851</v>
      </c>
      <c r="S34" s="704">
        <v>1</v>
      </c>
      <c r="T34" s="428">
        <f t="shared" si="7"/>
        <v>109.59626430328549</v>
      </c>
      <c r="U34" s="705">
        <f t="shared" si="8"/>
        <v>0.29672918298430662</v>
      </c>
      <c r="V34" s="706">
        <f t="shared" si="9"/>
        <v>54.798132151642747</v>
      </c>
      <c r="W34" s="703">
        <f t="shared" si="10"/>
        <v>0.5</v>
      </c>
      <c r="X34" s="428">
        <f t="shared" si="11"/>
        <v>54.798132151642747</v>
      </c>
      <c r="Y34" s="703">
        <f t="shared" si="12"/>
        <v>0.5</v>
      </c>
      <c r="Z34" s="535">
        <v>0</v>
      </c>
      <c r="AA34" s="707">
        <v>0</v>
      </c>
      <c r="AB34" s="701">
        <f t="shared" si="0"/>
        <v>259.75151336063851</v>
      </c>
      <c r="AC34" s="245"/>
      <c r="AD34" s="428">
        <f>(V34+X34+AB34)*Hypothèses!$B$5+Z34*Hypothèses!$B$10</f>
        <v>513.39341095285442</v>
      </c>
      <c r="AE34" s="245"/>
      <c r="AF34" s="428">
        <f>X34*Prod_Carburant_Alt!$I$61+Z34*Hypothèses!$B$13</f>
        <v>2481.4725276736394</v>
      </c>
      <c r="AG34" s="428">
        <f>AF34*'Synthèse scénarios'!$L$9/'Synthèse scénarios'!$M$9</f>
        <v>1149.7783740324123</v>
      </c>
      <c r="AH34" s="708">
        <f>AG34/'Synthèse scénarios'!$L$9</f>
        <v>1.7661726175613093</v>
      </c>
      <c r="AI34" s="428">
        <f>('Synthèse scénarios'!$K$9/1000)*AF34</f>
        <v>27.296197804410031</v>
      </c>
      <c r="AJ34" s="505">
        <f>(AB34+V34*Prod_Carburant_Alt!$D$75)*Hypothèses!$D$23+AI34</f>
        <v>1043.3635486767143</v>
      </c>
      <c r="AK34" s="505">
        <f>(AB34+V34*Prod_Carburant_Alt!$D$75)*Hypothèses!$B$23</f>
        <v>853.49657473273567</v>
      </c>
      <c r="AL34" s="505">
        <f t="shared" si="13"/>
        <v>0</v>
      </c>
      <c r="AM34" s="709">
        <f t="shared" si="17"/>
        <v>23177.680713809888</v>
      </c>
      <c r="AN34" s="710"/>
      <c r="AO34" s="430"/>
      <c r="AP34" s="430"/>
      <c r="AQ34" s="430"/>
      <c r="AR34" s="430"/>
      <c r="AS34" s="430"/>
      <c r="AT34" s="430"/>
      <c r="AU34" s="430"/>
      <c r="AV34" s="430"/>
      <c r="AW34" s="430"/>
      <c r="AX34" s="430"/>
      <c r="AY34" s="430"/>
      <c r="AZ34" s="430"/>
      <c r="BA34" s="430"/>
      <c r="BB34" s="430"/>
      <c r="BC34" s="430"/>
      <c r="BD34" s="430"/>
      <c r="BE34" s="430"/>
    </row>
    <row r="35" spans="1:57" ht="15.75" customHeight="1">
      <c r="A35" s="430"/>
      <c r="B35" s="698">
        <v>2043</v>
      </c>
      <c r="C35" s="699">
        <f>Trajectoires!F35</f>
        <v>1411.6472062315177</v>
      </c>
      <c r="D35" s="428">
        <f t="shared" si="14"/>
        <v>26633.802681330537</v>
      </c>
      <c r="E35" s="700">
        <f>C35*(Hypothèses!$B$23/Hypothèses!$D$23)</f>
        <v>1185.7836532344747</v>
      </c>
      <c r="F35" s="428">
        <f t="shared" si="15"/>
        <v>22372.394252317645</v>
      </c>
      <c r="G35" s="428" t="s">
        <v>580</v>
      </c>
      <c r="H35" s="428">
        <f>I35*Hypothèses!$B$5</f>
        <v>523.25056444314907</v>
      </c>
      <c r="I35" s="701">
        <f>E35/Hypothèses!$B$23</f>
        <v>376.43925499507134</v>
      </c>
      <c r="J35" s="706">
        <f t="shared" si="18"/>
        <v>130.01999153750359</v>
      </c>
      <c r="K35" s="703">
        <f t="shared" si="1"/>
        <v>0.34539434931993457</v>
      </c>
      <c r="L35" s="535">
        <f t="shared" si="2"/>
        <v>65.009995768751793</v>
      </c>
      <c r="M35" s="703">
        <f t="shared" si="3"/>
        <v>0.17269717465996728</v>
      </c>
      <c r="N35" s="428">
        <f t="shared" si="4"/>
        <v>65.009995768751793</v>
      </c>
      <c r="O35" s="703">
        <f t="shared" si="5"/>
        <v>0.17269717465996728</v>
      </c>
      <c r="P35" s="535" t="s">
        <v>580</v>
      </c>
      <c r="Q35" s="539" t="s">
        <v>580</v>
      </c>
      <c r="R35" s="701">
        <f t="shared" si="6"/>
        <v>246.41926345756778</v>
      </c>
      <c r="S35" s="704">
        <v>1</v>
      </c>
      <c r="T35" s="428">
        <f t="shared" si="7"/>
        <v>130.01999153750359</v>
      </c>
      <c r="U35" s="705">
        <f t="shared" si="8"/>
        <v>0.34539434931993457</v>
      </c>
      <c r="V35" s="706">
        <f t="shared" si="9"/>
        <v>65.009995768751793</v>
      </c>
      <c r="W35" s="703">
        <f t="shared" si="10"/>
        <v>0.5</v>
      </c>
      <c r="X35" s="428">
        <f t="shared" si="11"/>
        <v>65.009995768751793</v>
      </c>
      <c r="Y35" s="703">
        <f t="shared" si="12"/>
        <v>0.5</v>
      </c>
      <c r="Z35" s="535">
        <v>0</v>
      </c>
      <c r="AA35" s="707">
        <v>0</v>
      </c>
      <c r="AB35" s="701">
        <f t="shared" si="0"/>
        <v>246.41926345756778</v>
      </c>
      <c r="AC35" s="245"/>
      <c r="AD35" s="428">
        <f>(V35+X35+AB35)*Hypothèses!$B$5+Z35*Hypothèses!$B$10</f>
        <v>523.25056444314907</v>
      </c>
      <c r="AE35" s="245"/>
      <c r="AF35" s="428">
        <f>X35*Prod_Carburant_Alt!$I$61+Z35*Hypothèses!$B$13</f>
        <v>2943.9054250592926</v>
      </c>
      <c r="AG35" s="428">
        <f>AF35*'Synthèse scénarios'!$L$9/'Synthèse scénarios'!$M$9</f>
        <v>1364.0444353833448</v>
      </c>
      <c r="AH35" s="708">
        <f>AG35/'Synthèse scénarios'!$L$9</f>
        <v>2.0953063523553683</v>
      </c>
      <c r="AI35" s="428">
        <f>('Synthèse scénarios'!$K$9/1000)*AF35</f>
        <v>32.382959675652216</v>
      </c>
      <c r="AJ35" s="505">
        <f>(AB35+V35*Prod_Carburant_Alt!$D$75)*Hypothèses!$D$23+AI35</f>
        <v>1006.2810973918581</v>
      </c>
      <c r="AK35" s="505">
        <f>(AB35+V35*Prod_Carburant_Alt!$D$75)*Hypothèses!$B$23</f>
        <v>818.07443568161295</v>
      </c>
      <c r="AL35" s="505">
        <f t="shared" si="13"/>
        <v>0</v>
      </c>
      <c r="AM35" s="709">
        <f t="shared" si="17"/>
        <v>24221.044262486605</v>
      </c>
      <c r="AN35" s="710"/>
      <c r="AO35" s="430"/>
      <c r="AP35" s="430"/>
      <c r="AQ35" s="430"/>
      <c r="AR35" s="430"/>
      <c r="AS35" s="430"/>
      <c r="AT35" s="430"/>
      <c r="AU35" s="430"/>
      <c r="AV35" s="430"/>
      <c r="AW35" s="430"/>
      <c r="AX35" s="430"/>
      <c r="AY35" s="430"/>
      <c r="AZ35" s="430"/>
      <c r="BA35" s="430"/>
      <c r="BB35" s="430"/>
      <c r="BC35" s="430"/>
      <c r="BD35" s="430"/>
      <c r="BE35" s="430"/>
    </row>
    <row r="36" spans="1:57" ht="15.75" customHeight="1">
      <c r="A36" s="430"/>
      <c r="B36" s="698">
        <v>2044</v>
      </c>
      <c r="C36" s="699">
        <f>Trajectoires!F36</f>
        <v>1438.7508325911629</v>
      </c>
      <c r="D36" s="428">
        <f t="shared" si="14"/>
        <v>28072.553513921699</v>
      </c>
      <c r="E36" s="700">
        <f>C36*(Hypothèses!$B$23/Hypothèses!$D$23)</f>
        <v>1208.5506993765769</v>
      </c>
      <c r="F36" s="428">
        <f t="shared" si="15"/>
        <v>23580.944951694222</v>
      </c>
      <c r="G36" s="428" t="s">
        <v>580</v>
      </c>
      <c r="H36" s="428">
        <f>I36*Hypothèses!$B$5</f>
        <v>533.29697528045767</v>
      </c>
      <c r="I36" s="701">
        <f>E36/Hypothèses!$B$23</f>
        <v>383.6668886909768</v>
      </c>
      <c r="J36" s="706">
        <f t="shared" si="18"/>
        <v>154.24976669488285</v>
      </c>
      <c r="K36" s="703">
        <f t="shared" si="1"/>
        <v>0.40204086211651902</v>
      </c>
      <c r="L36" s="535">
        <f t="shared" si="2"/>
        <v>77.124883347441425</v>
      </c>
      <c r="M36" s="703">
        <f t="shared" si="3"/>
        <v>0.20102043105825951</v>
      </c>
      <c r="N36" s="428">
        <f t="shared" si="4"/>
        <v>77.124883347441425</v>
      </c>
      <c r="O36" s="703">
        <f t="shared" si="5"/>
        <v>0.20102043105825951</v>
      </c>
      <c r="P36" s="535" t="s">
        <v>580</v>
      </c>
      <c r="Q36" s="539" t="s">
        <v>580</v>
      </c>
      <c r="R36" s="701">
        <f t="shared" si="6"/>
        <v>229.41712199609395</v>
      </c>
      <c r="S36" s="704">
        <v>1</v>
      </c>
      <c r="T36" s="428">
        <f t="shared" si="7"/>
        <v>154.24976669488285</v>
      </c>
      <c r="U36" s="705">
        <f t="shared" si="8"/>
        <v>0.40204086211651902</v>
      </c>
      <c r="V36" s="706">
        <f t="shared" si="9"/>
        <v>77.124883347441425</v>
      </c>
      <c r="W36" s="703">
        <f t="shared" si="10"/>
        <v>0.5</v>
      </c>
      <c r="X36" s="428">
        <f t="shared" si="11"/>
        <v>77.124883347441425</v>
      </c>
      <c r="Y36" s="703">
        <f t="shared" si="12"/>
        <v>0.5</v>
      </c>
      <c r="Z36" s="535">
        <v>0</v>
      </c>
      <c r="AA36" s="707">
        <v>0</v>
      </c>
      <c r="AB36" s="701">
        <f t="shared" si="0"/>
        <v>229.41712199609395</v>
      </c>
      <c r="AC36" s="245"/>
      <c r="AD36" s="428">
        <f>(V36+X36+AB36)*Hypothèses!$B$5+Z36*Hypothèses!$B$10</f>
        <v>533.29697528045767</v>
      </c>
      <c r="AE36" s="245"/>
      <c r="AF36" s="428">
        <f>X36*Prod_Carburant_Alt!$I$61+Z36*Hypothèses!$B$13</f>
        <v>3492.5146480740541</v>
      </c>
      <c r="AG36" s="428">
        <f>AF36*'Synthèse scénarios'!$L$9/'Synthèse scénarios'!$M$9</f>
        <v>1618.2398832001488</v>
      </c>
      <c r="AH36" s="708">
        <f>AG36/'Synthèse scénarios'!$L$9</f>
        <v>2.4857755502306436</v>
      </c>
      <c r="AI36" s="428">
        <f>('Synthèse scénarios'!$K$9/1000)*AF36</f>
        <v>38.417661128814593</v>
      </c>
      <c r="AJ36" s="505">
        <f>(AB36+V36*Prod_Carburant_Alt!$D$75)*Hypothèses!$D$23+AI36</f>
        <v>957.84303545064245</v>
      </c>
      <c r="AK36" s="505">
        <f>(AB36+V36*Prod_Carburant_Alt!$D$75)*Hypothèses!$B$23</f>
        <v>772.31731443033539</v>
      </c>
      <c r="AL36" s="505">
        <f t="shared" si="13"/>
        <v>0</v>
      </c>
      <c r="AM36" s="709">
        <f t="shared" si="17"/>
        <v>25227.325359878461</v>
      </c>
      <c r="AN36" s="710"/>
      <c r="AO36" s="430"/>
      <c r="AP36" s="430"/>
      <c r="AQ36" s="430"/>
      <c r="AR36" s="430"/>
      <c r="AS36" s="430"/>
      <c r="AT36" s="430"/>
      <c r="AU36" s="430"/>
      <c r="AV36" s="430"/>
      <c r="AW36" s="430"/>
      <c r="AX36" s="430"/>
      <c r="AY36" s="430"/>
      <c r="AZ36" s="430"/>
      <c r="BA36" s="430"/>
      <c r="BB36" s="430"/>
      <c r="BC36" s="430"/>
      <c r="BD36" s="430"/>
      <c r="BE36" s="430"/>
    </row>
    <row r="37" spans="1:57" ht="15.75" customHeight="1">
      <c r="A37" s="430"/>
      <c r="B37" s="698">
        <v>2045</v>
      </c>
      <c r="C37" s="699">
        <f>Trajectoires!F37</f>
        <v>1466.3748485769133</v>
      </c>
      <c r="D37" s="428">
        <f t="shared" si="14"/>
        <v>29538.928362498613</v>
      </c>
      <c r="E37" s="700">
        <f>C37*(Hypothèses!$B$23/Hypothèses!$D$23)</f>
        <v>1231.7548728046072</v>
      </c>
      <c r="F37" s="428">
        <f t="shared" si="15"/>
        <v>24812.699824498828</v>
      </c>
      <c r="G37" s="428" t="s">
        <v>580</v>
      </c>
      <c r="H37" s="428">
        <f>I37*Hypothèses!$B$5</f>
        <v>543.53627720584245</v>
      </c>
      <c r="I37" s="701">
        <f>E37/Hypothèses!$B$23</f>
        <v>391.03329295384356</v>
      </c>
      <c r="J37" s="706">
        <f t="shared" si="18"/>
        <v>182.99486289816306</v>
      </c>
      <c r="K37" s="703">
        <f t="shared" si="1"/>
        <v>0.46797770470087119</v>
      </c>
      <c r="L37" s="535">
        <f t="shared" si="2"/>
        <v>91.497431449081532</v>
      </c>
      <c r="M37" s="703">
        <f t="shared" si="3"/>
        <v>0.23398885235043559</v>
      </c>
      <c r="N37" s="428">
        <f t="shared" si="4"/>
        <v>91.497431449081532</v>
      </c>
      <c r="O37" s="703">
        <f t="shared" si="5"/>
        <v>0.23398885235043559</v>
      </c>
      <c r="P37" s="535" t="s">
        <v>580</v>
      </c>
      <c r="Q37" s="539" t="s">
        <v>580</v>
      </c>
      <c r="R37" s="701">
        <f t="shared" si="6"/>
        <v>208.03843005568046</v>
      </c>
      <c r="S37" s="704">
        <v>1</v>
      </c>
      <c r="T37" s="428">
        <f t="shared" si="7"/>
        <v>182.99486289816306</v>
      </c>
      <c r="U37" s="705">
        <f t="shared" si="8"/>
        <v>0.46797770470087119</v>
      </c>
      <c r="V37" s="706">
        <f t="shared" si="9"/>
        <v>91.497431449081532</v>
      </c>
      <c r="W37" s="703">
        <f t="shared" si="10"/>
        <v>0.5</v>
      </c>
      <c r="X37" s="428">
        <f t="shared" si="11"/>
        <v>91.497431449081532</v>
      </c>
      <c r="Y37" s="703">
        <f t="shared" si="12"/>
        <v>0.5</v>
      </c>
      <c r="Z37" s="535">
        <v>0</v>
      </c>
      <c r="AA37" s="707">
        <v>0</v>
      </c>
      <c r="AB37" s="701">
        <f t="shared" si="0"/>
        <v>208.03843005568046</v>
      </c>
      <c r="AC37" s="245"/>
      <c r="AD37" s="428">
        <f>(V37+X37+AB37)*Hypothèses!$B$5+Z37*Hypothèses!$B$10</f>
        <v>543.53627720584245</v>
      </c>
      <c r="AE37" s="245"/>
      <c r="AF37" s="428">
        <f>X37*Prod_Carburant_Alt!$I$61+Z37*Hypothèses!$B$13</f>
        <v>4143.3595193589354</v>
      </c>
      <c r="AG37" s="428">
        <f>AF37*'Synthèse scénarios'!$L$9/'Synthèse scénarios'!$M$9</f>
        <v>1919.8057274752077</v>
      </c>
      <c r="AH37" s="708">
        <f>AG37/'Synthèse scénarios'!$L$9</f>
        <v>2.9490103340632992</v>
      </c>
      <c r="AI37" s="428">
        <f>('Synthèse scénarios'!$K$9/1000)*AF37</f>
        <v>45.576954712948286</v>
      </c>
      <c r="AJ37" s="505">
        <f>(AB37+V37*Prod_Carburant_Alt!$D$75)*Hypothèses!$D$23+AI37</f>
        <v>895.84785012469024</v>
      </c>
      <c r="AK37" s="505">
        <f>(AB37+V37*Prod_Carburant_Alt!$D$75)*Hypothèses!$B$23</f>
        <v>714.22755214586323</v>
      </c>
      <c r="AL37" s="505">
        <f t="shared" si="13"/>
        <v>0</v>
      </c>
      <c r="AM37" s="709">
        <f t="shared" si="17"/>
        <v>26185.168395329103</v>
      </c>
      <c r="AN37" s="710"/>
      <c r="AO37" s="430"/>
      <c r="AP37" s="430"/>
      <c r="AQ37" s="430"/>
      <c r="AR37" s="430"/>
      <c r="AS37" s="430"/>
      <c r="AT37" s="430"/>
      <c r="AU37" s="430"/>
      <c r="AV37" s="430"/>
      <c r="AW37" s="430"/>
      <c r="AX37" s="430"/>
      <c r="AY37" s="430"/>
      <c r="AZ37" s="430"/>
      <c r="BA37" s="430"/>
      <c r="BB37" s="430"/>
      <c r="BC37" s="430"/>
      <c r="BD37" s="430"/>
      <c r="BE37" s="430"/>
    </row>
    <row r="38" spans="1:57" ht="15.75" customHeight="1">
      <c r="A38" s="430"/>
      <c r="B38" s="698">
        <v>2046</v>
      </c>
      <c r="C38" s="699">
        <f>Trajectoires!F38</f>
        <v>1494.52924566959</v>
      </c>
      <c r="D38" s="428">
        <f t="shared" si="14"/>
        <v>31033.457608168203</v>
      </c>
      <c r="E38" s="700">
        <f>C38*(Hypothèses!$B$23/Hypothèses!$D$23)</f>
        <v>1255.4045663624556</v>
      </c>
      <c r="F38" s="428">
        <f t="shared" si="15"/>
        <v>26068.104390861285</v>
      </c>
      <c r="G38" s="428" t="s">
        <v>580</v>
      </c>
      <c r="H38" s="428">
        <f>I38*Hypothèses!$B$5</f>
        <v>553.97217372819466</v>
      </c>
      <c r="I38" s="701">
        <f>E38/Hypothèses!$B$23</f>
        <v>398.54113217855735</v>
      </c>
      <c r="J38" s="706">
        <f t="shared" si="18"/>
        <v>217.09672931536701</v>
      </c>
      <c r="K38" s="703">
        <f t="shared" si="1"/>
        <v>0.54472854063680864</v>
      </c>
      <c r="L38" s="535">
        <f t="shared" si="2"/>
        <v>108.54836465768351</v>
      </c>
      <c r="M38" s="703">
        <f t="shared" si="3"/>
        <v>0.27236427031840432</v>
      </c>
      <c r="N38" s="428">
        <f t="shared" si="4"/>
        <v>108.54836465768351</v>
      </c>
      <c r="O38" s="703">
        <f t="shared" si="5"/>
        <v>0.27236427031840432</v>
      </c>
      <c r="P38" s="535" t="s">
        <v>580</v>
      </c>
      <c r="Q38" s="539" t="s">
        <v>580</v>
      </c>
      <c r="R38" s="701">
        <f t="shared" si="6"/>
        <v>181.44440286319031</v>
      </c>
      <c r="S38" s="704">
        <v>1</v>
      </c>
      <c r="T38" s="428">
        <f t="shared" si="7"/>
        <v>217.09672931536701</v>
      </c>
      <c r="U38" s="705">
        <f t="shared" si="8"/>
        <v>0.54472854063680864</v>
      </c>
      <c r="V38" s="706">
        <f t="shared" si="9"/>
        <v>108.54836465768351</v>
      </c>
      <c r="W38" s="703">
        <f t="shared" si="10"/>
        <v>0.5</v>
      </c>
      <c r="X38" s="428">
        <f t="shared" si="11"/>
        <v>108.54836465768351</v>
      </c>
      <c r="Y38" s="703">
        <f t="shared" si="12"/>
        <v>0.5</v>
      </c>
      <c r="Z38" s="535">
        <v>0</v>
      </c>
      <c r="AA38" s="707">
        <v>0</v>
      </c>
      <c r="AB38" s="701">
        <f t="shared" si="0"/>
        <v>181.44440286319031</v>
      </c>
      <c r="AC38" s="245"/>
      <c r="AD38" s="428">
        <f>(V38+X38+AB38)*Hypothèses!$B$5+Z38*Hypothèses!$B$10</f>
        <v>553.97217372819455</v>
      </c>
      <c r="AE38" s="245"/>
      <c r="AF38" s="428">
        <f>X38*Prod_Carburant_Alt!$I$61+Z38*Hypothèses!$B$13</f>
        <v>4915.4920842291331</v>
      </c>
      <c r="AG38" s="428">
        <f>AF38*'Synthèse scénarios'!$L$9/'Synthèse scénarios'!$M$9</f>
        <v>2277.5696418741395</v>
      </c>
      <c r="AH38" s="708">
        <f>AG38/'Synthèse scénarios'!$L$9</f>
        <v>3.4985708784548994</v>
      </c>
      <c r="AI38" s="428">
        <f>('Synthèse scénarios'!$K$9/1000)*AF38</f>
        <v>54.070412926520461</v>
      </c>
      <c r="AJ38" s="505">
        <f>(AB38+V38*Prod_Carburant_Alt!$D$75)*Hypothèses!$D$23+AI38</f>
        <v>817.68212882446255</v>
      </c>
      <c r="AK38" s="505">
        <f>(AB38+V38*Prod_Carburant_Alt!$D$75)*Hypothèses!$B$23</f>
        <v>641.43384135427129</v>
      </c>
      <c r="AL38" s="505">
        <f t="shared" si="13"/>
        <v>0</v>
      </c>
      <c r="AM38" s="709">
        <f t="shared" si="17"/>
        <v>27081.016245453793</v>
      </c>
      <c r="AN38" s="710"/>
      <c r="AO38" s="430"/>
      <c r="AP38" s="430"/>
      <c r="AQ38" s="430"/>
      <c r="AR38" s="430"/>
      <c r="AS38" s="430"/>
      <c r="AT38" s="430"/>
      <c r="AU38" s="430"/>
      <c r="AV38" s="430"/>
      <c r="AW38" s="430"/>
      <c r="AX38" s="430"/>
      <c r="AY38" s="430"/>
      <c r="AZ38" s="430"/>
      <c r="BA38" s="430"/>
      <c r="BB38" s="430"/>
      <c r="BC38" s="430"/>
      <c r="BD38" s="430"/>
      <c r="BE38" s="430"/>
    </row>
    <row r="39" spans="1:57" ht="15.75" customHeight="1">
      <c r="A39" s="430"/>
      <c r="B39" s="698">
        <v>2047</v>
      </c>
      <c r="C39" s="699">
        <f>Trajectoires!F39</f>
        <v>1523.2242071864462</v>
      </c>
      <c r="D39" s="428">
        <f t="shared" si="14"/>
        <v>32556.681815354648</v>
      </c>
      <c r="E39" s="700">
        <f>C39*(Hypothèses!$B$23/Hypothèses!$D$23)</f>
        <v>1279.5083340366148</v>
      </c>
      <c r="F39" s="428">
        <f t="shared" si="15"/>
        <v>27347.612724897899</v>
      </c>
      <c r="G39" s="428" t="s">
        <v>580</v>
      </c>
      <c r="H39" s="428">
        <f>I39*Hypothèses!$B$5</f>
        <v>564.60843946377611</v>
      </c>
      <c r="I39" s="701">
        <f>E39/Hypothèses!$B$23</f>
        <v>406.19312191638568</v>
      </c>
      <c r="J39" s="706">
        <f t="shared" si="18"/>
        <v>257.55362272468932</v>
      </c>
      <c r="K39" s="703">
        <f t="shared" si="1"/>
        <v>0.63406692242737284</v>
      </c>
      <c r="L39" s="535">
        <f t="shared" si="2"/>
        <v>128.77681136234466</v>
      </c>
      <c r="M39" s="703">
        <f t="shared" si="3"/>
        <v>0.31703346121368642</v>
      </c>
      <c r="N39" s="428">
        <f t="shared" si="4"/>
        <v>128.77681136234466</v>
      </c>
      <c r="O39" s="703">
        <f t="shared" si="5"/>
        <v>0.31703346121368642</v>
      </c>
      <c r="P39" s="535" t="s">
        <v>580</v>
      </c>
      <c r="Q39" s="539" t="s">
        <v>580</v>
      </c>
      <c r="R39" s="701">
        <f t="shared" si="6"/>
        <v>148.63949919169639</v>
      </c>
      <c r="S39" s="704">
        <v>1</v>
      </c>
      <c r="T39" s="428">
        <f t="shared" si="7"/>
        <v>257.55362272468932</v>
      </c>
      <c r="U39" s="705">
        <f t="shared" si="8"/>
        <v>0.63406692242737284</v>
      </c>
      <c r="V39" s="706">
        <f t="shared" si="9"/>
        <v>128.77681136234466</v>
      </c>
      <c r="W39" s="703">
        <f t="shared" si="10"/>
        <v>0.5</v>
      </c>
      <c r="X39" s="428">
        <f t="shared" si="11"/>
        <v>128.77681136234466</v>
      </c>
      <c r="Y39" s="703">
        <f t="shared" si="12"/>
        <v>0.5</v>
      </c>
      <c r="Z39" s="535">
        <v>0</v>
      </c>
      <c r="AA39" s="707">
        <v>0</v>
      </c>
      <c r="AB39" s="701">
        <f t="shared" si="0"/>
        <v>148.63949919169639</v>
      </c>
      <c r="AC39" s="245"/>
      <c r="AD39" s="428">
        <f>(V39+X39+AB39)*Hypothèses!$B$5+Z39*Hypothèses!$B$10</f>
        <v>564.60843946377611</v>
      </c>
      <c r="AE39" s="245"/>
      <c r="AF39" s="428">
        <f>X39*Prod_Carburant_Alt!$I$61+Z39*Hypothèses!$B$13</f>
        <v>5831.514817197819</v>
      </c>
      <c r="AG39" s="428">
        <f>AF39*'Synthèse scénarios'!$L$9/'Synthèse scénarios'!$M$9</f>
        <v>2702.0043743742208</v>
      </c>
      <c r="AH39" s="708">
        <f>AG39/'Synthèse scénarios'!$L$9</f>
        <v>4.1505443538774509</v>
      </c>
      <c r="AI39" s="428">
        <f>('Synthèse scénarios'!$K$9/1000)*AF39</f>
        <v>64.146662989176008</v>
      </c>
      <c r="AJ39" s="505">
        <f>(AB39+V39*Prod_Carburant_Alt!$D$75)*Hypothèses!$D$23+AI39</f>
        <v>720.24376835638861</v>
      </c>
      <c r="AK39" s="505">
        <f>(AB39+V39*Prod_Carburant_Alt!$D$75)*Hypothèses!$B$23</f>
        <v>551.12156850845861</v>
      </c>
      <c r="AL39" s="505">
        <f t="shared" si="13"/>
        <v>0</v>
      </c>
      <c r="AM39" s="709">
        <f t="shared" si="17"/>
        <v>27898.698374278254</v>
      </c>
      <c r="AN39" s="710"/>
      <c r="AO39" s="430"/>
      <c r="AP39" s="430"/>
      <c r="AQ39" s="430"/>
      <c r="AR39" s="430"/>
      <c r="AS39" s="430"/>
      <c r="AT39" s="430"/>
      <c r="AU39" s="430"/>
      <c r="AV39" s="430"/>
      <c r="AW39" s="430"/>
      <c r="AX39" s="430"/>
      <c r="AY39" s="430"/>
      <c r="AZ39" s="430"/>
      <c r="BA39" s="430"/>
      <c r="BB39" s="430"/>
      <c r="BC39" s="430"/>
      <c r="BD39" s="430"/>
      <c r="BE39" s="430"/>
    </row>
    <row r="40" spans="1:57" ht="15.75" customHeight="1">
      <c r="A40" s="430"/>
      <c r="B40" s="698">
        <v>2048</v>
      </c>
      <c r="C40" s="699">
        <f>Trajectoires!F40</f>
        <v>1552.4701119644258</v>
      </c>
      <c r="D40" s="428">
        <f t="shared" si="14"/>
        <v>34109.151927319072</v>
      </c>
      <c r="E40" s="700">
        <f>C40*(Hypothèses!$B$23/Hypothèses!$D$23)</f>
        <v>1304.0748940501176</v>
      </c>
      <c r="F40" s="428">
        <f t="shared" si="15"/>
        <v>28651.687618948017</v>
      </c>
      <c r="G40" s="428" t="s">
        <v>580</v>
      </c>
      <c r="H40" s="428">
        <f>I40*Hypothèses!$B$5</f>
        <v>575.44892150148041</v>
      </c>
      <c r="I40" s="701">
        <f>E40/Hypothèses!$B$23</f>
        <v>413.99202985718017</v>
      </c>
      <c r="J40" s="706">
        <f t="shared" si="18"/>
        <v>305.54982927564635</v>
      </c>
      <c r="K40" s="703">
        <f t="shared" si="1"/>
        <v>0.73805727463172555</v>
      </c>
      <c r="L40" s="535">
        <f t="shared" si="2"/>
        <v>152.77491463782317</v>
      </c>
      <c r="M40" s="703">
        <f t="shared" si="3"/>
        <v>0.36902863731586277</v>
      </c>
      <c r="N40" s="428">
        <f t="shared" si="4"/>
        <v>152.77491463782317</v>
      </c>
      <c r="O40" s="703">
        <f t="shared" si="5"/>
        <v>0.36902863731586277</v>
      </c>
      <c r="P40" s="535" t="s">
        <v>580</v>
      </c>
      <c r="Q40" s="539" t="s">
        <v>580</v>
      </c>
      <c r="R40" s="701">
        <f t="shared" si="6"/>
        <v>108.4422005815338</v>
      </c>
      <c r="S40" s="704">
        <v>1</v>
      </c>
      <c r="T40" s="428">
        <f t="shared" si="7"/>
        <v>305.54982927564635</v>
      </c>
      <c r="U40" s="705">
        <f t="shared" si="8"/>
        <v>0.73805727463172555</v>
      </c>
      <c r="V40" s="706">
        <f t="shared" si="9"/>
        <v>152.77491463782317</v>
      </c>
      <c r="W40" s="703">
        <f t="shared" si="10"/>
        <v>0.5</v>
      </c>
      <c r="X40" s="428">
        <f t="shared" si="11"/>
        <v>152.77491463782317</v>
      </c>
      <c r="Y40" s="703">
        <f t="shared" si="12"/>
        <v>0.5</v>
      </c>
      <c r="Z40" s="535">
        <v>0</v>
      </c>
      <c r="AA40" s="707">
        <v>0</v>
      </c>
      <c r="AB40" s="701">
        <f t="shared" si="0"/>
        <v>108.4422005815338</v>
      </c>
      <c r="AC40" s="245"/>
      <c r="AD40" s="428">
        <f>(V40+X40+AB40)*Hypothèses!$B$5+Z40*Hypothèses!$B$10</f>
        <v>575.4489215014803</v>
      </c>
      <c r="AE40" s="245"/>
      <c r="AF40" s="428">
        <f>X40*Prod_Carburant_Alt!$I$61+Z40*Hypothèses!$B$13</f>
        <v>6918.2422594686677</v>
      </c>
      <c r="AG40" s="428">
        <f>AF40*'Synthèse scénarios'!$L$9/'Synthèse scénarios'!$M$9</f>
        <v>3205.5343138178664</v>
      </c>
      <c r="AH40" s="708">
        <f>AG40/'Synthèse scénarios'!$L$9</f>
        <v>4.9240158430381973</v>
      </c>
      <c r="AI40" s="428">
        <f>('Synthèse scénarios'!$K$9/1000)*AF40</f>
        <v>76.10066485415534</v>
      </c>
      <c r="AJ40" s="505">
        <f>(AB40+V40*Prod_Carburant_Alt!$D$75)*Hypothèses!$D$23+AI40</f>
        <v>599.85087329631335</v>
      </c>
      <c r="AK40" s="505">
        <f>(AB40+V40*Prod_Carburant_Alt!$D$75)*Hypothèses!$B$23</f>
        <v>439.95017509141269</v>
      </c>
      <c r="AL40" s="505">
        <f t="shared" si="13"/>
        <v>0</v>
      </c>
      <c r="AM40" s="709">
        <f t="shared" si="17"/>
        <v>28618.942142634642</v>
      </c>
      <c r="AN40" s="710"/>
      <c r="AO40" s="430"/>
      <c r="AP40" s="430"/>
      <c r="AQ40" s="430"/>
      <c r="AR40" s="430"/>
      <c r="AS40" s="430"/>
      <c r="AT40" s="430"/>
      <c r="AU40" s="430"/>
      <c r="AV40" s="430"/>
      <c r="AW40" s="430"/>
      <c r="AX40" s="430"/>
      <c r="AY40" s="430"/>
      <c r="AZ40" s="430"/>
      <c r="BA40" s="430"/>
      <c r="BB40" s="430"/>
      <c r="BC40" s="430"/>
      <c r="BD40" s="430"/>
      <c r="BE40" s="430"/>
    </row>
    <row r="41" spans="1:57" ht="15.75" customHeight="1">
      <c r="A41" s="430"/>
      <c r="B41" s="698">
        <v>2049</v>
      </c>
      <c r="C41" s="699">
        <f>Trajectoires!F41</f>
        <v>1582.2775381141428</v>
      </c>
      <c r="D41" s="428">
        <f t="shared" si="14"/>
        <v>35691.429465433212</v>
      </c>
      <c r="E41" s="700">
        <f>C41*(Hypothèses!$B$23/Hypothèses!$D$23)</f>
        <v>1329.11313201588</v>
      </c>
      <c r="F41" s="428">
        <f t="shared" si="15"/>
        <v>29980.800750963896</v>
      </c>
      <c r="G41" s="428" t="s">
        <v>580</v>
      </c>
      <c r="H41" s="428">
        <f>I41*Hypothèses!$B$5</f>
        <v>586.49754079430886</v>
      </c>
      <c r="I41" s="701">
        <f>E41/Hypothèses!$B$23</f>
        <v>421.94067683043806</v>
      </c>
      <c r="J41" s="706">
        <f>J40*($J$42/$J$17)^(1/25)</f>
        <v>362.49033184896837</v>
      </c>
      <c r="K41" s="703">
        <f t="shared" si="1"/>
        <v>0.85910259843148395</v>
      </c>
      <c r="L41" s="535">
        <f t="shared" si="2"/>
        <v>181.24516592448418</v>
      </c>
      <c r="M41" s="703">
        <f t="shared" si="3"/>
        <v>0.42955129921574198</v>
      </c>
      <c r="N41" s="428">
        <f t="shared" si="4"/>
        <v>181.24516592448418</v>
      </c>
      <c r="O41" s="703">
        <f t="shared" si="5"/>
        <v>0.42955129921574198</v>
      </c>
      <c r="P41" s="535" t="s">
        <v>580</v>
      </c>
      <c r="Q41" s="539" t="s">
        <v>580</v>
      </c>
      <c r="R41" s="701">
        <f t="shared" si="6"/>
        <v>59.450344981469698</v>
      </c>
      <c r="S41" s="704">
        <v>1</v>
      </c>
      <c r="T41" s="428">
        <f t="shared" si="7"/>
        <v>362.49033184896837</v>
      </c>
      <c r="U41" s="705">
        <f t="shared" si="8"/>
        <v>0.85910259843148395</v>
      </c>
      <c r="V41" s="706">
        <f t="shared" si="9"/>
        <v>181.24516592448418</v>
      </c>
      <c r="W41" s="703">
        <f t="shared" si="10"/>
        <v>0.5</v>
      </c>
      <c r="X41" s="428">
        <f t="shared" si="11"/>
        <v>181.24516592448418</v>
      </c>
      <c r="Y41" s="703">
        <f t="shared" si="12"/>
        <v>0.5</v>
      </c>
      <c r="Z41" s="535">
        <v>0</v>
      </c>
      <c r="AA41" s="707">
        <v>0</v>
      </c>
      <c r="AB41" s="701">
        <f t="shared" si="0"/>
        <v>59.450344981469698</v>
      </c>
      <c r="AC41" s="245"/>
      <c r="AD41" s="428">
        <f>(V41+X41+AB41)*Hypothèses!$B$5+Z41*Hypothèses!$B$10</f>
        <v>586.49754079430886</v>
      </c>
      <c r="AE41" s="245"/>
      <c r="AF41" s="428">
        <f>X41*Prod_Carburant_Alt!$I$61+Z41*Hypothèses!$B$13</f>
        <v>8207.485955372571</v>
      </c>
      <c r="AG41" s="428">
        <f>AF41*'Synthèse scénarios'!$L$9/'Synthèse scénarios'!$M$9</f>
        <v>3802.899186439533</v>
      </c>
      <c r="AH41" s="708">
        <f>AG41/'Synthèse scénarios'!$L$9</f>
        <v>5.8416270145000508</v>
      </c>
      <c r="AI41" s="428">
        <f>('Synthèse scénarios'!$K$9/1000)*AF41</f>
        <v>90.282345509098278</v>
      </c>
      <c r="AJ41" s="505">
        <f>(AB41+V41*Prod_Carburant_Alt!$D$75)*Hypothèses!$D$23+AI41</f>
        <v>452.13367657398271</v>
      </c>
      <c r="AK41" s="505">
        <f>(AB41+V41*Prod_Carburant_Alt!$D$75)*Hypothèses!$B$23</f>
        <v>303.95511809450295</v>
      </c>
      <c r="AL41" s="505">
        <f t="shared" si="13"/>
        <v>0</v>
      </c>
      <c r="AM41" s="709">
        <f t="shared" si="17"/>
        <v>29218.793015930954</v>
      </c>
      <c r="AN41" s="710"/>
      <c r="AO41" s="430"/>
      <c r="AP41" s="430"/>
      <c r="AQ41" s="430"/>
      <c r="AR41" s="430"/>
      <c r="AS41" s="430"/>
      <c r="AT41" s="430"/>
      <c r="AU41" s="430"/>
      <c r="AV41" s="430"/>
      <c r="AW41" s="430"/>
      <c r="AX41" s="430"/>
      <c r="AY41" s="430"/>
      <c r="AZ41" s="430"/>
      <c r="BA41" s="430"/>
      <c r="BB41" s="430"/>
      <c r="BC41" s="430"/>
      <c r="BD41" s="430"/>
      <c r="BE41" s="430"/>
    </row>
    <row r="42" spans="1:57" ht="15.75" customHeight="1" thickBot="1">
      <c r="A42" s="430"/>
      <c r="B42" s="712">
        <v>2050</v>
      </c>
      <c r="C42" s="713">
        <f>Trajectoires!F42</f>
        <v>1612.6572668459344</v>
      </c>
      <c r="D42" s="568">
        <f t="shared" si="14"/>
        <v>37304.086732279146</v>
      </c>
      <c r="E42" s="714">
        <f>C42*(Hypothèses!$B$23/Hypothèses!$D$23)</f>
        <v>1354.6321041505848</v>
      </c>
      <c r="F42" s="568">
        <f t="shared" si="15"/>
        <v>31335.432855114479</v>
      </c>
      <c r="G42" s="568" t="s">
        <v>580</v>
      </c>
      <c r="H42" s="568">
        <f>I42*Hypothèses!$B$5</f>
        <v>597.7582935775597</v>
      </c>
      <c r="I42" s="715">
        <f>E42/Hypothèses!$B$23</f>
        <v>430.04193782558252</v>
      </c>
      <c r="J42" s="716">
        <f>I42</f>
        <v>430.04193782558252</v>
      </c>
      <c r="K42" s="717">
        <f t="shared" si="1"/>
        <v>1</v>
      </c>
      <c r="L42" s="572">
        <f t="shared" si="2"/>
        <v>215.02096891279126</v>
      </c>
      <c r="M42" s="717">
        <f t="shared" si="3"/>
        <v>0.5</v>
      </c>
      <c r="N42" s="568">
        <f t="shared" si="4"/>
        <v>215.02096891279126</v>
      </c>
      <c r="O42" s="717">
        <f t="shared" si="5"/>
        <v>0.5</v>
      </c>
      <c r="P42" s="572" t="s">
        <v>580</v>
      </c>
      <c r="Q42" s="569" t="s">
        <v>580</v>
      </c>
      <c r="R42" s="715">
        <f t="shared" si="6"/>
        <v>0</v>
      </c>
      <c r="S42" s="718">
        <v>1</v>
      </c>
      <c r="T42" s="568">
        <f t="shared" si="7"/>
        <v>430.04193782558252</v>
      </c>
      <c r="U42" s="719">
        <f t="shared" si="8"/>
        <v>1</v>
      </c>
      <c r="V42" s="720">
        <f t="shared" si="9"/>
        <v>215.02096891279126</v>
      </c>
      <c r="W42" s="717">
        <f t="shared" si="10"/>
        <v>0.5</v>
      </c>
      <c r="X42" s="568">
        <f t="shared" si="11"/>
        <v>215.02096891279126</v>
      </c>
      <c r="Y42" s="717">
        <f t="shared" si="12"/>
        <v>0.5</v>
      </c>
      <c r="Z42" s="572">
        <v>0</v>
      </c>
      <c r="AA42" s="721">
        <v>0</v>
      </c>
      <c r="AB42" s="715">
        <f t="shared" si="0"/>
        <v>0</v>
      </c>
      <c r="AC42" s="722"/>
      <c r="AD42" s="568">
        <f>(V42+X42+AB42)*Hypothèses!$B$5+Z42*Hypothèses!$B$10</f>
        <v>597.7582935775597</v>
      </c>
      <c r="AE42" s="722"/>
      <c r="AF42" s="568">
        <f>X42*Prod_Carburant_Alt!$I$61+Z42*Hypothèses!$B$13</f>
        <v>9736.985665028069</v>
      </c>
      <c r="AG42" s="568">
        <f>AF42*'Synthèse scénarios'!$L$9/'Synthèse scénarios'!$M$9</f>
        <v>4511.5855287781305</v>
      </c>
      <c r="AH42" s="723">
        <f>AG42/'Synthèse scénarios'!$L$9</f>
        <v>6.9302389074932877</v>
      </c>
      <c r="AI42" s="568">
        <f>('Synthèse scénarios'!$K$9/1000)*AF42</f>
        <v>107.10684231530875</v>
      </c>
      <c r="AJ42" s="576">
        <f>(AB42+V42*Prod_Carburant_Alt!$D$75)*Hypothèses!$D$23+AI42</f>
        <v>271.90631837398172</v>
      </c>
      <c r="AK42" s="576">
        <f>(AB42+V42*Prod_Carburant_Alt!$D$75)*Hypothèses!$B$23</f>
        <v>138.43155988928527</v>
      </c>
      <c r="AL42" s="576">
        <f t="shared" si="13"/>
        <v>0</v>
      </c>
      <c r="AM42" s="724">
        <f t="shared" si="17"/>
        <v>29670.926692504938</v>
      </c>
      <c r="AN42" s="710"/>
      <c r="AO42" s="430"/>
      <c r="AP42" s="430"/>
      <c r="AQ42" s="430"/>
      <c r="AR42" s="430"/>
      <c r="AS42" s="430"/>
      <c r="AT42" s="430"/>
      <c r="AU42" s="430"/>
      <c r="AV42" s="430"/>
      <c r="AW42" s="430"/>
      <c r="AX42" s="430"/>
      <c r="AY42" s="430"/>
      <c r="AZ42" s="430"/>
      <c r="BA42" s="430"/>
      <c r="BB42" s="430"/>
      <c r="BC42" s="430"/>
      <c r="BD42" s="430"/>
      <c r="BE42" s="430"/>
    </row>
    <row r="43" spans="1:57" ht="15.75" customHeight="1">
      <c r="A43" s="430"/>
      <c r="B43" s="245"/>
      <c r="C43" s="429"/>
      <c r="D43" s="429"/>
      <c r="E43" s="429"/>
      <c r="F43" s="429"/>
      <c r="G43" s="429"/>
      <c r="H43" s="429"/>
      <c r="I43" s="429"/>
      <c r="J43" s="427"/>
      <c r="K43" s="427"/>
      <c r="L43" s="428"/>
      <c r="M43" s="427"/>
      <c r="N43" s="429"/>
      <c r="O43" s="429"/>
      <c r="P43" s="429"/>
      <c r="Q43" s="429"/>
      <c r="R43" s="429"/>
      <c r="S43" s="427"/>
      <c r="T43" s="427"/>
      <c r="U43" s="427"/>
      <c r="V43" s="428"/>
      <c r="W43" s="427"/>
      <c r="X43" s="429"/>
      <c r="Y43" s="429"/>
      <c r="Z43" s="429"/>
      <c r="AA43" s="429"/>
      <c r="AB43" s="429"/>
      <c r="AC43" s="725"/>
      <c r="AD43" s="429"/>
      <c r="AE43" s="429"/>
      <c r="AF43" s="429"/>
      <c r="AG43" s="429"/>
      <c r="AH43" s="429"/>
      <c r="AI43" s="429"/>
      <c r="AJ43" s="429"/>
      <c r="AK43" s="429"/>
      <c r="AL43" s="429"/>
      <c r="AM43" s="429"/>
      <c r="AN43" s="430"/>
      <c r="AO43" s="430"/>
      <c r="AP43" s="430"/>
      <c r="AQ43" s="430"/>
      <c r="AR43" s="430"/>
      <c r="AS43" s="430"/>
      <c r="AT43" s="430"/>
      <c r="AU43" s="430"/>
      <c r="AV43" s="430"/>
      <c r="AW43" s="430"/>
      <c r="AX43" s="430"/>
      <c r="AY43" s="430"/>
      <c r="AZ43" s="430"/>
      <c r="BA43" s="430"/>
      <c r="BB43" s="430"/>
      <c r="BC43" s="430"/>
      <c r="BD43" s="430"/>
      <c r="BE43" s="430"/>
    </row>
    <row r="44" spans="1:57" ht="15.75" customHeight="1">
      <c r="A44" s="430"/>
      <c r="B44" s="245"/>
      <c r="C44" s="429"/>
      <c r="D44" s="429"/>
      <c r="E44" s="429"/>
      <c r="F44" s="429"/>
      <c r="G44" s="429"/>
      <c r="H44" s="429"/>
      <c r="I44" s="429"/>
      <c r="J44" s="427"/>
      <c r="K44" s="427"/>
      <c r="L44" s="428"/>
      <c r="M44" s="427"/>
      <c r="N44" s="429"/>
      <c r="O44" s="429"/>
      <c r="P44" s="429"/>
      <c r="Q44" s="429"/>
      <c r="R44" s="429"/>
      <c r="S44" s="427"/>
      <c r="T44" s="427"/>
      <c r="U44" s="427"/>
      <c r="V44" s="428"/>
      <c r="W44" s="427"/>
      <c r="X44" s="429"/>
      <c r="Y44" s="429"/>
      <c r="Z44" s="429"/>
      <c r="AA44" s="429"/>
      <c r="AB44" s="429"/>
      <c r="AC44" s="429"/>
      <c r="AD44" s="429"/>
      <c r="AE44" s="429"/>
      <c r="AF44" s="429"/>
      <c r="AG44" s="429"/>
      <c r="AH44" s="429"/>
      <c r="AI44" s="429"/>
      <c r="AJ44" s="429"/>
      <c r="AK44" s="429"/>
      <c r="AL44" s="429"/>
      <c r="AM44" s="429"/>
      <c r="AN44" s="430"/>
      <c r="AO44" s="430"/>
      <c r="AP44" s="430"/>
      <c r="AQ44" s="430"/>
      <c r="AR44" s="430"/>
      <c r="AS44" s="430"/>
      <c r="AT44" s="430"/>
      <c r="AU44" s="430"/>
      <c r="AV44" s="430"/>
      <c r="AW44" s="430"/>
      <c r="AX44" s="430"/>
      <c r="AY44" s="430"/>
      <c r="AZ44" s="430"/>
      <c r="BA44" s="430"/>
      <c r="BB44" s="430"/>
      <c r="BC44" s="430"/>
      <c r="BD44" s="430"/>
      <c r="BE44" s="430"/>
    </row>
    <row r="45" spans="1:57" ht="15.75" customHeight="1">
      <c r="A45" s="430"/>
      <c r="B45" s="428"/>
      <c r="C45" s="429"/>
      <c r="D45" s="429"/>
      <c r="E45" s="429"/>
      <c r="F45" s="429"/>
      <c r="G45" s="429"/>
      <c r="H45" s="429"/>
      <c r="I45" s="429"/>
      <c r="J45" s="427"/>
      <c r="K45" s="427"/>
      <c r="L45" s="428"/>
      <c r="M45" s="427"/>
      <c r="N45" s="429"/>
      <c r="O45" s="429"/>
      <c r="P45" s="429"/>
      <c r="Q45" s="429"/>
      <c r="R45" s="429"/>
      <c r="S45" s="427"/>
      <c r="T45" s="427"/>
      <c r="U45" s="427"/>
      <c r="V45" s="428"/>
      <c r="W45" s="427"/>
      <c r="X45" s="429"/>
      <c r="Y45" s="429"/>
      <c r="Z45" s="429"/>
      <c r="AA45" s="429"/>
      <c r="AB45" s="429"/>
      <c r="AC45" s="429"/>
      <c r="AD45" s="429"/>
      <c r="AE45" s="429"/>
      <c r="AF45" s="429"/>
      <c r="AG45" s="429"/>
      <c r="AH45" s="429"/>
      <c r="AI45" s="429"/>
      <c r="AJ45" s="429"/>
      <c r="AK45" s="429"/>
      <c r="AL45" s="429"/>
      <c r="AM45" s="429"/>
      <c r="AN45" s="430"/>
      <c r="AO45" s="430"/>
      <c r="AP45" s="430"/>
      <c r="AQ45" s="430"/>
      <c r="AR45" s="430"/>
      <c r="AS45" s="430"/>
      <c r="AT45" s="430"/>
      <c r="AU45" s="430"/>
      <c r="AV45" s="430"/>
      <c r="AW45" s="430"/>
      <c r="AX45" s="430"/>
      <c r="AY45" s="430"/>
      <c r="AZ45" s="430"/>
      <c r="BA45" s="430"/>
      <c r="BB45" s="430"/>
      <c r="BC45" s="430"/>
      <c r="BD45" s="430"/>
      <c r="BE45" s="430"/>
    </row>
    <row r="46" spans="1:57" ht="15.75" customHeight="1">
      <c r="A46" s="430"/>
      <c r="B46" s="245"/>
      <c r="C46" s="429"/>
      <c r="D46" s="429"/>
      <c r="E46" s="429"/>
      <c r="F46" s="429"/>
      <c r="G46" s="429"/>
      <c r="H46" s="429"/>
      <c r="I46" s="429"/>
      <c r="J46" s="427"/>
      <c r="K46" s="427"/>
      <c r="L46" s="428"/>
      <c r="M46" s="427"/>
      <c r="N46" s="429"/>
      <c r="O46" s="429"/>
      <c r="P46" s="429"/>
      <c r="Q46" s="429"/>
      <c r="R46" s="429"/>
      <c r="S46" s="427"/>
      <c r="T46" s="427"/>
      <c r="U46" s="427"/>
      <c r="V46" s="428"/>
      <c r="W46" s="427"/>
      <c r="X46" s="429"/>
      <c r="Y46" s="429"/>
      <c r="Z46" s="429"/>
      <c r="AA46" s="429"/>
      <c r="AB46" s="429"/>
      <c r="AC46" s="429"/>
      <c r="AD46" s="429"/>
      <c r="AE46" s="429"/>
      <c r="AF46" s="429"/>
      <c r="AG46" s="429"/>
      <c r="AH46" s="429"/>
      <c r="AI46" s="429"/>
      <c r="AJ46" s="429"/>
      <c r="AK46" s="429"/>
      <c r="AL46" s="429"/>
      <c r="AM46" s="429"/>
      <c r="AN46" s="430"/>
      <c r="AO46" s="430"/>
      <c r="AP46" s="430"/>
      <c r="AQ46" s="430"/>
      <c r="AR46" s="430"/>
      <c r="AS46" s="430"/>
      <c r="AT46" s="430"/>
      <c r="AU46" s="430"/>
      <c r="AV46" s="430"/>
      <c r="AW46" s="430"/>
      <c r="AX46" s="430"/>
      <c r="AY46" s="430"/>
      <c r="AZ46" s="430"/>
      <c r="BA46" s="430"/>
      <c r="BB46" s="430"/>
      <c r="BC46" s="430"/>
      <c r="BD46" s="430"/>
      <c r="BE46" s="430"/>
    </row>
    <row r="47" spans="1:57" ht="15.75" customHeight="1">
      <c r="A47" s="430"/>
      <c r="B47" s="245"/>
      <c r="C47" s="429"/>
      <c r="D47" s="429"/>
      <c r="E47" s="429"/>
      <c r="F47" s="429"/>
      <c r="G47" s="429"/>
      <c r="H47" s="429"/>
      <c r="I47" s="429"/>
      <c r="J47" s="427"/>
      <c r="K47" s="427"/>
      <c r="L47" s="428"/>
      <c r="M47" s="427"/>
      <c r="N47" s="429"/>
      <c r="O47" s="429"/>
      <c r="P47" s="429"/>
      <c r="Q47" s="429"/>
      <c r="R47" s="429"/>
      <c r="S47" s="427"/>
      <c r="T47" s="427"/>
      <c r="U47" s="427"/>
      <c r="V47" s="428"/>
      <c r="W47" s="427"/>
      <c r="X47" s="429"/>
      <c r="Y47" s="429"/>
      <c r="Z47" s="429"/>
      <c r="AA47" s="429"/>
      <c r="AB47" s="429"/>
      <c r="AC47" s="429"/>
      <c r="AD47" s="429"/>
      <c r="AE47" s="429"/>
      <c r="AF47" s="429"/>
      <c r="AG47" s="429"/>
      <c r="AH47" s="429"/>
      <c r="AI47" s="429"/>
      <c r="AJ47" s="429"/>
      <c r="AK47" s="429"/>
      <c r="AL47" s="429"/>
      <c r="AM47" s="429"/>
      <c r="AN47" s="430"/>
      <c r="AO47" s="430"/>
      <c r="AP47" s="430"/>
      <c r="AQ47" s="430"/>
      <c r="AR47" s="430"/>
      <c r="AS47" s="430"/>
      <c r="AT47" s="430"/>
      <c r="AU47" s="430"/>
      <c r="AV47" s="430"/>
      <c r="AW47" s="430"/>
      <c r="AX47" s="430"/>
      <c r="AY47" s="430"/>
      <c r="AZ47" s="430"/>
      <c r="BA47" s="430"/>
      <c r="BB47" s="430"/>
      <c r="BC47" s="430"/>
      <c r="BD47" s="430"/>
      <c r="BE47" s="430"/>
    </row>
    <row r="48" spans="1:57" ht="15.75" customHeight="1">
      <c r="A48" s="430"/>
      <c r="B48" s="245"/>
      <c r="C48" s="429"/>
      <c r="D48" s="429"/>
      <c r="E48" s="429"/>
      <c r="F48" s="429"/>
      <c r="G48" s="429"/>
      <c r="H48" s="429"/>
      <c r="I48" s="429"/>
      <c r="J48" s="427"/>
      <c r="K48" s="427"/>
      <c r="L48" s="428"/>
      <c r="M48" s="427"/>
      <c r="N48" s="429"/>
      <c r="O48" s="429"/>
      <c r="P48" s="429"/>
      <c r="Q48" s="429"/>
      <c r="R48" s="429"/>
      <c r="S48" s="427"/>
      <c r="T48" s="427"/>
      <c r="U48" s="427"/>
      <c r="V48" s="428"/>
      <c r="W48" s="427"/>
      <c r="X48" s="429"/>
      <c r="Y48" s="429"/>
      <c r="Z48" s="429"/>
      <c r="AA48" s="429"/>
      <c r="AB48" s="429"/>
      <c r="AC48" s="429"/>
      <c r="AD48" s="429"/>
      <c r="AE48" s="429"/>
      <c r="AF48" s="429"/>
      <c r="AG48" s="429"/>
      <c r="AH48" s="429"/>
      <c r="AI48" s="429"/>
      <c r="AJ48" s="429"/>
      <c r="AK48" s="429"/>
      <c r="AL48" s="429"/>
      <c r="AM48" s="429"/>
      <c r="AN48" s="430"/>
      <c r="AO48" s="430"/>
      <c r="AP48" s="430"/>
      <c r="AQ48" s="430"/>
      <c r="AR48" s="430"/>
      <c r="AS48" s="430"/>
      <c r="AT48" s="430"/>
      <c r="AU48" s="430"/>
      <c r="AV48" s="430"/>
      <c r="AW48" s="430"/>
      <c r="AX48" s="430"/>
      <c r="AY48" s="430"/>
      <c r="AZ48" s="430"/>
      <c r="BA48" s="430"/>
      <c r="BB48" s="430"/>
      <c r="BC48" s="430"/>
      <c r="BD48" s="430"/>
      <c r="BE48" s="430"/>
    </row>
    <row r="49" spans="1:57" ht="15.75" customHeight="1">
      <c r="A49" s="430"/>
      <c r="B49" s="245"/>
      <c r="C49" s="429"/>
      <c r="D49" s="429"/>
      <c r="E49" s="429"/>
      <c r="F49" s="429"/>
      <c r="G49" s="429"/>
      <c r="H49" s="429"/>
      <c r="I49" s="429"/>
      <c r="J49" s="427"/>
      <c r="K49" s="427"/>
      <c r="L49" s="428"/>
      <c r="M49" s="427"/>
      <c r="N49" s="429"/>
      <c r="O49" s="429"/>
      <c r="P49" s="429"/>
      <c r="Q49" s="429"/>
      <c r="R49" s="429"/>
      <c r="S49" s="427"/>
      <c r="T49" s="427"/>
      <c r="U49" s="427"/>
      <c r="V49" s="428"/>
      <c r="W49" s="427"/>
      <c r="X49" s="429"/>
      <c r="Y49" s="429"/>
      <c r="Z49" s="429"/>
      <c r="AA49" s="429"/>
      <c r="AB49" s="429"/>
      <c r="AC49" s="429"/>
      <c r="AD49" s="429"/>
      <c r="AE49" s="429"/>
      <c r="AF49" s="429"/>
      <c r="AG49" s="429"/>
      <c r="AH49" s="429"/>
      <c r="AI49" s="429"/>
      <c r="AJ49" s="429"/>
      <c r="AK49" s="429"/>
      <c r="AL49" s="429"/>
      <c r="AM49" s="429"/>
      <c r="AN49" s="430"/>
      <c r="AO49" s="430"/>
      <c r="AP49" s="430"/>
      <c r="AQ49" s="430"/>
      <c r="AR49" s="430"/>
      <c r="AS49" s="430"/>
      <c r="AT49" s="430"/>
      <c r="AU49" s="430"/>
      <c r="AV49" s="430"/>
      <c r="AW49" s="430"/>
      <c r="AX49" s="430"/>
      <c r="AY49" s="430"/>
      <c r="AZ49" s="430"/>
      <c r="BA49" s="430"/>
      <c r="BB49" s="430"/>
      <c r="BC49" s="430"/>
      <c r="BD49" s="430"/>
      <c r="BE49" s="430"/>
    </row>
    <row r="50" spans="1:57" ht="15.75" customHeight="1">
      <c r="A50" s="430"/>
      <c r="B50" s="245"/>
      <c r="C50" s="429"/>
      <c r="D50" s="429"/>
      <c r="E50" s="429"/>
      <c r="F50" s="429"/>
      <c r="G50" s="429"/>
      <c r="H50" s="429"/>
      <c r="I50" s="429"/>
      <c r="J50" s="427"/>
      <c r="K50" s="427"/>
      <c r="L50" s="428"/>
      <c r="M50" s="427"/>
      <c r="N50" s="429"/>
      <c r="O50" s="429"/>
      <c r="P50" s="429"/>
      <c r="Q50" s="429"/>
      <c r="R50" s="429"/>
      <c r="S50" s="427"/>
      <c r="T50" s="427"/>
      <c r="U50" s="427"/>
      <c r="V50" s="428"/>
      <c r="W50" s="427"/>
      <c r="X50" s="429"/>
      <c r="Y50" s="429"/>
      <c r="Z50" s="429"/>
      <c r="AA50" s="429"/>
      <c r="AB50" s="429"/>
      <c r="AC50" s="429"/>
      <c r="AD50" s="429"/>
      <c r="AE50" s="429"/>
      <c r="AF50" s="429"/>
      <c r="AG50" s="429"/>
      <c r="AH50" s="429"/>
      <c r="AI50" s="429"/>
      <c r="AJ50" s="429"/>
      <c r="AK50" s="429"/>
      <c r="AL50" s="429"/>
      <c r="AM50" s="429"/>
      <c r="AN50" s="430"/>
      <c r="AO50" s="430"/>
      <c r="AP50" s="430"/>
      <c r="AQ50" s="430"/>
      <c r="AR50" s="430"/>
      <c r="AS50" s="430"/>
      <c r="AT50" s="430"/>
      <c r="AU50" s="430"/>
      <c r="AV50" s="430"/>
      <c r="AW50" s="430"/>
      <c r="AX50" s="430"/>
      <c r="AY50" s="430"/>
      <c r="AZ50" s="430"/>
      <c r="BA50" s="430"/>
      <c r="BB50" s="430"/>
      <c r="BC50" s="430"/>
      <c r="BD50" s="430"/>
      <c r="BE50" s="430"/>
    </row>
    <row r="51" spans="1:57" ht="15.75" customHeight="1">
      <c r="A51" s="430"/>
      <c r="B51" s="245"/>
      <c r="C51" s="429"/>
      <c r="D51" s="429"/>
      <c r="E51" s="429"/>
      <c r="F51" s="429"/>
      <c r="G51" s="429"/>
      <c r="H51" s="429"/>
      <c r="I51" s="429"/>
      <c r="J51" s="427"/>
      <c r="K51" s="427"/>
      <c r="L51" s="428"/>
      <c r="M51" s="427"/>
      <c r="N51" s="429"/>
      <c r="O51" s="429"/>
      <c r="P51" s="429"/>
      <c r="Q51" s="429"/>
      <c r="R51" s="429"/>
      <c r="S51" s="427"/>
      <c r="T51" s="427"/>
      <c r="U51" s="427"/>
      <c r="V51" s="428"/>
      <c r="W51" s="427"/>
      <c r="X51" s="429"/>
      <c r="Y51" s="429"/>
      <c r="Z51" s="429"/>
      <c r="AA51" s="429"/>
      <c r="AB51" s="429"/>
      <c r="AC51" s="429"/>
      <c r="AD51" s="429"/>
      <c r="AE51" s="429"/>
      <c r="AF51" s="429"/>
      <c r="AG51" s="429"/>
      <c r="AH51" s="429"/>
      <c r="AI51" s="429"/>
      <c r="AJ51" s="429"/>
      <c r="AK51" s="429"/>
      <c r="AL51" s="429"/>
      <c r="AM51" s="429"/>
      <c r="AN51" s="430"/>
      <c r="AO51" s="430"/>
      <c r="AP51" s="430"/>
      <c r="AQ51" s="430"/>
      <c r="AR51" s="430"/>
      <c r="AS51" s="430"/>
      <c r="AT51" s="430"/>
      <c r="AU51" s="430"/>
      <c r="AV51" s="430"/>
      <c r="AW51" s="430"/>
      <c r="AX51" s="430"/>
      <c r="AY51" s="430"/>
      <c r="AZ51" s="430"/>
      <c r="BA51" s="430"/>
      <c r="BB51" s="430"/>
      <c r="BC51" s="430"/>
      <c r="BD51" s="430"/>
      <c r="BE51" s="430"/>
    </row>
    <row r="52" spans="1:57" ht="15.75" customHeight="1">
      <c r="A52" s="430"/>
      <c r="B52" s="670"/>
      <c r="C52" s="430"/>
      <c r="D52" s="430"/>
      <c r="E52" s="430"/>
      <c r="F52" s="430"/>
      <c r="G52" s="430"/>
      <c r="H52" s="430"/>
      <c r="I52" s="430"/>
      <c r="J52" s="581"/>
      <c r="K52" s="581"/>
      <c r="L52" s="582"/>
      <c r="M52" s="581"/>
      <c r="N52" s="430"/>
      <c r="O52" s="430"/>
      <c r="P52" s="430"/>
      <c r="Q52" s="430"/>
      <c r="R52" s="430"/>
      <c r="S52" s="581"/>
      <c r="T52" s="581"/>
      <c r="U52" s="581"/>
      <c r="V52" s="582"/>
      <c r="W52" s="581"/>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row>
    <row r="53" spans="1:57" ht="15.75" customHeight="1">
      <c r="A53" s="430"/>
      <c r="B53" s="670"/>
      <c r="C53" s="430"/>
      <c r="D53" s="430"/>
      <c r="E53" s="430"/>
      <c r="F53" s="430"/>
      <c r="G53" s="430"/>
      <c r="H53" s="430"/>
      <c r="I53" s="430"/>
      <c r="J53" s="581"/>
      <c r="K53" s="581"/>
      <c r="L53" s="582"/>
      <c r="M53" s="581"/>
      <c r="N53" s="430"/>
      <c r="O53" s="430"/>
      <c r="P53" s="430"/>
      <c r="Q53" s="430"/>
      <c r="R53" s="430"/>
      <c r="S53" s="581"/>
      <c r="T53" s="581"/>
      <c r="U53" s="581"/>
      <c r="V53" s="582"/>
      <c r="W53" s="581"/>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row>
    <row r="54" spans="1:57" ht="15.75" customHeight="1">
      <c r="A54" s="430"/>
      <c r="B54" s="670"/>
      <c r="C54" s="430"/>
      <c r="D54" s="430"/>
      <c r="E54" s="430"/>
      <c r="F54" s="430"/>
      <c r="G54" s="430"/>
      <c r="H54" s="430"/>
      <c r="I54" s="430"/>
      <c r="J54" s="581"/>
      <c r="K54" s="581"/>
      <c r="L54" s="582"/>
      <c r="M54" s="581"/>
      <c r="N54" s="430"/>
      <c r="O54" s="430"/>
      <c r="P54" s="430"/>
      <c r="Q54" s="430"/>
      <c r="R54" s="430"/>
      <c r="S54" s="581"/>
      <c r="T54" s="581"/>
      <c r="U54" s="581"/>
      <c r="V54" s="582"/>
      <c r="W54" s="581"/>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row>
    <row r="55" spans="1:57" ht="15.75" customHeight="1">
      <c r="A55" s="430"/>
      <c r="B55" s="670"/>
      <c r="C55" s="430"/>
      <c r="D55" s="430"/>
      <c r="E55" s="430"/>
      <c r="F55" s="430"/>
      <c r="G55" s="430"/>
      <c r="H55" s="430"/>
      <c r="I55" s="430"/>
      <c r="J55" s="581"/>
      <c r="K55" s="581"/>
      <c r="L55" s="582"/>
      <c r="M55" s="581"/>
      <c r="N55" s="430"/>
      <c r="O55" s="430"/>
      <c r="P55" s="430"/>
      <c r="Q55" s="430"/>
      <c r="R55" s="430"/>
      <c r="S55" s="581"/>
      <c r="T55" s="581"/>
      <c r="U55" s="581"/>
      <c r="V55" s="582"/>
      <c r="W55" s="581"/>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row>
    <row r="56" spans="1:57" ht="15.75" customHeight="1">
      <c r="A56" s="430"/>
      <c r="B56" s="670"/>
      <c r="C56" s="430"/>
      <c r="D56" s="430"/>
      <c r="E56" s="430"/>
      <c r="F56" s="430"/>
      <c r="G56" s="430"/>
      <c r="H56" s="430"/>
      <c r="I56" s="430"/>
      <c r="J56" s="581"/>
      <c r="K56" s="581"/>
      <c r="L56" s="582"/>
      <c r="M56" s="581"/>
      <c r="N56" s="430"/>
      <c r="O56" s="430"/>
      <c r="P56" s="430"/>
      <c r="Q56" s="430"/>
      <c r="R56" s="430"/>
      <c r="S56" s="581"/>
      <c r="T56" s="581"/>
      <c r="U56" s="581"/>
      <c r="V56" s="582"/>
      <c r="W56" s="581"/>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row>
    <row r="57" spans="1:57" ht="15.75" customHeight="1">
      <c r="A57" s="430"/>
      <c r="B57" s="670"/>
      <c r="C57" s="430"/>
      <c r="D57" s="430"/>
      <c r="E57" s="430"/>
      <c r="F57" s="430"/>
      <c r="G57" s="430"/>
      <c r="H57" s="430"/>
      <c r="I57" s="430"/>
      <c r="J57" s="581"/>
      <c r="K57" s="581"/>
      <c r="L57" s="582"/>
      <c r="M57" s="581"/>
      <c r="N57" s="430"/>
      <c r="O57" s="430"/>
      <c r="P57" s="430"/>
      <c r="Q57" s="430"/>
      <c r="R57" s="430"/>
      <c r="S57" s="581"/>
      <c r="T57" s="581"/>
      <c r="U57" s="581"/>
      <c r="V57" s="582"/>
      <c r="W57" s="581"/>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row>
    <row r="58" spans="1:57" ht="15.75" customHeight="1">
      <c r="A58" s="430"/>
      <c r="B58" s="670"/>
      <c r="C58" s="430"/>
      <c r="D58" s="430"/>
      <c r="E58" s="430"/>
      <c r="F58" s="430"/>
      <c r="G58" s="430"/>
      <c r="H58" s="430"/>
      <c r="I58" s="430"/>
      <c r="J58" s="581"/>
      <c r="K58" s="581"/>
      <c r="L58" s="582"/>
      <c r="M58" s="581"/>
      <c r="N58" s="430"/>
      <c r="O58" s="430"/>
      <c r="P58" s="430"/>
      <c r="Q58" s="430"/>
      <c r="R58" s="430"/>
      <c r="S58" s="581"/>
      <c r="T58" s="581"/>
      <c r="U58" s="581"/>
      <c r="V58" s="582"/>
      <c r="W58" s="581"/>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row>
    <row r="59" spans="1:57" ht="15.75" customHeight="1">
      <c r="A59" s="430"/>
      <c r="B59" s="670"/>
      <c r="C59" s="430"/>
      <c r="D59" s="430"/>
      <c r="E59" s="430"/>
      <c r="F59" s="430"/>
      <c r="G59" s="430"/>
      <c r="H59" s="430"/>
      <c r="I59" s="430"/>
      <c r="J59" s="581"/>
      <c r="K59" s="581"/>
      <c r="L59" s="582"/>
      <c r="M59" s="581"/>
      <c r="N59" s="430"/>
      <c r="O59" s="430"/>
      <c r="P59" s="430"/>
      <c r="Q59" s="430"/>
      <c r="R59" s="430"/>
      <c r="S59" s="581"/>
      <c r="T59" s="581"/>
      <c r="U59" s="581"/>
      <c r="V59" s="582"/>
      <c r="W59" s="581"/>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row>
    <row r="60" spans="1:57" ht="15.75" customHeight="1">
      <c r="A60" s="430"/>
      <c r="B60" s="670"/>
      <c r="C60" s="430"/>
      <c r="D60" s="430"/>
      <c r="E60" s="430"/>
      <c r="F60" s="430"/>
      <c r="G60" s="430"/>
      <c r="H60" s="430"/>
      <c r="I60" s="430"/>
      <c r="J60" s="581"/>
      <c r="K60" s="581"/>
      <c r="L60" s="582"/>
      <c r="M60" s="581"/>
      <c r="N60" s="430"/>
      <c r="O60" s="430"/>
      <c r="P60" s="430"/>
      <c r="Q60" s="430"/>
      <c r="R60" s="430"/>
      <c r="S60" s="581"/>
      <c r="T60" s="581"/>
      <c r="U60" s="581"/>
      <c r="V60" s="582"/>
      <c r="W60" s="581"/>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row>
    <row r="61" spans="1:57" ht="15.75" customHeight="1">
      <c r="A61" s="430"/>
      <c r="B61" s="670"/>
      <c r="C61" s="430"/>
      <c r="D61" s="430"/>
      <c r="E61" s="430"/>
      <c r="F61" s="430"/>
      <c r="G61" s="430"/>
      <c r="H61" s="430"/>
      <c r="I61" s="430"/>
      <c r="J61" s="581"/>
      <c r="K61" s="581"/>
      <c r="L61" s="582"/>
      <c r="M61" s="581"/>
      <c r="N61" s="430"/>
      <c r="O61" s="430"/>
      <c r="P61" s="430"/>
      <c r="Q61" s="430"/>
      <c r="R61" s="430"/>
      <c r="S61" s="581"/>
      <c r="T61" s="581"/>
      <c r="U61" s="581"/>
      <c r="V61" s="582"/>
      <c r="W61" s="581"/>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row>
    <row r="62" spans="1:57" ht="15.75" customHeight="1">
      <c r="A62" s="430"/>
      <c r="B62" s="430"/>
      <c r="C62" s="430"/>
      <c r="D62" s="430"/>
      <c r="E62" s="430"/>
      <c r="F62" s="430"/>
      <c r="G62" s="430"/>
      <c r="H62" s="430"/>
      <c r="I62" s="430"/>
      <c r="J62" s="581"/>
      <c r="K62" s="581"/>
      <c r="L62" s="582"/>
      <c r="M62" s="581"/>
      <c r="N62" s="430"/>
      <c r="O62" s="430"/>
      <c r="P62" s="430"/>
      <c r="Q62" s="430"/>
      <c r="R62" s="430"/>
      <c r="S62" s="581"/>
      <c r="T62" s="581"/>
      <c r="U62" s="581"/>
      <c r="V62" s="582"/>
      <c r="W62" s="581"/>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row>
    <row r="63" spans="1:57" ht="15.75" customHeight="1">
      <c r="A63" s="430"/>
      <c r="B63" s="430"/>
      <c r="C63" s="430"/>
      <c r="D63" s="430"/>
      <c r="E63" s="430"/>
      <c r="F63" s="430"/>
      <c r="G63" s="430"/>
      <c r="H63" s="430"/>
      <c r="I63" s="430"/>
      <c r="J63" s="581"/>
      <c r="K63" s="581"/>
      <c r="L63" s="582"/>
      <c r="M63" s="581"/>
      <c r="N63" s="430"/>
      <c r="O63" s="430"/>
      <c r="P63" s="430"/>
      <c r="Q63" s="430"/>
      <c r="R63" s="430"/>
      <c r="S63" s="581"/>
      <c r="T63" s="581"/>
      <c r="U63" s="581"/>
      <c r="V63" s="582"/>
      <c r="W63" s="581"/>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row>
    <row r="64" spans="1:57" ht="15.75" customHeight="1">
      <c r="A64" s="430"/>
      <c r="B64" s="430"/>
      <c r="C64" s="430"/>
      <c r="D64" s="430"/>
      <c r="E64" s="430"/>
      <c r="F64" s="430"/>
      <c r="G64" s="430"/>
      <c r="H64" s="430"/>
      <c r="I64" s="430"/>
      <c r="J64" s="581"/>
      <c r="K64" s="581"/>
      <c r="L64" s="582"/>
      <c r="M64" s="581"/>
      <c r="N64" s="430"/>
      <c r="O64" s="430"/>
      <c r="P64" s="430"/>
      <c r="Q64" s="430"/>
      <c r="R64" s="430"/>
      <c r="S64" s="581"/>
      <c r="T64" s="581"/>
      <c r="U64" s="581"/>
      <c r="V64" s="582"/>
      <c r="W64" s="581"/>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row>
    <row r="65" spans="1:57" ht="15.75" customHeight="1">
      <c r="A65" s="430"/>
      <c r="B65" s="430"/>
      <c r="C65" s="430"/>
      <c r="D65" s="430"/>
      <c r="E65" s="430"/>
      <c r="F65" s="430"/>
      <c r="G65" s="430"/>
      <c r="H65" s="430"/>
      <c r="I65" s="430"/>
      <c r="J65" s="581"/>
      <c r="K65" s="581"/>
      <c r="L65" s="582"/>
      <c r="M65" s="581"/>
      <c r="N65" s="430"/>
      <c r="O65" s="430"/>
      <c r="P65" s="430"/>
      <c r="Q65" s="430"/>
      <c r="R65" s="430"/>
      <c r="S65" s="581"/>
      <c r="T65" s="581"/>
      <c r="U65" s="581"/>
      <c r="V65" s="582"/>
      <c r="W65" s="581"/>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row>
    <row r="66" spans="1:57" ht="15.75" customHeight="1">
      <c r="A66" s="430"/>
      <c r="B66" s="430"/>
      <c r="C66" s="430"/>
      <c r="D66" s="430"/>
      <c r="E66" s="430"/>
      <c r="F66" s="430"/>
      <c r="G66" s="430"/>
      <c r="H66" s="430"/>
      <c r="I66" s="430"/>
      <c r="J66" s="581"/>
      <c r="K66" s="581"/>
      <c r="L66" s="582"/>
      <c r="M66" s="581"/>
      <c r="N66" s="430"/>
      <c r="O66" s="430"/>
      <c r="P66" s="430"/>
      <c r="Q66" s="430"/>
      <c r="R66" s="430"/>
      <c r="S66" s="581"/>
      <c r="T66" s="581"/>
      <c r="U66" s="581"/>
      <c r="V66" s="582"/>
      <c r="W66" s="581"/>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row>
    <row r="67" spans="1:57" ht="15.75" customHeight="1">
      <c r="A67" s="430"/>
      <c r="B67" s="430"/>
      <c r="C67" s="430"/>
      <c r="D67" s="430"/>
      <c r="E67" s="430"/>
      <c r="F67" s="430"/>
      <c r="G67" s="430"/>
      <c r="H67" s="430"/>
      <c r="I67" s="430"/>
      <c r="J67" s="581"/>
      <c r="K67" s="581"/>
      <c r="L67" s="582"/>
      <c r="M67" s="581"/>
      <c r="N67" s="430"/>
      <c r="O67" s="430"/>
      <c r="P67" s="430"/>
      <c r="Q67" s="430"/>
      <c r="R67" s="430"/>
      <c r="S67" s="581"/>
      <c r="T67" s="581"/>
      <c r="U67" s="581"/>
      <c r="V67" s="582"/>
      <c r="W67" s="581"/>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row>
    <row r="68" spans="1:57" ht="15.75" customHeight="1">
      <c r="A68" s="430"/>
      <c r="B68" s="430"/>
      <c r="C68" s="430"/>
      <c r="D68" s="430"/>
      <c r="E68" s="430"/>
      <c r="F68" s="430"/>
      <c r="G68" s="430"/>
      <c r="H68" s="430"/>
      <c r="I68" s="430"/>
      <c r="J68" s="581"/>
      <c r="K68" s="581"/>
      <c r="L68" s="582"/>
      <c r="M68" s="581"/>
      <c r="N68" s="430"/>
      <c r="O68" s="430"/>
      <c r="P68" s="430"/>
      <c r="Q68" s="430"/>
      <c r="R68" s="430"/>
      <c r="S68" s="581"/>
      <c r="T68" s="581"/>
      <c r="U68" s="581"/>
      <c r="V68" s="582"/>
      <c r="W68" s="581"/>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row>
    <row r="69" spans="1:57" ht="15.75" customHeight="1">
      <c r="A69" s="430"/>
      <c r="B69" s="430"/>
      <c r="C69" s="430"/>
      <c r="D69" s="430"/>
      <c r="E69" s="430"/>
      <c r="F69" s="430"/>
      <c r="G69" s="430"/>
      <c r="H69" s="430"/>
      <c r="I69" s="430"/>
      <c r="J69" s="581"/>
      <c r="K69" s="581"/>
      <c r="L69" s="582"/>
      <c r="M69" s="581"/>
      <c r="N69" s="430"/>
      <c r="O69" s="430"/>
      <c r="P69" s="430"/>
      <c r="Q69" s="430"/>
      <c r="R69" s="430"/>
      <c r="S69" s="581"/>
      <c r="T69" s="581"/>
      <c r="U69" s="581"/>
      <c r="V69" s="582"/>
      <c r="W69" s="581"/>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row>
    <row r="70" spans="1:57" ht="15.75" customHeight="1">
      <c r="A70" s="430"/>
      <c r="B70" s="430"/>
      <c r="C70" s="430"/>
      <c r="D70" s="430"/>
      <c r="E70" s="430"/>
      <c r="F70" s="430"/>
      <c r="G70" s="430"/>
      <c r="H70" s="430"/>
      <c r="I70" s="430"/>
      <c r="J70" s="581"/>
      <c r="K70" s="581"/>
      <c r="L70" s="582"/>
      <c r="M70" s="581"/>
      <c r="N70" s="430"/>
      <c r="O70" s="430"/>
      <c r="P70" s="430"/>
      <c r="Q70" s="430"/>
      <c r="R70" s="430"/>
      <c r="S70" s="581"/>
      <c r="T70" s="581"/>
      <c r="U70" s="581"/>
      <c r="V70" s="582"/>
      <c r="W70" s="581"/>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row>
    <row r="71" spans="1:57" ht="15.75" customHeight="1">
      <c r="A71" s="430"/>
      <c r="B71" s="430"/>
      <c r="C71" s="430"/>
      <c r="D71" s="430"/>
      <c r="E71" s="430"/>
      <c r="F71" s="430"/>
      <c r="G71" s="430"/>
      <c r="H71" s="430"/>
      <c r="I71" s="430"/>
      <c r="J71" s="581"/>
      <c r="K71" s="581"/>
      <c r="L71" s="582"/>
      <c r="M71" s="581"/>
      <c r="N71" s="430"/>
      <c r="O71" s="430"/>
      <c r="P71" s="430"/>
      <c r="Q71" s="430"/>
      <c r="R71" s="430"/>
      <c r="S71" s="581"/>
      <c r="T71" s="581"/>
      <c r="U71" s="581"/>
      <c r="V71" s="582"/>
      <c r="W71" s="581"/>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row>
    <row r="72" spans="1:57" ht="15.75" customHeight="1">
      <c r="A72" s="430"/>
      <c r="B72" s="430"/>
      <c r="C72" s="430"/>
      <c r="D72" s="430"/>
      <c r="E72" s="430"/>
      <c r="F72" s="430"/>
      <c r="G72" s="430"/>
      <c r="H72" s="430"/>
      <c r="I72" s="430"/>
      <c r="J72" s="581"/>
      <c r="K72" s="581"/>
      <c r="L72" s="582"/>
      <c r="M72" s="581"/>
      <c r="N72" s="430"/>
      <c r="O72" s="430"/>
      <c r="P72" s="430"/>
      <c r="Q72" s="430"/>
      <c r="R72" s="430"/>
      <c r="S72" s="581"/>
      <c r="T72" s="581"/>
      <c r="U72" s="581"/>
      <c r="V72" s="582"/>
      <c r="W72" s="581"/>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row>
    <row r="73" spans="1:57" ht="15.75" customHeight="1">
      <c r="A73" s="430"/>
      <c r="B73" s="430"/>
      <c r="C73" s="430"/>
      <c r="D73" s="430"/>
      <c r="E73" s="430"/>
      <c r="F73" s="430"/>
      <c r="G73" s="430"/>
      <c r="H73" s="430"/>
      <c r="I73" s="430"/>
      <c r="J73" s="581"/>
      <c r="K73" s="581"/>
      <c r="L73" s="582"/>
      <c r="M73" s="581"/>
      <c r="N73" s="430"/>
      <c r="O73" s="430"/>
      <c r="P73" s="430"/>
      <c r="Q73" s="430"/>
      <c r="R73" s="430"/>
      <c r="S73" s="581"/>
      <c r="T73" s="581"/>
      <c r="U73" s="581"/>
      <c r="V73" s="582"/>
      <c r="W73" s="581"/>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0"/>
      <c r="BB73" s="430"/>
      <c r="BC73" s="430"/>
      <c r="BD73" s="430"/>
      <c r="BE73" s="430"/>
    </row>
    <row r="74" spans="1:57" ht="15.75" customHeight="1">
      <c r="A74" s="430"/>
      <c r="B74" s="430"/>
      <c r="C74" s="430"/>
      <c r="D74" s="430"/>
      <c r="E74" s="430"/>
      <c r="F74" s="430"/>
      <c r="G74" s="430"/>
      <c r="H74" s="430"/>
      <c r="I74" s="430"/>
      <c r="J74" s="581"/>
      <c r="K74" s="581"/>
      <c r="L74" s="582"/>
      <c r="M74" s="581"/>
      <c r="N74" s="430"/>
      <c r="O74" s="430"/>
      <c r="P74" s="430"/>
      <c r="Q74" s="430"/>
      <c r="R74" s="430"/>
      <c r="S74" s="581"/>
      <c r="T74" s="581"/>
      <c r="U74" s="581"/>
      <c r="V74" s="582"/>
      <c r="W74" s="581"/>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row>
    <row r="75" spans="1:57" ht="15.75" customHeight="1">
      <c r="A75" s="430"/>
      <c r="B75" s="430"/>
      <c r="C75" s="430"/>
      <c r="D75" s="430"/>
      <c r="E75" s="430"/>
      <c r="F75" s="430"/>
      <c r="G75" s="430"/>
      <c r="H75" s="430"/>
      <c r="I75" s="430"/>
      <c r="J75" s="581"/>
      <c r="K75" s="581"/>
      <c r="L75" s="582"/>
      <c r="M75" s="581"/>
      <c r="N75" s="430"/>
      <c r="O75" s="430"/>
      <c r="P75" s="430"/>
      <c r="Q75" s="430"/>
      <c r="R75" s="430"/>
      <c r="S75" s="581"/>
      <c r="T75" s="581"/>
      <c r="U75" s="581"/>
      <c r="V75" s="582"/>
      <c r="W75" s="581"/>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row>
    <row r="76" spans="1:57" ht="15.75" customHeight="1">
      <c r="A76" s="430"/>
      <c r="B76" s="430"/>
      <c r="C76" s="430"/>
      <c r="D76" s="430"/>
      <c r="E76" s="430"/>
      <c r="F76" s="430"/>
      <c r="G76" s="430"/>
      <c r="H76" s="430"/>
      <c r="I76" s="430"/>
      <c r="J76" s="581"/>
      <c r="K76" s="581"/>
      <c r="L76" s="582"/>
      <c r="M76" s="581"/>
      <c r="N76" s="430"/>
      <c r="O76" s="430"/>
      <c r="P76" s="430"/>
      <c r="Q76" s="430"/>
      <c r="R76" s="430"/>
      <c r="S76" s="581"/>
      <c r="T76" s="581"/>
      <c r="U76" s="581"/>
      <c r="V76" s="582"/>
      <c r="W76" s="581"/>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0"/>
      <c r="AY76" s="430"/>
      <c r="AZ76" s="430"/>
      <c r="BA76" s="430"/>
      <c r="BB76" s="430"/>
      <c r="BC76" s="430"/>
      <c r="BD76" s="430"/>
      <c r="BE76" s="430"/>
    </row>
    <row r="77" spans="1:57" ht="15.75" customHeight="1">
      <c r="A77" s="430"/>
      <c r="B77" s="430"/>
      <c r="C77" s="430"/>
      <c r="D77" s="430"/>
      <c r="E77" s="430"/>
      <c r="F77" s="430"/>
      <c r="G77" s="430"/>
      <c r="H77" s="430"/>
      <c r="I77" s="430"/>
      <c r="J77" s="581"/>
      <c r="K77" s="581"/>
      <c r="L77" s="582"/>
      <c r="M77" s="581"/>
      <c r="N77" s="430"/>
      <c r="O77" s="430"/>
      <c r="P77" s="430"/>
      <c r="Q77" s="430"/>
      <c r="R77" s="430"/>
      <c r="S77" s="581"/>
      <c r="T77" s="581"/>
      <c r="U77" s="581"/>
      <c r="V77" s="582"/>
      <c r="W77" s="581"/>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row>
    <row r="78" spans="1:57" ht="15.75" customHeight="1">
      <c r="A78" s="430"/>
      <c r="B78" s="430"/>
      <c r="C78" s="430"/>
      <c r="D78" s="430"/>
      <c r="E78" s="430"/>
      <c r="F78" s="430"/>
      <c r="G78" s="430"/>
      <c r="H78" s="430"/>
      <c r="I78" s="430"/>
      <c r="J78" s="581"/>
      <c r="K78" s="581"/>
      <c r="L78" s="582"/>
      <c r="M78" s="581"/>
      <c r="N78" s="430"/>
      <c r="O78" s="430"/>
      <c r="P78" s="430"/>
      <c r="Q78" s="430"/>
      <c r="R78" s="430"/>
      <c r="S78" s="581"/>
      <c r="T78" s="581"/>
      <c r="U78" s="581"/>
      <c r="V78" s="582"/>
      <c r="W78" s="581"/>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30"/>
      <c r="AZ78" s="430"/>
      <c r="BA78" s="430"/>
      <c r="BB78" s="430"/>
      <c r="BC78" s="430"/>
      <c r="BD78" s="430"/>
      <c r="BE78" s="430"/>
    </row>
    <row r="79" spans="1:57" ht="15.75" customHeight="1">
      <c r="A79" s="430"/>
      <c r="B79" s="430"/>
      <c r="C79" s="430"/>
      <c r="D79" s="430"/>
      <c r="E79" s="430"/>
      <c r="F79" s="430"/>
      <c r="G79" s="430"/>
      <c r="H79" s="430"/>
      <c r="I79" s="430"/>
      <c r="J79" s="581"/>
      <c r="K79" s="581"/>
      <c r="L79" s="582"/>
      <c r="M79" s="581"/>
      <c r="N79" s="430"/>
      <c r="O79" s="430"/>
      <c r="P79" s="430"/>
      <c r="Q79" s="430"/>
      <c r="R79" s="430"/>
      <c r="S79" s="581"/>
      <c r="T79" s="581"/>
      <c r="U79" s="581"/>
      <c r="V79" s="582"/>
      <c r="W79" s="581"/>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0"/>
      <c r="BB79" s="430"/>
      <c r="BC79" s="430"/>
      <c r="BD79" s="430"/>
      <c r="BE79" s="430"/>
    </row>
    <row r="80" spans="1:57" ht="15.75" customHeight="1">
      <c r="A80" s="430"/>
      <c r="B80" s="430"/>
      <c r="C80" s="430"/>
      <c r="D80" s="430"/>
      <c r="E80" s="430"/>
      <c r="F80" s="430"/>
      <c r="G80" s="430"/>
      <c r="H80" s="430"/>
      <c r="I80" s="430"/>
      <c r="J80" s="581"/>
      <c r="K80" s="581"/>
      <c r="L80" s="582"/>
      <c r="M80" s="581"/>
      <c r="N80" s="430"/>
      <c r="O80" s="430"/>
      <c r="P80" s="430"/>
      <c r="Q80" s="430"/>
      <c r="R80" s="430"/>
      <c r="S80" s="581"/>
      <c r="T80" s="581"/>
      <c r="U80" s="581"/>
      <c r="V80" s="582"/>
      <c r="W80" s="581"/>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0"/>
      <c r="AY80" s="430"/>
      <c r="AZ80" s="430"/>
      <c r="BA80" s="430"/>
      <c r="BB80" s="430"/>
      <c r="BC80" s="430"/>
      <c r="BD80" s="430"/>
      <c r="BE80" s="430"/>
    </row>
    <row r="81" spans="1:57" ht="15.75" customHeight="1">
      <c r="A81" s="430"/>
      <c r="B81" s="430"/>
      <c r="C81" s="430"/>
      <c r="D81" s="430"/>
      <c r="E81" s="430"/>
      <c r="F81" s="430"/>
      <c r="G81" s="430"/>
      <c r="H81" s="430"/>
      <c r="I81" s="430"/>
      <c r="J81" s="581"/>
      <c r="K81" s="581"/>
      <c r="L81" s="582"/>
      <c r="M81" s="581"/>
      <c r="N81" s="430"/>
      <c r="O81" s="430"/>
      <c r="P81" s="430"/>
      <c r="Q81" s="430"/>
      <c r="R81" s="430"/>
      <c r="S81" s="581"/>
      <c r="T81" s="581"/>
      <c r="U81" s="581"/>
      <c r="V81" s="582"/>
      <c r="W81" s="581"/>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430"/>
      <c r="BA81" s="430"/>
      <c r="BB81" s="430"/>
      <c r="BC81" s="430"/>
      <c r="BD81" s="430"/>
      <c r="BE81" s="430"/>
    </row>
    <row r="82" spans="1:57" ht="15.75" customHeight="1">
      <c r="A82" s="430"/>
      <c r="B82" s="430"/>
      <c r="C82" s="430"/>
      <c r="D82" s="430"/>
      <c r="E82" s="430"/>
      <c r="F82" s="430"/>
      <c r="G82" s="430"/>
      <c r="H82" s="430"/>
      <c r="I82" s="430"/>
      <c r="J82" s="581"/>
      <c r="K82" s="581"/>
      <c r="L82" s="582"/>
      <c r="M82" s="581"/>
      <c r="N82" s="430"/>
      <c r="O82" s="430"/>
      <c r="P82" s="430"/>
      <c r="Q82" s="430"/>
      <c r="R82" s="430"/>
      <c r="S82" s="581"/>
      <c r="T82" s="581"/>
      <c r="U82" s="581"/>
      <c r="V82" s="582"/>
      <c r="W82" s="581"/>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30"/>
      <c r="AZ82" s="430"/>
      <c r="BA82" s="430"/>
      <c r="BB82" s="430"/>
      <c r="BC82" s="430"/>
      <c r="BD82" s="430"/>
      <c r="BE82" s="430"/>
    </row>
    <row r="83" spans="1:57" ht="15.75" customHeight="1">
      <c r="A83" s="430"/>
      <c r="B83" s="430"/>
      <c r="C83" s="430"/>
      <c r="D83" s="430"/>
      <c r="E83" s="430"/>
      <c r="F83" s="430"/>
      <c r="G83" s="430"/>
      <c r="H83" s="430"/>
      <c r="I83" s="430"/>
      <c r="J83" s="581"/>
      <c r="K83" s="581"/>
      <c r="L83" s="582"/>
      <c r="M83" s="581"/>
      <c r="N83" s="430"/>
      <c r="O83" s="430"/>
      <c r="P83" s="430"/>
      <c r="Q83" s="430"/>
      <c r="R83" s="430"/>
      <c r="S83" s="581"/>
      <c r="T83" s="581"/>
      <c r="U83" s="581"/>
      <c r="V83" s="582"/>
      <c r="W83" s="581"/>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row>
    <row r="84" spans="1:57" ht="15.75" customHeight="1">
      <c r="A84" s="430"/>
      <c r="B84" s="430"/>
      <c r="C84" s="430"/>
      <c r="D84" s="430"/>
      <c r="E84" s="430"/>
      <c r="F84" s="430"/>
      <c r="G84" s="430"/>
      <c r="H84" s="430"/>
      <c r="I84" s="430"/>
      <c r="J84" s="581"/>
      <c r="K84" s="581"/>
      <c r="L84" s="582"/>
      <c r="M84" s="581"/>
      <c r="N84" s="430"/>
      <c r="O84" s="430"/>
      <c r="P84" s="430"/>
      <c r="Q84" s="430"/>
      <c r="R84" s="430"/>
      <c r="S84" s="581"/>
      <c r="T84" s="581"/>
      <c r="U84" s="581"/>
      <c r="V84" s="582"/>
      <c r="W84" s="581"/>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row>
    <row r="85" spans="1:57" ht="15.75" customHeight="1">
      <c r="A85" s="430"/>
      <c r="B85" s="430"/>
      <c r="C85" s="430"/>
      <c r="D85" s="430"/>
      <c r="E85" s="430"/>
      <c r="F85" s="430"/>
      <c r="G85" s="430"/>
      <c r="H85" s="430"/>
      <c r="I85" s="430"/>
      <c r="J85" s="581"/>
      <c r="K85" s="581"/>
      <c r="L85" s="582"/>
      <c r="M85" s="581"/>
      <c r="N85" s="430"/>
      <c r="O85" s="430"/>
      <c r="P85" s="430"/>
      <c r="Q85" s="430"/>
      <c r="R85" s="430"/>
      <c r="S85" s="581"/>
      <c r="T85" s="581"/>
      <c r="U85" s="581"/>
      <c r="V85" s="582"/>
      <c r="W85" s="581"/>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row>
    <row r="86" spans="1:57" ht="15.75" customHeight="1">
      <c r="A86" s="430"/>
      <c r="B86" s="430"/>
      <c r="C86" s="430"/>
      <c r="D86" s="430"/>
      <c r="E86" s="430"/>
      <c r="F86" s="430"/>
      <c r="G86" s="430"/>
      <c r="H86" s="430"/>
      <c r="I86" s="430"/>
      <c r="J86" s="581"/>
      <c r="K86" s="581"/>
      <c r="L86" s="582"/>
      <c r="M86" s="581"/>
      <c r="N86" s="430"/>
      <c r="O86" s="430"/>
      <c r="P86" s="430"/>
      <c r="Q86" s="430"/>
      <c r="R86" s="430"/>
      <c r="S86" s="581"/>
      <c r="T86" s="581"/>
      <c r="U86" s="581"/>
      <c r="V86" s="582"/>
      <c r="W86" s="581"/>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0"/>
      <c r="BD86" s="430"/>
      <c r="BE86" s="430"/>
    </row>
    <row r="87" spans="1:57" ht="15.75" customHeight="1">
      <c r="A87" s="430"/>
      <c r="B87" s="430"/>
      <c r="C87" s="430"/>
      <c r="D87" s="430"/>
      <c r="E87" s="430"/>
      <c r="F87" s="430"/>
      <c r="G87" s="430"/>
      <c r="H87" s="430"/>
      <c r="I87" s="430"/>
      <c r="J87" s="581"/>
      <c r="K87" s="581"/>
      <c r="L87" s="582"/>
      <c r="M87" s="581"/>
      <c r="N87" s="430"/>
      <c r="O87" s="430"/>
      <c r="P87" s="430"/>
      <c r="Q87" s="430"/>
      <c r="R87" s="430"/>
      <c r="S87" s="581"/>
      <c r="T87" s="581"/>
      <c r="U87" s="581"/>
      <c r="V87" s="582"/>
      <c r="W87" s="581"/>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row>
    <row r="88" spans="1:57" ht="15.75" customHeight="1">
      <c r="A88" s="430"/>
      <c r="B88" s="430"/>
      <c r="C88" s="430"/>
      <c r="D88" s="430"/>
      <c r="E88" s="430"/>
      <c r="F88" s="430"/>
      <c r="G88" s="430"/>
      <c r="H88" s="430"/>
      <c r="I88" s="430"/>
      <c r="J88" s="581"/>
      <c r="K88" s="581"/>
      <c r="L88" s="582"/>
      <c r="M88" s="581"/>
      <c r="N88" s="430"/>
      <c r="O88" s="430"/>
      <c r="P88" s="430"/>
      <c r="Q88" s="430"/>
      <c r="R88" s="430"/>
      <c r="S88" s="581"/>
      <c r="T88" s="581"/>
      <c r="U88" s="581"/>
      <c r="V88" s="582"/>
      <c r="W88" s="581"/>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0"/>
      <c r="AY88" s="430"/>
      <c r="AZ88" s="430"/>
      <c r="BA88" s="430"/>
      <c r="BB88" s="430"/>
      <c r="BC88" s="430"/>
      <c r="BD88" s="430"/>
      <c r="BE88" s="430"/>
    </row>
    <row r="89" spans="1:57" ht="15.75" customHeight="1">
      <c r="A89" s="430"/>
      <c r="B89" s="430"/>
      <c r="C89" s="430"/>
      <c r="D89" s="430"/>
      <c r="E89" s="430"/>
      <c r="F89" s="430"/>
      <c r="G89" s="430"/>
      <c r="H89" s="430"/>
      <c r="I89" s="430"/>
      <c r="J89" s="581"/>
      <c r="K89" s="581"/>
      <c r="L89" s="582"/>
      <c r="M89" s="581"/>
      <c r="N89" s="430"/>
      <c r="O89" s="430"/>
      <c r="P89" s="430"/>
      <c r="Q89" s="430"/>
      <c r="R89" s="430"/>
      <c r="S89" s="581"/>
      <c r="T89" s="581"/>
      <c r="U89" s="581"/>
      <c r="V89" s="582"/>
      <c r="W89" s="581"/>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0"/>
      <c r="AY89" s="430"/>
      <c r="AZ89" s="430"/>
      <c r="BA89" s="430"/>
      <c r="BB89" s="430"/>
      <c r="BC89" s="430"/>
      <c r="BD89" s="430"/>
      <c r="BE89" s="430"/>
    </row>
    <row r="90" spans="1:57" ht="15.75" customHeight="1">
      <c r="A90" s="430"/>
      <c r="B90" s="430"/>
      <c r="C90" s="430"/>
      <c r="D90" s="430"/>
      <c r="E90" s="430"/>
      <c r="F90" s="430"/>
      <c r="G90" s="430"/>
      <c r="H90" s="430"/>
      <c r="I90" s="430"/>
      <c r="J90" s="581"/>
      <c r="K90" s="581"/>
      <c r="L90" s="582"/>
      <c r="M90" s="581"/>
      <c r="N90" s="430"/>
      <c r="O90" s="430"/>
      <c r="P90" s="430"/>
      <c r="Q90" s="430"/>
      <c r="R90" s="430"/>
      <c r="S90" s="581"/>
      <c r="T90" s="581"/>
      <c r="U90" s="581"/>
      <c r="V90" s="582"/>
      <c r="W90" s="581"/>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0"/>
      <c r="AY90" s="430"/>
      <c r="AZ90" s="430"/>
      <c r="BA90" s="430"/>
      <c r="BB90" s="430"/>
      <c r="BC90" s="430"/>
      <c r="BD90" s="430"/>
      <c r="BE90" s="430"/>
    </row>
    <row r="91" spans="1:57" ht="15.75" customHeight="1">
      <c r="A91" s="430"/>
      <c r="B91" s="430"/>
      <c r="C91" s="430"/>
      <c r="D91" s="430"/>
      <c r="E91" s="430"/>
      <c r="F91" s="430"/>
      <c r="G91" s="430"/>
      <c r="H91" s="430"/>
      <c r="I91" s="430"/>
      <c r="J91" s="581"/>
      <c r="K91" s="581"/>
      <c r="L91" s="582"/>
      <c r="M91" s="581"/>
      <c r="N91" s="430"/>
      <c r="O91" s="430"/>
      <c r="P91" s="430"/>
      <c r="Q91" s="430"/>
      <c r="R91" s="430"/>
      <c r="S91" s="581"/>
      <c r="T91" s="581"/>
      <c r="U91" s="581"/>
      <c r="V91" s="582"/>
      <c r="W91" s="581"/>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0"/>
      <c r="AY91" s="430"/>
      <c r="AZ91" s="430"/>
      <c r="BA91" s="430"/>
      <c r="BB91" s="430"/>
      <c r="BC91" s="430"/>
      <c r="BD91" s="430"/>
      <c r="BE91" s="430"/>
    </row>
    <row r="92" spans="1:57" ht="15.75" customHeight="1">
      <c r="A92" s="430"/>
      <c r="B92" s="430"/>
      <c r="C92" s="430"/>
      <c r="D92" s="430"/>
      <c r="E92" s="430"/>
      <c r="F92" s="430"/>
      <c r="G92" s="430"/>
      <c r="H92" s="430"/>
      <c r="I92" s="430"/>
      <c r="J92" s="581"/>
      <c r="K92" s="581"/>
      <c r="L92" s="582"/>
      <c r="M92" s="581"/>
      <c r="N92" s="430"/>
      <c r="O92" s="430"/>
      <c r="P92" s="430"/>
      <c r="Q92" s="430"/>
      <c r="R92" s="430"/>
      <c r="S92" s="581"/>
      <c r="T92" s="581"/>
      <c r="U92" s="581"/>
      <c r="V92" s="582"/>
      <c r="W92" s="581"/>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0"/>
      <c r="AZ92" s="430"/>
      <c r="BA92" s="430"/>
      <c r="BB92" s="430"/>
      <c r="BC92" s="430"/>
      <c r="BD92" s="430"/>
      <c r="BE92" s="430"/>
    </row>
    <row r="93" spans="1:57" ht="15.75" customHeight="1">
      <c r="A93" s="430"/>
      <c r="B93" s="430"/>
      <c r="C93" s="430"/>
      <c r="D93" s="430"/>
      <c r="E93" s="430"/>
      <c r="F93" s="430"/>
      <c r="G93" s="430"/>
      <c r="H93" s="430"/>
      <c r="I93" s="430"/>
      <c r="J93" s="581"/>
      <c r="K93" s="581"/>
      <c r="L93" s="582"/>
      <c r="M93" s="581"/>
      <c r="N93" s="430"/>
      <c r="O93" s="430"/>
      <c r="P93" s="430"/>
      <c r="Q93" s="430"/>
      <c r="R93" s="430"/>
      <c r="S93" s="581"/>
      <c r="T93" s="581"/>
      <c r="U93" s="581"/>
      <c r="V93" s="582"/>
      <c r="W93" s="581"/>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0"/>
      <c r="BB93" s="430"/>
      <c r="BC93" s="430"/>
      <c r="BD93" s="430"/>
      <c r="BE93" s="430"/>
    </row>
    <row r="94" spans="1:57" ht="15.75" customHeight="1">
      <c r="A94" s="430"/>
      <c r="B94" s="430"/>
      <c r="C94" s="430"/>
      <c r="D94" s="430"/>
      <c r="E94" s="430"/>
      <c r="F94" s="430"/>
      <c r="G94" s="430"/>
      <c r="H94" s="430"/>
      <c r="I94" s="430"/>
      <c r="J94" s="581"/>
      <c r="K94" s="581"/>
      <c r="L94" s="582"/>
      <c r="M94" s="581"/>
      <c r="N94" s="430"/>
      <c r="O94" s="430"/>
      <c r="P94" s="430"/>
      <c r="Q94" s="430"/>
      <c r="R94" s="430"/>
      <c r="S94" s="581"/>
      <c r="T94" s="581"/>
      <c r="U94" s="581"/>
      <c r="V94" s="582"/>
      <c r="W94" s="581"/>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c r="BD94" s="430"/>
      <c r="BE94" s="430"/>
    </row>
    <row r="95" spans="1:57" ht="15.75" customHeight="1">
      <c r="A95" s="430"/>
      <c r="B95" s="430"/>
      <c r="C95" s="430"/>
      <c r="D95" s="430"/>
      <c r="E95" s="430"/>
      <c r="F95" s="430"/>
      <c r="G95" s="430"/>
      <c r="H95" s="430"/>
      <c r="I95" s="430"/>
      <c r="J95" s="581"/>
      <c r="K95" s="581"/>
      <c r="L95" s="582"/>
      <c r="M95" s="581"/>
      <c r="N95" s="430"/>
      <c r="O95" s="430"/>
      <c r="P95" s="430"/>
      <c r="Q95" s="430"/>
      <c r="R95" s="430"/>
      <c r="S95" s="581"/>
      <c r="T95" s="581"/>
      <c r="U95" s="581"/>
      <c r="V95" s="582"/>
      <c r="W95" s="581"/>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0"/>
      <c r="AY95" s="430"/>
      <c r="AZ95" s="430"/>
      <c r="BA95" s="430"/>
      <c r="BB95" s="430"/>
      <c r="BC95" s="430"/>
      <c r="BD95" s="430"/>
      <c r="BE95" s="430"/>
    </row>
    <row r="96" spans="1:57" ht="15.75" customHeight="1">
      <c r="A96" s="430"/>
      <c r="B96" s="430"/>
      <c r="C96" s="430"/>
      <c r="D96" s="430"/>
      <c r="E96" s="430"/>
      <c r="F96" s="430"/>
      <c r="G96" s="430"/>
      <c r="H96" s="430"/>
      <c r="I96" s="430"/>
      <c r="J96" s="581"/>
      <c r="K96" s="581"/>
      <c r="L96" s="582"/>
      <c r="M96" s="581"/>
      <c r="N96" s="430"/>
      <c r="O96" s="430"/>
      <c r="P96" s="430"/>
      <c r="Q96" s="430"/>
      <c r="R96" s="430"/>
      <c r="S96" s="581"/>
      <c r="T96" s="581"/>
      <c r="U96" s="581"/>
      <c r="V96" s="582"/>
      <c r="W96" s="581"/>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0"/>
      <c r="AY96" s="430"/>
      <c r="AZ96" s="430"/>
      <c r="BA96" s="430"/>
      <c r="BB96" s="430"/>
      <c r="BC96" s="430"/>
      <c r="BD96" s="430"/>
      <c r="BE96" s="430"/>
    </row>
    <row r="97" spans="1:57" ht="15.75" customHeight="1">
      <c r="A97" s="430"/>
      <c r="B97" s="430"/>
      <c r="C97" s="430"/>
      <c r="D97" s="430"/>
      <c r="E97" s="430"/>
      <c r="F97" s="430"/>
      <c r="G97" s="430"/>
      <c r="H97" s="430"/>
      <c r="I97" s="430"/>
      <c r="J97" s="581"/>
      <c r="K97" s="581"/>
      <c r="L97" s="582"/>
      <c r="M97" s="581"/>
      <c r="N97" s="430"/>
      <c r="O97" s="430"/>
      <c r="P97" s="430"/>
      <c r="Q97" s="430"/>
      <c r="R97" s="430"/>
      <c r="S97" s="581"/>
      <c r="T97" s="581"/>
      <c r="U97" s="581"/>
      <c r="V97" s="582"/>
      <c r="W97" s="581"/>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row>
    <row r="98" spans="1:57" ht="15.75" customHeight="1">
      <c r="A98" s="430"/>
      <c r="B98" s="430"/>
      <c r="C98" s="430"/>
      <c r="D98" s="430"/>
      <c r="E98" s="430"/>
      <c r="F98" s="430"/>
      <c r="G98" s="430"/>
      <c r="H98" s="430"/>
      <c r="I98" s="430"/>
      <c r="J98" s="581"/>
      <c r="K98" s="581"/>
      <c r="L98" s="582"/>
      <c r="M98" s="581"/>
      <c r="N98" s="430"/>
      <c r="O98" s="430"/>
      <c r="P98" s="430"/>
      <c r="Q98" s="430"/>
      <c r="R98" s="430"/>
      <c r="S98" s="581"/>
      <c r="T98" s="581"/>
      <c r="U98" s="581"/>
      <c r="V98" s="582"/>
      <c r="W98" s="581"/>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row>
    <row r="99" spans="1:57" ht="15.75" customHeight="1">
      <c r="A99" s="430"/>
      <c r="B99" s="430"/>
      <c r="C99" s="430"/>
      <c r="D99" s="430"/>
      <c r="E99" s="430"/>
      <c r="F99" s="430"/>
      <c r="G99" s="430"/>
      <c r="H99" s="430"/>
      <c r="I99" s="430"/>
      <c r="J99" s="581"/>
      <c r="K99" s="581"/>
      <c r="L99" s="582"/>
      <c r="M99" s="581"/>
      <c r="N99" s="430"/>
      <c r="O99" s="430"/>
      <c r="P99" s="430"/>
      <c r="Q99" s="430"/>
      <c r="R99" s="430"/>
      <c r="S99" s="581"/>
      <c r="T99" s="581"/>
      <c r="U99" s="581"/>
      <c r="V99" s="582"/>
      <c r="W99" s="581"/>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row>
    <row r="100" spans="1:57" ht="15.75" customHeight="1">
      <c r="A100" s="430"/>
      <c r="B100" s="430"/>
      <c r="C100" s="430"/>
      <c r="D100" s="430"/>
      <c r="E100" s="430"/>
      <c r="F100" s="430"/>
      <c r="G100" s="430"/>
      <c r="H100" s="430"/>
      <c r="I100" s="430"/>
      <c r="J100" s="581"/>
      <c r="K100" s="581"/>
      <c r="L100" s="582"/>
      <c r="M100" s="581"/>
      <c r="N100" s="430"/>
      <c r="O100" s="430"/>
      <c r="P100" s="430"/>
      <c r="Q100" s="430"/>
      <c r="R100" s="430"/>
      <c r="S100" s="581"/>
      <c r="T100" s="581"/>
      <c r="U100" s="581"/>
      <c r="V100" s="582"/>
      <c r="W100" s="581"/>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row>
    <row r="101" spans="1:57" ht="15.75" customHeight="1">
      <c r="A101" s="430"/>
      <c r="B101" s="430"/>
      <c r="C101" s="430"/>
      <c r="D101" s="430"/>
      <c r="E101" s="430"/>
      <c r="F101" s="430"/>
      <c r="G101" s="430"/>
      <c r="H101" s="430"/>
      <c r="I101" s="430"/>
      <c r="J101" s="581"/>
      <c r="K101" s="581"/>
      <c r="L101" s="582"/>
      <c r="M101" s="581"/>
      <c r="N101" s="430"/>
      <c r="O101" s="430"/>
      <c r="P101" s="430"/>
      <c r="Q101" s="430"/>
      <c r="R101" s="430"/>
      <c r="S101" s="581"/>
      <c r="T101" s="581"/>
      <c r="U101" s="581"/>
      <c r="V101" s="582"/>
      <c r="W101" s="581"/>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row>
    <row r="102" spans="1:57" ht="15.75" customHeight="1">
      <c r="A102" s="430"/>
      <c r="B102" s="430"/>
      <c r="C102" s="430"/>
      <c r="D102" s="430"/>
      <c r="E102" s="430"/>
      <c r="F102" s="430"/>
      <c r="G102" s="430"/>
      <c r="H102" s="430"/>
      <c r="I102" s="430"/>
      <c r="J102" s="581"/>
      <c r="K102" s="581"/>
      <c r="L102" s="582"/>
      <c r="M102" s="581"/>
      <c r="N102" s="430"/>
      <c r="O102" s="430"/>
      <c r="P102" s="430"/>
      <c r="Q102" s="430"/>
      <c r="R102" s="430"/>
      <c r="S102" s="581"/>
      <c r="T102" s="581"/>
      <c r="U102" s="581"/>
      <c r="V102" s="582"/>
      <c r="W102" s="581"/>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c r="AY102" s="430"/>
      <c r="AZ102" s="430"/>
      <c r="BA102" s="430"/>
      <c r="BB102" s="430"/>
      <c r="BC102" s="430"/>
      <c r="BD102" s="430"/>
      <c r="BE102" s="430"/>
    </row>
    <row r="103" spans="1:57" ht="15.75" customHeight="1">
      <c r="A103" s="430"/>
      <c r="B103" s="430"/>
      <c r="C103" s="430"/>
      <c r="D103" s="430"/>
      <c r="E103" s="430"/>
      <c r="F103" s="430"/>
      <c r="G103" s="430"/>
      <c r="H103" s="430"/>
      <c r="I103" s="430"/>
      <c r="J103" s="581"/>
      <c r="K103" s="581"/>
      <c r="L103" s="582"/>
      <c r="M103" s="581"/>
      <c r="N103" s="430"/>
      <c r="O103" s="430"/>
      <c r="P103" s="430"/>
      <c r="Q103" s="430"/>
      <c r="R103" s="430"/>
      <c r="S103" s="581"/>
      <c r="T103" s="581"/>
      <c r="U103" s="581"/>
      <c r="V103" s="582"/>
      <c r="W103" s="581"/>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0"/>
      <c r="AY103" s="430"/>
      <c r="AZ103" s="430"/>
      <c r="BA103" s="430"/>
      <c r="BB103" s="430"/>
      <c r="BC103" s="430"/>
      <c r="BD103" s="430"/>
      <c r="BE103" s="430"/>
    </row>
    <row r="104" spans="1:57" ht="15.75" customHeight="1">
      <c r="A104" s="430"/>
      <c r="B104" s="430"/>
      <c r="C104" s="430"/>
      <c r="D104" s="430"/>
      <c r="E104" s="430"/>
      <c r="F104" s="430"/>
      <c r="G104" s="430"/>
      <c r="H104" s="430"/>
      <c r="I104" s="430"/>
      <c r="J104" s="581"/>
      <c r="K104" s="581"/>
      <c r="L104" s="582"/>
      <c r="M104" s="581"/>
      <c r="N104" s="430"/>
      <c r="O104" s="430"/>
      <c r="P104" s="430"/>
      <c r="Q104" s="430"/>
      <c r="R104" s="430"/>
      <c r="S104" s="581"/>
      <c r="T104" s="581"/>
      <c r="U104" s="581"/>
      <c r="V104" s="582"/>
      <c r="W104" s="581"/>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row>
    <row r="105" spans="1:57" ht="15.75" customHeight="1">
      <c r="A105" s="430"/>
      <c r="B105" s="430"/>
      <c r="C105" s="430"/>
      <c r="D105" s="430"/>
      <c r="E105" s="430"/>
      <c r="F105" s="430"/>
      <c r="G105" s="430"/>
      <c r="H105" s="430"/>
      <c r="I105" s="430"/>
      <c r="J105" s="581"/>
      <c r="K105" s="581"/>
      <c r="L105" s="582"/>
      <c r="M105" s="581"/>
      <c r="N105" s="430"/>
      <c r="O105" s="430"/>
      <c r="P105" s="430"/>
      <c r="Q105" s="430"/>
      <c r="R105" s="430"/>
      <c r="S105" s="581"/>
      <c r="T105" s="581"/>
      <c r="U105" s="581"/>
      <c r="V105" s="582"/>
      <c r="W105" s="581"/>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row>
    <row r="106" spans="1:57" ht="15.75" customHeight="1">
      <c r="A106" s="430"/>
      <c r="B106" s="430"/>
      <c r="C106" s="430"/>
      <c r="D106" s="430"/>
      <c r="E106" s="430"/>
      <c r="F106" s="430"/>
      <c r="G106" s="430"/>
      <c r="H106" s="430"/>
      <c r="I106" s="430"/>
      <c r="J106" s="581"/>
      <c r="K106" s="581"/>
      <c r="L106" s="582"/>
      <c r="M106" s="581"/>
      <c r="N106" s="430"/>
      <c r="O106" s="430"/>
      <c r="P106" s="430"/>
      <c r="Q106" s="430"/>
      <c r="R106" s="430"/>
      <c r="S106" s="581"/>
      <c r="T106" s="581"/>
      <c r="U106" s="581"/>
      <c r="V106" s="582"/>
      <c r="W106" s="581"/>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row>
    <row r="107" spans="1:57" ht="15.75" customHeight="1">
      <c r="A107" s="430"/>
      <c r="B107" s="430"/>
      <c r="C107" s="430"/>
      <c r="D107" s="430"/>
      <c r="E107" s="430"/>
      <c r="F107" s="430"/>
      <c r="G107" s="430"/>
      <c r="H107" s="430"/>
      <c r="I107" s="430"/>
      <c r="J107" s="581"/>
      <c r="K107" s="581"/>
      <c r="L107" s="582"/>
      <c r="M107" s="581"/>
      <c r="N107" s="430"/>
      <c r="O107" s="430"/>
      <c r="P107" s="430"/>
      <c r="Q107" s="430"/>
      <c r="R107" s="430"/>
      <c r="S107" s="581"/>
      <c r="T107" s="581"/>
      <c r="U107" s="581"/>
      <c r="V107" s="582"/>
      <c r="W107" s="581"/>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row>
    <row r="108" spans="1:57" ht="15.75" customHeight="1">
      <c r="A108" s="430"/>
      <c r="B108" s="430"/>
      <c r="C108" s="430"/>
      <c r="D108" s="430"/>
      <c r="E108" s="430"/>
      <c r="F108" s="430"/>
      <c r="G108" s="430"/>
      <c r="H108" s="430"/>
      <c r="I108" s="430"/>
      <c r="J108" s="581"/>
      <c r="K108" s="581"/>
      <c r="L108" s="582"/>
      <c r="M108" s="581"/>
      <c r="N108" s="430"/>
      <c r="O108" s="430"/>
      <c r="P108" s="430"/>
      <c r="Q108" s="430"/>
      <c r="R108" s="430"/>
      <c r="S108" s="581"/>
      <c r="T108" s="581"/>
      <c r="U108" s="581"/>
      <c r="V108" s="582"/>
      <c r="W108" s="581"/>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row>
    <row r="109" spans="1:57" ht="15.75" customHeight="1">
      <c r="A109" s="430"/>
      <c r="B109" s="430"/>
      <c r="C109" s="430"/>
      <c r="D109" s="430"/>
      <c r="E109" s="430"/>
      <c r="F109" s="430"/>
      <c r="G109" s="430"/>
      <c r="H109" s="430"/>
      <c r="I109" s="430"/>
      <c r="J109" s="581"/>
      <c r="K109" s="581"/>
      <c r="L109" s="582"/>
      <c r="M109" s="581"/>
      <c r="N109" s="430"/>
      <c r="O109" s="430"/>
      <c r="P109" s="430"/>
      <c r="Q109" s="430"/>
      <c r="R109" s="430"/>
      <c r="S109" s="581"/>
      <c r="T109" s="581"/>
      <c r="U109" s="581"/>
      <c r="V109" s="582"/>
      <c r="W109" s="581"/>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row>
    <row r="110" spans="1:57" ht="15.75" customHeight="1">
      <c r="A110" s="430"/>
      <c r="B110" s="430"/>
      <c r="C110" s="430"/>
      <c r="D110" s="430"/>
      <c r="E110" s="430"/>
      <c r="F110" s="430"/>
      <c r="G110" s="430"/>
      <c r="H110" s="430"/>
      <c r="I110" s="430"/>
      <c r="J110" s="581"/>
      <c r="K110" s="581"/>
      <c r="L110" s="582"/>
      <c r="M110" s="581"/>
      <c r="N110" s="430"/>
      <c r="O110" s="430"/>
      <c r="P110" s="430"/>
      <c r="Q110" s="430"/>
      <c r="R110" s="430"/>
      <c r="S110" s="581"/>
      <c r="T110" s="581"/>
      <c r="U110" s="581"/>
      <c r="V110" s="582"/>
      <c r="W110" s="581"/>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row>
    <row r="111" spans="1:57" ht="15.75" customHeight="1">
      <c r="A111" s="430"/>
      <c r="B111" s="430"/>
      <c r="C111" s="430"/>
      <c r="D111" s="430"/>
      <c r="E111" s="430"/>
      <c r="F111" s="430"/>
      <c r="G111" s="430"/>
      <c r="H111" s="430"/>
      <c r="I111" s="430"/>
      <c r="J111" s="581"/>
      <c r="K111" s="581"/>
      <c r="L111" s="582"/>
      <c r="M111" s="581"/>
      <c r="N111" s="430"/>
      <c r="O111" s="430"/>
      <c r="P111" s="430"/>
      <c r="Q111" s="430"/>
      <c r="R111" s="430"/>
      <c r="S111" s="581"/>
      <c r="T111" s="581"/>
      <c r="U111" s="581"/>
      <c r="V111" s="582"/>
      <c r="W111" s="581"/>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row>
    <row r="112" spans="1:57" ht="15.75" customHeight="1">
      <c r="A112" s="430"/>
      <c r="B112" s="430"/>
      <c r="C112" s="430"/>
      <c r="D112" s="430"/>
      <c r="E112" s="430"/>
      <c r="F112" s="430"/>
      <c r="G112" s="430"/>
      <c r="H112" s="430"/>
      <c r="I112" s="430"/>
      <c r="J112" s="581"/>
      <c r="K112" s="581"/>
      <c r="L112" s="582"/>
      <c r="M112" s="581"/>
      <c r="N112" s="430"/>
      <c r="O112" s="430"/>
      <c r="P112" s="430"/>
      <c r="Q112" s="430"/>
      <c r="R112" s="430"/>
      <c r="S112" s="581"/>
      <c r="T112" s="581"/>
      <c r="U112" s="581"/>
      <c r="V112" s="582"/>
      <c r="W112" s="581"/>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0"/>
      <c r="AY112" s="430"/>
      <c r="AZ112" s="430"/>
      <c r="BA112" s="430"/>
      <c r="BB112" s="430"/>
      <c r="BC112" s="430"/>
      <c r="BD112" s="430"/>
      <c r="BE112" s="430"/>
    </row>
    <row r="113" spans="1:57" ht="15.75" customHeight="1">
      <c r="A113" s="430"/>
      <c r="B113" s="430"/>
      <c r="C113" s="430"/>
      <c r="D113" s="430"/>
      <c r="E113" s="430"/>
      <c r="F113" s="430"/>
      <c r="G113" s="430"/>
      <c r="H113" s="430"/>
      <c r="I113" s="430"/>
      <c r="J113" s="581"/>
      <c r="K113" s="581"/>
      <c r="L113" s="582"/>
      <c r="M113" s="581"/>
      <c r="N113" s="430"/>
      <c r="O113" s="430"/>
      <c r="P113" s="430"/>
      <c r="Q113" s="430"/>
      <c r="R113" s="430"/>
      <c r="S113" s="581"/>
      <c r="T113" s="581"/>
      <c r="U113" s="581"/>
      <c r="V113" s="582"/>
      <c r="W113" s="581"/>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row>
    <row r="114" spans="1:57" ht="15.75" customHeight="1">
      <c r="A114" s="430"/>
      <c r="B114" s="430"/>
      <c r="C114" s="430"/>
      <c r="D114" s="430"/>
      <c r="E114" s="430"/>
      <c r="F114" s="430"/>
      <c r="G114" s="430"/>
      <c r="H114" s="430"/>
      <c r="I114" s="430"/>
      <c r="J114" s="581"/>
      <c r="K114" s="581"/>
      <c r="L114" s="582"/>
      <c r="M114" s="581"/>
      <c r="N114" s="430"/>
      <c r="O114" s="430"/>
      <c r="P114" s="430"/>
      <c r="Q114" s="430"/>
      <c r="R114" s="430"/>
      <c r="S114" s="581"/>
      <c r="T114" s="581"/>
      <c r="U114" s="581"/>
      <c r="V114" s="582"/>
      <c r="W114" s="581"/>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row>
    <row r="115" spans="1:57" ht="15.75" customHeight="1">
      <c r="A115" s="430"/>
      <c r="B115" s="430"/>
      <c r="C115" s="430"/>
      <c r="D115" s="430"/>
      <c r="E115" s="430"/>
      <c r="F115" s="430"/>
      <c r="G115" s="430"/>
      <c r="H115" s="430"/>
      <c r="I115" s="430"/>
      <c r="J115" s="581"/>
      <c r="K115" s="581"/>
      <c r="L115" s="582"/>
      <c r="M115" s="581"/>
      <c r="N115" s="430"/>
      <c r="O115" s="430"/>
      <c r="P115" s="430"/>
      <c r="Q115" s="430"/>
      <c r="R115" s="430"/>
      <c r="S115" s="581"/>
      <c r="T115" s="581"/>
      <c r="U115" s="581"/>
      <c r="V115" s="582"/>
      <c r="W115" s="581"/>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row>
    <row r="116" spans="1:57" ht="15.75" customHeight="1">
      <c r="A116" s="430"/>
      <c r="B116" s="430"/>
      <c r="C116" s="430"/>
      <c r="D116" s="430"/>
      <c r="E116" s="430"/>
      <c r="F116" s="430"/>
      <c r="G116" s="430"/>
      <c r="H116" s="430"/>
      <c r="I116" s="430"/>
      <c r="J116" s="581"/>
      <c r="K116" s="581"/>
      <c r="L116" s="582"/>
      <c r="M116" s="581"/>
      <c r="N116" s="430"/>
      <c r="O116" s="430"/>
      <c r="P116" s="430"/>
      <c r="Q116" s="430"/>
      <c r="R116" s="430"/>
      <c r="S116" s="581"/>
      <c r="T116" s="581"/>
      <c r="U116" s="581"/>
      <c r="V116" s="582"/>
      <c r="W116" s="581"/>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row>
    <row r="117" spans="1:57" ht="15.75" customHeight="1">
      <c r="A117" s="430"/>
      <c r="B117" s="430"/>
      <c r="C117" s="430"/>
      <c r="D117" s="430"/>
      <c r="E117" s="430"/>
      <c r="F117" s="430"/>
      <c r="G117" s="430"/>
      <c r="H117" s="430"/>
      <c r="I117" s="430"/>
      <c r="J117" s="581"/>
      <c r="K117" s="581"/>
      <c r="L117" s="582"/>
      <c r="M117" s="581"/>
      <c r="N117" s="430"/>
      <c r="O117" s="430"/>
      <c r="P117" s="430"/>
      <c r="Q117" s="430"/>
      <c r="R117" s="430"/>
      <c r="S117" s="581"/>
      <c r="T117" s="581"/>
      <c r="U117" s="581"/>
      <c r="V117" s="582"/>
      <c r="W117" s="581"/>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row>
    <row r="118" spans="1:57" ht="15.75" customHeight="1">
      <c r="A118" s="430"/>
      <c r="B118" s="430"/>
      <c r="C118" s="430"/>
      <c r="D118" s="430"/>
      <c r="E118" s="430"/>
      <c r="F118" s="430"/>
      <c r="G118" s="430"/>
      <c r="H118" s="430"/>
      <c r="I118" s="430"/>
      <c r="J118" s="581"/>
      <c r="K118" s="581"/>
      <c r="L118" s="582"/>
      <c r="M118" s="581"/>
      <c r="N118" s="430"/>
      <c r="O118" s="430"/>
      <c r="P118" s="430"/>
      <c r="Q118" s="430"/>
      <c r="R118" s="430"/>
      <c r="S118" s="581"/>
      <c r="T118" s="581"/>
      <c r="U118" s="581"/>
      <c r="V118" s="582"/>
      <c r="W118" s="581"/>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row>
    <row r="119" spans="1:57" ht="15.75" customHeight="1">
      <c r="A119" s="430"/>
      <c r="B119" s="430"/>
      <c r="C119" s="430"/>
      <c r="D119" s="430"/>
      <c r="E119" s="430"/>
      <c r="F119" s="430"/>
      <c r="G119" s="430"/>
      <c r="H119" s="430"/>
      <c r="I119" s="430"/>
      <c r="J119" s="581"/>
      <c r="K119" s="581"/>
      <c r="L119" s="582"/>
      <c r="M119" s="581"/>
      <c r="N119" s="430"/>
      <c r="O119" s="430"/>
      <c r="P119" s="430"/>
      <c r="Q119" s="430"/>
      <c r="R119" s="430"/>
      <c r="S119" s="581"/>
      <c r="T119" s="581"/>
      <c r="U119" s="581"/>
      <c r="V119" s="582"/>
      <c r="W119" s="581"/>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row>
    <row r="120" spans="1:57" ht="15.75" customHeight="1">
      <c r="A120" s="430"/>
      <c r="B120" s="430"/>
      <c r="C120" s="430"/>
      <c r="D120" s="430"/>
      <c r="E120" s="430"/>
      <c r="F120" s="430"/>
      <c r="G120" s="430"/>
      <c r="H120" s="430"/>
      <c r="I120" s="430"/>
      <c r="J120" s="581"/>
      <c r="K120" s="581"/>
      <c r="L120" s="582"/>
      <c r="M120" s="581"/>
      <c r="N120" s="430"/>
      <c r="O120" s="430"/>
      <c r="P120" s="430"/>
      <c r="Q120" s="430"/>
      <c r="R120" s="430"/>
      <c r="S120" s="581"/>
      <c r="T120" s="581"/>
      <c r="U120" s="581"/>
      <c r="V120" s="582"/>
      <c r="W120" s="581"/>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row>
    <row r="121" spans="1:57" ht="15.75" customHeight="1">
      <c r="A121" s="430"/>
      <c r="B121" s="430"/>
      <c r="C121" s="430"/>
      <c r="D121" s="430"/>
      <c r="E121" s="430"/>
      <c r="F121" s="430"/>
      <c r="G121" s="430"/>
      <c r="H121" s="430"/>
      <c r="I121" s="430"/>
      <c r="J121" s="581"/>
      <c r="K121" s="581"/>
      <c r="L121" s="582"/>
      <c r="M121" s="581"/>
      <c r="N121" s="430"/>
      <c r="O121" s="430"/>
      <c r="P121" s="430"/>
      <c r="Q121" s="430"/>
      <c r="R121" s="430"/>
      <c r="S121" s="581"/>
      <c r="T121" s="581"/>
      <c r="U121" s="581"/>
      <c r="V121" s="582"/>
      <c r="W121" s="581"/>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row>
    <row r="122" spans="1:57" ht="15.75" customHeight="1">
      <c r="A122" s="430"/>
      <c r="B122" s="430"/>
      <c r="C122" s="430"/>
      <c r="D122" s="430"/>
      <c r="E122" s="430"/>
      <c r="F122" s="430"/>
      <c r="G122" s="430"/>
      <c r="H122" s="430"/>
      <c r="I122" s="430"/>
      <c r="J122" s="581"/>
      <c r="K122" s="581"/>
      <c r="L122" s="582"/>
      <c r="M122" s="581"/>
      <c r="N122" s="430"/>
      <c r="O122" s="430"/>
      <c r="P122" s="430"/>
      <c r="Q122" s="430"/>
      <c r="R122" s="430"/>
      <c r="S122" s="581"/>
      <c r="T122" s="581"/>
      <c r="U122" s="581"/>
      <c r="V122" s="582"/>
      <c r="W122" s="581"/>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row>
    <row r="123" spans="1:57" ht="15.75" customHeight="1">
      <c r="A123" s="430"/>
      <c r="B123" s="430"/>
      <c r="C123" s="430"/>
      <c r="D123" s="430"/>
      <c r="E123" s="430"/>
      <c r="F123" s="430"/>
      <c r="G123" s="430"/>
      <c r="H123" s="430"/>
      <c r="I123" s="430"/>
      <c r="J123" s="581"/>
      <c r="K123" s="581"/>
      <c r="L123" s="582"/>
      <c r="M123" s="581"/>
      <c r="N123" s="430"/>
      <c r="O123" s="430"/>
      <c r="P123" s="430"/>
      <c r="Q123" s="430"/>
      <c r="R123" s="430"/>
      <c r="S123" s="581"/>
      <c r="T123" s="581"/>
      <c r="U123" s="581"/>
      <c r="V123" s="582"/>
      <c r="W123" s="581"/>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row>
    <row r="124" spans="1:57" ht="15.75" customHeight="1">
      <c r="A124" s="430"/>
      <c r="B124" s="430"/>
      <c r="C124" s="430"/>
      <c r="D124" s="430"/>
      <c r="E124" s="430"/>
      <c r="F124" s="430"/>
      <c r="G124" s="430"/>
      <c r="H124" s="430"/>
      <c r="I124" s="430"/>
      <c r="J124" s="581"/>
      <c r="K124" s="581"/>
      <c r="L124" s="582"/>
      <c r="M124" s="581"/>
      <c r="N124" s="430"/>
      <c r="O124" s="430"/>
      <c r="P124" s="430"/>
      <c r="Q124" s="430"/>
      <c r="R124" s="430"/>
      <c r="S124" s="581"/>
      <c r="T124" s="581"/>
      <c r="U124" s="581"/>
      <c r="V124" s="582"/>
      <c r="W124" s="581"/>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row>
    <row r="125" spans="1:57" ht="15.75" customHeight="1">
      <c r="A125" s="430"/>
      <c r="B125" s="430"/>
      <c r="C125" s="430"/>
      <c r="D125" s="430"/>
      <c r="E125" s="430"/>
      <c r="F125" s="430"/>
      <c r="G125" s="430"/>
      <c r="H125" s="430"/>
      <c r="I125" s="430"/>
      <c r="J125" s="581"/>
      <c r="K125" s="581"/>
      <c r="L125" s="582"/>
      <c r="M125" s="581"/>
      <c r="N125" s="430"/>
      <c r="O125" s="430"/>
      <c r="P125" s="430"/>
      <c r="Q125" s="430"/>
      <c r="R125" s="430"/>
      <c r="S125" s="581"/>
      <c r="T125" s="581"/>
      <c r="U125" s="581"/>
      <c r="V125" s="582"/>
      <c r="W125" s="581"/>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row>
    <row r="126" spans="1:57" ht="15.75" customHeight="1">
      <c r="A126" s="430"/>
      <c r="B126" s="430"/>
      <c r="C126" s="430"/>
      <c r="D126" s="430"/>
      <c r="E126" s="430"/>
      <c r="F126" s="430"/>
      <c r="G126" s="430"/>
      <c r="H126" s="430"/>
      <c r="I126" s="430"/>
      <c r="J126" s="581"/>
      <c r="K126" s="581"/>
      <c r="L126" s="582"/>
      <c r="M126" s="581"/>
      <c r="N126" s="430"/>
      <c r="O126" s="430"/>
      <c r="P126" s="430"/>
      <c r="Q126" s="430"/>
      <c r="R126" s="430"/>
      <c r="S126" s="581"/>
      <c r="T126" s="581"/>
      <c r="U126" s="581"/>
      <c r="V126" s="582"/>
      <c r="W126" s="581"/>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0"/>
      <c r="AY126" s="430"/>
      <c r="AZ126" s="430"/>
      <c r="BA126" s="430"/>
      <c r="BB126" s="430"/>
      <c r="BC126" s="430"/>
      <c r="BD126" s="430"/>
      <c r="BE126" s="430"/>
    </row>
    <row r="127" spans="1:57" ht="15.75" customHeight="1">
      <c r="A127" s="430"/>
      <c r="B127" s="430"/>
      <c r="C127" s="430"/>
      <c r="D127" s="430"/>
      <c r="E127" s="430"/>
      <c r="F127" s="430"/>
      <c r="G127" s="430"/>
      <c r="H127" s="430"/>
      <c r="I127" s="430"/>
      <c r="J127" s="581"/>
      <c r="K127" s="581"/>
      <c r="L127" s="582"/>
      <c r="M127" s="581"/>
      <c r="N127" s="430"/>
      <c r="O127" s="430"/>
      <c r="P127" s="430"/>
      <c r="Q127" s="430"/>
      <c r="R127" s="430"/>
      <c r="S127" s="581"/>
      <c r="T127" s="581"/>
      <c r="U127" s="581"/>
      <c r="V127" s="582"/>
      <c r="W127" s="581"/>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0"/>
      <c r="AY127" s="430"/>
      <c r="AZ127" s="430"/>
      <c r="BA127" s="430"/>
      <c r="BB127" s="430"/>
      <c r="BC127" s="430"/>
      <c r="BD127" s="430"/>
      <c r="BE127" s="430"/>
    </row>
    <row r="128" spans="1:57" ht="15.75" customHeight="1">
      <c r="A128" s="430"/>
      <c r="B128" s="430"/>
      <c r="C128" s="430"/>
      <c r="D128" s="430"/>
      <c r="E128" s="430"/>
      <c r="F128" s="430"/>
      <c r="G128" s="430"/>
      <c r="H128" s="430"/>
      <c r="I128" s="430"/>
      <c r="J128" s="581"/>
      <c r="K128" s="581"/>
      <c r="L128" s="582"/>
      <c r="M128" s="581"/>
      <c r="N128" s="430"/>
      <c r="O128" s="430"/>
      <c r="P128" s="430"/>
      <c r="Q128" s="430"/>
      <c r="R128" s="430"/>
      <c r="S128" s="581"/>
      <c r="T128" s="581"/>
      <c r="U128" s="581"/>
      <c r="V128" s="582"/>
      <c r="W128" s="581"/>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row>
    <row r="129" spans="1:57" ht="15.75" customHeight="1">
      <c r="A129" s="430"/>
      <c r="B129" s="430"/>
      <c r="C129" s="430"/>
      <c r="D129" s="430"/>
      <c r="E129" s="430"/>
      <c r="F129" s="430"/>
      <c r="G129" s="430"/>
      <c r="H129" s="430"/>
      <c r="I129" s="430"/>
      <c r="J129" s="581"/>
      <c r="K129" s="581"/>
      <c r="L129" s="582"/>
      <c r="M129" s="581"/>
      <c r="N129" s="430"/>
      <c r="O129" s="430"/>
      <c r="P129" s="430"/>
      <c r="Q129" s="430"/>
      <c r="R129" s="430"/>
      <c r="S129" s="581"/>
      <c r="T129" s="581"/>
      <c r="U129" s="581"/>
      <c r="V129" s="582"/>
      <c r="W129" s="581"/>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row>
    <row r="130" spans="1:57" ht="15.75" customHeight="1">
      <c r="A130" s="430"/>
      <c r="B130" s="430"/>
      <c r="C130" s="430"/>
      <c r="D130" s="430"/>
      <c r="E130" s="430"/>
      <c r="F130" s="430"/>
      <c r="G130" s="430"/>
      <c r="H130" s="430"/>
      <c r="I130" s="430"/>
      <c r="J130" s="581"/>
      <c r="K130" s="581"/>
      <c r="L130" s="582"/>
      <c r="M130" s="581"/>
      <c r="N130" s="430"/>
      <c r="O130" s="430"/>
      <c r="P130" s="430"/>
      <c r="Q130" s="430"/>
      <c r="R130" s="430"/>
      <c r="S130" s="581"/>
      <c r="T130" s="581"/>
      <c r="U130" s="581"/>
      <c r="V130" s="582"/>
      <c r="W130" s="581"/>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row>
    <row r="131" spans="1:57" ht="15.75" customHeight="1">
      <c r="A131" s="430"/>
      <c r="B131" s="430"/>
      <c r="C131" s="430"/>
      <c r="D131" s="430"/>
      <c r="E131" s="430"/>
      <c r="F131" s="430"/>
      <c r="G131" s="430"/>
      <c r="H131" s="430"/>
      <c r="I131" s="430"/>
      <c r="J131" s="581"/>
      <c r="K131" s="581"/>
      <c r="L131" s="582"/>
      <c r="M131" s="581"/>
      <c r="N131" s="430"/>
      <c r="O131" s="430"/>
      <c r="P131" s="430"/>
      <c r="Q131" s="430"/>
      <c r="R131" s="430"/>
      <c r="S131" s="581"/>
      <c r="T131" s="581"/>
      <c r="U131" s="581"/>
      <c r="V131" s="582"/>
      <c r="W131" s="581"/>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row>
    <row r="132" spans="1:57" ht="15.75" customHeight="1">
      <c r="A132" s="430"/>
      <c r="B132" s="430"/>
      <c r="C132" s="430"/>
      <c r="D132" s="430"/>
      <c r="E132" s="430"/>
      <c r="F132" s="430"/>
      <c r="G132" s="430"/>
      <c r="H132" s="430"/>
      <c r="I132" s="430"/>
      <c r="J132" s="581"/>
      <c r="K132" s="581"/>
      <c r="L132" s="582"/>
      <c r="M132" s="581"/>
      <c r="N132" s="430"/>
      <c r="O132" s="430"/>
      <c r="P132" s="430"/>
      <c r="Q132" s="430"/>
      <c r="R132" s="430"/>
      <c r="S132" s="581"/>
      <c r="T132" s="581"/>
      <c r="U132" s="581"/>
      <c r="V132" s="582"/>
      <c r="W132" s="581"/>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row>
    <row r="133" spans="1:57" ht="15.75" customHeight="1">
      <c r="A133" s="430"/>
      <c r="B133" s="430"/>
      <c r="C133" s="430"/>
      <c r="D133" s="430"/>
      <c r="E133" s="430"/>
      <c r="F133" s="430"/>
      <c r="G133" s="430"/>
      <c r="H133" s="430"/>
      <c r="I133" s="430"/>
      <c r="J133" s="581"/>
      <c r="K133" s="581"/>
      <c r="L133" s="582"/>
      <c r="M133" s="581"/>
      <c r="N133" s="430"/>
      <c r="O133" s="430"/>
      <c r="P133" s="430"/>
      <c r="Q133" s="430"/>
      <c r="R133" s="430"/>
      <c r="S133" s="581"/>
      <c r="T133" s="581"/>
      <c r="U133" s="581"/>
      <c r="V133" s="582"/>
      <c r="W133" s="581"/>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row>
    <row r="134" spans="1:57" ht="15.75" customHeight="1">
      <c r="A134" s="430"/>
      <c r="B134" s="430"/>
      <c r="C134" s="430"/>
      <c r="D134" s="430"/>
      <c r="E134" s="430"/>
      <c r="F134" s="430"/>
      <c r="G134" s="430"/>
      <c r="H134" s="430"/>
      <c r="I134" s="430"/>
      <c r="J134" s="581"/>
      <c r="K134" s="581"/>
      <c r="L134" s="582"/>
      <c r="M134" s="581"/>
      <c r="N134" s="430"/>
      <c r="O134" s="430"/>
      <c r="P134" s="430"/>
      <c r="Q134" s="430"/>
      <c r="R134" s="430"/>
      <c r="S134" s="581"/>
      <c r="T134" s="581"/>
      <c r="U134" s="581"/>
      <c r="V134" s="582"/>
      <c r="W134" s="581"/>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0"/>
      <c r="BC134" s="430"/>
      <c r="BD134" s="430"/>
      <c r="BE134" s="430"/>
    </row>
    <row r="135" spans="1:57" ht="15.75" customHeight="1">
      <c r="A135" s="430"/>
      <c r="B135" s="430"/>
      <c r="C135" s="430"/>
      <c r="D135" s="430"/>
      <c r="E135" s="430"/>
      <c r="F135" s="430"/>
      <c r="G135" s="430"/>
      <c r="H135" s="430"/>
      <c r="I135" s="430"/>
      <c r="J135" s="581"/>
      <c r="K135" s="581"/>
      <c r="L135" s="582"/>
      <c r="M135" s="581"/>
      <c r="N135" s="430"/>
      <c r="O135" s="430"/>
      <c r="P135" s="430"/>
      <c r="Q135" s="430"/>
      <c r="R135" s="430"/>
      <c r="S135" s="581"/>
      <c r="T135" s="581"/>
      <c r="U135" s="581"/>
      <c r="V135" s="582"/>
      <c r="W135" s="581"/>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c r="BA135" s="430"/>
      <c r="BB135" s="430"/>
      <c r="BC135" s="430"/>
      <c r="BD135" s="430"/>
      <c r="BE135" s="430"/>
    </row>
    <row r="136" spans="1:57" ht="15.75" customHeight="1">
      <c r="A136" s="430"/>
      <c r="B136" s="430"/>
      <c r="C136" s="430"/>
      <c r="D136" s="430"/>
      <c r="E136" s="430"/>
      <c r="F136" s="430"/>
      <c r="G136" s="430"/>
      <c r="H136" s="430"/>
      <c r="I136" s="430"/>
      <c r="J136" s="581"/>
      <c r="K136" s="581"/>
      <c r="L136" s="582"/>
      <c r="M136" s="581"/>
      <c r="N136" s="430"/>
      <c r="O136" s="430"/>
      <c r="P136" s="430"/>
      <c r="Q136" s="430"/>
      <c r="R136" s="430"/>
      <c r="S136" s="581"/>
      <c r="T136" s="581"/>
      <c r="U136" s="581"/>
      <c r="V136" s="582"/>
      <c r="W136" s="581"/>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row>
    <row r="137" spans="1:57" ht="15.75" customHeight="1">
      <c r="A137" s="430"/>
      <c r="B137" s="430"/>
      <c r="C137" s="430"/>
      <c r="D137" s="430"/>
      <c r="E137" s="430"/>
      <c r="F137" s="430"/>
      <c r="G137" s="430"/>
      <c r="H137" s="430"/>
      <c r="I137" s="430"/>
      <c r="J137" s="581"/>
      <c r="K137" s="581"/>
      <c r="L137" s="582"/>
      <c r="M137" s="581"/>
      <c r="N137" s="430"/>
      <c r="O137" s="430"/>
      <c r="P137" s="430"/>
      <c r="Q137" s="430"/>
      <c r="R137" s="430"/>
      <c r="S137" s="581"/>
      <c r="T137" s="581"/>
      <c r="U137" s="581"/>
      <c r="V137" s="582"/>
      <c r="W137" s="581"/>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row>
    <row r="138" spans="1:57" ht="15.75" customHeight="1">
      <c r="A138" s="430"/>
      <c r="B138" s="430"/>
      <c r="C138" s="430"/>
      <c r="D138" s="430"/>
      <c r="E138" s="430"/>
      <c r="F138" s="430"/>
      <c r="G138" s="430"/>
      <c r="H138" s="430"/>
      <c r="I138" s="430"/>
      <c r="J138" s="581"/>
      <c r="K138" s="581"/>
      <c r="L138" s="582"/>
      <c r="M138" s="581"/>
      <c r="N138" s="430"/>
      <c r="O138" s="430"/>
      <c r="P138" s="430"/>
      <c r="Q138" s="430"/>
      <c r="R138" s="430"/>
      <c r="S138" s="581"/>
      <c r="T138" s="581"/>
      <c r="U138" s="581"/>
      <c r="V138" s="582"/>
      <c r="W138" s="581"/>
      <c r="X138" s="430"/>
      <c r="Y138" s="430"/>
      <c r="Z138" s="430"/>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0"/>
      <c r="AY138" s="430"/>
      <c r="AZ138" s="430"/>
      <c r="BA138" s="430"/>
      <c r="BB138" s="430"/>
      <c r="BC138" s="430"/>
      <c r="BD138" s="430"/>
      <c r="BE138" s="430"/>
    </row>
    <row r="139" spans="1:57" ht="15.75" customHeight="1">
      <c r="A139" s="430"/>
      <c r="B139" s="430"/>
      <c r="C139" s="430"/>
      <c r="D139" s="430"/>
      <c r="E139" s="430"/>
      <c r="F139" s="430"/>
      <c r="G139" s="430"/>
      <c r="H139" s="430"/>
      <c r="I139" s="430"/>
      <c r="J139" s="581"/>
      <c r="K139" s="581"/>
      <c r="L139" s="582"/>
      <c r="M139" s="581"/>
      <c r="N139" s="430"/>
      <c r="O139" s="430"/>
      <c r="P139" s="430"/>
      <c r="Q139" s="430"/>
      <c r="R139" s="430"/>
      <c r="S139" s="581"/>
      <c r="T139" s="581"/>
      <c r="U139" s="581"/>
      <c r="V139" s="582"/>
      <c r="W139" s="581"/>
      <c r="X139" s="430"/>
      <c r="Y139" s="430"/>
      <c r="Z139" s="430"/>
      <c r="AA139" s="430"/>
      <c r="AB139" s="430"/>
      <c r="AC139" s="430"/>
      <c r="AD139" s="430"/>
      <c r="AE139" s="430"/>
      <c r="AF139" s="430"/>
      <c r="AG139" s="430"/>
      <c r="AH139" s="430"/>
      <c r="AI139" s="430"/>
      <c r="AJ139" s="430"/>
      <c r="AK139" s="430"/>
      <c r="AL139" s="430"/>
      <c r="AM139" s="430"/>
      <c r="AN139" s="430"/>
      <c r="AO139" s="430"/>
      <c r="AP139" s="430"/>
      <c r="AQ139" s="430"/>
      <c r="AR139" s="430"/>
      <c r="AS139" s="430"/>
      <c r="AT139" s="430"/>
      <c r="AU139" s="430"/>
      <c r="AV139" s="430"/>
      <c r="AW139" s="430"/>
      <c r="AX139" s="430"/>
      <c r="AY139" s="430"/>
      <c r="AZ139" s="430"/>
      <c r="BA139" s="430"/>
      <c r="BB139" s="430"/>
      <c r="BC139" s="430"/>
      <c r="BD139" s="430"/>
      <c r="BE139" s="430"/>
    </row>
    <row r="140" spans="1:57" ht="15.75" customHeight="1">
      <c r="A140" s="430"/>
      <c r="B140" s="430"/>
      <c r="C140" s="430"/>
      <c r="D140" s="430"/>
      <c r="E140" s="430"/>
      <c r="F140" s="430"/>
      <c r="G140" s="430"/>
      <c r="H140" s="430"/>
      <c r="I140" s="430"/>
      <c r="J140" s="581"/>
      <c r="K140" s="581"/>
      <c r="L140" s="582"/>
      <c r="M140" s="581"/>
      <c r="N140" s="430"/>
      <c r="O140" s="430"/>
      <c r="P140" s="430"/>
      <c r="Q140" s="430"/>
      <c r="R140" s="430"/>
      <c r="S140" s="581"/>
      <c r="T140" s="581"/>
      <c r="U140" s="581"/>
      <c r="V140" s="582"/>
      <c r="W140" s="581"/>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430"/>
      <c r="BA140" s="430"/>
      <c r="BB140" s="430"/>
      <c r="BC140" s="430"/>
      <c r="BD140" s="430"/>
      <c r="BE140" s="430"/>
    </row>
    <row r="141" spans="1:57" ht="15.75" customHeight="1">
      <c r="A141" s="430"/>
      <c r="B141" s="430"/>
      <c r="C141" s="430"/>
      <c r="D141" s="430"/>
      <c r="E141" s="430"/>
      <c r="F141" s="430"/>
      <c r="G141" s="430"/>
      <c r="H141" s="430"/>
      <c r="I141" s="430"/>
      <c r="J141" s="581"/>
      <c r="K141" s="581"/>
      <c r="L141" s="582"/>
      <c r="M141" s="581"/>
      <c r="N141" s="430"/>
      <c r="O141" s="430"/>
      <c r="P141" s="430"/>
      <c r="Q141" s="430"/>
      <c r="R141" s="430"/>
      <c r="S141" s="581"/>
      <c r="T141" s="581"/>
      <c r="U141" s="581"/>
      <c r="V141" s="582"/>
      <c r="W141" s="581"/>
      <c r="X141" s="430"/>
      <c r="Y141" s="430"/>
      <c r="Z141" s="430"/>
      <c r="AA141" s="430"/>
      <c r="AB141" s="430"/>
      <c r="AC141" s="430"/>
      <c r="AD141" s="430"/>
      <c r="AE141" s="430"/>
      <c r="AF141" s="430"/>
      <c r="AG141" s="430"/>
      <c r="AH141" s="430"/>
      <c r="AI141" s="430"/>
      <c r="AJ141" s="430"/>
      <c r="AK141" s="430"/>
      <c r="AL141" s="430"/>
      <c r="AM141" s="430"/>
      <c r="AN141" s="430"/>
      <c r="AO141" s="430"/>
      <c r="AP141" s="430"/>
      <c r="AQ141" s="430"/>
      <c r="AR141" s="430"/>
      <c r="AS141" s="430"/>
      <c r="AT141" s="430"/>
      <c r="AU141" s="430"/>
      <c r="AV141" s="430"/>
      <c r="AW141" s="430"/>
      <c r="AX141" s="430"/>
      <c r="AY141" s="430"/>
      <c r="AZ141" s="430"/>
      <c r="BA141" s="430"/>
      <c r="BB141" s="430"/>
      <c r="BC141" s="430"/>
      <c r="BD141" s="430"/>
      <c r="BE141" s="430"/>
    </row>
    <row r="142" spans="1:57" ht="15.75" customHeight="1">
      <c r="A142" s="430"/>
      <c r="B142" s="430"/>
      <c r="C142" s="430"/>
      <c r="D142" s="430"/>
      <c r="E142" s="430"/>
      <c r="F142" s="430"/>
      <c r="G142" s="430"/>
      <c r="H142" s="430"/>
      <c r="I142" s="430"/>
      <c r="J142" s="581"/>
      <c r="K142" s="581"/>
      <c r="L142" s="582"/>
      <c r="M142" s="581"/>
      <c r="N142" s="430"/>
      <c r="O142" s="430"/>
      <c r="P142" s="430"/>
      <c r="Q142" s="430"/>
      <c r="R142" s="430"/>
      <c r="S142" s="581"/>
      <c r="T142" s="581"/>
      <c r="U142" s="581"/>
      <c r="V142" s="582"/>
      <c r="W142" s="581"/>
      <c r="X142" s="430"/>
      <c r="Y142" s="430"/>
      <c r="Z142" s="430"/>
      <c r="AA142" s="430"/>
      <c r="AB142" s="430"/>
      <c r="AC142" s="430"/>
      <c r="AD142" s="430"/>
      <c r="AE142" s="430"/>
      <c r="AF142" s="430"/>
      <c r="AG142" s="430"/>
      <c r="AH142" s="430"/>
      <c r="AI142" s="430"/>
      <c r="AJ142" s="430"/>
      <c r="AK142" s="430"/>
      <c r="AL142" s="430"/>
      <c r="AM142" s="430"/>
      <c r="AN142" s="430"/>
      <c r="AO142" s="430"/>
      <c r="AP142" s="430"/>
      <c r="AQ142" s="430"/>
      <c r="AR142" s="430"/>
      <c r="AS142" s="430"/>
      <c r="AT142" s="430"/>
      <c r="AU142" s="430"/>
      <c r="AV142" s="430"/>
      <c r="AW142" s="430"/>
      <c r="AX142" s="430"/>
      <c r="AY142" s="430"/>
      <c r="AZ142" s="430"/>
      <c r="BA142" s="430"/>
      <c r="BB142" s="430"/>
      <c r="BC142" s="430"/>
      <c r="BD142" s="430"/>
      <c r="BE142" s="430"/>
    </row>
    <row r="143" spans="1:57" ht="15.75" customHeight="1">
      <c r="A143" s="430"/>
      <c r="B143" s="430"/>
      <c r="C143" s="430"/>
      <c r="D143" s="430"/>
      <c r="E143" s="430"/>
      <c r="F143" s="430"/>
      <c r="G143" s="430"/>
      <c r="H143" s="430"/>
      <c r="I143" s="430"/>
      <c r="J143" s="581"/>
      <c r="K143" s="581"/>
      <c r="L143" s="582"/>
      <c r="M143" s="581"/>
      <c r="N143" s="430"/>
      <c r="O143" s="430"/>
      <c r="P143" s="430"/>
      <c r="Q143" s="430"/>
      <c r="R143" s="430"/>
      <c r="S143" s="581"/>
      <c r="T143" s="581"/>
      <c r="U143" s="581"/>
      <c r="V143" s="582"/>
      <c r="W143" s="581"/>
      <c r="X143" s="430"/>
      <c r="Y143" s="430"/>
      <c r="Z143" s="430"/>
      <c r="AA143" s="430"/>
      <c r="AB143" s="430"/>
      <c r="AC143" s="430"/>
      <c r="AD143" s="430"/>
      <c r="AE143" s="430"/>
      <c r="AF143" s="430"/>
      <c r="AG143" s="430"/>
      <c r="AH143" s="430"/>
      <c r="AI143" s="430"/>
      <c r="AJ143" s="430"/>
      <c r="AK143" s="430"/>
      <c r="AL143" s="430"/>
      <c r="AM143" s="430"/>
      <c r="AN143" s="430"/>
      <c r="AO143" s="430"/>
      <c r="AP143" s="430"/>
      <c r="AQ143" s="430"/>
      <c r="AR143" s="430"/>
      <c r="AS143" s="430"/>
      <c r="AT143" s="430"/>
      <c r="AU143" s="430"/>
      <c r="AV143" s="430"/>
      <c r="AW143" s="430"/>
      <c r="AX143" s="430"/>
      <c r="AY143" s="430"/>
      <c r="AZ143" s="430"/>
      <c r="BA143" s="430"/>
      <c r="BB143" s="430"/>
      <c r="BC143" s="430"/>
      <c r="BD143" s="430"/>
      <c r="BE143" s="430"/>
    </row>
    <row r="144" spans="1:57" ht="15.75" customHeight="1">
      <c r="A144" s="430"/>
      <c r="B144" s="430"/>
      <c r="C144" s="430"/>
      <c r="D144" s="430"/>
      <c r="E144" s="430"/>
      <c r="F144" s="430"/>
      <c r="G144" s="430"/>
      <c r="H144" s="430"/>
      <c r="I144" s="430"/>
      <c r="J144" s="581"/>
      <c r="K144" s="581"/>
      <c r="L144" s="582"/>
      <c r="M144" s="581"/>
      <c r="N144" s="430"/>
      <c r="O144" s="430"/>
      <c r="P144" s="430"/>
      <c r="Q144" s="430"/>
      <c r="R144" s="430"/>
      <c r="S144" s="581"/>
      <c r="T144" s="581"/>
      <c r="U144" s="581"/>
      <c r="V144" s="582"/>
      <c r="W144" s="581"/>
      <c r="X144" s="430"/>
      <c r="Y144" s="430"/>
      <c r="Z144" s="430"/>
      <c r="AA144" s="430"/>
      <c r="AB144" s="430"/>
      <c r="AC144" s="430"/>
      <c r="AD144" s="430"/>
      <c r="AE144" s="430"/>
      <c r="AF144" s="430"/>
      <c r="AG144" s="430"/>
      <c r="AH144" s="430"/>
      <c r="AI144" s="430"/>
      <c r="AJ144" s="430"/>
      <c r="AK144" s="430"/>
      <c r="AL144" s="430"/>
      <c r="AM144" s="430"/>
      <c r="AN144" s="430"/>
      <c r="AO144" s="430"/>
      <c r="AP144" s="430"/>
      <c r="AQ144" s="430"/>
      <c r="AR144" s="430"/>
      <c r="AS144" s="430"/>
      <c r="AT144" s="430"/>
      <c r="AU144" s="430"/>
      <c r="AV144" s="430"/>
      <c r="AW144" s="430"/>
      <c r="AX144" s="430"/>
      <c r="AY144" s="430"/>
      <c r="AZ144" s="430"/>
      <c r="BA144" s="430"/>
      <c r="BB144" s="430"/>
      <c r="BC144" s="430"/>
      <c r="BD144" s="430"/>
      <c r="BE144" s="430"/>
    </row>
    <row r="145" spans="1:57" ht="15.75" customHeight="1">
      <c r="A145" s="430"/>
      <c r="B145" s="430"/>
      <c r="C145" s="430"/>
      <c r="D145" s="430"/>
      <c r="E145" s="430"/>
      <c r="F145" s="430"/>
      <c r="G145" s="430"/>
      <c r="H145" s="430"/>
      <c r="I145" s="430"/>
      <c r="J145" s="581"/>
      <c r="K145" s="581"/>
      <c r="L145" s="582"/>
      <c r="M145" s="581"/>
      <c r="N145" s="430"/>
      <c r="O145" s="430"/>
      <c r="P145" s="430"/>
      <c r="Q145" s="430"/>
      <c r="R145" s="430"/>
      <c r="S145" s="581"/>
      <c r="T145" s="581"/>
      <c r="U145" s="581"/>
      <c r="V145" s="582"/>
      <c r="W145" s="581"/>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row>
    <row r="146" spans="1:57" ht="15.75" customHeight="1">
      <c r="A146" s="430"/>
      <c r="B146" s="430"/>
      <c r="C146" s="430"/>
      <c r="D146" s="430"/>
      <c r="E146" s="430"/>
      <c r="F146" s="430"/>
      <c r="G146" s="430"/>
      <c r="H146" s="430"/>
      <c r="I146" s="430"/>
      <c r="J146" s="581"/>
      <c r="K146" s="581"/>
      <c r="L146" s="582"/>
      <c r="M146" s="581"/>
      <c r="N146" s="430"/>
      <c r="O146" s="430"/>
      <c r="P146" s="430"/>
      <c r="Q146" s="430"/>
      <c r="R146" s="430"/>
      <c r="S146" s="581"/>
      <c r="T146" s="581"/>
      <c r="U146" s="581"/>
      <c r="V146" s="582"/>
      <c r="W146" s="581"/>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row>
    <row r="147" spans="1:57" ht="15.75" customHeight="1">
      <c r="A147" s="430"/>
      <c r="B147" s="430"/>
      <c r="C147" s="430"/>
      <c r="D147" s="430"/>
      <c r="E147" s="430"/>
      <c r="F147" s="430"/>
      <c r="G147" s="430"/>
      <c r="H147" s="430"/>
      <c r="I147" s="430"/>
      <c r="J147" s="581"/>
      <c r="K147" s="581"/>
      <c r="L147" s="582"/>
      <c r="M147" s="581"/>
      <c r="N147" s="430"/>
      <c r="O147" s="430"/>
      <c r="P147" s="430"/>
      <c r="Q147" s="430"/>
      <c r="R147" s="430"/>
      <c r="S147" s="581"/>
      <c r="T147" s="581"/>
      <c r="U147" s="581"/>
      <c r="V147" s="582"/>
      <c r="W147" s="581"/>
      <c r="X147" s="430"/>
      <c r="Y147" s="430"/>
      <c r="Z147" s="430"/>
      <c r="AA147" s="430"/>
      <c r="AB147" s="430"/>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0"/>
      <c r="AY147" s="430"/>
      <c r="AZ147" s="430"/>
      <c r="BA147" s="430"/>
      <c r="BB147" s="430"/>
      <c r="BC147" s="430"/>
      <c r="BD147" s="430"/>
      <c r="BE147" s="430"/>
    </row>
    <row r="148" spans="1:57" ht="15.75" customHeight="1">
      <c r="A148" s="430"/>
      <c r="B148" s="430"/>
      <c r="C148" s="430"/>
      <c r="D148" s="430"/>
      <c r="E148" s="430"/>
      <c r="F148" s="430"/>
      <c r="G148" s="430"/>
      <c r="H148" s="430"/>
      <c r="I148" s="430"/>
      <c r="J148" s="581"/>
      <c r="K148" s="581"/>
      <c r="L148" s="582"/>
      <c r="M148" s="581"/>
      <c r="N148" s="430"/>
      <c r="O148" s="430"/>
      <c r="P148" s="430"/>
      <c r="Q148" s="430"/>
      <c r="R148" s="430"/>
      <c r="S148" s="581"/>
      <c r="T148" s="581"/>
      <c r="U148" s="581"/>
      <c r="V148" s="582"/>
      <c r="W148" s="581"/>
      <c r="X148" s="430"/>
      <c r="Y148" s="430"/>
      <c r="Z148" s="430"/>
      <c r="AA148" s="430"/>
      <c r="AB148" s="430"/>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430"/>
      <c r="AY148" s="430"/>
      <c r="AZ148" s="430"/>
      <c r="BA148" s="430"/>
      <c r="BB148" s="430"/>
      <c r="BC148" s="430"/>
      <c r="BD148" s="430"/>
      <c r="BE148" s="430"/>
    </row>
    <row r="149" spans="1:57" ht="15.75" customHeight="1">
      <c r="A149" s="430"/>
      <c r="B149" s="430"/>
      <c r="C149" s="430"/>
      <c r="D149" s="430"/>
      <c r="E149" s="430"/>
      <c r="F149" s="430"/>
      <c r="G149" s="430"/>
      <c r="H149" s="430"/>
      <c r="I149" s="430"/>
      <c r="J149" s="581"/>
      <c r="K149" s="581"/>
      <c r="L149" s="582"/>
      <c r="M149" s="581"/>
      <c r="N149" s="430"/>
      <c r="O149" s="430"/>
      <c r="P149" s="430"/>
      <c r="Q149" s="430"/>
      <c r="R149" s="430"/>
      <c r="S149" s="581"/>
      <c r="T149" s="581"/>
      <c r="U149" s="581"/>
      <c r="V149" s="582"/>
      <c r="W149" s="581"/>
      <c r="X149" s="430"/>
      <c r="Y149" s="430"/>
      <c r="Z149" s="430"/>
      <c r="AA149" s="430"/>
      <c r="AB149" s="430"/>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0"/>
      <c r="AY149" s="430"/>
      <c r="AZ149" s="430"/>
      <c r="BA149" s="430"/>
      <c r="BB149" s="430"/>
      <c r="BC149" s="430"/>
      <c r="BD149" s="430"/>
      <c r="BE149" s="430"/>
    </row>
    <row r="150" spans="1:57" ht="15.75" customHeight="1">
      <c r="A150" s="430"/>
      <c r="B150" s="430"/>
      <c r="C150" s="430"/>
      <c r="D150" s="430"/>
      <c r="E150" s="430"/>
      <c r="F150" s="430"/>
      <c r="G150" s="430"/>
      <c r="H150" s="430"/>
      <c r="I150" s="430"/>
      <c r="J150" s="581"/>
      <c r="K150" s="581"/>
      <c r="L150" s="582"/>
      <c r="M150" s="581"/>
      <c r="N150" s="430"/>
      <c r="O150" s="430"/>
      <c r="P150" s="430"/>
      <c r="Q150" s="430"/>
      <c r="R150" s="430"/>
      <c r="S150" s="581"/>
      <c r="T150" s="581"/>
      <c r="U150" s="581"/>
      <c r="V150" s="582"/>
      <c r="W150" s="581"/>
      <c r="X150" s="430"/>
      <c r="Y150" s="430"/>
      <c r="Z150" s="430"/>
      <c r="AA150" s="430"/>
      <c r="AB150" s="430"/>
      <c r="AC150" s="430"/>
      <c r="AD150" s="430"/>
      <c r="AE150" s="430"/>
      <c r="AF150" s="430"/>
      <c r="AG150" s="430"/>
      <c r="AH150" s="430"/>
      <c r="AI150" s="430"/>
      <c r="AJ150" s="430"/>
      <c r="AK150" s="430"/>
      <c r="AL150" s="430"/>
      <c r="AM150" s="430"/>
      <c r="AN150" s="430"/>
      <c r="AO150" s="430"/>
      <c r="AP150" s="430"/>
      <c r="AQ150" s="430"/>
      <c r="AR150" s="430"/>
      <c r="AS150" s="430"/>
      <c r="AT150" s="430"/>
      <c r="AU150" s="430"/>
      <c r="AV150" s="430"/>
      <c r="AW150" s="430"/>
      <c r="AX150" s="430"/>
      <c r="AY150" s="430"/>
      <c r="AZ150" s="430"/>
      <c r="BA150" s="430"/>
      <c r="BB150" s="430"/>
      <c r="BC150" s="430"/>
      <c r="BD150" s="430"/>
      <c r="BE150" s="430"/>
    </row>
    <row r="151" spans="1:57" ht="15.75" customHeight="1">
      <c r="A151" s="430"/>
      <c r="B151" s="430"/>
      <c r="C151" s="430"/>
      <c r="D151" s="430"/>
      <c r="E151" s="430"/>
      <c r="F151" s="430"/>
      <c r="G151" s="430"/>
      <c r="H151" s="430"/>
      <c r="I151" s="430"/>
      <c r="J151" s="581"/>
      <c r="K151" s="581"/>
      <c r="L151" s="582"/>
      <c r="M151" s="581"/>
      <c r="N151" s="430"/>
      <c r="O151" s="430"/>
      <c r="P151" s="430"/>
      <c r="Q151" s="430"/>
      <c r="R151" s="430"/>
      <c r="S151" s="581"/>
      <c r="T151" s="581"/>
      <c r="U151" s="581"/>
      <c r="V151" s="582"/>
      <c r="W151" s="581"/>
      <c r="X151" s="430"/>
      <c r="Y151" s="430"/>
      <c r="Z151" s="430"/>
      <c r="AA151" s="430"/>
      <c r="AB151" s="430"/>
      <c r="AC151" s="430"/>
      <c r="AD151" s="430"/>
      <c r="AE151" s="430"/>
      <c r="AF151" s="430"/>
      <c r="AG151" s="430"/>
      <c r="AH151" s="430"/>
      <c r="AI151" s="430"/>
      <c r="AJ151" s="430"/>
      <c r="AK151" s="430"/>
      <c r="AL151" s="430"/>
      <c r="AM151" s="430"/>
      <c r="AN151" s="430"/>
      <c r="AO151" s="430"/>
      <c r="AP151" s="430"/>
      <c r="AQ151" s="430"/>
      <c r="AR151" s="430"/>
      <c r="AS151" s="430"/>
      <c r="AT151" s="430"/>
      <c r="AU151" s="430"/>
      <c r="AV151" s="430"/>
      <c r="AW151" s="430"/>
      <c r="AX151" s="430"/>
      <c r="AY151" s="430"/>
      <c r="AZ151" s="430"/>
      <c r="BA151" s="430"/>
      <c r="BB151" s="430"/>
      <c r="BC151" s="430"/>
      <c r="BD151" s="430"/>
      <c r="BE151" s="430"/>
    </row>
    <row r="152" spans="1:57" ht="15.75" customHeight="1">
      <c r="A152" s="430"/>
      <c r="B152" s="430"/>
      <c r="C152" s="430"/>
      <c r="D152" s="430"/>
      <c r="E152" s="430"/>
      <c r="F152" s="430"/>
      <c r="G152" s="430"/>
      <c r="H152" s="430"/>
      <c r="I152" s="430"/>
      <c r="J152" s="581"/>
      <c r="K152" s="581"/>
      <c r="L152" s="582"/>
      <c r="M152" s="581"/>
      <c r="N152" s="430"/>
      <c r="O152" s="430"/>
      <c r="P152" s="430"/>
      <c r="Q152" s="430"/>
      <c r="R152" s="430"/>
      <c r="S152" s="581"/>
      <c r="T152" s="581"/>
      <c r="U152" s="581"/>
      <c r="V152" s="582"/>
      <c r="W152" s="581"/>
      <c r="X152" s="430"/>
      <c r="Y152" s="430"/>
      <c r="Z152" s="430"/>
      <c r="AA152" s="430"/>
      <c r="AB152" s="430"/>
      <c r="AC152" s="430"/>
      <c r="AD152" s="430"/>
      <c r="AE152" s="430"/>
      <c r="AF152" s="430"/>
      <c r="AG152" s="430"/>
      <c r="AH152" s="430"/>
      <c r="AI152" s="430"/>
      <c r="AJ152" s="430"/>
      <c r="AK152" s="430"/>
      <c r="AL152" s="430"/>
      <c r="AM152" s="430"/>
      <c r="AN152" s="430"/>
      <c r="AO152" s="430"/>
      <c r="AP152" s="430"/>
      <c r="AQ152" s="430"/>
      <c r="AR152" s="430"/>
      <c r="AS152" s="430"/>
      <c r="AT152" s="430"/>
      <c r="AU152" s="430"/>
      <c r="AV152" s="430"/>
      <c r="AW152" s="430"/>
      <c r="AX152" s="430"/>
      <c r="AY152" s="430"/>
      <c r="AZ152" s="430"/>
      <c r="BA152" s="430"/>
      <c r="BB152" s="430"/>
      <c r="BC152" s="430"/>
      <c r="BD152" s="430"/>
      <c r="BE152" s="430"/>
    </row>
    <row r="153" spans="1:57" ht="15.75" customHeight="1">
      <c r="A153" s="430"/>
      <c r="B153" s="430"/>
      <c r="C153" s="430"/>
      <c r="D153" s="430"/>
      <c r="E153" s="430"/>
      <c r="F153" s="430"/>
      <c r="G153" s="430"/>
      <c r="H153" s="430"/>
      <c r="I153" s="430"/>
      <c r="J153" s="581"/>
      <c r="K153" s="581"/>
      <c r="L153" s="582"/>
      <c r="M153" s="581"/>
      <c r="N153" s="430"/>
      <c r="O153" s="430"/>
      <c r="P153" s="430"/>
      <c r="Q153" s="430"/>
      <c r="R153" s="430"/>
      <c r="S153" s="581"/>
      <c r="T153" s="581"/>
      <c r="U153" s="581"/>
      <c r="V153" s="582"/>
      <c r="W153" s="581"/>
      <c r="X153" s="430"/>
      <c r="Y153" s="430"/>
      <c r="Z153" s="430"/>
      <c r="AA153" s="430"/>
      <c r="AB153" s="430"/>
      <c r="AC153" s="430"/>
      <c r="AD153" s="430"/>
      <c r="AE153" s="430"/>
      <c r="AF153" s="430"/>
      <c r="AG153" s="430"/>
      <c r="AH153" s="430"/>
      <c r="AI153" s="430"/>
      <c r="AJ153" s="430"/>
      <c r="AK153" s="430"/>
      <c r="AL153" s="430"/>
      <c r="AM153" s="430"/>
      <c r="AN153" s="430"/>
      <c r="AO153" s="430"/>
      <c r="AP153" s="430"/>
      <c r="AQ153" s="430"/>
      <c r="AR153" s="430"/>
      <c r="AS153" s="430"/>
      <c r="AT153" s="430"/>
      <c r="AU153" s="430"/>
      <c r="AV153" s="430"/>
      <c r="AW153" s="430"/>
      <c r="AX153" s="430"/>
      <c r="AY153" s="430"/>
      <c r="AZ153" s="430"/>
      <c r="BA153" s="430"/>
      <c r="BB153" s="430"/>
      <c r="BC153" s="430"/>
      <c r="BD153" s="430"/>
      <c r="BE153" s="430"/>
    </row>
    <row r="154" spans="1:57" ht="15.75" customHeight="1">
      <c r="A154" s="430"/>
      <c r="B154" s="430"/>
      <c r="C154" s="430"/>
      <c r="D154" s="430"/>
      <c r="E154" s="430"/>
      <c r="F154" s="430"/>
      <c r="G154" s="430"/>
      <c r="H154" s="430"/>
      <c r="I154" s="430"/>
      <c r="J154" s="581"/>
      <c r="K154" s="581"/>
      <c r="L154" s="582"/>
      <c r="M154" s="581"/>
      <c r="N154" s="430"/>
      <c r="O154" s="430"/>
      <c r="P154" s="430"/>
      <c r="Q154" s="430"/>
      <c r="R154" s="430"/>
      <c r="S154" s="581"/>
      <c r="T154" s="581"/>
      <c r="U154" s="581"/>
      <c r="V154" s="582"/>
      <c r="W154" s="581"/>
      <c r="X154" s="430"/>
      <c r="Y154" s="430"/>
      <c r="Z154" s="430"/>
      <c r="AA154" s="430"/>
      <c r="AB154" s="430"/>
      <c r="AC154" s="430"/>
      <c r="AD154" s="430"/>
      <c r="AE154" s="430"/>
      <c r="AF154" s="430"/>
      <c r="AG154" s="430"/>
      <c r="AH154" s="430"/>
      <c r="AI154" s="430"/>
      <c r="AJ154" s="430"/>
      <c r="AK154" s="430"/>
      <c r="AL154" s="430"/>
      <c r="AM154" s="430"/>
      <c r="AN154" s="430"/>
      <c r="AO154" s="430"/>
      <c r="AP154" s="430"/>
      <c r="AQ154" s="430"/>
      <c r="AR154" s="430"/>
      <c r="AS154" s="430"/>
      <c r="AT154" s="430"/>
      <c r="AU154" s="430"/>
      <c r="AV154" s="430"/>
      <c r="AW154" s="430"/>
      <c r="AX154" s="430"/>
      <c r="AY154" s="430"/>
      <c r="AZ154" s="430"/>
      <c r="BA154" s="430"/>
      <c r="BB154" s="430"/>
      <c r="BC154" s="430"/>
      <c r="BD154" s="430"/>
      <c r="BE154" s="430"/>
    </row>
    <row r="155" spans="1:57" ht="15.75" customHeight="1">
      <c r="A155" s="430"/>
      <c r="B155" s="430"/>
      <c r="C155" s="430"/>
      <c r="D155" s="430"/>
      <c r="E155" s="430"/>
      <c r="F155" s="430"/>
      <c r="G155" s="430"/>
      <c r="H155" s="430"/>
      <c r="I155" s="430"/>
      <c r="J155" s="581"/>
      <c r="K155" s="581"/>
      <c r="L155" s="582"/>
      <c r="M155" s="581"/>
      <c r="N155" s="430"/>
      <c r="O155" s="430"/>
      <c r="P155" s="430"/>
      <c r="Q155" s="430"/>
      <c r="R155" s="430"/>
      <c r="S155" s="581"/>
      <c r="T155" s="581"/>
      <c r="U155" s="581"/>
      <c r="V155" s="582"/>
      <c r="W155" s="581"/>
      <c r="X155" s="430"/>
      <c r="Y155" s="430"/>
      <c r="Z155" s="430"/>
      <c r="AA155" s="430"/>
      <c r="AB155" s="430"/>
      <c r="AC155" s="430"/>
      <c r="AD155" s="430"/>
      <c r="AE155" s="430"/>
      <c r="AF155" s="430"/>
      <c r="AG155" s="430"/>
      <c r="AH155" s="430"/>
      <c r="AI155" s="430"/>
      <c r="AJ155" s="430"/>
      <c r="AK155" s="430"/>
      <c r="AL155" s="430"/>
      <c r="AM155" s="430"/>
      <c r="AN155" s="430"/>
      <c r="AO155" s="430"/>
      <c r="AP155" s="430"/>
      <c r="AQ155" s="430"/>
      <c r="AR155" s="430"/>
      <c r="AS155" s="430"/>
      <c r="AT155" s="430"/>
      <c r="AU155" s="430"/>
      <c r="AV155" s="430"/>
      <c r="AW155" s="430"/>
      <c r="AX155" s="430"/>
      <c r="AY155" s="430"/>
      <c r="AZ155" s="430"/>
      <c r="BA155" s="430"/>
      <c r="BB155" s="430"/>
      <c r="BC155" s="430"/>
      <c r="BD155" s="430"/>
      <c r="BE155" s="430"/>
    </row>
    <row r="156" spans="1:57" ht="15.75" customHeight="1">
      <c r="A156" s="430"/>
      <c r="B156" s="430"/>
      <c r="C156" s="430"/>
      <c r="D156" s="430"/>
      <c r="E156" s="430"/>
      <c r="F156" s="430"/>
      <c r="G156" s="430"/>
      <c r="H156" s="430"/>
      <c r="I156" s="430"/>
      <c r="J156" s="581"/>
      <c r="K156" s="581"/>
      <c r="L156" s="582"/>
      <c r="M156" s="581"/>
      <c r="N156" s="430"/>
      <c r="O156" s="430"/>
      <c r="P156" s="430"/>
      <c r="Q156" s="430"/>
      <c r="R156" s="430"/>
      <c r="S156" s="581"/>
      <c r="T156" s="581"/>
      <c r="U156" s="581"/>
      <c r="V156" s="582"/>
      <c r="W156" s="581"/>
      <c r="X156" s="430"/>
      <c r="Y156" s="430"/>
      <c r="Z156" s="430"/>
      <c r="AA156" s="430"/>
      <c r="AB156" s="430"/>
      <c r="AC156" s="430"/>
      <c r="AD156" s="430"/>
      <c r="AE156" s="430"/>
      <c r="AF156" s="430"/>
      <c r="AG156" s="430"/>
      <c r="AH156" s="430"/>
      <c r="AI156" s="430"/>
      <c r="AJ156" s="430"/>
      <c r="AK156" s="430"/>
      <c r="AL156" s="430"/>
      <c r="AM156" s="430"/>
      <c r="AN156" s="430"/>
      <c r="AO156" s="430"/>
      <c r="AP156" s="430"/>
      <c r="AQ156" s="430"/>
      <c r="AR156" s="430"/>
      <c r="AS156" s="430"/>
      <c r="AT156" s="430"/>
      <c r="AU156" s="430"/>
      <c r="AV156" s="430"/>
      <c r="AW156" s="430"/>
      <c r="AX156" s="430"/>
      <c r="AY156" s="430"/>
      <c r="AZ156" s="430"/>
      <c r="BA156" s="430"/>
      <c r="BB156" s="430"/>
      <c r="BC156" s="430"/>
      <c r="BD156" s="430"/>
      <c r="BE156" s="430"/>
    </row>
    <row r="157" spans="1:57" ht="15.75" customHeight="1">
      <c r="A157" s="430"/>
      <c r="B157" s="430"/>
      <c r="C157" s="430"/>
      <c r="D157" s="430"/>
      <c r="E157" s="430"/>
      <c r="F157" s="430"/>
      <c r="G157" s="430"/>
      <c r="H157" s="430"/>
      <c r="I157" s="430"/>
      <c r="J157" s="581"/>
      <c r="K157" s="581"/>
      <c r="L157" s="582"/>
      <c r="M157" s="581"/>
      <c r="N157" s="430"/>
      <c r="O157" s="430"/>
      <c r="P157" s="430"/>
      <c r="Q157" s="430"/>
      <c r="R157" s="430"/>
      <c r="S157" s="581"/>
      <c r="T157" s="581"/>
      <c r="U157" s="581"/>
      <c r="V157" s="582"/>
      <c r="W157" s="581"/>
      <c r="X157" s="430"/>
      <c r="Y157" s="430"/>
      <c r="Z157" s="430"/>
      <c r="AA157" s="430"/>
      <c r="AB157" s="430"/>
      <c r="AC157" s="430"/>
      <c r="AD157" s="430"/>
      <c r="AE157" s="430"/>
      <c r="AF157" s="430"/>
      <c r="AG157" s="430"/>
      <c r="AH157" s="430"/>
      <c r="AI157" s="430"/>
      <c r="AJ157" s="430"/>
      <c r="AK157" s="430"/>
      <c r="AL157" s="430"/>
      <c r="AM157" s="430"/>
      <c r="AN157" s="430"/>
      <c r="AO157" s="430"/>
      <c r="AP157" s="430"/>
      <c r="AQ157" s="430"/>
      <c r="AR157" s="430"/>
      <c r="AS157" s="430"/>
      <c r="AT157" s="430"/>
      <c r="AU157" s="430"/>
      <c r="AV157" s="430"/>
      <c r="AW157" s="430"/>
      <c r="AX157" s="430"/>
      <c r="AY157" s="430"/>
      <c r="AZ157" s="430"/>
      <c r="BA157" s="430"/>
      <c r="BB157" s="430"/>
      <c r="BC157" s="430"/>
      <c r="BD157" s="430"/>
      <c r="BE157" s="430"/>
    </row>
    <row r="158" spans="1:57" ht="15.75" customHeight="1">
      <c r="A158" s="430"/>
      <c r="B158" s="430"/>
      <c r="C158" s="430"/>
      <c r="D158" s="430"/>
      <c r="E158" s="430"/>
      <c r="F158" s="430"/>
      <c r="G158" s="430"/>
      <c r="H158" s="430"/>
      <c r="I158" s="430"/>
      <c r="J158" s="581"/>
      <c r="K158" s="581"/>
      <c r="L158" s="582"/>
      <c r="M158" s="581"/>
      <c r="N158" s="430"/>
      <c r="O158" s="430"/>
      <c r="P158" s="430"/>
      <c r="Q158" s="430"/>
      <c r="R158" s="430"/>
      <c r="S158" s="581"/>
      <c r="T158" s="581"/>
      <c r="U158" s="581"/>
      <c r="V158" s="582"/>
      <c r="W158" s="581"/>
      <c r="X158" s="430"/>
      <c r="Y158" s="430"/>
      <c r="Z158" s="430"/>
      <c r="AA158" s="430"/>
      <c r="AB158" s="430"/>
      <c r="AC158" s="430"/>
      <c r="AD158" s="430"/>
      <c r="AE158" s="430"/>
      <c r="AF158" s="430"/>
      <c r="AG158" s="430"/>
      <c r="AH158" s="430"/>
      <c r="AI158" s="430"/>
      <c r="AJ158" s="430"/>
      <c r="AK158" s="430"/>
      <c r="AL158" s="430"/>
      <c r="AM158" s="430"/>
      <c r="AN158" s="430"/>
      <c r="AO158" s="430"/>
      <c r="AP158" s="430"/>
      <c r="AQ158" s="430"/>
      <c r="AR158" s="430"/>
      <c r="AS158" s="430"/>
      <c r="AT158" s="430"/>
      <c r="AU158" s="430"/>
      <c r="AV158" s="430"/>
      <c r="AW158" s="430"/>
      <c r="AX158" s="430"/>
      <c r="AY158" s="430"/>
      <c r="AZ158" s="430"/>
      <c r="BA158" s="430"/>
      <c r="BB158" s="430"/>
      <c r="BC158" s="430"/>
      <c r="BD158" s="430"/>
      <c r="BE158" s="430"/>
    </row>
    <row r="159" spans="1:57" ht="15.75" customHeight="1">
      <c r="A159" s="430"/>
      <c r="B159" s="430"/>
      <c r="C159" s="430"/>
      <c r="D159" s="430"/>
      <c r="E159" s="430"/>
      <c r="F159" s="430"/>
      <c r="G159" s="430"/>
      <c r="H159" s="430"/>
      <c r="I159" s="430"/>
      <c r="J159" s="581"/>
      <c r="K159" s="581"/>
      <c r="L159" s="582"/>
      <c r="M159" s="581"/>
      <c r="N159" s="430"/>
      <c r="O159" s="430"/>
      <c r="P159" s="430"/>
      <c r="Q159" s="430"/>
      <c r="R159" s="430"/>
      <c r="S159" s="581"/>
      <c r="T159" s="581"/>
      <c r="U159" s="581"/>
      <c r="V159" s="582"/>
      <c r="W159" s="581"/>
      <c r="X159" s="430"/>
      <c r="Y159" s="430"/>
      <c r="Z159" s="430"/>
      <c r="AA159" s="430"/>
      <c r="AB159" s="430"/>
      <c r="AC159" s="430"/>
      <c r="AD159" s="430"/>
      <c r="AE159" s="430"/>
      <c r="AF159" s="430"/>
      <c r="AG159" s="430"/>
      <c r="AH159" s="430"/>
      <c r="AI159" s="430"/>
      <c r="AJ159" s="430"/>
      <c r="AK159" s="430"/>
      <c r="AL159" s="430"/>
      <c r="AM159" s="430"/>
      <c r="AN159" s="430"/>
      <c r="AO159" s="430"/>
      <c r="AP159" s="430"/>
      <c r="AQ159" s="430"/>
      <c r="AR159" s="430"/>
      <c r="AS159" s="430"/>
      <c r="AT159" s="430"/>
      <c r="AU159" s="430"/>
      <c r="AV159" s="430"/>
      <c r="AW159" s="430"/>
      <c r="AX159" s="430"/>
      <c r="AY159" s="430"/>
      <c r="AZ159" s="430"/>
      <c r="BA159" s="430"/>
      <c r="BB159" s="430"/>
      <c r="BC159" s="430"/>
      <c r="BD159" s="430"/>
      <c r="BE159" s="430"/>
    </row>
    <row r="160" spans="1:57" ht="15.75" customHeight="1">
      <c r="A160" s="430"/>
      <c r="B160" s="430"/>
      <c r="C160" s="430"/>
      <c r="D160" s="430"/>
      <c r="E160" s="430"/>
      <c r="F160" s="430"/>
      <c r="G160" s="430"/>
      <c r="H160" s="430"/>
      <c r="I160" s="430"/>
      <c r="J160" s="581"/>
      <c r="K160" s="581"/>
      <c r="L160" s="582"/>
      <c r="M160" s="581"/>
      <c r="N160" s="430"/>
      <c r="O160" s="430"/>
      <c r="P160" s="430"/>
      <c r="Q160" s="430"/>
      <c r="R160" s="430"/>
      <c r="S160" s="581"/>
      <c r="T160" s="581"/>
      <c r="U160" s="581"/>
      <c r="V160" s="582"/>
      <c r="W160" s="581"/>
      <c r="X160" s="430"/>
      <c r="Y160" s="430"/>
      <c r="Z160" s="430"/>
      <c r="AA160" s="430"/>
      <c r="AB160" s="430"/>
      <c r="AC160" s="430"/>
      <c r="AD160" s="430"/>
      <c r="AE160" s="430"/>
      <c r="AF160" s="430"/>
      <c r="AG160" s="430"/>
      <c r="AH160" s="430"/>
      <c r="AI160" s="430"/>
      <c r="AJ160" s="430"/>
      <c r="AK160" s="430"/>
      <c r="AL160" s="430"/>
      <c r="AM160" s="430"/>
      <c r="AN160" s="430"/>
      <c r="AO160" s="430"/>
      <c r="AP160" s="430"/>
      <c r="AQ160" s="430"/>
      <c r="AR160" s="430"/>
      <c r="AS160" s="430"/>
      <c r="AT160" s="430"/>
      <c r="AU160" s="430"/>
      <c r="AV160" s="430"/>
      <c r="AW160" s="430"/>
      <c r="AX160" s="430"/>
      <c r="AY160" s="430"/>
      <c r="AZ160" s="430"/>
      <c r="BA160" s="430"/>
      <c r="BB160" s="430"/>
      <c r="BC160" s="430"/>
      <c r="BD160" s="430"/>
      <c r="BE160" s="430"/>
    </row>
    <row r="161" spans="1:57" ht="15.75" customHeight="1">
      <c r="A161" s="430"/>
      <c r="B161" s="430"/>
      <c r="C161" s="430"/>
      <c r="D161" s="430"/>
      <c r="E161" s="430"/>
      <c r="F161" s="430"/>
      <c r="G161" s="430"/>
      <c r="H161" s="430"/>
      <c r="I161" s="430"/>
      <c r="J161" s="581"/>
      <c r="K161" s="581"/>
      <c r="L161" s="582"/>
      <c r="M161" s="581"/>
      <c r="N161" s="430"/>
      <c r="O161" s="430"/>
      <c r="P161" s="430"/>
      <c r="Q161" s="430"/>
      <c r="R161" s="430"/>
      <c r="S161" s="581"/>
      <c r="T161" s="581"/>
      <c r="U161" s="581"/>
      <c r="V161" s="582"/>
      <c r="W161" s="581"/>
      <c r="X161" s="430"/>
      <c r="Y161" s="430"/>
      <c r="Z161" s="430"/>
      <c r="AA161" s="430"/>
      <c r="AB161" s="430"/>
      <c r="AC161" s="430"/>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0"/>
      <c r="AY161" s="430"/>
      <c r="AZ161" s="430"/>
      <c r="BA161" s="430"/>
      <c r="BB161" s="430"/>
      <c r="BC161" s="430"/>
      <c r="BD161" s="430"/>
      <c r="BE161" s="430"/>
    </row>
    <row r="162" spans="1:57" ht="15.75" customHeight="1">
      <c r="A162" s="430"/>
      <c r="B162" s="430"/>
      <c r="C162" s="430"/>
      <c r="D162" s="430"/>
      <c r="E162" s="430"/>
      <c r="F162" s="430"/>
      <c r="G162" s="430"/>
      <c r="H162" s="430"/>
      <c r="I162" s="430"/>
      <c r="J162" s="581"/>
      <c r="K162" s="581"/>
      <c r="L162" s="582"/>
      <c r="M162" s="581"/>
      <c r="N162" s="430"/>
      <c r="O162" s="430"/>
      <c r="P162" s="430"/>
      <c r="Q162" s="430"/>
      <c r="R162" s="430"/>
      <c r="S162" s="581"/>
      <c r="T162" s="581"/>
      <c r="U162" s="581"/>
      <c r="V162" s="582"/>
      <c r="W162" s="581"/>
      <c r="X162" s="430"/>
      <c r="Y162" s="430"/>
      <c r="Z162" s="430"/>
      <c r="AA162" s="430"/>
      <c r="AB162" s="430"/>
      <c r="AC162" s="430"/>
      <c r="AD162" s="430"/>
      <c r="AE162" s="430"/>
      <c r="AF162" s="430"/>
      <c r="AG162" s="430"/>
      <c r="AH162" s="430"/>
      <c r="AI162" s="430"/>
      <c r="AJ162" s="430"/>
      <c r="AK162" s="430"/>
      <c r="AL162" s="430"/>
      <c r="AM162" s="430"/>
      <c r="AN162" s="430"/>
      <c r="AO162" s="430"/>
      <c r="AP162" s="430"/>
      <c r="AQ162" s="430"/>
      <c r="AR162" s="430"/>
      <c r="AS162" s="430"/>
      <c r="AT162" s="430"/>
      <c r="AU162" s="430"/>
      <c r="AV162" s="430"/>
      <c r="AW162" s="430"/>
      <c r="AX162" s="430"/>
      <c r="AY162" s="430"/>
      <c r="AZ162" s="430"/>
      <c r="BA162" s="430"/>
      <c r="BB162" s="430"/>
      <c r="BC162" s="430"/>
      <c r="BD162" s="430"/>
      <c r="BE162" s="430"/>
    </row>
    <row r="163" spans="1:57" ht="15.75" customHeight="1">
      <c r="A163" s="430"/>
      <c r="B163" s="430"/>
      <c r="C163" s="430"/>
      <c r="D163" s="430"/>
      <c r="E163" s="430"/>
      <c r="F163" s="430"/>
      <c r="G163" s="430"/>
      <c r="H163" s="430"/>
      <c r="I163" s="430"/>
      <c r="J163" s="581"/>
      <c r="K163" s="581"/>
      <c r="L163" s="582"/>
      <c r="M163" s="581"/>
      <c r="N163" s="430"/>
      <c r="O163" s="430"/>
      <c r="P163" s="430"/>
      <c r="Q163" s="430"/>
      <c r="R163" s="430"/>
      <c r="S163" s="581"/>
      <c r="T163" s="581"/>
      <c r="U163" s="581"/>
      <c r="V163" s="582"/>
      <c r="W163" s="581"/>
      <c r="X163" s="430"/>
      <c r="Y163" s="430"/>
      <c r="Z163" s="430"/>
      <c r="AA163" s="430"/>
      <c r="AB163" s="430"/>
      <c r="AC163" s="430"/>
      <c r="AD163" s="430"/>
      <c r="AE163" s="430"/>
      <c r="AF163" s="430"/>
      <c r="AG163" s="430"/>
      <c r="AH163" s="430"/>
      <c r="AI163" s="430"/>
      <c r="AJ163" s="430"/>
      <c r="AK163" s="430"/>
      <c r="AL163" s="430"/>
      <c r="AM163" s="430"/>
      <c r="AN163" s="430"/>
      <c r="AO163" s="430"/>
      <c r="AP163" s="430"/>
      <c r="AQ163" s="430"/>
      <c r="AR163" s="430"/>
      <c r="AS163" s="430"/>
      <c r="AT163" s="430"/>
      <c r="AU163" s="430"/>
      <c r="AV163" s="430"/>
      <c r="AW163" s="430"/>
      <c r="AX163" s="430"/>
      <c r="AY163" s="430"/>
      <c r="AZ163" s="430"/>
      <c r="BA163" s="430"/>
      <c r="BB163" s="430"/>
      <c r="BC163" s="430"/>
      <c r="BD163" s="430"/>
      <c r="BE163" s="430"/>
    </row>
    <row r="164" spans="1:57" ht="15.75" customHeight="1">
      <c r="A164" s="430"/>
      <c r="B164" s="430"/>
      <c r="C164" s="430"/>
      <c r="D164" s="430"/>
      <c r="E164" s="430"/>
      <c r="F164" s="430"/>
      <c r="G164" s="430"/>
      <c r="H164" s="430"/>
      <c r="I164" s="430"/>
      <c r="J164" s="581"/>
      <c r="K164" s="581"/>
      <c r="L164" s="582"/>
      <c r="M164" s="581"/>
      <c r="N164" s="430"/>
      <c r="O164" s="430"/>
      <c r="P164" s="430"/>
      <c r="Q164" s="430"/>
      <c r="R164" s="430"/>
      <c r="S164" s="581"/>
      <c r="T164" s="581"/>
      <c r="U164" s="581"/>
      <c r="V164" s="582"/>
      <c r="W164" s="581"/>
      <c r="X164" s="430"/>
      <c r="Y164" s="430"/>
      <c r="Z164" s="430"/>
      <c r="AA164" s="430"/>
      <c r="AB164" s="430"/>
      <c r="AC164" s="430"/>
      <c r="AD164" s="430"/>
      <c r="AE164" s="430"/>
      <c r="AF164" s="430"/>
      <c r="AG164" s="430"/>
      <c r="AH164" s="430"/>
      <c r="AI164" s="430"/>
      <c r="AJ164" s="430"/>
      <c r="AK164" s="430"/>
      <c r="AL164" s="430"/>
      <c r="AM164" s="430"/>
      <c r="AN164" s="430"/>
      <c r="AO164" s="430"/>
      <c r="AP164" s="430"/>
      <c r="AQ164" s="430"/>
      <c r="AR164" s="430"/>
      <c r="AS164" s="430"/>
      <c r="AT164" s="430"/>
      <c r="AU164" s="430"/>
      <c r="AV164" s="430"/>
      <c r="AW164" s="430"/>
      <c r="AX164" s="430"/>
      <c r="AY164" s="430"/>
      <c r="AZ164" s="430"/>
      <c r="BA164" s="430"/>
      <c r="BB164" s="430"/>
      <c r="BC164" s="430"/>
      <c r="BD164" s="430"/>
      <c r="BE164" s="430"/>
    </row>
    <row r="165" spans="1:57" ht="15.75" customHeight="1">
      <c r="A165" s="430"/>
      <c r="B165" s="430"/>
      <c r="C165" s="430"/>
      <c r="D165" s="430"/>
      <c r="E165" s="430"/>
      <c r="F165" s="430"/>
      <c r="G165" s="430"/>
      <c r="H165" s="430"/>
      <c r="I165" s="430"/>
      <c r="J165" s="581"/>
      <c r="K165" s="581"/>
      <c r="L165" s="582"/>
      <c r="M165" s="581"/>
      <c r="N165" s="430"/>
      <c r="O165" s="430"/>
      <c r="P165" s="430"/>
      <c r="Q165" s="430"/>
      <c r="R165" s="430"/>
      <c r="S165" s="581"/>
      <c r="T165" s="581"/>
      <c r="U165" s="581"/>
      <c r="V165" s="582"/>
      <c r="W165" s="581"/>
      <c r="X165" s="430"/>
      <c r="Y165" s="430"/>
      <c r="Z165" s="430"/>
      <c r="AA165" s="430"/>
      <c r="AB165" s="430"/>
      <c r="AC165" s="430"/>
      <c r="AD165" s="430"/>
      <c r="AE165" s="430"/>
      <c r="AF165" s="430"/>
      <c r="AG165" s="430"/>
      <c r="AH165" s="430"/>
      <c r="AI165" s="430"/>
      <c r="AJ165" s="430"/>
      <c r="AK165" s="430"/>
      <c r="AL165" s="430"/>
      <c r="AM165" s="430"/>
      <c r="AN165" s="430"/>
      <c r="AO165" s="430"/>
      <c r="AP165" s="430"/>
      <c r="AQ165" s="430"/>
      <c r="AR165" s="430"/>
      <c r="AS165" s="430"/>
      <c r="AT165" s="430"/>
      <c r="AU165" s="430"/>
      <c r="AV165" s="430"/>
      <c r="AW165" s="430"/>
      <c r="AX165" s="430"/>
      <c r="AY165" s="430"/>
      <c r="AZ165" s="430"/>
      <c r="BA165" s="430"/>
      <c r="BB165" s="430"/>
      <c r="BC165" s="430"/>
      <c r="BD165" s="430"/>
      <c r="BE165" s="430"/>
    </row>
    <row r="166" spans="1:57" ht="15.75" customHeight="1">
      <c r="A166" s="430"/>
      <c r="B166" s="430"/>
      <c r="C166" s="430"/>
      <c r="D166" s="430"/>
      <c r="E166" s="430"/>
      <c r="F166" s="430"/>
      <c r="G166" s="430"/>
      <c r="H166" s="430"/>
      <c r="I166" s="430"/>
      <c r="J166" s="581"/>
      <c r="K166" s="581"/>
      <c r="L166" s="582"/>
      <c r="M166" s="581"/>
      <c r="N166" s="430"/>
      <c r="O166" s="430"/>
      <c r="P166" s="430"/>
      <c r="Q166" s="430"/>
      <c r="R166" s="430"/>
      <c r="S166" s="581"/>
      <c r="T166" s="581"/>
      <c r="U166" s="581"/>
      <c r="V166" s="582"/>
      <c r="W166" s="581"/>
      <c r="X166" s="430"/>
      <c r="Y166" s="430"/>
      <c r="Z166" s="430"/>
      <c r="AA166" s="430"/>
      <c r="AB166" s="430"/>
      <c r="AC166" s="430"/>
      <c r="AD166" s="430"/>
      <c r="AE166" s="430"/>
      <c r="AF166" s="430"/>
      <c r="AG166" s="430"/>
      <c r="AH166" s="430"/>
      <c r="AI166" s="430"/>
      <c r="AJ166" s="430"/>
      <c r="AK166" s="430"/>
      <c r="AL166" s="430"/>
      <c r="AM166" s="430"/>
      <c r="AN166" s="430"/>
      <c r="AO166" s="430"/>
      <c r="AP166" s="430"/>
      <c r="AQ166" s="430"/>
      <c r="AR166" s="430"/>
      <c r="AS166" s="430"/>
      <c r="AT166" s="430"/>
      <c r="AU166" s="430"/>
      <c r="AV166" s="430"/>
      <c r="AW166" s="430"/>
      <c r="AX166" s="430"/>
      <c r="AY166" s="430"/>
      <c r="AZ166" s="430"/>
      <c r="BA166" s="430"/>
      <c r="BB166" s="430"/>
      <c r="BC166" s="430"/>
      <c r="BD166" s="430"/>
      <c r="BE166" s="430"/>
    </row>
    <row r="167" spans="1:57" ht="15.75" customHeight="1">
      <c r="A167" s="430"/>
      <c r="B167" s="430"/>
      <c r="C167" s="430"/>
      <c r="D167" s="430"/>
      <c r="E167" s="430"/>
      <c r="F167" s="430"/>
      <c r="G167" s="430"/>
      <c r="H167" s="430"/>
      <c r="I167" s="430"/>
      <c r="J167" s="581"/>
      <c r="K167" s="581"/>
      <c r="L167" s="582"/>
      <c r="M167" s="581"/>
      <c r="N167" s="430"/>
      <c r="O167" s="430"/>
      <c r="P167" s="430"/>
      <c r="Q167" s="430"/>
      <c r="R167" s="430"/>
      <c r="S167" s="581"/>
      <c r="T167" s="581"/>
      <c r="U167" s="581"/>
      <c r="V167" s="582"/>
      <c r="W167" s="581"/>
      <c r="X167" s="430"/>
      <c r="Y167" s="430"/>
      <c r="Z167" s="430"/>
      <c r="AA167" s="430"/>
      <c r="AB167" s="430"/>
      <c r="AC167" s="430"/>
      <c r="AD167" s="430"/>
      <c r="AE167" s="430"/>
      <c r="AF167" s="430"/>
      <c r="AG167" s="430"/>
      <c r="AH167" s="430"/>
      <c r="AI167" s="430"/>
      <c r="AJ167" s="430"/>
      <c r="AK167" s="430"/>
      <c r="AL167" s="430"/>
      <c r="AM167" s="430"/>
      <c r="AN167" s="430"/>
      <c r="AO167" s="430"/>
      <c r="AP167" s="430"/>
      <c r="AQ167" s="430"/>
      <c r="AR167" s="430"/>
      <c r="AS167" s="430"/>
      <c r="AT167" s="430"/>
      <c r="AU167" s="430"/>
      <c r="AV167" s="430"/>
      <c r="AW167" s="430"/>
      <c r="AX167" s="430"/>
      <c r="AY167" s="430"/>
      <c r="AZ167" s="430"/>
      <c r="BA167" s="430"/>
      <c r="BB167" s="430"/>
      <c r="BC167" s="430"/>
      <c r="BD167" s="430"/>
      <c r="BE167" s="430"/>
    </row>
    <row r="168" spans="1:57" ht="15.75" customHeight="1">
      <c r="A168" s="430"/>
      <c r="B168" s="430"/>
      <c r="C168" s="430"/>
      <c r="D168" s="430"/>
      <c r="E168" s="430"/>
      <c r="F168" s="430"/>
      <c r="G168" s="430"/>
      <c r="H168" s="430"/>
      <c r="I168" s="430"/>
      <c r="J168" s="581"/>
      <c r="K168" s="581"/>
      <c r="L168" s="582"/>
      <c r="M168" s="581"/>
      <c r="N168" s="430"/>
      <c r="O168" s="430"/>
      <c r="P168" s="430"/>
      <c r="Q168" s="430"/>
      <c r="R168" s="430"/>
      <c r="S168" s="581"/>
      <c r="T168" s="581"/>
      <c r="U168" s="581"/>
      <c r="V168" s="582"/>
      <c r="W168" s="581"/>
      <c r="X168" s="430"/>
      <c r="Y168" s="430"/>
      <c r="Z168" s="430"/>
      <c r="AA168" s="430"/>
      <c r="AB168" s="430"/>
      <c r="AC168" s="430"/>
      <c r="AD168" s="430"/>
      <c r="AE168" s="430"/>
      <c r="AF168" s="430"/>
      <c r="AG168" s="430"/>
      <c r="AH168" s="430"/>
      <c r="AI168" s="430"/>
      <c r="AJ168" s="430"/>
      <c r="AK168" s="430"/>
      <c r="AL168" s="430"/>
      <c r="AM168" s="430"/>
      <c r="AN168" s="430"/>
      <c r="AO168" s="430"/>
      <c r="AP168" s="430"/>
      <c r="AQ168" s="430"/>
      <c r="AR168" s="430"/>
      <c r="AS168" s="430"/>
      <c r="AT168" s="430"/>
      <c r="AU168" s="430"/>
      <c r="AV168" s="430"/>
      <c r="AW168" s="430"/>
      <c r="AX168" s="430"/>
      <c r="AY168" s="430"/>
      <c r="AZ168" s="430"/>
      <c r="BA168" s="430"/>
      <c r="BB168" s="430"/>
      <c r="BC168" s="430"/>
      <c r="BD168" s="430"/>
      <c r="BE168" s="430"/>
    </row>
    <row r="169" spans="1:57" ht="15.75" customHeight="1">
      <c r="A169" s="430"/>
      <c r="B169" s="430"/>
      <c r="C169" s="430"/>
      <c r="D169" s="430"/>
      <c r="E169" s="430"/>
      <c r="F169" s="430"/>
      <c r="G169" s="430"/>
      <c r="H169" s="430"/>
      <c r="I169" s="430"/>
      <c r="J169" s="581"/>
      <c r="K169" s="581"/>
      <c r="L169" s="582"/>
      <c r="M169" s="581"/>
      <c r="N169" s="430"/>
      <c r="O169" s="430"/>
      <c r="P169" s="430"/>
      <c r="Q169" s="430"/>
      <c r="R169" s="430"/>
      <c r="S169" s="581"/>
      <c r="T169" s="581"/>
      <c r="U169" s="581"/>
      <c r="V169" s="582"/>
      <c r="W169" s="581"/>
      <c r="X169" s="430"/>
      <c r="Y169" s="430"/>
      <c r="Z169" s="430"/>
      <c r="AA169" s="430"/>
      <c r="AB169" s="430"/>
      <c r="AC169" s="430"/>
      <c r="AD169" s="430"/>
      <c r="AE169" s="430"/>
      <c r="AF169" s="430"/>
      <c r="AG169" s="430"/>
      <c r="AH169" s="430"/>
      <c r="AI169" s="430"/>
      <c r="AJ169" s="430"/>
      <c r="AK169" s="430"/>
      <c r="AL169" s="430"/>
      <c r="AM169" s="430"/>
      <c r="AN169" s="430"/>
      <c r="AO169" s="430"/>
      <c r="AP169" s="430"/>
      <c r="AQ169" s="430"/>
      <c r="AR169" s="430"/>
      <c r="AS169" s="430"/>
      <c r="AT169" s="430"/>
      <c r="AU169" s="430"/>
      <c r="AV169" s="430"/>
      <c r="AW169" s="430"/>
      <c r="AX169" s="430"/>
      <c r="AY169" s="430"/>
      <c r="AZ169" s="430"/>
      <c r="BA169" s="430"/>
      <c r="BB169" s="430"/>
      <c r="BC169" s="430"/>
      <c r="BD169" s="430"/>
      <c r="BE169" s="430"/>
    </row>
    <row r="170" spans="1:57" ht="15.75" customHeight="1">
      <c r="A170" s="430"/>
      <c r="B170" s="430"/>
      <c r="C170" s="430"/>
      <c r="D170" s="430"/>
      <c r="E170" s="430"/>
      <c r="F170" s="430"/>
      <c r="G170" s="430"/>
      <c r="H170" s="430"/>
      <c r="I170" s="430"/>
      <c r="J170" s="581"/>
      <c r="K170" s="581"/>
      <c r="L170" s="582"/>
      <c r="M170" s="581"/>
      <c r="N170" s="430"/>
      <c r="O170" s="430"/>
      <c r="P170" s="430"/>
      <c r="Q170" s="430"/>
      <c r="R170" s="430"/>
      <c r="S170" s="581"/>
      <c r="T170" s="581"/>
      <c r="U170" s="581"/>
      <c r="V170" s="582"/>
      <c r="W170" s="581"/>
      <c r="X170" s="430"/>
      <c r="Y170" s="430"/>
      <c r="Z170" s="430"/>
      <c r="AA170" s="430"/>
      <c r="AB170" s="430"/>
      <c r="AC170" s="430"/>
      <c r="AD170" s="430"/>
      <c r="AE170" s="430"/>
      <c r="AF170" s="430"/>
      <c r="AG170" s="430"/>
      <c r="AH170" s="430"/>
      <c r="AI170" s="430"/>
      <c r="AJ170" s="430"/>
      <c r="AK170" s="430"/>
      <c r="AL170" s="430"/>
      <c r="AM170" s="430"/>
      <c r="AN170" s="430"/>
      <c r="AO170" s="430"/>
      <c r="AP170" s="430"/>
      <c r="AQ170" s="430"/>
      <c r="AR170" s="430"/>
      <c r="AS170" s="430"/>
      <c r="AT170" s="430"/>
      <c r="AU170" s="430"/>
      <c r="AV170" s="430"/>
      <c r="AW170" s="430"/>
      <c r="AX170" s="430"/>
      <c r="AY170" s="430"/>
      <c r="AZ170" s="430"/>
      <c r="BA170" s="430"/>
      <c r="BB170" s="430"/>
      <c r="BC170" s="430"/>
      <c r="BD170" s="430"/>
      <c r="BE170" s="430"/>
    </row>
    <row r="171" spans="1:57" ht="15.75" customHeight="1">
      <c r="A171" s="430"/>
      <c r="B171" s="430"/>
      <c r="C171" s="430"/>
      <c r="D171" s="430"/>
      <c r="E171" s="430"/>
      <c r="F171" s="430"/>
      <c r="G171" s="430"/>
      <c r="H171" s="430"/>
      <c r="I171" s="430"/>
      <c r="J171" s="581"/>
      <c r="K171" s="581"/>
      <c r="L171" s="582"/>
      <c r="M171" s="581"/>
      <c r="N171" s="430"/>
      <c r="O171" s="430"/>
      <c r="P171" s="430"/>
      <c r="Q171" s="430"/>
      <c r="R171" s="430"/>
      <c r="S171" s="581"/>
      <c r="T171" s="581"/>
      <c r="U171" s="581"/>
      <c r="V171" s="582"/>
      <c r="W171" s="581"/>
      <c r="X171" s="430"/>
      <c r="Y171" s="430"/>
      <c r="Z171" s="430"/>
      <c r="AA171" s="430"/>
      <c r="AB171" s="430"/>
      <c r="AC171" s="430"/>
      <c r="AD171" s="430"/>
      <c r="AE171" s="430"/>
      <c r="AF171" s="430"/>
      <c r="AG171" s="430"/>
      <c r="AH171" s="430"/>
      <c r="AI171" s="430"/>
      <c r="AJ171" s="430"/>
      <c r="AK171" s="430"/>
      <c r="AL171" s="430"/>
      <c r="AM171" s="430"/>
      <c r="AN171" s="430"/>
      <c r="AO171" s="430"/>
      <c r="AP171" s="430"/>
      <c r="AQ171" s="430"/>
      <c r="AR171" s="430"/>
      <c r="AS171" s="430"/>
      <c r="AT171" s="430"/>
      <c r="AU171" s="430"/>
      <c r="AV171" s="430"/>
      <c r="AW171" s="430"/>
      <c r="AX171" s="430"/>
      <c r="AY171" s="430"/>
      <c r="AZ171" s="430"/>
      <c r="BA171" s="430"/>
      <c r="BB171" s="430"/>
      <c r="BC171" s="430"/>
      <c r="BD171" s="430"/>
      <c r="BE171" s="430"/>
    </row>
    <row r="172" spans="1:57" ht="15.75" customHeight="1">
      <c r="A172" s="430"/>
      <c r="B172" s="430"/>
      <c r="C172" s="430"/>
      <c r="D172" s="430"/>
      <c r="E172" s="430"/>
      <c r="F172" s="430"/>
      <c r="G172" s="430"/>
      <c r="H172" s="430"/>
      <c r="I172" s="430"/>
      <c r="J172" s="581"/>
      <c r="K172" s="581"/>
      <c r="L172" s="582"/>
      <c r="M172" s="581"/>
      <c r="N172" s="430"/>
      <c r="O172" s="430"/>
      <c r="P172" s="430"/>
      <c r="Q172" s="430"/>
      <c r="R172" s="430"/>
      <c r="S172" s="581"/>
      <c r="T172" s="581"/>
      <c r="U172" s="581"/>
      <c r="V172" s="582"/>
      <c r="W172" s="581"/>
      <c r="X172" s="430"/>
      <c r="Y172" s="430"/>
      <c r="Z172" s="430"/>
      <c r="AA172" s="430"/>
      <c r="AB172" s="430"/>
      <c r="AC172" s="430"/>
      <c r="AD172" s="430"/>
      <c r="AE172" s="430"/>
      <c r="AF172" s="430"/>
      <c r="AG172" s="430"/>
      <c r="AH172" s="430"/>
      <c r="AI172" s="430"/>
      <c r="AJ172" s="430"/>
      <c r="AK172" s="430"/>
      <c r="AL172" s="430"/>
      <c r="AM172" s="430"/>
      <c r="AN172" s="430"/>
      <c r="AO172" s="430"/>
      <c r="AP172" s="430"/>
      <c r="AQ172" s="430"/>
      <c r="AR172" s="430"/>
      <c r="AS172" s="430"/>
      <c r="AT172" s="430"/>
      <c r="AU172" s="430"/>
      <c r="AV172" s="430"/>
      <c r="AW172" s="430"/>
      <c r="AX172" s="430"/>
      <c r="AY172" s="430"/>
      <c r="AZ172" s="430"/>
      <c r="BA172" s="430"/>
      <c r="BB172" s="430"/>
      <c r="BC172" s="430"/>
      <c r="BD172" s="430"/>
      <c r="BE172" s="430"/>
    </row>
    <row r="173" spans="1:57" ht="15.75" customHeight="1">
      <c r="A173" s="430"/>
      <c r="B173" s="430"/>
      <c r="C173" s="430"/>
      <c r="D173" s="430"/>
      <c r="E173" s="430"/>
      <c r="F173" s="430"/>
      <c r="G173" s="430"/>
      <c r="H173" s="430"/>
      <c r="I173" s="430"/>
      <c r="J173" s="581"/>
      <c r="K173" s="581"/>
      <c r="L173" s="582"/>
      <c r="M173" s="581"/>
      <c r="N173" s="430"/>
      <c r="O173" s="430"/>
      <c r="P173" s="430"/>
      <c r="Q173" s="430"/>
      <c r="R173" s="430"/>
      <c r="S173" s="581"/>
      <c r="T173" s="581"/>
      <c r="U173" s="581"/>
      <c r="V173" s="582"/>
      <c r="W173" s="581"/>
      <c r="X173" s="430"/>
      <c r="Y173" s="430"/>
      <c r="Z173" s="430"/>
      <c r="AA173" s="430"/>
      <c r="AB173" s="430"/>
      <c r="AC173" s="430"/>
      <c r="AD173" s="430"/>
      <c r="AE173" s="430"/>
      <c r="AF173" s="430"/>
      <c r="AG173" s="430"/>
      <c r="AH173" s="430"/>
      <c r="AI173" s="430"/>
      <c r="AJ173" s="430"/>
      <c r="AK173" s="430"/>
      <c r="AL173" s="430"/>
      <c r="AM173" s="430"/>
      <c r="AN173" s="430"/>
      <c r="AO173" s="430"/>
      <c r="AP173" s="430"/>
      <c r="AQ173" s="430"/>
      <c r="AR173" s="430"/>
      <c r="AS173" s="430"/>
      <c r="AT173" s="430"/>
      <c r="AU173" s="430"/>
      <c r="AV173" s="430"/>
      <c r="AW173" s="430"/>
      <c r="AX173" s="430"/>
      <c r="AY173" s="430"/>
      <c r="AZ173" s="430"/>
      <c r="BA173" s="430"/>
      <c r="BB173" s="430"/>
      <c r="BC173" s="430"/>
      <c r="BD173" s="430"/>
      <c r="BE173" s="430"/>
    </row>
    <row r="174" spans="1:57" ht="15.75" customHeight="1">
      <c r="A174" s="430"/>
      <c r="B174" s="430"/>
      <c r="C174" s="430"/>
      <c r="D174" s="430"/>
      <c r="E174" s="430"/>
      <c r="F174" s="430"/>
      <c r="G174" s="430"/>
      <c r="H174" s="430"/>
      <c r="I174" s="430"/>
      <c r="J174" s="581"/>
      <c r="K174" s="581"/>
      <c r="L174" s="582"/>
      <c r="M174" s="581"/>
      <c r="N174" s="430"/>
      <c r="O174" s="430"/>
      <c r="P174" s="430"/>
      <c r="Q174" s="430"/>
      <c r="R174" s="430"/>
      <c r="S174" s="581"/>
      <c r="T174" s="581"/>
      <c r="U174" s="581"/>
      <c r="V174" s="582"/>
      <c r="W174" s="581"/>
      <c r="X174" s="430"/>
      <c r="Y174" s="430"/>
      <c r="Z174" s="430"/>
      <c r="AA174" s="430"/>
      <c r="AB174" s="430"/>
      <c r="AC174" s="430"/>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0"/>
      <c r="AY174" s="430"/>
      <c r="AZ174" s="430"/>
      <c r="BA174" s="430"/>
      <c r="BB174" s="430"/>
      <c r="BC174" s="430"/>
      <c r="BD174" s="430"/>
      <c r="BE174" s="430"/>
    </row>
    <row r="175" spans="1:57" ht="15.75" customHeight="1">
      <c r="A175" s="430"/>
      <c r="B175" s="430"/>
      <c r="C175" s="430"/>
      <c r="D175" s="430"/>
      <c r="E175" s="430"/>
      <c r="F175" s="430"/>
      <c r="G175" s="430"/>
      <c r="H175" s="430"/>
      <c r="I175" s="430"/>
      <c r="J175" s="581"/>
      <c r="K175" s="581"/>
      <c r="L175" s="582"/>
      <c r="M175" s="581"/>
      <c r="N175" s="430"/>
      <c r="O175" s="430"/>
      <c r="P175" s="430"/>
      <c r="Q175" s="430"/>
      <c r="R175" s="430"/>
      <c r="S175" s="581"/>
      <c r="T175" s="581"/>
      <c r="U175" s="581"/>
      <c r="V175" s="582"/>
      <c r="W175" s="581"/>
      <c r="X175" s="430"/>
      <c r="Y175" s="430"/>
      <c r="Z175" s="430"/>
      <c r="AA175" s="430"/>
      <c r="AB175" s="430"/>
      <c r="AC175" s="430"/>
      <c r="AD175" s="430"/>
      <c r="AE175" s="430"/>
      <c r="AF175" s="430"/>
      <c r="AG175" s="430"/>
      <c r="AH175" s="430"/>
      <c r="AI175" s="430"/>
      <c r="AJ175" s="430"/>
      <c r="AK175" s="430"/>
      <c r="AL175" s="430"/>
      <c r="AM175" s="430"/>
      <c r="AN175" s="430"/>
      <c r="AO175" s="430"/>
      <c r="AP175" s="430"/>
      <c r="AQ175" s="430"/>
      <c r="AR175" s="430"/>
      <c r="AS175" s="430"/>
      <c r="AT175" s="430"/>
      <c r="AU175" s="430"/>
      <c r="AV175" s="430"/>
      <c r="AW175" s="430"/>
      <c r="AX175" s="430"/>
      <c r="AY175" s="430"/>
      <c r="AZ175" s="430"/>
      <c r="BA175" s="430"/>
      <c r="BB175" s="430"/>
      <c r="BC175" s="430"/>
      <c r="BD175" s="430"/>
      <c r="BE175" s="430"/>
    </row>
    <row r="176" spans="1:57" ht="15.75" customHeight="1">
      <c r="A176" s="430"/>
      <c r="B176" s="430"/>
      <c r="C176" s="430"/>
      <c r="D176" s="430"/>
      <c r="E176" s="430"/>
      <c r="F176" s="430"/>
      <c r="G176" s="430"/>
      <c r="H176" s="430"/>
      <c r="I176" s="430"/>
      <c r="J176" s="581"/>
      <c r="K176" s="581"/>
      <c r="L176" s="582"/>
      <c r="M176" s="581"/>
      <c r="N176" s="430"/>
      <c r="O176" s="430"/>
      <c r="P176" s="430"/>
      <c r="Q176" s="430"/>
      <c r="R176" s="430"/>
      <c r="S176" s="581"/>
      <c r="T176" s="581"/>
      <c r="U176" s="581"/>
      <c r="V176" s="582"/>
      <c r="W176" s="581"/>
      <c r="X176" s="430"/>
      <c r="Y176" s="430"/>
      <c r="Z176" s="430"/>
      <c r="AA176" s="430"/>
      <c r="AB176" s="430"/>
      <c r="AC176" s="430"/>
      <c r="AD176" s="430"/>
      <c r="AE176" s="430"/>
      <c r="AF176" s="430"/>
      <c r="AG176" s="430"/>
      <c r="AH176" s="430"/>
      <c r="AI176" s="430"/>
      <c r="AJ176" s="430"/>
      <c r="AK176" s="430"/>
      <c r="AL176" s="430"/>
      <c r="AM176" s="430"/>
      <c r="AN176" s="430"/>
      <c r="AO176" s="430"/>
      <c r="AP176" s="430"/>
      <c r="AQ176" s="430"/>
      <c r="AR176" s="430"/>
      <c r="AS176" s="430"/>
      <c r="AT176" s="430"/>
      <c r="AU176" s="430"/>
      <c r="AV176" s="430"/>
      <c r="AW176" s="430"/>
      <c r="AX176" s="430"/>
      <c r="AY176" s="430"/>
      <c r="AZ176" s="430"/>
      <c r="BA176" s="430"/>
      <c r="BB176" s="430"/>
      <c r="BC176" s="430"/>
      <c r="BD176" s="430"/>
      <c r="BE176" s="430"/>
    </row>
    <row r="177" spans="1:57" ht="15.75" customHeight="1">
      <c r="A177" s="430"/>
      <c r="B177" s="430"/>
      <c r="C177" s="430"/>
      <c r="D177" s="430"/>
      <c r="E177" s="430"/>
      <c r="F177" s="430"/>
      <c r="G177" s="430"/>
      <c r="H177" s="430"/>
      <c r="I177" s="430"/>
      <c r="J177" s="581"/>
      <c r="K177" s="581"/>
      <c r="L177" s="582"/>
      <c r="M177" s="581"/>
      <c r="N177" s="430"/>
      <c r="O177" s="430"/>
      <c r="P177" s="430"/>
      <c r="Q177" s="430"/>
      <c r="R177" s="430"/>
      <c r="S177" s="581"/>
      <c r="T177" s="581"/>
      <c r="U177" s="581"/>
      <c r="V177" s="582"/>
      <c r="W177" s="581"/>
      <c r="X177" s="430"/>
      <c r="Y177" s="430"/>
      <c r="Z177" s="430"/>
      <c r="AA177" s="430"/>
      <c r="AB177" s="430"/>
      <c r="AC177" s="430"/>
      <c r="AD177" s="430"/>
      <c r="AE177" s="430"/>
      <c r="AF177" s="430"/>
      <c r="AG177" s="430"/>
      <c r="AH177" s="430"/>
      <c r="AI177" s="430"/>
      <c r="AJ177" s="430"/>
      <c r="AK177" s="430"/>
      <c r="AL177" s="430"/>
      <c r="AM177" s="430"/>
      <c r="AN177" s="430"/>
      <c r="AO177" s="430"/>
      <c r="AP177" s="430"/>
      <c r="AQ177" s="430"/>
      <c r="AR177" s="430"/>
      <c r="AS177" s="430"/>
      <c r="AT177" s="430"/>
      <c r="AU177" s="430"/>
      <c r="AV177" s="430"/>
      <c r="AW177" s="430"/>
      <c r="AX177" s="430"/>
      <c r="AY177" s="430"/>
      <c r="AZ177" s="430"/>
      <c r="BA177" s="430"/>
      <c r="BB177" s="430"/>
      <c r="BC177" s="430"/>
      <c r="BD177" s="430"/>
      <c r="BE177" s="430"/>
    </row>
    <row r="178" spans="1:57" ht="15.75" customHeight="1">
      <c r="A178" s="430"/>
      <c r="B178" s="430"/>
      <c r="C178" s="430"/>
      <c r="D178" s="430"/>
      <c r="E178" s="430"/>
      <c r="F178" s="430"/>
      <c r="G178" s="430"/>
      <c r="H178" s="430"/>
      <c r="I178" s="430"/>
      <c r="J178" s="581"/>
      <c r="K178" s="581"/>
      <c r="L178" s="582"/>
      <c r="M178" s="581"/>
      <c r="N178" s="430"/>
      <c r="O178" s="430"/>
      <c r="P178" s="430"/>
      <c r="Q178" s="430"/>
      <c r="R178" s="430"/>
      <c r="S178" s="581"/>
      <c r="T178" s="581"/>
      <c r="U178" s="581"/>
      <c r="V178" s="582"/>
      <c r="W178" s="581"/>
      <c r="X178" s="430"/>
      <c r="Y178" s="430"/>
      <c r="Z178" s="430"/>
      <c r="AA178" s="430"/>
      <c r="AB178" s="430"/>
      <c r="AC178" s="430"/>
      <c r="AD178" s="430"/>
      <c r="AE178" s="430"/>
      <c r="AF178" s="430"/>
      <c r="AG178" s="430"/>
      <c r="AH178" s="430"/>
      <c r="AI178" s="430"/>
      <c r="AJ178" s="430"/>
      <c r="AK178" s="430"/>
      <c r="AL178" s="430"/>
      <c r="AM178" s="430"/>
      <c r="AN178" s="430"/>
      <c r="AO178" s="430"/>
      <c r="AP178" s="430"/>
      <c r="AQ178" s="430"/>
      <c r="AR178" s="430"/>
      <c r="AS178" s="430"/>
      <c r="AT178" s="430"/>
      <c r="AU178" s="430"/>
      <c r="AV178" s="430"/>
      <c r="AW178" s="430"/>
      <c r="AX178" s="430"/>
      <c r="AY178" s="430"/>
      <c r="AZ178" s="430"/>
      <c r="BA178" s="430"/>
      <c r="BB178" s="430"/>
      <c r="BC178" s="430"/>
      <c r="BD178" s="430"/>
      <c r="BE178" s="430"/>
    </row>
    <row r="179" spans="1:57" ht="15.75" customHeight="1">
      <c r="A179" s="430"/>
      <c r="B179" s="430"/>
      <c r="C179" s="430"/>
      <c r="D179" s="430"/>
      <c r="E179" s="430"/>
      <c r="F179" s="430"/>
      <c r="G179" s="430"/>
      <c r="H179" s="430"/>
      <c r="I179" s="430"/>
      <c r="J179" s="581"/>
      <c r="K179" s="581"/>
      <c r="L179" s="582"/>
      <c r="M179" s="581"/>
      <c r="N179" s="430"/>
      <c r="O179" s="430"/>
      <c r="P179" s="430"/>
      <c r="Q179" s="430"/>
      <c r="R179" s="430"/>
      <c r="S179" s="581"/>
      <c r="T179" s="581"/>
      <c r="U179" s="581"/>
      <c r="V179" s="582"/>
      <c r="W179" s="581"/>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0"/>
      <c r="AY179" s="430"/>
      <c r="AZ179" s="430"/>
      <c r="BA179" s="430"/>
      <c r="BB179" s="430"/>
      <c r="BC179" s="430"/>
      <c r="BD179" s="430"/>
      <c r="BE179" s="430"/>
    </row>
    <row r="180" spans="1:57" ht="15.75" customHeight="1">
      <c r="A180" s="430"/>
      <c r="B180" s="430"/>
      <c r="C180" s="430"/>
      <c r="D180" s="430"/>
      <c r="E180" s="430"/>
      <c r="F180" s="430"/>
      <c r="G180" s="430"/>
      <c r="H180" s="430"/>
      <c r="I180" s="430"/>
      <c r="J180" s="581"/>
      <c r="K180" s="581"/>
      <c r="L180" s="582"/>
      <c r="M180" s="581"/>
      <c r="N180" s="430"/>
      <c r="O180" s="430"/>
      <c r="P180" s="430"/>
      <c r="Q180" s="430"/>
      <c r="R180" s="430"/>
      <c r="S180" s="581"/>
      <c r="T180" s="581"/>
      <c r="U180" s="581"/>
      <c r="V180" s="582"/>
      <c r="W180" s="581"/>
      <c r="X180" s="430"/>
      <c r="Y180" s="430"/>
      <c r="Z180" s="430"/>
      <c r="AA180" s="430"/>
      <c r="AB180" s="430"/>
      <c r="AC180" s="430"/>
      <c r="AD180" s="430"/>
      <c r="AE180" s="430"/>
      <c r="AF180" s="430"/>
      <c r="AG180" s="430"/>
      <c r="AH180" s="430"/>
      <c r="AI180" s="430"/>
      <c r="AJ180" s="430"/>
      <c r="AK180" s="430"/>
      <c r="AL180" s="430"/>
      <c r="AM180" s="430"/>
      <c r="AN180" s="430"/>
      <c r="AO180" s="430"/>
      <c r="AP180" s="430"/>
      <c r="AQ180" s="430"/>
      <c r="AR180" s="430"/>
      <c r="AS180" s="430"/>
      <c r="AT180" s="430"/>
      <c r="AU180" s="430"/>
      <c r="AV180" s="430"/>
      <c r="AW180" s="430"/>
      <c r="AX180" s="430"/>
      <c r="AY180" s="430"/>
      <c r="AZ180" s="430"/>
      <c r="BA180" s="430"/>
      <c r="BB180" s="430"/>
      <c r="BC180" s="430"/>
      <c r="BD180" s="430"/>
      <c r="BE180" s="430"/>
    </row>
    <row r="181" spans="1:57" ht="15.75" customHeight="1">
      <c r="A181" s="430"/>
      <c r="B181" s="430"/>
      <c r="C181" s="430"/>
      <c r="D181" s="430"/>
      <c r="E181" s="430"/>
      <c r="F181" s="430"/>
      <c r="G181" s="430"/>
      <c r="H181" s="430"/>
      <c r="I181" s="430"/>
      <c r="J181" s="581"/>
      <c r="K181" s="581"/>
      <c r="L181" s="582"/>
      <c r="M181" s="581"/>
      <c r="N181" s="430"/>
      <c r="O181" s="430"/>
      <c r="P181" s="430"/>
      <c r="Q181" s="430"/>
      <c r="R181" s="430"/>
      <c r="S181" s="581"/>
      <c r="T181" s="581"/>
      <c r="U181" s="581"/>
      <c r="V181" s="582"/>
      <c r="W181" s="581"/>
      <c r="X181" s="430"/>
      <c r="Y181" s="430"/>
      <c r="Z181" s="430"/>
      <c r="AA181" s="430"/>
      <c r="AB181" s="430"/>
      <c r="AC181" s="430"/>
      <c r="AD181" s="430"/>
      <c r="AE181" s="430"/>
      <c r="AF181" s="430"/>
      <c r="AG181" s="430"/>
      <c r="AH181" s="430"/>
      <c r="AI181" s="430"/>
      <c r="AJ181" s="430"/>
      <c r="AK181" s="430"/>
      <c r="AL181" s="430"/>
      <c r="AM181" s="430"/>
      <c r="AN181" s="430"/>
      <c r="AO181" s="430"/>
      <c r="AP181" s="430"/>
      <c r="AQ181" s="430"/>
      <c r="AR181" s="430"/>
      <c r="AS181" s="430"/>
      <c r="AT181" s="430"/>
      <c r="AU181" s="430"/>
      <c r="AV181" s="430"/>
      <c r="AW181" s="430"/>
      <c r="AX181" s="430"/>
      <c r="AY181" s="430"/>
      <c r="AZ181" s="430"/>
      <c r="BA181" s="430"/>
      <c r="BB181" s="430"/>
      <c r="BC181" s="430"/>
      <c r="BD181" s="430"/>
      <c r="BE181" s="430"/>
    </row>
    <row r="182" spans="1:57" ht="15.75" customHeight="1">
      <c r="A182" s="430"/>
      <c r="B182" s="430"/>
      <c r="C182" s="430"/>
      <c r="D182" s="430"/>
      <c r="E182" s="430"/>
      <c r="F182" s="430"/>
      <c r="G182" s="430"/>
      <c r="H182" s="430"/>
      <c r="I182" s="430"/>
      <c r="J182" s="581"/>
      <c r="K182" s="581"/>
      <c r="L182" s="582"/>
      <c r="M182" s="581"/>
      <c r="N182" s="430"/>
      <c r="O182" s="430"/>
      <c r="P182" s="430"/>
      <c r="Q182" s="430"/>
      <c r="R182" s="430"/>
      <c r="S182" s="581"/>
      <c r="T182" s="581"/>
      <c r="U182" s="581"/>
      <c r="V182" s="582"/>
      <c r="W182" s="581"/>
      <c r="X182" s="430"/>
      <c r="Y182" s="430"/>
      <c r="Z182" s="430"/>
      <c r="AA182" s="430"/>
      <c r="AB182" s="430"/>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430"/>
      <c r="AY182" s="430"/>
      <c r="AZ182" s="430"/>
      <c r="BA182" s="430"/>
      <c r="BB182" s="430"/>
      <c r="BC182" s="430"/>
      <c r="BD182" s="430"/>
      <c r="BE182" s="430"/>
    </row>
    <row r="183" spans="1:57" ht="15.75" customHeight="1">
      <c r="A183" s="430"/>
      <c r="B183" s="430"/>
      <c r="C183" s="430"/>
      <c r="D183" s="430"/>
      <c r="E183" s="430"/>
      <c r="F183" s="430"/>
      <c r="G183" s="430"/>
      <c r="H183" s="430"/>
      <c r="I183" s="430"/>
      <c r="J183" s="581"/>
      <c r="K183" s="581"/>
      <c r="L183" s="582"/>
      <c r="M183" s="581"/>
      <c r="N183" s="430"/>
      <c r="O183" s="430"/>
      <c r="P183" s="430"/>
      <c r="Q183" s="430"/>
      <c r="R183" s="430"/>
      <c r="S183" s="581"/>
      <c r="T183" s="581"/>
      <c r="U183" s="581"/>
      <c r="V183" s="582"/>
      <c r="W183" s="581"/>
      <c r="X183" s="430"/>
      <c r="Y183" s="430"/>
      <c r="Z183" s="430"/>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0"/>
      <c r="BA183" s="430"/>
      <c r="BB183" s="430"/>
      <c r="BC183" s="430"/>
      <c r="BD183" s="430"/>
      <c r="BE183" s="430"/>
    </row>
    <row r="184" spans="1:57" ht="15.75" customHeight="1">
      <c r="A184" s="430"/>
      <c r="B184" s="430"/>
      <c r="C184" s="430"/>
      <c r="D184" s="430"/>
      <c r="E184" s="430"/>
      <c r="F184" s="430"/>
      <c r="G184" s="430"/>
      <c r="H184" s="430"/>
      <c r="I184" s="430"/>
      <c r="J184" s="581"/>
      <c r="K184" s="581"/>
      <c r="L184" s="582"/>
      <c r="M184" s="581"/>
      <c r="N184" s="430"/>
      <c r="O184" s="430"/>
      <c r="P184" s="430"/>
      <c r="Q184" s="430"/>
      <c r="R184" s="430"/>
      <c r="S184" s="581"/>
      <c r="T184" s="581"/>
      <c r="U184" s="581"/>
      <c r="V184" s="582"/>
      <c r="W184" s="581"/>
      <c r="X184" s="430"/>
      <c r="Y184" s="430"/>
      <c r="Z184" s="430"/>
      <c r="AA184" s="430"/>
      <c r="AB184" s="430"/>
      <c r="AC184" s="430"/>
      <c r="AD184" s="430"/>
      <c r="AE184" s="430"/>
      <c r="AF184" s="430"/>
      <c r="AG184" s="430"/>
      <c r="AH184" s="430"/>
      <c r="AI184" s="430"/>
      <c r="AJ184" s="430"/>
      <c r="AK184" s="430"/>
      <c r="AL184" s="430"/>
      <c r="AM184" s="430"/>
      <c r="AN184" s="430"/>
      <c r="AO184" s="430"/>
      <c r="AP184" s="430"/>
      <c r="AQ184" s="430"/>
      <c r="AR184" s="430"/>
      <c r="AS184" s="430"/>
      <c r="AT184" s="430"/>
      <c r="AU184" s="430"/>
      <c r="AV184" s="430"/>
      <c r="AW184" s="430"/>
      <c r="AX184" s="430"/>
      <c r="AY184" s="430"/>
      <c r="AZ184" s="430"/>
      <c r="BA184" s="430"/>
      <c r="BB184" s="430"/>
      <c r="BC184" s="430"/>
      <c r="BD184" s="430"/>
      <c r="BE184" s="430"/>
    </row>
    <row r="185" spans="1:57" ht="15.75" customHeight="1">
      <c r="A185" s="430"/>
      <c r="B185" s="430"/>
      <c r="C185" s="430"/>
      <c r="D185" s="430"/>
      <c r="E185" s="430"/>
      <c r="F185" s="430"/>
      <c r="G185" s="430"/>
      <c r="H185" s="430"/>
      <c r="I185" s="430"/>
      <c r="J185" s="581"/>
      <c r="K185" s="581"/>
      <c r="L185" s="582"/>
      <c r="M185" s="581"/>
      <c r="N185" s="430"/>
      <c r="O185" s="430"/>
      <c r="P185" s="430"/>
      <c r="Q185" s="430"/>
      <c r="R185" s="430"/>
      <c r="S185" s="581"/>
      <c r="T185" s="581"/>
      <c r="U185" s="581"/>
      <c r="V185" s="582"/>
      <c r="W185" s="581"/>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0"/>
      <c r="BA185" s="430"/>
      <c r="BB185" s="430"/>
      <c r="BC185" s="430"/>
      <c r="BD185" s="430"/>
      <c r="BE185" s="430"/>
    </row>
    <row r="186" spans="1:57" ht="15.75" customHeight="1">
      <c r="A186" s="430"/>
      <c r="B186" s="430"/>
      <c r="C186" s="430"/>
      <c r="D186" s="430"/>
      <c r="E186" s="430"/>
      <c r="F186" s="430"/>
      <c r="G186" s="430"/>
      <c r="H186" s="430"/>
      <c r="I186" s="430"/>
      <c r="J186" s="581"/>
      <c r="K186" s="581"/>
      <c r="L186" s="582"/>
      <c r="M186" s="581"/>
      <c r="N186" s="430"/>
      <c r="O186" s="430"/>
      <c r="P186" s="430"/>
      <c r="Q186" s="430"/>
      <c r="R186" s="430"/>
      <c r="S186" s="581"/>
      <c r="T186" s="581"/>
      <c r="U186" s="581"/>
      <c r="V186" s="582"/>
      <c r="W186" s="581"/>
      <c r="X186" s="430"/>
      <c r="Y186" s="430"/>
      <c r="Z186" s="430"/>
      <c r="AA186" s="430"/>
      <c r="AB186" s="430"/>
      <c r="AC186" s="430"/>
      <c r="AD186" s="430"/>
      <c r="AE186" s="430"/>
      <c r="AF186" s="430"/>
      <c r="AG186" s="430"/>
      <c r="AH186" s="430"/>
      <c r="AI186" s="430"/>
      <c r="AJ186" s="430"/>
      <c r="AK186" s="430"/>
      <c r="AL186" s="430"/>
      <c r="AM186" s="430"/>
      <c r="AN186" s="430"/>
      <c r="AO186" s="430"/>
      <c r="AP186" s="430"/>
      <c r="AQ186" s="430"/>
      <c r="AR186" s="430"/>
      <c r="AS186" s="430"/>
      <c r="AT186" s="430"/>
      <c r="AU186" s="430"/>
      <c r="AV186" s="430"/>
      <c r="AW186" s="430"/>
      <c r="AX186" s="430"/>
      <c r="AY186" s="430"/>
      <c r="AZ186" s="430"/>
      <c r="BA186" s="430"/>
      <c r="BB186" s="430"/>
      <c r="BC186" s="430"/>
      <c r="BD186" s="430"/>
      <c r="BE186" s="430"/>
    </row>
    <row r="187" spans="1:57" ht="15.75" customHeight="1">
      <c r="A187" s="430"/>
      <c r="B187" s="430"/>
      <c r="C187" s="430"/>
      <c r="D187" s="430"/>
      <c r="E187" s="430"/>
      <c r="F187" s="430"/>
      <c r="G187" s="430"/>
      <c r="H187" s="430"/>
      <c r="I187" s="430"/>
      <c r="J187" s="581"/>
      <c r="K187" s="581"/>
      <c r="L187" s="582"/>
      <c r="M187" s="581"/>
      <c r="N187" s="430"/>
      <c r="O187" s="430"/>
      <c r="P187" s="430"/>
      <c r="Q187" s="430"/>
      <c r="R187" s="430"/>
      <c r="S187" s="581"/>
      <c r="T187" s="581"/>
      <c r="U187" s="581"/>
      <c r="V187" s="582"/>
      <c r="W187" s="581"/>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0"/>
      <c r="AY187" s="430"/>
      <c r="AZ187" s="430"/>
      <c r="BA187" s="430"/>
      <c r="BB187" s="430"/>
      <c r="BC187" s="430"/>
      <c r="BD187" s="430"/>
      <c r="BE187" s="430"/>
    </row>
    <row r="188" spans="1:57" ht="15.75" customHeight="1">
      <c r="A188" s="430"/>
      <c r="B188" s="430"/>
      <c r="C188" s="430"/>
      <c r="D188" s="430"/>
      <c r="E188" s="430"/>
      <c r="F188" s="430"/>
      <c r="G188" s="430"/>
      <c r="H188" s="430"/>
      <c r="I188" s="430"/>
      <c r="J188" s="581"/>
      <c r="K188" s="581"/>
      <c r="L188" s="582"/>
      <c r="M188" s="581"/>
      <c r="N188" s="430"/>
      <c r="O188" s="430"/>
      <c r="P188" s="430"/>
      <c r="Q188" s="430"/>
      <c r="R188" s="430"/>
      <c r="S188" s="581"/>
      <c r="T188" s="581"/>
      <c r="U188" s="581"/>
      <c r="V188" s="582"/>
      <c r="W188" s="581"/>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30"/>
      <c r="AY188" s="430"/>
      <c r="AZ188" s="430"/>
      <c r="BA188" s="430"/>
      <c r="BB188" s="430"/>
      <c r="BC188" s="430"/>
      <c r="BD188" s="430"/>
      <c r="BE188" s="430"/>
    </row>
    <row r="189" spans="1:57" ht="15.75" customHeight="1">
      <c r="A189" s="430"/>
      <c r="B189" s="430"/>
      <c r="C189" s="430"/>
      <c r="D189" s="430"/>
      <c r="E189" s="430"/>
      <c r="F189" s="430"/>
      <c r="G189" s="430"/>
      <c r="H189" s="430"/>
      <c r="I189" s="430"/>
      <c r="J189" s="581"/>
      <c r="K189" s="581"/>
      <c r="L189" s="582"/>
      <c r="M189" s="581"/>
      <c r="N189" s="430"/>
      <c r="O189" s="430"/>
      <c r="P189" s="430"/>
      <c r="Q189" s="430"/>
      <c r="R189" s="430"/>
      <c r="S189" s="581"/>
      <c r="T189" s="581"/>
      <c r="U189" s="581"/>
      <c r="V189" s="582"/>
      <c r="W189" s="581"/>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0"/>
      <c r="AY189" s="430"/>
      <c r="AZ189" s="430"/>
      <c r="BA189" s="430"/>
      <c r="BB189" s="430"/>
      <c r="BC189" s="430"/>
      <c r="BD189" s="430"/>
      <c r="BE189" s="430"/>
    </row>
    <row r="190" spans="1:57" ht="15.75" customHeight="1">
      <c r="A190" s="430"/>
      <c r="B190" s="430"/>
      <c r="C190" s="430"/>
      <c r="D190" s="430"/>
      <c r="E190" s="430"/>
      <c r="F190" s="430"/>
      <c r="G190" s="430"/>
      <c r="H190" s="430"/>
      <c r="I190" s="430"/>
      <c r="J190" s="581"/>
      <c r="K190" s="581"/>
      <c r="L190" s="582"/>
      <c r="M190" s="581"/>
      <c r="N190" s="430"/>
      <c r="O190" s="430"/>
      <c r="P190" s="430"/>
      <c r="Q190" s="430"/>
      <c r="R190" s="430"/>
      <c r="S190" s="581"/>
      <c r="T190" s="581"/>
      <c r="U190" s="581"/>
      <c r="V190" s="582"/>
      <c r="W190" s="581"/>
      <c r="X190" s="430"/>
      <c r="Y190" s="430"/>
      <c r="Z190" s="430"/>
      <c r="AA190" s="430"/>
      <c r="AB190" s="430"/>
      <c r="AC190" s="430"/>
      <c r="AD190" s="430"/>
      <c r="AE190" s="430"/>
      <c r="AF190" s="430"/>
      <c r="AG190" s="430"/>
      <c r="AH190" s="430"/>
      <c r="AI190" s="430"/>
      <c r="AJ190" s="430"/>
      <c r="AK190" s="430"/>
      <c r="AL190" s="430"/>
      <c r="AM190" s="430"/>
      <c r="AN190" s="430"/>
      <c r="AO190" s="430"/>
      <c r="AP190" s="430"/>
      <c r="AQ190" s="430"/>
      <c r="AR190" s="430"/>
      <c r="AS190" s="430"/>
      <c r="AT190" s="430"/>
      <c r="AU190" s="430"/>
      <c r="AV190" s="430"/>
      <c r="AW190" s="430"/>
      <c r="AX190" s="430"/>
      <c r="AY190" s="430"/>
      <c r="AZ190" s="430"/>
      <c r="BA190" s="430"/>
      <c r="BB190" s="430"/>
      <c r="BC190" s="430"/>
      <c r="BD190" s="430"/>
      <c r="BE190" s="430"/>
    </row>
    <row r="191" spans="1:57" ht="15.75" customHeight="1">
      <c r="A191" s="430"/>
      <c r="B191" s="430"/>
      <c r="C191" s="430"/>
      <c r="D191" s="430"/>
      <c r="E191" s="430"/>
      <c r="F191" s="430"/>
      <c r="G191" s="430"/>
      <c r="H191" s="430"/>
      <c r="I191" s="430"/>
      <c r="J191" s="581"/>
      <c r="K191" s="581"/>
      <c r="L191" s="582"/>
      <c r="M191" s="581"/>
      <c r="N191" s="430"/>
      <c r="O191" s="430"/>
      <c r="P191" s="430"/>
      <c r="Q191" s="430"/>
      <c r="R191" s="430"/>
      <c r="S191" s="581"/>
      <c r="T191" s="581"/>
      <c r="U191" s="581"/>
      <c r="V191" s="582"/>
      <c r="W191" s="581"/>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0"/>
      <c r="AY191" s="430"/>
      <c r="AZ191" s="430"/>
      <c r="BA191" s="430"/>
      <c r="BB191" s="430"/>
      <c r="BC191" s="430"/>
      <c r="BD191" s="430"/>
      <c r="BE191" s="430"/>
    </row>
    <row r="192" spans="1:57" ht="15.75" customHeight="1">
      <c r="A192" s="430"/>
      <c r="B192" s="430"/>
      <c r="C192" s="430"/>
      <c r="D192" s="430"/>
      <c r="E192" s="430"/>
      <c r="F192" s="430"/>
      <c r="G192" s="430"/>
      <c r="H192" s="430"/>
      <c r="I192" s="430"/>
      <c r="J192" s="581"/>
      <c r="K192" s="581"/>
      <c r="L192" s="582"/>
      <c r="M192" s="581"/>
      <c r="N192" s="430"/>
      <c r="O192" s="430"/>
      <c r="P192" s="430"/>
      <c r="Q192" s="430"/>
      <c r="R192" s="430"/>
      <c r="S192" s="581"/>
      <c r="T192" s="581"/>
      <c r="U192" s="581"/>
      <c r="V192" s="582"/>
      <c r="W192" s="581"/>
      <c r="X192" s="430"/>
      <c r="Y192" s="430"/>
      <c r="Z192" s="430"/>
      <c r="AA192" s="430"/>
      <c r="AB192" s="430"/>
      <c r="AC192" s="430"/>
      <c r="AD192" s="430"/>
      <c r="AE192" s="430"/>
      <c r="AF192" s="430"/>
      <c r="AG192" s="430"/>
      <c r="AH192" s="430"/>
      <c r="AI192" s="430"/>
      <c r="AJ192" s="430"/>
      <c r="AK192" s="430"/>
      <c r="AL192" s="430"/>
      <c r="AM192" s="430"/>
      <c r="AN192" s="430"/>
      <c r="AO192" s="430"/>
      <c r="AP192" s="430"/>
      <c r="AQ192" s="430"/>
      <c r="AR192" s="430"/>
      <c r="AS192" s="430"/>
      <c r="AT192" s="430"/>
      <c r="AU192" s="430"/>
      <c r="AV192" s="430"/>
      <c r="AW192" s="430"/>
      <c r="AX192" s="430"/>
      <c r="AY192" s="430"/>
      <c r="AZ192" s="430"/>
      <c r="BA192" s="430"/>
      <c r="BB192" s="430"/>
      <c r="BC192" s="430"/>
      <c r="BD192" s="430"/>
      <c r="BE192" s="430"/>
    </row>
    <row r="193" spans="1:57" ht="15.75" customHeight="1">
      <c r="A193" s="430"/>
      <c r="B193" s="430"/>
      <c r="C193" s="430"/>
      <c r="D193" s="430"/>
      <c r="E193" s="430"/>
      <c r="F193" s="430"/>
      <c r="G193" s="430"/>
      <c r="H193" s="430"/>
      <c r="I193" s="430"/>
      <c r="J193" s="581"/>
      <c r="K193" s="581"/>
      <c r="L193" s="582"/>
      <c r="M193" s="581"/>
      <c r="N193" s="430"/>
      <c r="O193" s="430"/>
      <c r="P193" s="430"/>
      <c r="Q193" s="430"/>
      <c r="R193" s="430"/>
      <c r="S193" s="581"/>
      <c r="T193" s="581"/>
      <c r="U193" s="581"/>
      <c r="V193" s="582"/>
      <c r="W193" s="581"/>
      <c r="X193" s="430"/>
      <c r="Y193" s="430"/>
      <c r="Z193" s="430"/>
      <c r="AA193" s="430"/>
      <c r="AB193" s="430"/>
      <c r="AC193" s="430"/>
      <c r="AD193" s="430"/>
      <c r="AE193" s="430"/>
      <c r="AF193" s="430"/>
      <c r="AG193" s="430"/>
      <c r="AH193" s="430"/>
      <c r="AI193" s="430"/>
      <c r="AJ193" s="430"/>
      <c r="AK193" s="430"/>
      <c r="AL193" s="430"/>
      <c r="AM193" s="430"/>
      <c r="AN193" s="430"/>
      <c r="AO193" s="430"/>
      <c r="AP193" s="430"/>
      <c r="AQ193" s="430"/>
      <c r="AR193" s="430"/>
      <c r="AS193" s="430"/>
      <c r="AT193" s="430"/>
      <c r="AU193" s="430"/>
      <c r="AV193" s="430"/>
      <c r="AW193" s="430"/>
      <c r="AX193" s="430"/>
      <c r="AY193" s="430"/>
      <c r="AZ193" s="430"/>
      <c r="BA193" s="430"/>
      <c r="BB193" s="430"/>
      <c r="BC193" s="430"/>
      <c r="BD193" s="430"/>
      <c r="BE193" s="430"/>
    </row>
    <row r="194" spans="1:57" ht="15.75" customHeight="1">
      <c r="A194" s="430"/>
      <c r="B194" s="430"/>
      <c r="C194" s="430"/>
      <c r="D194" s="430"/>
      <c r="E194" s="430"/>
      <c r="F194" s="430"/>
      <c r="G194" s="430"/>
      <c r="H194" s="430"/>
      <c r="I194" s="430"/>
      <c r="J194" s="581"/>
      <c r="K194" s="581"/>
      <c r="L194" s="582"/>
      <c r="M194" s="581"/>
      <c r="N194" s="430"/>
      <c r="O194" s="430"/>
      <c r="P194" s="430"/>
      <c r="Q194" s="430"/>
      <c r="R194" s="430"/>
      <c r="S194" s="581"/>
      <c r="T194" s="581"/>
      <c r="U194" s="581"/>
      <c r="V194" s="582"/>
      <c r="W194" s="581"/>
      <c r="X194" s="430"/>
      <c r="Y194" s="430"/>
      <c r="Z194" s="430"/>
      <c r="AA194" s="430"/>
      <c r="AB194" s="430"/>
      <c r="AC194" s="430"/>
      <c r="AD194" s="430"/>
      <c r="AE194" s="430"/>
      <c r="AF194" s="430"/>
      <c r="AG194" s="430"/>
      <c r="AH194" s="430"/>
      <c r="AI194" s="430"/>
      <c r="AJ194" s="430"/>
      <c r="AK194" s="430"/>
      <c r="AL194" s="430"/>
      <c r="AM194" s="430"/>
      <c r="AN194" s="430"/>
      <c r="AO194" s="430"/>
      <c r="AP194" s="430"/>
      <c r="AQ194" s="430"/>
      <c r="AR194" s="430"/>
      <c r="AS194" s="430"/>
      <c r="AT194" s="430"/>
      <c r="AU194" s="430"/>
      <c r="AV194" s="430"/>
      <c r="AW194" s="430"/>
      <c r="AX194" s="430"/>
      <c r="AY194" s="430"/>
      <c r="AZ194" s="430"/>
      <c r="BA194" s="430"/>
      <c r="BB194" s="430"/>
      <c r="BC194" s="430"/>
      <c r="BD194" s="430"/>
      <c r="BE194" s="430"/>
    </row>
    <row r="195" spans="1:57" ht="15.75" customHeight="1">
      <c r="A195" s="430"/>
      <c r="B195" s="430"/>
      <c r="C195" s="430"/>
      <c r="D195" s="430"/>
      <c r="E195" s="430"/>
      <c r="F195" s="430"/>
      <c r="G195" s="430"/>
      <c r="H195" s="430"/>
      <c r="I195" s="430"/>
      <c r="J195" s="581"/>
      <c r="K195" s="581"/>
      <c r="L195" s="582"/>
      <c r="M195" s="581"/>
      <c r="N195" s="430"/>
      <c r="O195" s="430"/>
      <c r="P195" s="430"/>
      <c r="Q195" s="430"/>
      <c r="R195" s="430"/>
      <c r="S195" s="581"/>
      <c r="T195" s="581"/>
      <c r="U195" s="581"/>
      <c r="V195" s="582"/>
      <c r="W195" s="581"/>
      <c r="X195" s="430"/>
      <c r="Y195" s="430"/>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row>
    <row r="196" spans="1:57" ht="15.75" customHeight="1">
      <c r="A196" s="430"/>
      <c r="B196" s="430"/>
      <c r="C196" s="430"/>
      <c r="D196" s="430"/>
      <c r="E196" s="430"/>
      <c r="F196" s="430"/>
      <c r="G196" s="430"/>
      <c r="H196" s="430"/>
      <c r="I196" s="430"/>
      <c r="J196" s="581"/>
      <c r="K196" s="581"/>
      <c r="L196" s="582"/>
      <c r="M196" s="581"/>
      <c r="N196" s="430"/>
      <c r="O196" s="430"/>
      <c r="P196" s="430"/>
      <c r="Q196" s="430"/>
      <c r="R196" s="430"/>
      <c r="S196" s="581"/>
      <c r="T196" s="581"/>
      <c r="U196" s="581"/>
      <c r="V196" s="582"/>
      <c r="W196" s="581"/>
      <c r="X196" s="430"/>
      <c r="Y196" s="430"/>
      <c r="Z196" s="430"/>
      <c r="AA196" s="430"/>
      <c r="AB196" s="430"/>
      <c r="AC196" s="430"/>
      <c r="AD196" s="430"/>
      <c r="AE196" s="430"/>
      <c r="AF196" s="430"/>
      <c r="AG196" s="430"/>
      <c r="AH196" s="430"/>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0"/>
    </row>
    <row r="197" spans="1:57" ht="15.75" customHeight="1">
      <c r="A197" s="430"/>
      <c r="B197" s="430"/>
      <c r="C197" s="430"/>
      <c r="D197" s="430"/>
      <c r="E197" s="430"/>
      <c r="F197" s="430"/>
      <c r="G197" s="430"/>
      <c r="H197" s="430"/>
      <c r="I197" s="430"/>
      <c r="J197" s="581"/>
      <c r="K197" s="581"/>
      <c r="L197" s="582"/>
      <c r="M197" s="581"/>
      <c r="N197" s="430"/>
      <c r="O197" s="430"/>
      <c r="P197" s="430"/>
      <c r="Q197" s="430"/>
      <c r="R197" s="430"/>
      <c r="S197" s="581"/>
      <c r="T197" s="581"/>
      <c r="U197" s="581"/>
      <c r="V197" s="582"/>
      <c r="W197" s="581"/>
      <c r="X197" s="430"/>
      <c r="Y197" s="430"/>
      <c r="Z197" s="430"/>
      <c r="AA197" s="430"/>
      <c r="AB197" s="430"/>
      <c r="AC197" s="430"/>
      <c r="AD197" s="430"/>
      <c r="AE197" s="430"/>
      <c r="AF197" s="430"/>
      <c r="AG197" s="430"/>
      <c r="AH197" s="430"/>
      <c r="AI197" s="430"/>
      <c r="AJ197" s="430"/>
      <c r="AK197" s="430"/>
      <c r="AL197" s="430"/>
      <c r="AM197" s="430"/>
      <c r="AN197" s="430"/>
      <c r="AO197" s="430"/>
      <c r="AP197" s="430"/>
      <c r="AQ197" s="430"/>
      <c r="AR197" s="430"/>
      <c r="AS197" s="430"/>
      <c r="AT197" s="430"/>
      <c r="AU197" s="430"/>
      <c r="AV197" s="430"/>
      <c r="AW197" s="430"/>
      <c r="AX197" s="430"/>
      <c r="AY197" s="430"/>
      <c r="AZ197" s="430"/>
      <c r="BA197" s="430"/>
      <c r="BB197" s="430"/>
      <c r="BC197" s="430"/>
      <c r="BD197" s="430"/>
      <c r="BE197" s="430"/>
    </row>
    <row r="198" spans="1:57" ht="15.75" customHeight="1">
      <c r="A198" s="430"/>
      <c r="B198" s="430"/>
      <c r="C198" s="430"/>
      <c r="D198" s="430"/>
      <c r="E198" s="430"/>
      <c r="F198" s="430"/>
      <c r="G198" s="430"/>
      <c r="H198" s="430"/>
      <c r="I198" s="430"/>
      <c r="J198" s="581"/>
      <c r="K198" s="581"/>
      <c r="L198" s="582"/>
      <c r="M198" s="581"/>
      <c r="N198" s="430"/>
      <c r="O198" s="430"/>
      <c r="P198" s="430"/>
      <c r="Q198" s="430"/>
      <c r="R198" s="430"/>
      <c r="S198" s="581"/>
      <c r="T198" s="581"/>
      <c r="U198" s="581"/>
      <c r="V198" s="582"/>
      <c r="W198" s="581"/>
      <c r="X198" s="430"/>
      <c r="Y198" s="430"/>
      <c r="Z198" s="430"/>
      <c r="AA198" s="430"/>
      <c r="AB198" s="430"/>
      <c r="AC198" s="430"/>
      <c r="AD198" s="430"/>
      <c r="AE198" s="430"/>
      <c r="AF198" s="430"/>
      <c r="AG198" s="430"/>
      <c r="AH198" s="430"/>
      <c r="AI198" s="430"/>
      <c r="AJ198" s="430"/>
      <c r="AK198" s="430"/>
      <c r="AL198" s="430"/>
      <c r="AM198" s="430"/>
      <c r="AN198" s="430"/>
      <c r="AO198" s="430"/>
      <c r="AP198" s="430"/>
      <c r="AQ198" s="430"/>
      <c r="AR198" s="430"/>
      <c r="AS198" s="430"/>
      <c r="AT198" s="430"/>
      <c r="AU198" s="430"/>
      <c r="AV198" s="430"/>
      <c r="AW198" s="430"/>
      <c r="AX198" s="430"/>
      <c r="AY198" s="430"/>
      <c r="AZ198" s="430"/>
      <c r="BA198" s="430"/>
      <c r="BB198" s="430"/>
      <c r="BC198" s="430"/>
      <c r="BD198" s="430"/>
      <c r="BE198" s="430"/>
    </row>
    <row r="199" spans="1:57" ht="15.75" customHeight="1">
      <c r="A199" s="430"/>
      <c r="B199" s="430"/>
      <c r="C199" s="430"/>
      <c r="D199" s="430"/>
      <c r="E199" s="430"/>
      <c r="F199" s="430"/>
      <c r="G199" s="430"/>
      <c r="H199" s="430"/>
      <c r="I199" s="430"/>
      <c r="J199" s="581"/>
      <c r="K199" s="581"/>
      <c r="L199" s="582"/>
      <c r="M199" s="581"/>
      <c r="N199" s="430"/>
      <c r="O199" s="430"/>
      <c r="P199" s="430"/>
      <c r="Q199" s="430"/>
      <c r="R199" s="430"/>
      <c r="S199" s="581"/>
      <c r="T199" s="581"/>
      <c r="U199" s="581"/>
      <c r="V199" s="582"/>
      <c r="W199" s="581"/>
      <c r="X199" s="430"/>
      <c r="Y199" s="430"/>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0"/>
      <c r="BA199" s="430"/>
      <c r="BB199" s="430"/>
      <c r="BC199" s="430"/>
      <c r="BD199" s="430"/>
      <c r="BE199" s="430"/>
    </row>
    <row r="200" spans="1:57" ht="15.75" customHeight="1">
      <c r="A200" s="430"/>
      <c r="B200" s="430"/>
      <c r="C200" s="430"/>
      <c r="D200" s="430"/>
      <c r="E200" s="430"/>
      <c r="F200" s="430"/>
      <c r="G200" s="430"/>
      <c r="H200" s="430"/>
      <c r="I200" s="430"/>
      <c r="J200" s="581"/>
      <c r="K200" s="581"/>
      <c r="L200" s="582"/>
      <c r="M200" s="581"/>
      <c r="N200" s="430"/>
      <c r="O200" s="430"/>
      <c r="P200" s="430"/>
      <c r="Q200" s="430"/>
      <c r="R200" s="430"/>
      <c r="S200" s="581"/>
      <c r="T200" s="581"/>
      <c r="U200" s="581"/>
      <c r="V200" s="582"/>
      <c r="W200" s="581"/>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0"/>
      <c r="BA200" s="430"/>
      <c r="BB200" s="430"/>
      <c r="BC200" s="430"/>
      <c r="BD200" s="430"/>
      <c r="BE200" s="430"/>
    </row>
    <row r="201" spans="1:57" ht="15.75" customHeight="1">
      <c r="A201" s="430"/>
      <c r="B201" s="430"/>
      <c r="C201" s="430"/>
      <c r="D201" s="430"/>
      <c r="E201" s="430"/>
      <c r="F201" s="430"/>
      <c r="G201" s="430"/>
      <c r="H201" s="430"/>
      <c r="I201" s="430"/>
      <c r="J201" s="581"/>
      <c r="K201" s="581"/>
      <c r="L201" s="582"/>
      <c r="M201" s="581"/>
      <c r="N201" s="430"/>
      <c r="O201" s="430"/>
      <c r="P201" s="430"/>
      <c r="Q201" s="430"/>
      <c r="R201" s="430"/>
      <c r="S201" s="581"/>
      <c r="T201" s="581"/>
      <c r="U201" s="581"/>
      <c r="V201" s="582"/>
      <c r="W201" s="581"/>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c r="AT201" s="430"/>
      <c r="AU201" s="430"/>
      <c r="AV201" s="430"/>
      <c r="AW201" s="430"/>
      <c r="AX201" s="430"/>
      <c r="AY201" s="430"/>
      <c r="AZ201" s="430"/>
      <c r="BA201" s="430"/>
      <c r="BB201" s="430"/>
      <c r="BC201" s="430"/>
      <c r="BD201" s="430"/>
      <c r="BE201" s="430"/>
    </row>
    <row r="202" spans="1:57" ht="15.75" customHeight="1">
      <c r="A202" s="430"/>
      <c r="B202" s="430"/>
      <c r="C202" s="430"/>
      <c r="D202" s="430"/>
      <c r="E202" s="430"/>
      <c r="F202" s="430"/>
      <c r="G202" s="430"/>
      <c r="H202" s="430"/>
      <c r="I202" s="430"/>
      <c r="J202" s="581"/>
      <c r="K202" s="581"/>
      <c r="L202" s="582"/>
      <c r="M202" s="581"/>
      <c r="N202" s="430"/>
      <c r="O202" s="430"/>
      <c r="P202" s="430"/>
      <c r="Q202" s="430"/>
      <c r="R202" s="430"/>
      <c r="S202" s="581"/>
      <c r="T202" s="581"/>
      <c r="U202" s="581"/>
      <c r="V202" s="582"/>
      <c r="W202" s="581"/>
      <c r="X202" s="430"/>
      <c r="Y202" s="430"/>
      <c r="Z202" s="430"/>
      <c r="AA202" s="430"/>
      <c r="AB202" s="430"/>
      <c r="AC202" s="430"/>
      <c r="AD202" s="430"/>
      <c r="AE202" s="430"/>
      <c r="AF202" s="430"/>
      <c r="AG202" s="430"/>
      <c r="AH202" s="430"/>
      <c r="AI202" s="430"/>
      <c r="AJ202" s="430"/>
      <c r="AK202" s="430"/>
      <c r="AL202" s="430"/>
      <c r="AM202" s="430"/>
      <c r="AN202" s="430"/>
      <c r="AO202" s="430"/>
      <c r="AP202" s="430"/>
      <c r="AQ202" s="430"/>
      <c r="AR202" s="430"/>
      <c r="AS202" s="430"/>
      <c r="AT202" s="430"/>
      <c r="AU202" s="430"/>
      <c r="AV202" s="430"/>
      <c r="AW202" s="430"/>
      <c r="AX202" s="430"/>
      <c r="AY202" s="430"/>
      <c r="AZ202" s="430"/>
      <c r="BA202" s="430"/>
      <c r="BB202" s="430"/>
      <c r="BC202" s="430"/>
      <c r="BD202" s="430"/>
      <c r="BE202" s="430"/>
    </row>
    <row r="203" spans="1:57" ht="15.75" customHeight="1">
      <c r="A203" s="430"/>
      <c r="B203" s="430"/>
      <c r="C203" s="430"/>
      <c r="D203" s="430"/>
      <c r="E203" s="430"/>
      <c r="F203" s="430"/>
      <c r="G203" s="430"/>
      <c r="H203" s="430"/>
      <c r="I203" s="430"/>
      <c r="J203" s="581"/>
      <c r="K203" s="581"/>
      <c r="L203" s="582"/>
      <c r="M203" s="581"/>
      <c r="N203" s="430"/>
      <c r="O203" s="430"/>
      <c r="P203" s="430"/>
      <c r="Q203" s="430"/>
      <c r="R203" s="430"/>
      <c r="S203" s="581"/>
      <c r="T203" s="581"/>
      <c r="U203" s="581"/>
      <c r="V203" s="582"/>
      <c r="W203" s="581"/>
      <c r="X203" s="430"/>
      <c r="Y203" s="430"/>
      <c r="Z203" s="430"/>
      <c r="AA203" s="430"/>
      <c r="AB203" s="430"/>
      <c r="AC203" s="430"/>
      <c r="AD203" s="430"/>
      <c r="AE203" s="430"/>
      <c r="AF203" s="430"/>
      <c r="AG203" s="430"/>
      <c r="AH203" s="430"/>
      <c r="AI203" s="430"/>
      <c r="AJ203" s="430"/>
      <c r="AK203" s="430"/>
      <c r="AL203" s="430"/>
      <c r="AM203" s="430"/>
      <c r="AN203" s="430"/>
      <c r="AO203" s="430"/>
      <c r="AP203" s="430"/>
      <c r="AQ203" s="430"/>
      <c r="AR203" s="430"/>
      <c r="AS203" s="430"/>
      <c r="AT203" s="430"/>
      <c r="AU203" s="430"/>
      <c r="AV203" s="430"/>
      <c r="AW203" s="430"/>
      <c r="AX203" s="430"/>
      <c r="AY203" s="430"/>
      <c r="AZ203" s="430"/>
      <c r="BA203" s="430"/>
      <c r="BB203" s="430"/>
      <c r="BC203" s="430"/>
      <c r="BD203" s="430"/>
      <c r="BE203" s="430"/>
    </row>
    <row r="204" spans="1:57" ht="15.75" customHeight="1">
      <c r="A204" s="430"/>
      <c r="B204" s="430"/>
      <c r="C204" s="430"/>
      <c r="D204" s="430"/>
      <c r="E204" s="430"/>
      <c r="F204" s="430"/>
      <c r="G204" s="430"/>
      <c r="H204" s="430"/>
      <c r="I204" s="430"/>
      <c r="J204" s="581"/>
      <c r="K204" s="581"/>
      <c r="L204" s="582"/>
      <c r="M204" s="581"/>
      <c r="N204" s="430"/>
      <c r="O204" s="430"/>
      <c r="P204" s="430"/>
      <c r="Q204" s="430"/>
      <c r="R204" s="430"/>
      <c r="S204" s="581"/>
      <c r="T204" s="581"/>
      <c r="U204" s="581"/>
      <c r="V204" s="582"/>
      <c r="W204" s="581"/>
      <c r="X204" s="430"/>
      <c r="Y204" s="430"/>
      <c r="Z204" s="430"/>
      <c r="AA204" s="430"/>
      <c r="AB204" s="430"/>
      <c r="AC204" s="430"/>
      <c r="AD204" s="430"/>
      <c r="AE204" s="430"/>
      <c r="AF204" s="430"/>
      <c r="AG204" s="430"/>
      <c r="AH204" s="430"/>
      <c r="AI204" s="430"/>
      <c r="AJ204" s="430"/>
      <c r="AK204" s="430"/>
      <c r="AL204" s="430"/>
      <c r="AM204" s="430"/>
      <c r="AN204" s="430"/>
      <c r="AO204" s="430"/>
      <c r="AP204" s="430"/>
      <c r="AQ204" s="430"/>
      <c r="AR204" s="430"/>
      <c r="AS204" s="430"/>
      <c r="AT204" s="430"/>
      <c r="AU204" s="430"/>
      <c r="AV204" s="430"/>
      <c r="AW204" s="430"/>
      <c r="AX204" s="430"/>
      <c r="AY204" s="430"/>
      <c r="AZ204" s="430"/>
      <c r="BA204" s="430"/>
      <c r="BB204" s="430"/>
      <c r="BC204" s="430"/>
      <c r="BD204" s="430"/>
      <c r="BE204" s="430"/>
    </row>
    <row r="205" spans="1:57" ht="15.75" customHeight="1">
      <c r="A205" s="430"/>
      <c r="B205" s="430"/>
      <c r="C205" s="430"/>
      <c r="D205" s="430"/>
      <c r="E205" s="430"/>
      <c r="F205" s="430"/>
      <c r="G205" s="430"/>
      <c r="H205" s="430"/>
      <c r="I205" s="430"/>
      <c r="J205" s="581"/>
      <c r="K205" s="581"/>
      <c r="L205" s="582"/>
      <c r="M205" s="581"/>
      <c r="N205" s="430"/>
      <c r="O205" s="430"/>
      <c r="P205" s="430"/>
      <c r="Q205" s="430"/>
      <c r="R205" s="430"/>
      <c r="S205" s="581"/>
      <c r="T205" s="581"/>
      <c r="U205" s="581"/>
      <c r="V205" s="582"/>
      <c r="W205" s="581"/>
      <c r="X205" s="430"/>
      <c r="Y205" s="430"/>
      <c r="Z205" s="430"/>
      <c r="AA205" s="430"/>
      <c r="AB205" s="430"/>
      <c r="AC205" s="430"/>
      <c r="AD205" s="430"/>
      <c r="AE205" s="430"/>
      <c r="AF205" s="430"/>
      <c r="AG205" s="430"/>
      <c r="AH205" s="430"/>
      <c r="AI205" s="430"/>
      <c r="AJ205" s="430"/>
      <c r="AK205" s="430"/>
      <c r="AL205" s="430"/>
      <c r="AM205" s="430"/>
      <c r="AN205" s="430"/>
      <c r="AO205" s="430"/>
      <c r="AP205" s="430"/>
      <c r="AQ205" s="430"/>
      <c r="AR205" s="430"/>
      <c r="AS205" s="430"/>
      <c r="AT205" s="430"/>
      <c r="AU205" s="430"/>
      <c r="AV205" s="430"/>
      <c r="AW205" s="430"/>
      <c r="AX205" s="430"/>
      <c r="AY205" s="430"/>
      <c r="AZ205" s="430"/>
      <c r="BA205" s="430"/>
      <c r="BB205" s="430"/>
      <c r="BC205" s="430"/>
      <c r="BD205" s="430"/>
      <c r="BE205" s="430"/>
    </row>
    <row r="206" spans="1:57" ht="15.75" customHeight="1">
      <c r="A206" s="430"/>
      <c r="B206" s="430"/>
      <c r="C206" s="430"/>
      <c r="D206" s="430"/>
      <c r="E206" s="430"/>
      <c r="F206" s="430"/>
      <c r="G206" s="430"/>
      <c r="H206" s="430"/>
      <c r="I206" s="430"/>
      <c r="J206" s="581"/>
      <c r="K206" s="581"/>
      <c r="L206" s="582"/>
      <c r="M206" s="581"/>
      <c r="N206" s="430"/>
      <c r="O206" s="430"/>
      <c r="P206" s="430"/>
      <c r="Q206" s="430"/>
      <c r="R206" s="430"/>
      <c r="S206" s="581"/>
      <c r="T206" s="581"/>
      <c r="U206" s="581"/>
      <c r="V206" s="582"/>
      <c r="W206" s="581"/>
      <c r="X206" s="430"/>
      <c r="Y206" s="430"/>
      <c r="Z206" s="430"/>
      <c r="AA206" s="430"/>
      <c r="AB206" s="430"/>
      <c r="AC206" s="430"/>
      <c r="AD206" s="430"/>
      <c r="AE206" s="430"/>
      <c r="AF206" s="430"/>
      <c r="AG206" s="430"/>
      <c r="AH206" s="430"/>
      <c r="AI206" s="430"/>
      <c r="AJ206" s="430"/>
      <c r="AK206" s="430"/>
      <c r="AL206" s="430"/>
      <c r="AM206" s="430"/>
      <c r="AN206" s="430"/>
      <c r="AO206" s="430"/>
      <c r="AP206" s="430"/>
      <c r="AQ206" s="430"/>
      <c r="AR206" s="430"/>
      <c r="AS206" s="430"/>
      <c r="AT206" s="430"/>
      <c r="AU206" s="430"/>
      <c r="AV206" s="430"/>
      <c r="AW206" s="430"/>
      <c r="AX206" s="430"/>
      <c r="AY206" s="430"/>
      <c r="AZ206" s="430"/>
      <c r="BA206" s="430"/>
      <c r="BB206" s="430"/>
      <c r="BC206" s="430"/>
      <c r="BD206" s="430"/>
      <c r="BE206" s="430"/>
    </row>
    <row r="207" spans="1:57" ht="15.75" customHeight="1">
      <c r="A207" s="430"/>
      <c r="B207" s="430"/>
      <c r="C207" s="430"/>
      <c r="D207" s="430"/>
      <c r="E207" s="430"/>
      <c r="F207" s="430"/>
      <c r="G207" s="430"/>
      <c r="H207" s="430"/>
      <c r="I207" s="430"/>
      <c r="J207" s="581"/>
      <c r="K207" s="581"/>
      <c r="L207" s="582"/>
      <c r="M207" s="581"/>
      <c r="N207" s="430"/>
      <c r="O207" s="430"/>
      <c r="P207" s="430"/>
      <c r="Q207" s="430"/>
      <c r="R207" s="430"/>
      <c r="S207" s="581"/>
      <c r="T207" s="581"/>
      <c r="U207" s="581"/>
      <c r="V207" s="582"/>
      <c r="W207" s="581"/>
      <c r="X207" s="430"/>
      <c r="Y207" s="430"/>
      <c r="Z207" s="430"/>
      <c r="AA207" s="430"/>
      <c r="AB207" s="430"/>
      <c r="AC207" s="430"/>
      <c r="AD207" s="430"/>
      <c r="AE207" s="430"/>
      <c r="AF207" s="430"/>
      <c r="AG207" s="430"/>
      <c r="AH207" s="430"/>
      <c r="AI207" s="430"/>
      <c r="AJ207" s="430"/>
      <c r="AK207" s="430"/>
      <c r="AL207" s="430"/>
      <c r="AM207" s="430"/>
      <c r="AN207" s="430"/>
      <c r="AO207" s="430"/>
      <c r="AP207" s="430"/>
      <c r="AQ207" s="430"/>
      <c r="AR207" s="430"/>
      <c r="AS207" s="430"/>
      <c r="AT207" s="430"/>
      <c r="AU207" s="430"/>
      <c r="AV207" s="430"/>
      <c r="AW207" s="430"/>
      <c r="AX207" s="430"/>
      <c r="AY207" s="430"/>
      <c r="AZ207" s="430"/>
      <c r="BA207" s="430"/>
      <c r="BB207" s="430"/>
      <c r="BC207" s="430"/>
      <c r="BD207" s="430"/>
      <c r="BE207" s="430"/>
    </row>
    <row r="208" spans="1:57" ht="15.75" customHeight="1">
      <c r="A208" s="430"/>
      <c r="B208" s="430"/>
      <c r="C208" s="430"/>
      <c r="D208" s="430"/>
      <c r="E208" s="430"/>
      <c r="F208" s="430"/>
      <c r="G208" s="430"/>
      <c r="H208" s="430"/>
      <c r="I208" s="430"/>
      <c r="J208" s="581"/>
      <c r="K208" s="581"/>
      <c r="L208" s="582"/>
      <c r="M208" s="581"/>
      <c r="N208" s="430"/>
      <c r="O208" s="430"/>
      <c r="P208" s="430"/>
      <c r="Q208" s="430"/>
      <c r="R208" s="430"/>
      <c r="S208" s="581"/>
      <c r="T208" s="581"/>
      <c r="U208" s="581"/>
      <c r="V208" s="582"/>
      <c r="W208" s="581"/>
      <c r="X208" s="430"/>
      <c r="Y208" s="430"/>
      <c r="Z208" s="430"/>
      <c r="AA208" s="430"/>
      <c r="AB208" s="430"/>
      <c r="AC208" s="430"/>
      <c r="AD208" s="430"/>
      <c r="AE208" s="430"/>
      <c r="AF208" s="430"/>
      <c r="AG208" s="430"/>
      <c r="AH208" s="430"/>
      <c r="AI208" s="430"/>
      <c r="AJ208" s="430"/>
      <c r="AK208" s="430"/>
      <c r="AL208" s="430"/>
      <c r="AM208" s="430"/>
      <c r="AN208" s="430"/>
      <c r="AO208" s="430"/>
      <c r="AP208" s="430"/>
      <c r="AQ208" s="430"/>
      <c r="AR208" s="430"/>
      <c r="AS208" s="430"/>
      <c r="AT208" s="430"/>
      <c r="AU208" s="430"/>
      <c r="AV208" s="430"/>
      <c r="AW208" s="430"/>
      <c r="AX208" s="430"/>
      <c r="AY208" s="430"/>
      <c r="AZ208" s="430"/>
      <c r="BA208" s="430"/>
      <c r="BB208" s="430"/>
      <c r="BC208" s="430"/>
      <c r="BD208" s="430"/>
      <c r="BE208" s="430"/>
    </row>
    <row r="209" spans="1:57" ht="15.75" customHeight="1">
      <c r="A209" s="430"/>
      <c r="B209" s="430"/>
      <c r="C209" s="430"/>
      <c r="D209" s="430"/>
      <c r="E209" s="430"/>
      <c r="F209" s="430"/>
      <c r="G209" s="430"/>
      <c r="H209" s="430"/>
      <c r="I209" s="430"/>
      <c r="J209" s="581"/>
      <c r="K209" s="581"/>
      <c r="L209" s="582"/>
      <c r="M209" s="581"/>
      <c r="N209" s="430"/>
      <c r="O209" s="430"/>
      <c r="P209" s="430"/>
      <c r="Q209" s="430"/>
      <c r="R209" s="430"/>
      <c r="S209" s="581"/>
      <c r="T209" s="581"/>
      <c r="U209" s="581"/>
      <c r="V209" s="582"/>
      <c r="W209" s="581"/>
      <c r="X209" s="430"/>
      <c r="Y209" s="430"/>
      <c r="Z209" s="430"/>
      <c r="AA209" s="430"/>
      <c r="AB209" s="430"/>
      <c r="AC209" s="430"/>
      <c r="AD209" s="430"/>
      <c r="AE209" s="430"/>
      <c r="AF209" s="430"/>
      <c r="AG209" s="430"/>
      <c r="AH209" s="430"/>
      <c r="AI209" s="430"/>
      <c r="AJ209" s="430"/>
      <c r="AK209" s="430"/>
      <c r="AL209" s="430"/>
      <c r="AM209" s="430"/>
      <c r="AN209" s="430"/>
      <c r="AO209" s="430"/>
      <c r="AP209" s="430"/>
      <c r="AQ209" s="430"/>
      <c r="AR209" s="430"/>
      <c r="AS209" s="430"/>
      <c r="AT209" s="430"/>
      <c r="AU209" s="430"/>
      <c r="AV209" s="430"/>
      <c r="AW209" s="430"/>
      <c r="AX209" s="430"/>
      <c r="AY209" s="430"/>
      <c r="AZ209" s="430"/>
      <c r="BA209" s="430"/>
      <c r="BB209" s="430"/>
      <c r="BC209" s="430"/>
      <c r="BD209" s="430"/>
      <c r="BE209" s="430"/>
    </row>
    <row r="210" spans="1:57" ht="15.75" customHeight="1">
      <c r="A210" s="430"/>
      <c r="B210" s="430"/>
      <c r="C210" s="430"/>
      <c r="D210" s="430"/>
      <c r="E210" s="430"/>
      <c r="F210" s="430"/>
      <c r="G210" s="430"/>
      <c r="H210" s="430"/>
      <c r="I210" s="430"/>
      <c r="J210" s="581"/>
      <c r="K210" s="581"/>
      <c r="L210" s="582"/>
      <c r="M210" s="581"/>
      <c r="N210" s="430"/>
      <c r="O210" s="430"/>
      <c r="P210" s="430"/>
      <c r="Q210" s="430"/>
      <c r="R210" s="430"/>
      <c r="S210" s="581"/>
      <c r="T210" s="581"/>
      <c r="U210" s="581"/>
      <c r="V210" s="582"/>
      <c r="W210" s="581"/>
      <c r="X210" s="430"/>
      <c r="Y210" s="430"/>
      <c r="Z210" s="430"/>
      <c r="AA210" s="430"/>
      <c r="AB210" s="430"/>
      <c r="AC210" s="430"/>
      <c r="AD210" s="430"/>
      <c r="AE210" s="430"/>
      <c r="AF210" s="430"/>
      <c r="AG210" s="430"/>
      <c r="AH210" s="430"/>
      <c r="AI210" s="430"/>
      <c r="AJ210" s="430"/>
      <c r="AK210" s="430"/>
      <c r="AL210" s="430"/>
      <c r="AM210" s="430"/>
      <c r="AN210" s="430"/>
      <c r="AO210" s="430"/>
      <c r="AP210" s="430"/>
      <c r="AQ210" s="430"/>
      <c r="AR210" s="430"/>
      <c r="AS210" s="430"/>
      <c r="AT210" s="430"/>
      <c r="AU210" s="430"/>
      <c r="AV210" s="430"/>
      <c r="AW210" s="430"/>
      <c r="AX210" s="430"/>
      <c r="AY210" s="430"/>
      <c r="AZ210" s="430"/>
      <c r="BA210" s="430"/>
      <c r="BB210" s="430"/>
      <c r="BC210" s="430"/>
      <c r="BD210" s="430"/>
      <c r="BE210" s="430"/>
    </row>
    <row r="211" spans="1:57" ht="15.75" customHeight="1">
      <c r="A211" s="430"/>
      <c r="B211" s="430"/>
      <c r="C211" s="430"/>
      <c r="D211" s="430"/>
      <c r="E211" s="430"/>
      <c r="F211" s="430"/>
      <c r="G211" s="430"/>
      <c r="H211" s="430"/>
      <c r="I211" s="430"/>
      <c r="J211" s="581"/>
      <c r="K211" s="581"/>
      <c r="L211" s="582"/>
      <c r="M211" s="581"/>
      <c r="N211" s="430"/>
      <c r="O211" s="430"/>
      <c r="P211" s="430"/>
      <c r="Q211" s="430"/>
      <c r="R211" s="430"/>
      <c r="S211" s="581"/>
      <c r="T211" s="581"/>
      <c r="U211" s="581"/>
      <c r="V211" s="582"/>
      <c r="W211" s="581"/>
      <c r="X211" s="430"/>
      <c r="Y211" s="430"/>
      <c r="Z211" s="430"/>
      <c r="AA211" s="430"/>
      <c r="AB211" s="430"/>
      <c r="AC211" s="430"/>
      <c r="AD211" s="430"/>
      <c r="AE211" s="430"/>
      <c r="AF211" s="430"/>
      <c r="AG211" s="430"/>
      <c r="AH211" s="430"/>
      <c r="AI211" s="430"/>
      <c r="AJ211" s="430"/>
      <c r="AK211" s="430"/>
      <c r="AL211" s="430"/>
      <c r="AM211" s="430"/>
      <c r="AN211" s="430"/>
      <c r="AO211" s="430"/>
      <c r="AP211" s="430"/>
      <c r="AQ211" s="430"/>
      <c r="AR211" s="430"/>
      <c r="AS211" s="430"/>
      <c r="AT211" s="430"/>
      <c r="AU211" s="430"/>
      <c r="AV211" s="430"/>
      <c r="AW211" s="430"/>
      <c r="AX211" s="430"/>
      <c r="AY211" s="430"/>
      <c r="AZ211" s="430"/>
      <c r="BA211" s="430"/>
      <c r="BB211" s="430"/>
      <c r="BC211" s="430"/>
      <c r="BD211" s="430"/>
      <c r="BE211" s="430"/>
    </row>
    <row r="212" spans="1:57" ht="15.75" customHeight="1">
      <c r="A212" s="430"/>
      <c r="B212" s="430"/>
      <c r="C212" s="430"/>
      <c r="D212" s="430"/>
      <c r="E212" s="430"/>
      <c r="F212" s="430"/>
      <c r="G212" s="430"/>
      <c r="H212" s="430"/>
      <c r="I212" s="430"/>
      <c r="J212" s="581"/>
      <c r="K212" s="581"/>
      <c r="L212" s="582"/>
      <c r="M212" s="581"/>
      <c r="N212" s="430"/>
      <c r="O212" s="430"/>
      <c r="P212" s="430"/>
      <c r="Q212" s="430"/>
      <c r="R212" s="430"/>
      <c r="S212" s="581"/>
      <c r="T212" s="581"/>
      <c r="U212" s="581"/>
      <c r="V212" s="582"/>
      <c r="W212" s="581"/>
      <c r="X212" s="430"/>
      <c r="Y212" s="430"/>
      <c r="Z212" s="430"/>
      <c r="AA212" s="430"/>
      <c r="AB212" s="430"/>
      <c r="AC212" s="430"/>
      <c r="AD212" s="430"/>
      <c r="AE212" s="430"/>
      <c r="AF212" s="430"/>
      <c r="AG212" s="430"/>
      <c r="AH212" s="430"/>
      <c r="AI212" s="430"/>
      <c r="AJ212" s="430"/>
      <c r="AK212" s="430"/>
      <c r="AL212" s="430"/>
      <c r="AM212" s="430"/>
      <c r="AN212" s="430"/>
      <c r="AO212" s="430"/>
      <c r="AP212" s="430"/>
      <c r="AQ212" s="430"/>
      <c r="AR212" s="430"/>
      <c r="AS212" s="430"/>
      <c r="AT212" s="430"/>
      <c r="AU212" s="430"/>
      <c r="AV212" s="430"/>
      <c r="AW212" s="430"/>
      <c r="AX212" s="430"/>
      <c r="AY212" s="430"/>
      <c r="AZ212" s="430"/>
      <c r="BA212" s="430"/>
      <c r="BB212" s="430"/>
      <c r="BC212" s="430"/>
      <c r="BD212" s="430"/>
      <c r="BE212" s="430"/>
    </row>
    <row r="213" spans="1:57" ht="15.75" customHeight="1">
      <c r="A213" s="430"/>
      <c r="B213" s="430"/>
      <c r="C213" s="430"/>
      <c r="D213" s="430"/>
      <c r="E213" s="430"/>
      <c r="F213" s="430"/>
      <c r="G213" s="430"/>
      <c r="H213" s="430"/>
      <c r="I213" s="430"/>
      <c r="J213" s="581"/>
      <c r="K213" s="581"/>
      <c r="L213" s="582"/>
      <c r="M213" s="581"/>
      <c r="N213" s="430"/>
      <c r="O213" s="430"/>
      <c r="P213" s="430"/>
      <c r="Q213" s="430"/>
      <c r="R213" s="430"/>
      <c r="S213" s="581"/>
      <c r="T213" s="581"/>
      <c r="U213" s="581"/>
      <c r="V213" s="582"/>
      <c r="W213" s="581"/>
      <c r="X213" s="430"/>
      <c r="Y213" s="430"/>
      <c r="Z213" s="430"/>
      <c r="AA213" s="430"/>
      <c r="AB213" s="430"/>
      <c r="AC213" s="430"/>
      <c r="AD213" s="430"/>
      <c r="AE213" s="430"/>
      <c r="AF213" s="430"/>
      <c r="AG213" s="430"/>
      <c r="AH213" s="430"/>
      <c r="AI213" s="430"/>
      <c r="AJ213" s="430"/>
      <c r="AK213" s="430"/>
      <c r="AL213" s="430"/>
      <c r="AM213" s="430"/>
      <c r="AN213" s="430"/>
      <c r="AO213" s="430"/>
      <c r="AP213" s="430"/>
      <c r="AQ213" s="430"/>
      <c r="AR213" s="430"/>
      <c r="AS213" s="430"/>
      <c r="AT213" s="430"/>
      <c r="AU213" s="430"/>
      <c r="AV213" s="430"/>
      <c r="AW213" s="430"/>
      <c r="AX213" s="430"/>
      <c r="AY213" s="430"/>
      <c r="AZ213" s="430"/>
      <c r="BA213" s="430"/>
      <c r="BB213" s="430"/>
      <c r="BC213" s="430"/>
      <c r="BD213" s="430"/>
      <c r="BE213" s="430"/>
    </row>
    <row r="214" spans="1:57" ht="15.75" customHeight="1">
      <c r="A214" s="430"/>
      <c r="B214" s="430"/>
      <c r="C214" s="430"/>
      <c r="D214" s="430"/>
      <c r="E214" s="430"/>
      <c r="F214" s="430"/>
      <c r="G214" s="430"/>
      <c r="H214" s="430"/>
      <c r="I214" s="430"/>
      <c r="J214" s="581"/>
      <c r="K214" s="581"/>
      <c r="L214" s="582"/>
      <c r="M214" s="581"/>
      <c r="N214" s="430"/>
      <c r="O214" s="430"/>
      <c r="P214" s="430"/>
      <c r="Q214" s="430"/>
      <c r="R214" s="430"/>
      <c r="S214" s="581"/>
      <c r="T214" s="581"/>
      <c r="U214" s="581"/>
      <c r="V214" s="582"/>
      <c r="W214" s="581"/>
      <c r="X214" s="430"/>
      <c r="Y214" s="430"/>
      <c r="Z214" s="430"/>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0"/>
      <c r="AY214" s="430"/>
      <c r="AZ214" s="430"/>
      <c r="BA214" s="430"/>
      <c r="BB214" s="430"/>
      <c r="BC214" s="430"/>
      <c r="BD214" s="430"/>
      <c r="BE214" s="430"/>
    </row>
    <row r="215" spans="1:57" ht="15.75" customHeight="1">
      <c r="A215" s="430"/>
      <c r="B215" s="430"/>
      <c r="C215" s="430"/>
      <c r="D215" s="430"/>
      <c r="E215" s="430"/>
      <c r="F215" s="430"/>
      <c r="G215" s="430"/>
      <c r="H215" s="430"/>
      <c r="I215" s="430"/>
      <c r="J215" s="581"/>
      <c r="K215" s="581"/>
      <c r="L215" s="582"/>
      <c r="M215" s="581"/>
      <c r="N215" s="430"/>
      <c r="O215" s="430"/>
      <c r="P215" s="430"/>
      <c r="Q215" s="430"/>
      <c r="R215" s="430"/>
      <c r="S215" s="581"/>
      <c r="T215" s="581"/>
      <c r="U215" s="581"/>
      <c r="V215" s="582"/>
      <c r="W215" s="581"/>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0"/>
      <c r="AY215" s="430"/>
      <c r="AZ215" s="430"/>
      <c r="BA215" s="430"/>
      <c r="BB215" s="430"/>
      <c r="BC215" s="430"/>
      <c r="BD215" s="430"/>
      <c r="BE215" s="430"/>
    </row>
    <row r="216" spans="1:57" ht="15.75" customHeight="1">
      <c r="A216" s="430"/>
      <c r="B216" s="430"/>
      <c r="C216" s="430"/>
      <c r="D216" s="430"/>
      <c r="E216" s="430"/>
      <c r="F216" s="430"/>
      <c r="G216" s="430"/>
      <c r="H216" s="430"/>
      <c r="I216" s="430"/>
      <c r="J216" s="581"/>
      <c r="K216" s="581"/>
      <c r="L216" s="582"/>
      <c r="M216" s="581"/>
      <c r="N216" s="430"/>
      <c r="O216" s="430"/>
      <c r="P216" s="430"/>
      <c r="Q216" s="430"/>
      <c r="R216" s="430"/>
      <c r="S216" s="581"/>
      <c r="T216" s="581"/>
      <c r="U216" s="581"/>
      <c r="V216" s="582"/>
      <c r="W216" s="581"/>
      <c r="X216" s="430"/>
      <c r="Y216" s="430"/>
      <c r="Z216" s="430"/>
      <c r="AA216" s="430"/>
      <c r="AB216" s="430"/>
      <c r="AC216" s="430"/>
      <c r="AD216" s="430"/>
      <c r="AE216" s="430"/>
      <c r="AF216" s="430"/>
      <c r="AG216" s="430"/>
      <c r="AH216" s="430"/>
      <c r="AI216" s="430"/>
      <c r="AJ216" s="430"/>
      <c r="AK216" s="430"/>
      <c r="AL216" s="430"/>
      <c r="AM216" s="430"/>
      <c r="AN216" s="430"/>
      <c r="AO216" s="430"/>
      <c r="AP216" s="430"/>
      <c r="AQ216" s="430"/>
      <c r="AR216" s="430"/>
      <c r="AS216" s="430"/>
      <c r="AT216" s="430"/>
      <c r="AU216" s="430"/>
      <c r="AV216" s="430"/>
      <c r="AW216" s="430"/>
      <c r="AX216" s="430"/>
      <c r="AY216" s="430"/>
      <c r="AZ216" s="430"/>
      <c r="BA216" s="430"/>
      <c r="BB216" s="430"/>
      <c r="BC216" s="430"/>
      <c r="BD216" s="430"/>
      <c r="BE216" s="430"/>
    </row>
    <row r="217" spans="1:57" ht="15.75" customHeight="1">
      <c r="A217" s="430"/>
      <c r="B217" s="430"/>
      <c r="C217" s="430"/>
      <c r="D217" s="430"/>
      <c r="E217" s="430"/>
      <c r="F217" s="430"/>
      <c r="G217" s="430"/>
      <c r="H217" s="430"/>
      <c r="I217" s="430"/>
      <c r="J217" s="581"/>
      <c r="K217" s="581"/>
      <c r="L217" s="582"/>
      <c r="M217" s="581"/>
      <c r="N217" s="430"/>
      <c r="O217" s="430"/>
      <c r="P217" s="430"/>
      <c r="Q217" s="430"/>
      <c r="R217" s="430"/>
      <c r="S217" s="581"/>
      <c r="T217" s="581"/>
      <c r="U217" s="581"/>
      <c r="V217" s="582"/>
      <c r="W217" s="581"/>
      <c r="X217" s="430"/>
      <c r="Y217" s="430"/>
      <c r="Z217" s="430"/>
      <c r="AA217" s="430"/>
      <c r="AB217" s="430"/>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0"/>
      <c r="AY217" s="430"/>
      <c r="AZ217" s="430"/>
      <c r="BA217" s="430"/>
      <c r="BB217" s="430"/>
      <c r="BC217" s="430"/>
      <c r="BD217" s="430"/>
      <c r="BE217" s="430"/>
    </row>
    <row r="218" spans="1:57" ht="15.75" customHeight="1">
      <c r="A218" s="430"/>
      <c r="B218" s="430"/>
      <c r="C218" s="430"/>
      <c r="D218" s="430"/>
      <c r="E218" s="430"/>
      <c r="F218" s="430"/>
      <c r="G218" s="430"/>
      <c r="H218" s="430"/>
      <c r="I218" s="430"/>
      <c r="J218" s="581"/>
      <c r="K218" s="581"/>
      <c r="L218" s="582"/>
      <c r="M218" s="581"/>
      <c r="N218" s="430"/>
      <c r="O218" s="430"/>
      <c r="P218" s="430"/>
      <c r="Q218" s="430"/>
      <c r="R218" s="430"/>
      <c r="S218" s="581"/>
      <c r="T218" s="581"/>
      <c r="U218" s="581"/>
      <c r="V218" s="582"/>
      <c r="W218" s="581"/>
      <c r="X218" s="430"/>
      <c r="Y218" s="430"/>
      <c r="Z218" s="430"/>
      <c r="AA218" s="430"/>
      <c r="AB218" s="430"/>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0"/>
      <c r="AY218" s="430"/>
      <c r="AZ218" s="430"/>
      <c r="BA218" s="430"/>
      <c r="BB218" s="430"/>
      <c r="BC218" s="430"/>
      <c r="BD218" s="430"/>
      <c r="BE218" s="430"/>
    </row>
    <row r="219" spans="1:57" ht="15.75" customHeight="1">
      <c r="A219" s="430"/>
      <c r="B219" s="430"/>
      <c r="C219" s="430"/>
      <c r="D219" s="430"/>
      <c r="E219" s="430"/>
      <c r="F219" s="430"/>
      <c r="G219" s="430"/>
      <c r="H219" s="430"/>
      <c r="I219" s="430"/>
      <c r="J219" s="581"/>
      <c r="K219" s="581"/>
      <c r="L219" s="582"/>
      <c r="M219" s="581"/>
      <c r="N219" s="430"/>
      <c r="O219" s="430"/>
      <c r="P219" s="430"/>
      <c r="Q219" s="430"/>
      <c r="R219" s="430"/>
      <c r="S219" s="581"/>
      <c r="T219" s="581"/>
      <c r="U219" s="581"/>
      <c r="V219" s="582"/>
      <c r="W219" s="581"/>
      <c r="X219" s="430"/>
      <c r="Y219" s="430"/>
      <c r="Z219" s="430"/>
      <c r="AA219" s="430"/>
      <c r="AB219" s="430"/>
      <c r="AC219" s="430"/>
      <c r="AD219" s="430"/>
      <c r="AE219" s="430"/>
      <c r="AF219" s="430"/>
      <c r="AG219" s="430"/>
      <c r="AH219" s="430"/>
      <c r="AI219" s="430"/>
      <c r="AJ219" s="430"/>
      <c r="AK219" s="430"/>
      <c r="AL219" s="430"/>
      <c r="AM219" s="430"/>
      <c r="AN219" s="430"/>
      <c r="AO219" s="430"/>
      <c r="AP219" s="430"/>
      <c r="AQ219" s="430"/>
      <c r="AR219" s="430"/>
      <c r="AS219" s="430"/>
      <c r="AT219" s="430"/>
      <c r="AU219" s="430"/>
      <c r="AV219" s="430"/>
      <c r="AW219" s="430"/>
      <c r="AX219" s="430"/>
      <c r="AY219" s="430"/>
      <c r="AZ219" s="430"/>
      <c r="BA219" s="430"/>
      <c r="BB219" s="430"/>
      <c r="BC219" s="430"/>
      <c r="BD219" s="430"/>
      <c r="BE219" s="430"/>
    </row>
    <row r="220" spans="1:57" ht="15.75" customHeight="1">
      <c r="A220" s="430"/>
      <c r="B220" s="430"/>
      <c r="C220" s="430"/>
      <c r="D220" s="430"/>
      <c r="E220" s="430"/>
      <c r="F220" s="430"/>
      <c r="G220" s="430"/>
      <c r="H220" s="430"/>
      <c r="I220" s="430"/>
      <c r="J220" s="581"/>
      <c r="K220" s="581"/>
      <c r="L220" s="582"/>
      <c r="M220" s="581"/>
      <c r="N220" s="430"/>
      <c r="O220" s="430"/>
      <c r="P220" s="430"/>
      <c r="Q220" s="430"/>
      <c r="R220" s="430"/>
      <c r="S220" s="581"/>
      <c r="T220" s="581"/>
      <c r="U220" s="581"/>
      <c r="V220" s="582"/>
      <c r="W220" s="581"/>
      <c r="X220" s="430"/>
      <c r="Y220" s="430"/>
      <c r="Z220" s="430"/>
      <c r="AA220" s="430"/>
      <c r="AB220" s="430"/>
      <c r="AC220" s="430"/>
      <c r="AD220" s="430"/>
      <c r="AE220" s="430"/>
      <c r="AF220" s="430"/>
      <c r="AG220" s="430"/>
      <c r="AH220" s="430"/>
      <c r="AI220" s="430"/>
      <c r="AJ220" s="430"/>
      <c r="AK220" s="430"/>
      <c r="AL220" s="430"/>
      <c r="AM220" s="430"/>
      <c r="AN220" s="430"/>
      <c r="AO220" s="430"/>
      <c r="AP220" s="430"/>
      <c r="AQ220" s="430"/>
      <c r="AR220" s="430"/>
      <c r="AS220" s="430"/>
      <c r="AT220" s="430"/>
      <c r="AU220" s="430"/>
      <c r="AV220" s="430"/>
      <c r="AW220" s="430"/>
      <c r="AX220" s="430"/>
      <c r="AY220" s="430"/>
      <c r="AZ220" s="430"/>
      <c r="BA220" s="430"/>
      <c r="BB220" s="430"/>
      <c r="BC220" s="430"/>
      <c r="BD220" s="430"/>
      <c r="BE220" s="430"/>
    </row>
    <row r="221" spans="1:57" ht="15.75" customHeight="1">
      <c r="A221" s="430"/>
      <c r="B221" s="430"/>
      <c r="C221" s="430"/>
      <c r="D221" s="430"/>
      <c r="E221" s="430"/>
      <c r="F221" s="430"/>
      <c r="G221" s="430"/>
      <c r="H221" s="430"/>
      <c r="I221" s="430"/>
      <c r="J221" s="581"/>
      <c r="K221" s="581"/>
      <c r="L221" s="582"/>
      <c r="M221" s="581"/>
      <c r="N221" s="430"/>
      <c r="O221" s="430"/>
      <c r="P221" s="430"/>
      <c r="Q221" s="430"/>
      <c r="R221" s="430"/>
      <c r="S221" s="581"/>
      <c r="T221" s="581"/>
      <c r="U221" s="581"/>
      <c r="V221" s="582"/>
      <c r="W221" s="581"/>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0"/>
      <c r="AY221" s="430"/>
      <c r="AZ221" s="430"/>
      <c r="BA221" s="430"/>
      <c r="BB221" s="430"/>
      <c r="BC221" s="430"/>
      <c r="BD221" s="430"/>
      <c r="BE221" s="430"/>
    </row>
    <row r="222" spans="1:57" ht="15.75" customHeight="1">
      <c r="A222" s="430"/>
      <c r="B222" s="430"/>
      <c r="C222" s="430"/>
      <c r="D222" s="430"/>
      <c r="E222" s="430"/>
      <c r="F222" s="430"/>
      <c r="G222" s="430"/>
      <c r="H222" s="430"/>
      <c r="I222" s="430"/>
      <c r="J222" s="581"/>
      <c r="K222" s="581"/>
      <c r="L222" s="582"/>
      <c r="M222" s="581"/>
      <c r="N222" s="430"/>
      <c r="O222" s="430"/>
      <c r="P222" s="430"/>
      <c r="Q222" s="430"/>
      <c r="R222" s="430"/>
      <c r="S222" s="581"/>
      <c r="T222" s="581"/>
      <c r="U222" s="581"/>
      <c r="V222" s="582"/>
      <c r="W222" s="581"/>
      <c r="X222" s="430"/>
      <c r="Y222" s="430"/>
      <c r="Z222" s="430"/>
      <c r="AA222" s="430"/>
      <c r="AB222" s="430"/>
      <c r="AC222" s="430"/>
      <c r="AD222" s="430"/>
      <c r="AE222" s="430"/>
      <c r="AF222" s="430"/>
      <c r="AG222" s="430"/>
      <c r="AH222" s="430"/>
      <c r="AI222" s="430"/>
      <c r="AJ222" s="430"/>
      <c r="AK222" s="430"/>
      <c r="AL222" s="430"/>
      <c r="AM222" s="430"/>
      <c r="AN222" s="430"/>
      <c r="AO222" s="430"/>
      <c r="AP222" s="430"/>
      <c r="AQ222" s="430"/>
      <c r="AR222" s="430"/>
      <c r="AS222" s="430"/>
      <c r="AT222" s="430"/>
      <c r="AU222" s="430"/>
      <c r="AV222" s="430"/>
      <c r="AW222" s="430"/>
      <c r="AX222" s="430"/>
      <c r="AY222" s="430"/>
      <c r="AZ222" s="430"/>
      <c r="BA222" s="430"/>
      <c r="BB222" s="430"/>
      <c r="BC222" s="430"/>
      <c r="BD222" s="430"/>
      <c r="BE222" s="430"/>
    </row>
    <row r="223" spans="1:57" ht="15.75" customHeight="1">
      <c r="A223" s="430"/>
      <c r="B223" s="430"/>
      <c r="C223" s="430"/>
      <c r="D223" s="430"/>
      <c r="E223" s="430"/>
      <c r="F223" s="430"/>
      <c r="G223" s="430"/>
      <c r="H223" s="430"/>
      <c r="I223" s="430"/>
      <c r="J223" s="581"/>
      <c r="K223" s="581"/>
      <c r="L223" s="582"/>
      <c r="M223" s="581"/>
      <c r="N223" s="430"/>
      <c r="O223" s="430"/>
      <c r="P223" s="430"/>
      <c r="Q223" s="430"/>
      <c r="R223" s="430"/>
      <c r="S223" s="581"/>
      <c r="T223" s="581"/>
      <c r="U223" s="581"/>
      <c r="V223" s="582"/>
      <c r="W223" s="581"/>
      <c r="X223" s="430"/>
      <c r="Y223" s="430"/>
      <c r="Z223" s="430"/>
      <c r="AA223" s="430"/>
      <c r="AB223" s="430"/>
      <c r="AC223" s="430"/>
      <c r="AD223" s="430"/>
      <c r="AE223" s="430"/>
      <c r="AF223" s="430"/>
      <c r="AG223" s="430"/>
      <c r="AH223" s="430"/>
      <c r="AI223" s="430"/>
      <c r="AJ223" s="430"/>
      <c r="AK223" s="430"/>
      <c r="AL223" s="430"/>
      <c r="AM223" s="430"/>
      <c r="AN223" s="430"/>
      <c r="AO223" s="430"/>
      <c r="AP223" s="430"/>
      <c r="AQ223" s="430"/>
      <c r="AR223" s="430"/>
      <c r="AS223" s="430"/>
      <c r="AT223" s="430"/>
      <c r="AU223" s="430"/>
      <c r="AV223" s="430"/>
      <c r="AW223" s="430"/>
      <c r="AX223" s="430"/>
      <c r="AY223" s="430"/>
      <c r="AZ223" s="430"/>
      <c r="BA223" s="430"/>
      <c r="BB223" s="430"/>
      <c r="BC223" s="430"/>
      <c r="BD223" s="430"/>
      <c r="BE223" s="430"/>
    </row>
    <row r="224" spans="1:57" ht="15.75" customHeight="1">
      <c r="A224" s="430"/>
      <c r="B224" s="430"/>
      <c r="C224" s="430"/>
      <c r="D224" s="430"/>
      <c r="E224" s="430"/>
      <c r="F224" s="430"/>
      <c r="G224" s="430"/>
      <c r="H224" s="430"/>
      <c r="I224" s="430"/>
      <c r="J224" s="581"/>
      <c r="K224" s="581"/>
      <c r="L224" s="582"/>
      <c r="M224" s="581"/>
      <c r="N224" s="430"/>
      <c r="O224" s="430"/>
      <c r="P224" s="430"/>
      <c r="Q224" s="430"/>
      <c r="R224" s="430"/>
      <c r="S224" s="581"/>
      <c r="T224" s="581"/>
      <c r="U224" s="581"/>
      <c r="V224" s="582"/>
      <c r="W224" s="581"/>
      <c r="X224" s="430"/>
      <c r="Y224" s="430"/>
      <c r="Z224" s="430"/>
      <c r="AA224" s="430"/>
      <c r="AB224" s="430"/>
      <c r="AC224" s="430"/>
      <c r="AD224" s="430"/>
      <c r="AE224" s="430"/>
      <c r="AF224" s="430"/>
      <c r="AG224" s="430"/>
      <c r="AH224" s="430"/>
      <c r="AI224" s="430"/>
      <c r="AJ224" s="430"/>
      <c r="AK224" s="430"/>
      <c r="AL224" s="430"/>
      <c r="AM224" s="430"/>
      <c r="AN224" s="430"/>
      <c r="AO224" s="430"/>
      <c r="AP224" s="430"/>
      <c r="AQ224" s="430"/>
      <c r="AR224" s="430"/>
      <c r="AS224" s="430"/>
      <c r="AT224" s="430"/>
      <c r="AU224" s="430"/>
      <c r="AV224" s="430"/>
      <c r="AW224" s="430"/>
      <c r="AX224" s="430"/>
      <c r="AY224" s="430"/>
      <c r="AZ224" s="430"/>
      <c r="BA224" s="430"/>
      <c r="BB224" s="430"/>
      <c r="BC224" s="430"/>
      <c r="BD224" s="430"/>
      <c r="BE224" s="430"/>
    </row>
    <row r="225" spans="1:57" ht="15.75" customHeight="1">
      <c r="A225" s="430"/>
      <c r="B225" s="430"/>
      <c r="C225" s="430"/>
      <c r="D225" s="430"/>
      <c r="E225" s="430"/>
      <c r="F225" s="430"/>
      <c r="G225" s="430"/>
      <c r="H225" s="430"/>
      <c r="I225" s="430"/>
      <c r="J225" s="581"/>
      <c r="K225" s="581"/>
      <c r="L225" s="582"/>
      <c r="M225" s="581"/>
      <c r="N225" s="430"/>
      <c r="O225" s="430"/>
      <c r="P225" s="430"/>
      <c r="Q225" s="430"/>
      <c r="R225" s="430"/>
      <c r="S225" s="581"/>
      <c r="T225" s="581"/>
      <c r="U225" s="581"/>
      <c r="V225" s="582"/>
      <c r="W225" s="581"/>
      <c r="X225" s="430"/>
      <c r="Y225" s="430"/>
      <c r="Z225" s="430"/>
      <c r="AA225" s="430"/>
      <c r="AB225" s="430"/>
      <c r="AC225" s="430"/>
      <c r="AD225" s="430"/>
      <c r="AE225" s="430"/>
      <c r="AF225" s="430"/>
      <c r="AG225" s="430"/>
      <c r="AH225" s="430"/>
      <c r="AI225" s="430"/>
      <c r="AJ225" s="430"/>
      <c r="AK225" s="430"/>
      <c r="AL225" s="430"/>
      <c r="AM225" s="430"/>
      <c r="AN225" s="430"/>
      <c r="AO225" s="430"/>
      <c r="AP225" s="430"/>
      <c r="AQ225" s="430"/>
      <c r="AR225" s="430"/>
      <c r="AS225" s="430"/>
      <c r="AT225" s="430"/>
      <c r="AU225" s="430"/>
      <c r="AV225" s="430"/>
      <c r="AW225" s="430"/>
      <c r="AX225" s="430"/>
      <c r="AY225" s="430"/>
      <c r="AZ225" s="430"/>
      <c r="BA225" s="430"/>
      <c r="BB225" s="430"/>
      <c r="BC225" s="430"/>
      <c r="BD225" s="430"/>
      <c r="BE225" s="430"/>
    </row>
    <row r="226" spans="1:57" ht="15.75" customHeight="1">
      <c r="A226" s="430"/>
      <c r="B226" s="430"/>
      <c r="C226" s="430"/>
      <c r="D226" s="430"/>
      <c r="E226" s="430"/>
      <c r="F226" s="430"/>
      <c r="G226" s="430"/>
      <c r="H226" s="430"/>
      <c r="I226" s="430"/>
      <c r="J226" s="581"/>
      <c r="K226" s="581"/>
      <c r="L226" s="582"/>
      <c r="M226" s="581"/>
      <c r="N226" s="430"/>
      <c r="O226" s="430"/>
      <c r="P226" s="430"/>
      <c r="Q226" s="430"/>
      <c r="R226" s="430"/>
      <c r="S226" s="581"/>
      <c r="T226" s="581"/>
      <c r="U226" s="581"/>
      <c r="V226" s="582"/>
      <c r="W226" s="581"/>
      <c r="X226" s="430"/>
      <c r="Y226" s="430"/>
      <c r="Z226" s="430"/>
      <c r="AA226" s="430"/>
      <c r="AB226" s="430"/>
      <c r="AC226" s="430"/>
      <c r="AD226" s="430"/>
      <c r="AE226" s="430"/>
      <c r="AF226" s="430"/>
      <c r="AG226" s="430"/>
      <c r="AH226" s="430"/>
      <c r="AI226" s="430"/>
      <c r="AJ226" s="430"/>
      <c r="AK226" s="430"/>
      <c r="AL226" s="430"/>
      <c r="AM226" s="430"/>
      <c r="AN226" s="430"/>
      <c r="AO226" s="430"/>
      <c r="AP226" s="430"/>
      <c r="AQ226" s="430"/>
      <c r="AR226" s="430"/>
      <c r="AS226" s="430"/>
      <c r="AT226" s="430"/>
      <c r="AU226" s="430"/>
      <c r="AV226" s="430"/>
      <c r="AW226" s="430"/>
      <c r="AX226" s="430"/>
      <c r="AY226" s="430"/>
      <c r="AZ226" s="430"/>
      <c r="BA226" s="430"/>
      <c r="BB226" s="430"/>
      <c r="BC226" s="430"/>
      <c r="BD226" s="430"/>
      <c r="BE226" s="430"/>
    </row>
    <row r="227" spans="1:57" ht="15.75" customHeight="1">
      <c r="A227" s="430"/>
      <c r="B227" s="430"/>
      <c r="C227" s="430"/>
      <c r="D227" s="430"/>
      <c r="E227" s="430"/>
      <c r="F227" s="430"/>
      <c r="G227" s="430"/>
      <c r="H227" s="430"/>
      <c r="I227" s="430"/>
      <c r="J227" s="581"/>
      <c r="K227" s="581"/>
      <c r="L227" s="582"/>
      <c r="M227" s="581"/>
      <c r="N227" s="430"/>
      <c r="O227" s="430"/>
      <c r="P227" s="430"/>
      <c r="Q227" s="430"/>
      <c r="R227" s="430"/>
      <c r="S227" s="581"/>
      <c r="T227" s="581"/>
      <c r="U227" s="581"/>
      <c r="V227" s="582"/>
      <c r="W227" s="581"/>
      <c r="X227" s="430"/>
      <c r="Y227" s="430"/>
      <c r="Z227" s="430"/>
      <c r="AA227" s="430"/>
      <c r="AB227" s="430"/>
      <c r="AC227" s="430"/>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0"/>
      <c r="AY227" s="430"/>
      <c r="AZ227" s="430"/>
      <c r="BA227" s="430"/>
      <c r="BB227" s="430"/>
      <c r="BC227" s="430"/>
      <c r="BD227" s="430"/>
      <c r="BE227" s="430"/>
    </row>
    <row r="228" spans="1:57" ht="15.75" customHeight="1">
      <c r="A228" s="430"/>
      <c r="B228" s="430"/>
      <c r="C228" s="430"/>
      <c r="D228" s="430"/>
      <c r="E228" s="430"/>
      <c r="F228" s="430"/>
      <c r="G228" s="430"/>
      <c r="H228" s="430"/>
      <c r="I228" s="430"/>
      <c r="J228" s="581"/>
      <c r="K228" s="581"/>
      <c r="L228" s="582"/>
      <c r="M228" s="581"/>
      <c r="N228" s="430"/>
      <c r="O228" s="430"/>
      <c r="P228" s="430"/>
      <c r="Q228" s="430"/>
      <c r="R228" s="430"/>
      <c r="S228" s="581"/>
      <c r="T228" s="581"/>
      <c r="U228" s="581"/>
      <c r="V228" s="582"/>
      <c r="W228" s="581"/>
      <c r="X228" s="430"/>
      <c r="Y228" s="430"/>
      <c r="Z228" s="430"/>
      <c r="AA228" s="430"/>
      <c r="AB228" s="430"/>
      <c r="AC228" s="430"/>
      <c r="AD228" s="430"/>
      <c r="AE228" s="430"/>
      <c r="AF228" s="430"/>
      <c r="AG228" s="430"/>
      <c r="AH228" s="430"/>
      <c r="AI228" s="430"/>
      <c r="AJ228" s="430"/>
      <c r="AK228" s="430"/>
      <c r="AL228" s="430"/>
      <c r="AM228" s="430"/>
      <c r="AN228" s="430"/>
      <c r="AO228" s="430"/>
      <c r="AP228" s="430"/>
      <c r="AQ228" s="430"/>
      <c r="AR228" s="430"/>
      <c r="AS228" s="430"/>
      <c r="AT228" s="430"/>
      <c r="AU228" s="430"/>
      <c r="AV228" s="430"/>
      <c r="AW228" s="430"/>
      <c r="AX228" s="430"/>
      <c r="AY228" s="430"/>
      <c r="AZ228" s="430"/>
      <c r="BA228" s="430"/>
      <c r="BB228" s="430"/>
      <c r="BC228" s="430"/>
      <c r="BD228" s="430"/>
      <c r="BE228" s="430"/>
    </row>
    <row r="229" spans="1:57" ht="15.75" customHeight="1">
      <c r="A229" s="430"/>
      <c r="B229" s="430"/>
      <c r="C229" s="430"/>
      <c r="D229" s="430"/>
      <c r="E229" s="430"/>
      <c r="F229" s="430"/>
      <c r="G229" s="430"/>
      <c r="H229" s="430"/>
      <c r="I229" s="430"/>
      <c r="J229" s="581"/>
      <c r="K229" s="581"/>
      <c r="L229" s="582"/>
      <c r="M229" s="581"/>
      <c r="N229" s="430"/>
      <c r="O229" s="430"/>
      <c r="P229" s="430"/>
      <c r="Q229" s="430"/>
      <c r="R229" s="430"/>
      <c r="S229" s="581"/>
      <c r="T229" s="581"/>
      <c r="U229" s="581"/>
      <c r="V229" s="582"/>
      <c r="W229" s="581"/>
      <c r="X229" s="430"/>
      <c r="Y229" s="430"/>
      <c r="Z229" s="430"/>
      <c r="AA229" s="430"/>
      <c r="AB229" s="430"/>
      <c r="AC229" s="430"/>
      <c r="AD229" s="430"/>
      <c r="AE229" s="430"/>
      <c r="AF229" s="430"/>
      <c r="AG229" s="430"/>
      <c r="AH229" s="430"/>
      <c r="AI229" s="430"/>
      <c r="AJ229" s="430"/>
      <c r="AK229" s="430"/>
      <c r="AL229" s="430"/>
      <c r="AM229" s="430"/>
      <c r="AN229" s="430"/>
      <c r="AO229" s="430"/>
      <c r="AP229" s="430"/>
      <c r="AQ229" s="430"/>
      <c r="AR229" s="430"/>
      <c r="AS229" s="430"/>
      <c r="AT229" s="430"/>
      <c r="AU229" s="430"/>
      <c r="AV229" s="430"/>
      <c r="AW229" s="430"/>
      <c r="AX229" s="430"/>
      <c r="AY229" s="430"/>
      <c r="AZ229" s="430"/>
      <c r="BA229" s="430"/>
      <c r="BB229" s="430"/>
      <c r="BC229" s="430"/>
      <c r="BD229" s="430"/>
      <c r="BE229" s="430"/>
    </row>
    <row r="230" spans="1:57" ht="15.75" customHeight="1">
      <c r="A230" s="430"/>
      <c r="B230" s="430"/>
      <c r="C230" s="430"/>
      <c r="D230" s="430"/>
      <c r="E230" s="430"/>
      <c r="F230" s="430"/>
      <c r="G230" s="430"/>
      <c r="H230" s="430"/>
      <c r="I230" s="430"/>
      <c r="J230" s="581"/>
      <c r="K230" s="581"/>
      <c r="L230" s="582"/>
      <c r="M230" s="581"/>
      <c r="N230" s="430"/>
      <c r="O230" s="430"/>
      <c r="P230" s="430"/>
      <c r="Q230" s="430"/>
      <c r="R230" s="430"/>
      <c r="S230" s="581"/>
      <c r="T230" s="581"/>
      <c r="U230" s="581"/>
      <c r="V230" s="582"/>
      <c r="W230" s="581"/>
      <c r="X230" s="430"/>
      <c r="Y230" s="430"/>
      <c r="Z230" s="430"/>
      <c r="AA230" s="430"/>
      <c r="AB230" s="430"/>
      <c r="AC230" s="430"/>
      <c r="AD230" s="430"/>
      <c r="AE230" s="430"/>
      <c r="AF230" s="430"/>
      <c r="AG230" s="430"/>
      <c r="AH230" s="430"/>
      <c r="AI230" s="430"/>
      <c r="AJ230" s="430"/>
      <c r="AK230" s="430"/>
      <c r="AL230" s="430"/>
      <c r="AM230" s="430"/>
      <c r="AN230" s="430"/>
      <c r="AO230" s="430"/>
      <c r="AP230" s="430"/>
      <c r="AQ230" s="430"/>
      <c r="AR230" s="430"/>
      <c r="AS230" s="430"/>
      <c r="AT230" s="430"/>
      <c r="AU230" s="430"/>
      <c r="AV230" s="430"/>
      <c r="AW230" s="430"/>
      <c r="AX230" s="430"/>
      <c r="AY230" s="430"/>
      <c r="AZ230" s="430"/>
      <c r="BA230" s="430"/>
      <c r="BB230" s="430"/>
      <c r="BC230" s="430"/>
      <c r="BD230" s="430"/>
      <c r="BE230" s="430"/>
    </row>
    <row r="231" spans="1:57" ht="15.75" customHeight="1">
      <c r="A231" s="430"/>
      <c r="B231" s="430"/>
      <c r="C231" s="430"/>
      <c r="D231" s="430"/>
      <c r="E231" s="430"/>
      <c r="F231" s="430"/>
      <c r="G231" s="430"/>
      <c r="H231" s="430"/>
      <c r="I231" s="430"/>
      <c r="J231" s="581"/>
      <c r="K231" s="581"/>
      <c r="L231" s="582"/>
      <c r="M231" s="581"/>
      <c r="N231" s="430"/>
      <c r="O231" s="430"/>
      <c r="P231" s="430"/>
      <c r="Q231" s="430"/>
      <c r="R231" s="430"/>
      <c r="S231" s="581"/>
      <c r="T231" s="581"/>
      <c r="U231" s="581"/>
      <c r="V231" s="582"/>
      <c r="W231" s="581"/>
      <c r="X231" s="430"/>
      <c r="Y231" s="430"/>
      <c r="Z231" s="430"/>
      <c r="AA231" s="430"/>
      <c r="AB231" s="430"/>
      <c r="AC231" s="430"/>
      <c r="AD231" s="430"/>
      <c r="AE231" s="430"/>
      <c r="AF231" s="430"/>
      <c r="AG231" s="430"/>
      <c r="AH231" s="430"/>
      <c r="AI231" s="430"/>
      <c r="AJ231" s="430"/>
      <c r="AK231" s="430"/>
      <c r="AL231" s="430"/>
      <c r="AM231" s="430"/>
      <c r="AN231" s="430"/>
      <c r="AO231" s="430"/>
      <c r="AP231" s="430"/>
      <c r="AQ231" s="430"/>
      <c r="AR231" s="430"/>
      <c r="AS231" s="430"/>
      <c r="AT231" s="430"/>
      <c r="AU231" s="430"/>
      <c r="AV231" s="430"/>
      <c r="AW231" s="430"/>
      <c r="AX231" s="430"/>
      <c r="AY231" s="430"/>
      <c r="AZ231" s="430"/>
      <c r="BA231" s="430"/>
      <c r="BB231" s="430"/>
      <c r="BC231" s="430"/>
      <c r="BD231" s="430"/>
      <c r="BE231" s="430"/>
    </row>
    <row r="232" spans="1:57" ht="15.75" customHeight="1">
      <c r="A232" s="430"/>
      <c r="B232" s="430"/>
      <c r="C232" s="430"/>
      <c r="D232" s="430"/>
      <c r="E232" s="430"/>
      <c r="F232" s="430"/>
      <c r="G232" s="430"/>
      <c r="H232" s="430"/>
      <c r="I232" s="430"/>
      <c r="J232" s="581"/>
      <c r="K232" s="581"/>
      <c r="L232" s="582"/>
      <c r="M232" s="581"/>
      <c r="N232" s="430"/>
      <c r="O232" s="430"/>
      <c r="P232" s="430"/>
      <c r="Q232" s="430"/>
      <c r="R232" s="430"/>
      <c r="S232" s="581"/>
      <c r="T232" s="581"/>
      <c r="U232" s="581"/>
      <c r="V232" s="582"/>
      <c r="W232" s="581"/>
      <c r="X232" s="430"/>
      <c r="Y232" s="430"/>
      <c r="Z232" s="430"/>
      <c r="AA232" s="430"/>
      <c r="AB232" s="430"/>
      <c r="AC232" s="430"/>
      <c r="AD232" s="430"/>
      <c r="AE232" s="430"/>
      <c r="AF232" s="430"/>
      <c r="AG232" s="430"/>
      <c r="AH232" s="430"/>
      <c r="AI232" s="430"/>
      <c r="AJ232" s="430"/>
      <c r="AK232" s="430"/>
      <c r="AL232" s="430"/>
      <c r="AM232" s="430"/>
      <c r="AN232" s="430"/>
      <c r="AO232" s="430"/>
      <c r="AP232" s="430"/>
      <c r="AQ232" s="430"/>
      <c r="AR232" s="430"/>
      <c r="AS232" s="430"/>
      <c r="AT232" s="430"/>
      <c r="AU232" s="430"/>
      <c r="AV232" s="430"/>
      <c r="AW232" s="430"/>
      <c r="AX232" s="430"/>
      <c r="AY232" s="430"/>
      <c r="AZ232" s="430"/>
      <c r="BA232" s="430"/>
      <c r="BB232" s="430"/>
      <c r="BC232" s="430"/>
      <c r="BD232" s="430"/>
      <c r="BE232" s="430"/>
    </row>
    <row r="233" spans="1:57" ht="15.75" customHeight="1">
      <c r="A233" s="430"/>
      <c r="B233" s="430"/>
      <c r="C233" s="430"/>
      <c r="D233" s="430"/>
      <c r="E233" s="430"/>
      <c r="F233" s="430"/>
      <c r="G233" s="430"/>
      <c r="H233" s="430"/>
      <c r="I233" s="430"/>
      <c r="J233" s="581"/>
      <c r="K233" s="581"/>
      <c r="L233" s="582"/>
      <c r="M233" s="581"/>
      <c r="N233" s="430"/>
      <c r="O233" s="430"/>
      <c r="P233" s="430"/>
      <c r="Q233" s="430"/>
      <c r="R233" s="430"/>
      <c r="S233" s="581"/>
      <c r="T233" s="581"/>
      <c r="U233" s="581"/>
      <c r="V233" s="582"/>
      <c r="W233" s="581"/>
      <c r="X233" s="430"/>
      <c r="Y233" s="430"/>
      <c r="Z233" s="430"/>
      <c r="AA233" s="430"/>
      <c r="AB233" s="430"/>
      <c r="AC233" s="430"/>
      <c r="AD233" s="430"/>
      <c r="AE233" s="430"/>
      <c r="AF233" s="430"/>
      <c r="AG233" s="430"/>
      <c r="AH233" s="430"/>
      <c r="AI233" s="430"/>
      <c r="AJ233" s="430"/>
      <c r="AK233" s="430"/>
      <c r="AL233" s="430"/>
      <c r="AM233" s="430"/>
      <c r="AN233" s="430"/>
      <c r="AO233" s="430"/>
      <c r="AP233" s="430"/>
      <c r="AQ233" s="430"/>
      <c r="AR233" s="430"/>
      <c r="AS233" s="430"/>
      <c r="AT233" s="430"/>
      <c r="AU233" s="430"/>
      <c r="AV233" s="430"/>
      <c r="AW233" s="430"/>
      <c r="AX233" s="430"/>
      <c r="AY233" s="430"/>
      <c r="AZ233" s="430"/>
      <c r="BA233" s="430"/>
      <c r="BB233" s="430"/>
      <c r="BC233" s="430"/>
      <c r="BD233" s="430"/>
      <c r="BE233" s="430"/>
    </row>
    <row r="234" spans="1:57" ht="15.75" customHeight="1">
      <c r="A234" s="430"/>
      <c r="B234" s="430"/>
      <c r="C234" s="430"/>
      <c r="D234" s="430"/>
      <c r="E234" s="430"/>
      <c r="F234" s="430"/>
      <c r="G234" s="430"/>
      <c r="H234" s="430"/>
      <c r="I234" s="430"/>
      <c r="J234" s="581"/>
      <c r="K234" s="581"/>
      <c r="L234" s="582"/>
      <c r="M234" s="581"/>
      <c r="N234" s="430"/>
      <c r="O234" s="430"/>
      <c r="P234" s="430"/>
      <c r="Q234" s="430"/>
      <c r="R234" s="430"/>
      <c r="S234" s="581"/>
      <c r="T234" s="581"/>
      <c r="U234" s="581"/>
      <c r="V234" s="582"/>
      <c r="W234" s="581"/>
      <c r="X234" s="430"/>
      <c r="Y234" s="430"/>
      <c r="Z234" s="430"/>
      <c r="AA234" s="430"/>
      <c r="AB234" s="430"/>
      <c r="AC234" s="430"/>
      <c r="AD234" s="430"/>
      <c r="AE234" s="430"/>
      <c r="AF234" s="430"/>
      <c r="AG234" s="430"/>
      <c r="AH234" s="430"/>
      <c r="AI234" s="430"/>
      <c r="AJ234" s="430"/>
      <c r="AK234" s="430"/>
      <c r="AL234" s="430"/>
      <c r="AM234" s="430"/>
      <c r="AN234" s="430"/>
      <c r="AO234" s="430"/>
      <c r="AP234" s="430"/>
      <c r="AQ234" s="430"/>
      <c r="AR234" s="430"/>
      <c r="AS234" s="430"/>
      <c r="AT234" s="430"/>
      <c r="AU234" s="430"/>
      <c r="AV234" s="430"/>
      <c r="AW234" s="430"/>
      <c r="AX234" s="430"/>
      <c r="AY234" s="430"/>
      <c r="AZ234" s="430"/>
      <c r="BA234" s="430"/>
      <c r="BB234" s="430"/>
      <c r="BC234" s="430"/>
      <c r="BD234" s="430"/>
      <c r="BE234" s="430"/>
    </row>
    <row r="235" spans="1:57" ht="15.75" customHeight="1">
      <c r="A235" s="430"/>
      <c r="B235" s="430"/>
      <c r="C235" s="430"/>
      <c r="D235" s="430"/>
      <c r="E235" s="430"/>
      <c r="F235" s="430"/>
      <c r="G235" s="430"/>
      <c r="H235" s="430"/>
      <c r="I235" s="430"/>
      <c r="J235" s="581"/>
      <c r="K235" s="581"/>
      <c r="L235" s="582"/>
      <c r="M235" s="581"/>
      <c r="N235" s="430"/>
      <c r="O235" s="430"/>
      <c r="P235" s="430"/>
      <c r="Q235" s="430"/>
      <c r="R235" s="430"/>
      <c r="S235" s="581"/>
      <c r="T235" s="581"/>
      <c r="U235" s="581"/>
      <c r="V235" s="582"/>
      <c r="W235" s="581"/>
      <c r="X235" s="430"/>
      <c r="Y235" s="430"/>
      <c r="Z235" s="430"/>
      <c r="AA235" s="430"/>
      <c r="AB235" s="430"/>
      <c r="AC235" s="430"/>
      <c r="AD235" s="430"/>
      <c r="AE235" s="430"/>
      <c r="AF235" s="430"/>
      <c r="AG235" s="430"/>
      <c r="AH235" s="430"/>
      <c r="AI235" s="430"/>
      <c r="AJ235" s="430"/>
      <c r="AK235" s="430"/>
      <c r="AL235" s="430"/>
      <c r="AM235" s="430"/>
      <c r="AN235" s="430"/>
      <c r="AO235" s="430"/>
      <c r="AP235" s="430"/>
      <c r="AQ235" s="430"/>
      <c r="AR235" s="430"/>
      <c r="AS235" s="430"/>
      <c r="AT235" s="430"/>
      <c r="AU235" s="430"/>
      <c r="AV235" s="430"/>
      <c r="AW235" s="430"/>
      <c r="AX235" s="430"/>
      <c r="AY235" s="430"/>
      <c r="AZ235" s="430"/>
      <c r="BA235" s="430"/>
      <c r="BB235" s="430"/>
      <c r="BC235" s="430"/>
      <c r="BD235" s="430"/>
      <c r="BE235" s="430"/>
    </row>
    <row r="236" spans="1:57" ht="15.75" customHeight="1">
      <c r="A236" s="430"/>
      <c r="B236" s="430"/>
      <c r="C236" s="430"/>
      <c r="D236" s="430"/>
      <c r="E236" s="430"/>
      <c r="F236" s="430"/>
      <c r="G236" s="430"/>
      <c r="H236" s="430"/>
      <c r="I236" s="430"/>
      <c r="J236" s="581"/>
      <c r="K236" s="581"/>
      <c r="L236" s="582"/>
      <c r="M236" s="581"/>
      <c r="N236" s="430"/>
      <c r="O236" s="430"/>
      <c r="P236" s="430"/>
      <c r="Q236" s="430"/>
      <c r="R236" s="430"/>
      <c r="S236" s="581"/>
      <c r="T236" s="581"/>
      <c r="U236" s="581"/>
      <c r="V236" s="582"/>
      <c r="W236" s="581"/>
      <c r="X236" s="430"/>
      <c r="Y236" s="430"/>
      <c r="Z236" s="430"/>
      <c r="AA236" s="430"/>
      <c r="AB236" s="430"/>
      <c r="AC236" s="430"/>
      <c r="AD236" s="430"/>
      <c r="AE236" s="430"/>
      <c r="AF236" s="430"/>
      <c r="AG236" s="430"/>
      <c r="AH236" s="430"/>
      <c r="AI236" s="430"/>
      <c r="AJ236" s="430"/>
      <c r="AK236" s="430"/>
      <c r="AL236" s="430"/>
      <c r="AM236" s="430"/>
      <c r="AN236" s="430"/>
      <c r="AO236" s="430"/>
      <c r="AP236" s="430"/>
      <c r="AQ236" s="430"/>
      <c r="AR236" s="430"/>
      <c r="AS236" s="430"/>
      <c r="AT236" s="430"/>
      <c r="AU236" s="430"/>
      <c r="AV236" s="430"/>
      <c r="AW236" s="430"/>
      <c r="AX236" s="430"/>
      <c r="AY236" s="430"/>
      <c r="AZ236" s="430"/>
      <c r="BA236" s="430"/>
      <c r="BB236" s="430"/>
      <c r="BC236" s="430"/>
      <c r="BD236" s="430"/>
      <c r="BE236" s="430"/>
    </row>
    <row r="237" spans="1:57" ht="15.75" customHeight="1">
      <c r="A237" s="430"/>
      <c r="B237" s="430"/>
      <c r="C237" s="430"/>
      <c r="D237" s="430"/>
      <c r="E237" s="430"/>
      <c r="F237" s="430"/>
      <c r="G237" s="430"/>
      <c r="H237" s="430"/>
      <c r="I237" s="430"/>
      <c r="J237" s="581"/>
      <c r="K237" s="581"/>
      <c r="L237" s="582"/>
      <c r="M237" s="581"/>
      <c r="N237" s="430"/>
      <c r="O237" s="430"/>
      <c r="P237" s="430"/>
      <c r="Q237" s="430"/>
      <c r="R237" s="430"/>
      <c r="S237" s="581"/>
      <c r="T237" s="581"/>
      <c r="U237" s="581"/>
      <c r="V237" s="582"/>
      <c r="W237" s="581"/>
      <c r="X237" s="430"/>
      <c r="Y237" s="430"/>
      <c r="Z237" s="430"/>
      <c r="AA237" s="430"/>
      <c r="AB237" s="430"/>
      <c r="AC237" s="430"/>
      <c r="AD237" s="430"/>
      <c r="AE237" s="430"/>
      <c r="AF237" s="430"/>
      <c r="AG237" s="430"/>
      <c r="AH237" s="430"/>
      <c r="AI237" s="430"/>
      <c r="AJ237" s="430"/>
      <c r="AK237" s="430"/>
      <c r="AL237" s="430"/>
      <c r="AM237" s="430"/>
      <c r="AN237" s="430"/>
      <c r="AO237" s="430"/>
      <c r="AP237" s="430"/>
      <c r="AQ237" s="430"/>
      <c r="AR237" s="430"/>
      <c r="AS237" s="430"/>
      <c r="AT237" s="430"/>
      <c r="AU237" s="430"/>
      <c r="AV237" s="430"/>
      <c r="AW237" s="430"/>
      <c r="AX237" s="430"/>
      <c r="AY237" s="430"/>
      <c r="AZ237" s="430"/>
      <c r="BA237" s="430"/>
      <c r="BB237" s="430"/>
      <c r="BC237" s="430"/>
      <c r="BD237" s="430"/>
      <c r="BE237" s="430"/>
    </row>
    <row r="238" spans="1:57" ht="15.75" customHeight="1">
      <c r="A238" s="430"/>
      <c r="B238" s="430"/>
      <c r="C238" s="430"/>
      <c r="D238" s="430"/>
      <c r="E238" s="430"/>
      <c r="F238" s="430"/>
      <c r="G238" s="430"/>
      <c r="H238" s="430"/>
      <c r="I238" s="430"/>
      <c r="J238" s="581"/>
      <c r="K238" s="581"/>
      <c r="L238" s="582"/>
      <c r="M238" s="581"/>
      <c r="N238" s="430"/>
      <c r="O238" s="430"/>
      <c r="P238" s="430"/>
      <c r="Q238" s="430"/>
      <c r="R238" s="430"/>
      <c r="S238" s="581"/>
      <c r="T238" s="581"/>
      <c r="U238" s="581"/>
      <c r="V238" s="582"/>
      <c r="W238" s="581"/>
      <c r="X238" s="430"/>
      <c r="Y238" s="430"/>
      <c r="Z238" s="430"/>
      <c r="AA238" s="430"/>
      <c r="AB238" s="430"/>
      <c r="AC238" s="430"/>
      <c r="AD238" s="430"/>
      <c r="AE238" s="430"/>
      <c r="AF238" s="430"/>
      <c r="AG238" s="430"/>
      <c r="AH238" s="430"/>
      <c r="AI238" s="430"/>
      <c r="AJ238" s="430"/>
      <c r="AK238" s="430"/>
      <c r="AL238" s="430"/>
      <c r="AM238" s="430"/>
      <c r="AN238" s="430"/>
      <c r="AO238" s="430"/>
      <c r="AP238" s="430"/>
      <c r="AQ238" s="430"/>
      <c r="AR238" s="430"/>
      <c r="AS238" s="430"/>
      <c r="AT238" s="430"/>
      <c r="AU238" s="430"/>
      <c r="AV238" s="430"/>
      <c r="AW238" s="430"/>
      <c r="AX238" s="430"/>
      <c r="AY238" s="430"/>
      <c r="AZ238" s="430"/>
      <c r="BA238" s="430"/>
      <c r="BB238" s="430"/>
      <c r="BC238" s="430"/>
      <c r="BD238" s="430"/>
      <c r="BE238" s="430"/>
    </row>
    <row r="239" spans="1:57" ht="15.75" customHeight="1">
      <c r="A239" s="430"/>
      <c r="B239" s="430"/>
      <c r="C239" s="430"/>
      <c r="D239" s="430"/>
      <c r="E239" s="430"/>
      <c r="F239" s="430"/>
      <c r="G239" s="430"/>
      <c r="H239" s="430"/>
      <c r="I239" s="430"/>
      <c r="J239" s="581"/>
      <c r="K239" s="581"/>
      <c r="L239" s="582"/>
      <c r="M239" s="581"/>
      <c r="N239" s="430"/>
      <c r="O239" s="430"/>
      <c r="P239" s="430"/>
      <c r="Q239" s="430"/>
      <c r="R239" s="430"/>
      <c r="S239" s="581"/>
      <c r="T239" s="581"/>
      <c r="U239" s="581"/>
      <c r="V239" s="582"/>
      <c r="W239" s="581"/>
      <c r="X239" s="430"/>
      <c r="Y239" s="430"/>
      <c r="Z239" s="430"/>
      <c r="AA239" s="430"/>
      <c r="AB239" s="430"/>
      <c r="AC239" s="430"/>
      <c r="AD239" s="430"/>
      <c r="AE239" s="430"/>
      <c r="AF239" s="430"/>
      <c r="AG239" s="430"/>
      <c r="AH239" s="430"/>
      <c r="AI239" s="430"/>
      <c r="AJ239" s="430"/>
      <c r="AK239" s="430"/>
      <c r="AL239" s="430"/>
      <c r="AM239" s="430"/>
      <c r="AN239" s="430"/>
      <c r="AO239" s="430"/>
      <c r="AP239" s="430"/>
      <c r="AQ239" s="430"/>
      <c r="AR239" s="430"/>
      <c r="AS239" s="430"/>
      <c r="AT239" s="430"/>
      <c r="AU239" s="430"/>
      <c r="AV239" s="430"/>
      <c r="AW239" s="430"/>
      <c r="AX239" s="430"/>
      <c r="AY239" s="430"/>
      <c r="AZ239" s="430"/>
      <c r="BA239" s="430"/>
      <c r="BB239" s="430"/>
      <c r="BC239" s="430"/>
      <c r="BD239" s="430"/>
      <c r="BE239" s="430"/>
    </row>
    <row r="240" spans="1:57" ht="15.75" customHeight="1">
      <c r="A240" s="430"/>
      <c r="B240" s="430"/>
      <c r="C240" s="430"/>
      <c r="D240" s="430"/>
      <c r="E240" s="430"/>
      <c r="F240" s="430"/>
      <c r="G240" s="430"/>
      <c r="H240" s="430"/>
      <c r="I240" s="430"/>
      <c r="J240" s="581"/>
      <c r="K240" s="581"/>
      <c r="L240" s="582"/>
      <c r="M240" s="581"/>
      <c r="N240" s="430"/>
      <c r="O240" s="430"/>
      <c r="P240" s="430"/>
      <c r="Q240" s="430"/>
      <c r="R240" s="430"/>
      <c r="S240" s="581"/>
      <c r="T240" s="581"/>
      <c r="U240" s="581"/>
      <c r="V240" s="582"/>
      <c r="W240" s="581"/>
      <c r="X240" s="430"/>
      <c r="Y240" s="430"/>
      <c r="Z240" s="430"/>
      <c r="AA240" s="430"/>
      <c r="AB240" s="430"/>
      <c r="AC240" s="430"/>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0"/>
      <c r="AY240" s="430"/>
      <c r="AZ240" s="430"/>
      <c r="BA240" s="430"/>
      <c r="BB240" s="430"/>
      <c r="BC240" s="430"/>
      <c r="BD240" s="430"/>
      <c r="BE240" s="430"/>
    </row>
    <row r="241" spans="1:57" ht="15.75" customHeight="1">
      <c r="A241" s="430"/>
      <c r="B241" s="430"/>
      <c r="C241" s="430"/>
      <c r="D241" s="430"/>
      <c r="E241" s="430"/>
      <c r="F241" s="430"/>
      <c r="G241" s="430"/>
      <c r="H241" s="430"/>
      <c r="I241" s="430"/>
      <c r="J241" s="581"/>
      <c r="K241" s="581"/>
      <c r="L241" s="582"/>
      <c r="M241" s="581"/>
      <c r="N241" s="430"/>
      <c r="O241" s="430"/>
      <c r="P241" s="430"/>
      <c r="Q241" s="430"/>
      <c r="R241" s="430"/>
      <c r="S241" s="581"/>
      <c r="T241" s="581"/>
      <c r="U241" s="581"/>
      <c r="V241" s="582"/>
      <c r="W241" s="581"/>
      <c r="X241" s="430"/>
      <c r="Y241" s="430"/>
      <c r="Z241" s="430"/>
      <c r="AA241" s="430"/>
      <c r="AB241" s="430"/>
      <c r="AC241" s="430"/>
      <c r="AD241" s="430"/>
      <c r="AE241" s="430"/>
      <c r="AF241" s="430"/>
      <c r="AG241" s="430"/>
      <c r="AH241" s="430"/>
      <c r="AI241" s="430"/>
      <c r="AJ241" s="430"/>
      <c r="AK241" s="430"/>
      <c r="AL241" s="430"/>
      <c r="AM241" s="430"/>
      <c r="AN241" s="430"/>
      <c r="AO241" s="430"/>
      <c r="AP241" s="430"/>
      <c r="AQ241" s="430"/>
      <c r="AR241" s="430"/>
      <c r="AS241" s="430"/>
      <c r="AT241" s="430"/>
      <c r="AU241" s="430"/>
      <c r="AV241" s="430"/>
      <c r="AW241" s="430"/>
      <c r="AX241" s="430"/>
      <c r="AY241" s="430"/>
      <c r="AZ241" s="430"/>
      <c r="BA241" s="430"/>
      <c r="BB241" s="430"/>
      <c r="BC241" s="430"/>
      <c r="BD241" s="430"/>
      <c r="BE241" s="430"/>
    </row>
    <row r="242" spans="1:57" ht="15.75" customHeight="1">
      <c r="A242" s="430"/>
      <c r="B242" s="430"/>
      <c r="C242" s="430"/>
      <c r="D242" s="430"/>
      <c r="E242" s="430"/>
      <c r="F242" s="430"/>
      <c r="G242" s="430"/>
      <c r="H242" s="430"/>
      <c r="I242" s="430"/>
      <c r="J242" s="581"/>
      <c r="K242" s="581"/>
      <c r="L242" s="582"/>
      <c r="M242" s="581"/>
      <c r="N242" s="430"/>
      <c r="O242" s="430"/>
      <c r="P242" s="430"/>
      <c r="Q242" s="430"/>
      <c r="R242" s="430"/>
      <c r="S242" s="581"/>
      <c r="T242" s="581"/>
      <c r="U242" s="581"/>
      <c r="V242" s="582"/>
      <c r="W242" s="581"/>
      <c r="X242" s="430"/>
      <c r="Y242" s="430"/>
      <c r="Z242" s="430"/>
      <c r="AA242" s="430"/>
      <c r="AB242" s="430"/>
      <c r="AC242" s="430"/>
      <c r="AD242" s="430"/>
      <c r="AE242" s="430"/>
      <c r="AF242" s="430"/>
      <c r="AG242" s="430"/>
      <c r="AH242" s="430"/>
      <c r="AI242" s="430"/>
      <c r="AJ242" s="430"/>
      <c r="AK242" s="430"/>
      <c r="AL242" s="430"/>
      <c r="AM242" s="430"/>
      <c r="AN242" s="430"/>
      <c r="AO242" s="430"/>
      <c r="AP242" s="430"/>
      <c r="AQ242" s="430"/>
      <c r="AR242" s="430"/>
      <c r="AS242" s="430"/>
      <c r="AT242" s="430"/>
      <c r="AU242" s="430"/>
      <c r="AV242" s="430"/>
      <c r="AW242" s="430"/>
      <c r="AX242" s="430"/>
      <c r="AY242" s="430"/>
      <c r="AZ242" s="430"/>
      <c r="BA242" s="430"/>
      <c r="BB242" s="430"/>
      <c r="BC242" s="430"/>
      <c r="BD242" s="430"/>
      <c r="BE242" s="430"/>
    </row>
    <row r="243" spans="1:57" ht="15.75" customHeight="1">
      <c r="A243" s="430"/>
      <c r="B243" s="430"/>
      <c r="C243" s="430"/>
      <c r="D243" s="430"/>
      <c r="E243" s="430"/>
      <c r="F243" s="430"/>
      <c r="G243" s="430"/>
      <c r="H243" s="430"/>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c r="AF243" s="430"/>
      <c r="AG243" s="430"/>
      <c r="AH243" s="430"/>
      <c r="AI243" s="430"/>
      <c r="AJ243" s="430"/>
      <c r="AK243" s="430"/>
      <c r="AL243" s="430"/>
      <c r="AM243" s="430"/>
      <c r="AN243" s="430"/>
      <c r="AO243" s="430"/>
      <c r="AP243" s="430"/>
      <c r="AQ243" s="430"/>
      <c r="AR243" s="430"/>
      <c r="AS243" s="430"/>
      <c r="AT243" s="430"/>
      <c r="AU243" s="430"/>
      <c r="AV243" s="430"/>
      <c r="AW243" s="430"/>
      <c r="AX243" s="430"/>
      <c r="AY243" s="430"/>
      <c r="AZ243" s="430"/>
      <c r="BA243" s="430"/>
      <c r="BB243" s="430"/>
      <c r="BC243" s="430"/>
      <c r="BD243" s="430"/>
      <c r="BE243" s="430"/>
    </row>
    <row r="244" spans="1:57" ht="15.75" customHeight="1">
      <c r="A244" s="430"/>
      <c r="B244" s="430"/>
      <c r="C244" s="430"/>
      <c r="D244" s="430"/>
      <c r="E244" s="430"/>
      <c r="F244" s="430"/>
      <c r="G244" s="430"/>
      <c r="H244" s="430"/>
      <c r="I244" s="430"/>
      <c r="J244" s="430"/>
      <c r="K244" s="430"/>
      <c r="L244" s="430"/>
      <c r="M244" s="430"/>
      <c r="N244" s="430"/>
      <c r="O244" s="430"/>
      <c r="P244" s="430"/>
      <c r="Q244" s="430"/>
      <c r="R244" s="430"/>
      <c r="S244" s="430"/>
      <c r="T244" s="430"/>
      <c r="U244" s="430"/>
      <c r="V244" s="430"/>
      <c r="W244" s="430"/>
      <c r="X244" s="430"/>
      <c r="Y244" s="430"/>
      <c r="Z244" s="430"/>
      <c r="AA244" s="430"/>
      <c r="AB244" s="430"/>
      <c r="AC244" s="430"/>
      <c r="AD244" s="430"/>
      <c r="AE244" s="430"/>
      <c r="AF244" s="430"/>
      <c r="AG244" s="430"/>
      <c r="AH244" s="430"/>
      <c r="AI244" s="430"/>
      <c r="AJ244" s="430"/>
      <c r="AK244" s="430"/>
      <c r="AL244" s="430"/>
      <c r="AM244" s="430"/>
      <c r="AN244" s="430"/>
      <c r="AO244" s="430"/>
      <c r="AP244" s="430"/>
      <c r="AQ244" s="430"/>
      <c r="AR244" s="430"/>
      <c r="AS244" s="430"/>
      <c r="AT244" s="430"/>
      <c r="AU244" s="430"/>
      <c r="AV244" s="430"/>
      <c r="AW244" s="430"/>
      <c r="AX244" s="430"/>
      <c r="AY244" s="430"/>
      <c r="AZ244" s="430"/>
      <c r="BA244" s="430"/>
      <c r="BB244" s="430"/>
      <c r="BC244" s="430"/>
      <c r="BD244" s="430"/>
      <c r="BE244" s="430"/>
    </row>
    <row r="245" spans="1:57" ht="15.75" customHeight="1">
      <c r="A245" s="430"/>
      <c r="B245" s="430"/>
      <c r="C245" s="430"/>
      <c r="D245" s="430"/>
      <c r="E245" s="430"/>
      <c r="F245" s="430"/>
      <c r="G245" s="430"/>
      <c r="H245" s="430"/>
      <c r="I245" s="430"/>
      <c r="J245" s="430"/>
      <c r="K245" s="430"/>
      <c r="L245" s="430"/>
      <c r="M245" s="430"/>
      <c r="N245" s="430"/>
      <c r="O245" s="430"/>
      <c r="P245" s="430"/>
      <c r="Q245" s="430"/>
      <c r="R245" s="430"/>
      <c r="S245" s="430"/>
      <c r="T245" s="430"/>
      <c r="U245" s="430"/>
      <c r="V245" s="430"/>
      <c r="W245" s="430"/>
      <c r="X245" s="430"/>
      <c r="Y245" s="430"/>
      <c r="Z245" s="430"/>
      <c r="AA245" s="430"/>
      <c r="AB245" s="430"/>
      <c r="AC245" s="430"/>
      <c r="AD245" s="430"/>
      <c r="AE245" s="430"/>
      <c r="AF245" s="430"/>
      <c r="AG245" s="430"/>
      <c r="AH245" s="430"/>
      <c r="AI245" s="430"/>
      <c r="AJ245" s="430"/>
      <c r="AK245" s="430"/>
      <c r="AL245" s="430"/>
      <c r="AM245" s="430"/>
      <c r="AN245" s="430"/>
      <c r="AO245" s="430"/>
      <c r="AP245" s="430"/>
      <c r="AQ245" s="430"/>
      <c r="AR245" s="430"/>
      <c r="AS245" s="430"/>
      <c r="AT245" s="430"/>
      <c r="AU245" s="430"/>
      <c r="AV245" s="430"/>
      <c r="AW245" s="430"/>
      <c r="AX245" s="430"/>
      <c r="AY245" s="430"/>
      <c r="AZ245" s="430"/>
      <c r="BA245" s="430"/>
      <c r="BB245" s="430"/>
      <c r="BC245" s="430"/>
      <c r="BD245" s="430"/>
      <c r="BE245" s="430"/>
    </row>
    <row r="246" spans="1:57" ht="15.75" customHeight="1">
      <c r="A246" s="430"/>
      <c r="B246" s="430"/>
      <c r="C246" s="430"/>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c r="AN246" s="430"/>
      <c r="AO246" s="430"/>
      <c r="AP246" s="430"/>
      <c r="AQ246" s="430"/>
      <c r="AR246" s="430"/>
      <c r="AS246" s="430"/>
      <c r="AT246" s="430"/>
      <c r="AU246" s="430"/>
      <c r="AV246" s="430"/>
      <c r="AW246" s="430"/>
      <c r="AX246" s="430"/>
      <c r="AY246" s="430"/>
      <c r="AZ246" s="430"/>
      <c r="BA246" s="430"/>
      <c r="BB246" s="430"/>
      <c r="BC246" s="430"/>
      <c r="BD246" s="430"/>
      <c r="BE246" s="430"/>
    </row>
    <row r="247" spans="1:57" ht="15.75" customHeight="1">
      <c r="A247" s="430"/>
      <c r="B247" s="430"/>
      <c r="C247" s="430"/>
      <c r="D247" s="430"/>
      <c r="E247" s="430"/>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0"/>
      <c r="AY247" s="430"/>
      <c r="AZ247" s="430"/>
      <c r="BA247" s="430"/>
      <c r="BB247" s="430"/>
      <c r="BC247" s="430"/>
      <c r="BD247" s="430"/>
      <c r="BE247" s="430"/>
    </row>
    <row r="248" spans="1:57" ht="15.75" customHeight="1">
      <c r="A248" s="430"/>
      <c r="B248" s="430"/>
      <c r="C248" s="430"/>
      <c r="D248" s="430"/>
      <c r="E248" s="430"/>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30"/>
      <c r="AY248" s="430"/>
      <c r="AZ248" s="430"/>
      <c r="BA248" s="430"/>
      <c r="BB248" s="430"/>
      <c r="BC248" s="430"/>
      <c r="BD248" s="430"/>
      <c r="BE248" s="430"/>
    </row>
    <row r="249" spans="1:57" ht="15.75" customHeight="1">
      <c r="A249" s="430"/>
      <c r="B249" s="430"/>
      <c r="C249" s="430"/>
      <c r="D249" s="430"/>
      <c r="E249" s="430"/>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0"/>
      <c r="AY249" s="430"/>
      <c r="AZ249" s="430"/>
      <c r="BA249" s="430"/>
      <c r="BB249" s="430"/>
      <c r="BC249" s="430"/>
      <c r="BD249" s="430"/>
      <c r="BE249" s="430"/>
    </row>
    <row r="250" spans="1:57" ht="15.75" customHeight="1">
      <c r="A250" s="430"/>
      <c r="B250" s="430"/>
      <c r="C250" s="430"/>
      <c r="D250" s="430"/>
      <c r="E250" s="430"/>
      <c r="F250" s="430"/>
      <c r="G250" s="430"/>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c r="AN250" s="430"/>
      <c r="AO250" s="430"/>
      <c r="AP250" s="430"/>
      <c r="AQ250" s="430"/>
      <c r="AR250" s="430"/>
      <c r="AS250" s="430"/>
      <c r="AT250" s="430"/>
      <c r="AU250" s="430"/>
      <c r="AV250" s="430"/>
      <c r="AW250" s="430"/>
      <c r="AX250" s="430"/>
      <c r="AY250" s="430"/>
      <c r="AZ250" s="430"/>
      <c r="BA250" s="430"/>
      <c r="BB250" s="430"/>
      <c r="BC250" s="430"/>
      <c r="BD250" s="430"/>
      <c r="BE250" s="430"/>
    </row>
    <row r="251" spans="1:57" ht="15.75" customHeight="1">
      <c r="A251" s="430"/>
      <c r="B251" s="430"/>
      <c r="C251" s="430"/>
      <c r="D251" s="430"/>
      <c r="E251" s="430"/>
      <c r="F251" s="430"/>
      <c r="G251" s="430"/>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c r="AN251" s="430"/>
      <c r="AO251" s="430"/>
      <c r="AP251" s="430"/>
      <c r="AQ251" s="430"/>
      <c r="AR251" s="430"/>
      <c r="AS251" s="430"/>
      <c r="AT251" s="430"/>
      <c r="AU251" s="430"/>
      <c r="AV251" s="430"/>
      <c r="AW251" s="430"/>
      <c r="AX251" s="430"/>
      <c r="AY251" s="430"/>
      <c r="AZ251" s="430"/>
      <c r="BA251" s="430"/>
      <c r="BB251" s="430"/>
      <c r="BC251" s="430"/>
      <c r="BD251" s="430"/>
      <c r="BE251" s="430"/>
    </row>
    <row r="252" spans="1:57" ht="15.75" customHeight="1">
      <c r="A252" s="430"/>
      <c r="B252" s="430"/>
      <c r="C252" s="430"/>
      <c r="D252" s="430"/>
      <c r="E252" s="430"/>
      <c r="F252" s="430"/>
      <c r="G252" s="430"/>
      <c r="H252" s="430"/>
      <c r="I252" s="430"/>
      <c r="J252" s="430"/>
      <c r="K252" s="430"/>
      <c r="L252" s="430"/>
      <c r="M252" s="430"/>
      <c r="N252" s="430"/>
      <c r="O252" s="430"/>
      <c r="P252" s="430"/>
      <c r="Q252" s="430"/>
      <c r="R252" s="430"/>
      <c r="S252" s="430"/>
      <c r="T252" s="430"/>
      <c r="U252" s="430"/>
      <c r="V252" s="430"/>
      <c r="W252" s="430"/>
      <c r="X252" s="430"/>
      <c r="Y252" s="430"/>
      <c r="Z252" s="430"/>
      <c r="AA252" s="430"/>
      <c r="AB252" s="430"/>
      <c r="AC252" s="430"/>
      <c r="AD252" s="430"/>
      <c r="AE252" s="430"/>
      <c r="AF252" s="430"/>
      <c r="AG252" s="430"/>
      <c r="AH252" s="430"/>
      <c r="AI252" s="430"/>
      <c r="AJ252" s="430"/>
      <c r="AK252" s="430"/>
      <c r="AL252" s="430"/>
      <c r="AM252" s="430"/>
      <c r="AN252" s="430"/>
      <c r="AO252" s="430"/>
      <c r="AP252" s="430"/>
      <c r="AQ252" s="430"/>
      <c r="AR252" s="430"/>
      <c r="AS252" s="430"/>
      <c r="AT252" s="430"/>
      <c r="AU252" s="430"/>
      <c r="AV252" s="430"/>
      <c r="AW252" s="430"/>
      <c r="AX252" s="430"/>
      <c r="AY252" s="430"/>
      <c r="AZ252" s="430"/>
      <c r="BA252" s="430"/>
      <c r="BB252" s="430"/>
      <c r="BC252" s="430"/>
      <c r="BD252" s="430"/>
      <c r="BE252" s="430"/>
    </row>
    <row r="253" spans="1:57" ht="15.75" customHeight="1">
      <c r="A253" s="430"/>
      <c r="B253" s="430"/>
      <c r="C253" s="430"/>
      <c r="D253" s="430"/>
      <c r="E253" s="430"/>
      <c r="F253" s="430"/>
      <c r="G253" s="430"/>
      <c r="H253" s="430"/>
      <c r="I253" s="430"/>
      <c r="J253" s="430"/>
      <c r="K253" s="430"/>
      <c r="L253" s="430"/>
      <c r="M253" s="430"/>
      <c r="N253" s="430"/>
      <c r="O253" s="430"/>
      <c r="P253" s="430"/>
      <c r="Q253" s="430"/>
      <c r="R253" s="430"/>
      <c r="S253" s="430"/>
      <c r="T253" s="430"/>
      <c r="U253" s="430"/>
      <c r="V253" s="430"/>
      <c r="W253" s="430"/>
      <c r="X253" s="430"/>
      <c r="Y253" s="430"/>
      <c r="Z253" s="430"/>
      <c r="AA253" s="430"/>
      <c r="AB253" s="430"/>
      <c r="AC253" s="430"/>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0"/>
      <c r="AY253" s="430"/>
      <c r="AZ253" s="430"/>
      <c r="BA253" s="430"/>
      <c r="BB253" s="430"/>
      <c r="BC253" s="430"/>
      <c r="BD253" s="430"/>
      <c r="BE253" s="430"/>
    </row>
    <row r="254" spans="1:57" ht="15.75" customHeight="1">
      <c r="A254" s="430"/>
      <c r="B254" s="430"/>
      <c r="C254" s="430"/>
      <c r="D254" s="430"/>
      <c r="E254" s="430"/>
      <c r="F254" s="430"/>
      <c r="G254" s="430"/>
      <c r="H254" s="430"/>
      <c r="I254" s="430"/>
      <c r="J254" s="430"/>
      <c r="K254" s="430"/>
      <c r="L254" s="430"/>
      <c r="M254" s="430"/>
      <c r="N254" s="430"/>
      <c r="O254" s="430"/>
      <c r="P254" s="430"/>
      <c r="Q254" s="430"/>
      <c r="R254" s="430"/>
      <c r="S254" s="430"/>
      <c r="T254" s="430"/>
      <c r="U254" s="430"/>
      <c r="V254" s="430"/>
      <c r="W254" s="430"/>
      <c r="X254" s="430"/>
      <c r="Y254" s="430"/>
      <c r="Z254" s="430"/>
      <c r="AA254" s="430"/>
      <c r="AB254" s="430"/>
      <c r="AC254" s="430"/>
      <c r="AD254" s="430"/>
      <c r="AE254" s="430"/>
      <c r="AF254" s="430"/>
      <c r="AG254" s="430"/>
      <c r="AH254" s="430"/>
      <c r="AI254" s="430"/>
      <c r="AJ254" s="430"/>
      <c r="AK254" s="430"/>
      <c r="AL254" s="430"/>
      <c r="AM254" s="430"/>
      <c r="AN254" s="430"/>
      <c r="AO254" s="430"/>
      <c r="AP254" s="430"/>
      <c r="AQ254" s="430"/>
      <c r="AR254" s="430"/>
      <c r="AS254" s="430"/>
      <c r="AT254" s="430"/>
      <c r="AU254" s="430"/>
      <c r="AV254" s="430"/>
      <c r="AW254" s="430"/>
      <c r="AX254" s="430"/>
      <c r="AY254" s="430"/>
      <c r="AZ254" s="430"/>
      <c r="BA254" s="430"/>
      <c r="BB254" s="430"/>
      <c r="BC254" s="430"/>
      <c r="BD254" s="430"/>
      <c r="BE254" s="430"/>
    </row>
    <row r="255" spans="1:57" ht="15.75" customHeight="1">
      <c r="A255" s="430"/>
      <c r="B255" s="430"/>
      <c r="C255" s="430"/>
      <c r="D255" s="430"/>
      <c r="E255" s="430"/>
      <c r="F255" s="430"/>
      <c r="G255" s="430"/>
      <c r="H255" s="430"/>
      <c r="I255" s="430"/>
      <c r="J255" s="430"/>
      <c r="K255" s="430"/>
      <c r="L255" s="430"/>
      <c r="M255" s="430"/>
      <c r="N255" s="430"/>
      <c r="O255" s="430"/>
      <c r="P255" s="430"/>
      <c r="Q255" s="430"/>
      <c r="R255" s="430"/>
      <c r="S255" s="430"/>
      <c r="T255" s="430"/>
      <c r="U255" s="430"/>
      <c r="V255" s="430"/>
      <c r="W255" s="430"/>
      <c r="X255" s="430"/>
      <c r="Y255" s="430"/>
      <c r="Z255" s="430"/>
      <c r="AA255" s="430"/>
      <c r="AB255" s="430"/>
      <c r="AC255" s="430"/>
      <c r="AD255" s="430"/>
      <c r="AE255" s="430"/>
      <c r="AF255" s="430"/>
      <c r="AG255" s="430"/>
      <c r="AH255" s="430"/>
      <c r="AI255" s="430"/>
      <c r="AJ255" s="430"/>
      <c r="AK255" s="430"/>
      <c r="AL255" s="430"/>
      <c r="AM255" s="430"/>
      <c r="AN255" s="430"/>
      <c r="AO255" s="430"/>
      <c r="AP255" s="430"/>
      <c r="AQ255" s="430"/>
      <c r="AR255" s="430"/>
      <c r="AS255" s="430"/>
      <c r="AT255" s="430"/>
      <c r="AU255" s="430"/>
      <c r="AV255" s="430"/>
      <c r="AW255" s="430"/>
      <c r="AX255" s="430"/>
      <c r="AY255" s="430"/>
      <c r="AZ255" s="430"/>
      <c r="BA255" s="430"/>
      <c r="BB255" s="430"/>
      <c r="BC255" s="430"/>
      <c r="BD255" s="430"/>
      <c r="BE255" s="430"/>
    </row>
    <row r="256" spans="1:57" ht="15.75" customHeight="1">
      <c r="A256" s="430"/>
      <c r="B256" s="430"/>
      <c r="C256" s="430"/>
      <c r="D256" s="430"/>
      <c r="E256" s="430"/>
      <c r="F256" s="430"/>
      <c r="G256" s="430"/>
      <c r="H256" s="430"/>
      <c r="I256" s="430"/>
      <c r="J256" s="430"/>
      <c r="K256" s="430"/>
      <c r="L256" s="430"/>
      <c r="M256" s="430"/>
      <c r="N256" s="430"/>
      <c r="O256" s="430"/>
      <c r="P256" s="430"/>
      <c r="Q256" s="430"/>
      <c r="R256" s="430"/>
      <c r="S256" s="430"/>
      <c r="T256" s="430"/>
      <c r="U256" s="430"/>
      <c r="V256" s="430"/>
      <c r="W256" s="430"/>
      <c r="X256" s="430"/>
      <c r="Y256" s="430"/>
      <c r="Z256" s="430"/>
      <c r="AA256" s="430"/>
      <c r="AB256" s="430"/>
      <c r="AC256" s="430"/>
      <c r="AD256" s="430"/>
      <c r="AE256" s="430"/>
      <c r="AF256" s="430"/>
      <c r="AG256" s="430"/>
      <c r="AH256" s="430"/>
      <c r="AI256" s="430"/>
      <c r="AJ256" s="430"/>
      <c r="AK256" s="430"/>
      <c r="AL256" s="430"/>
      <c r="AM256" s="430"/>
      <c r="AN256" s="430"/>
      <c r="AO256" s="430"/>
      <c r="AP256" s="430"/>
      <c r="AQ256" s="430"/>
      <c r="AR256" s="430"/>
      <c r="AS256" s="430"/>
      <c r="AT256" s="430"/>
      <c r="AU256" s="430"/>
      <c r="AV256" s="430"/>
      <c r="AW256" s="430"/>
      <c r="AX256" s="430"/>
      <c r="AY256" s="430"/>
      <c r="AZ256" s="430"/>
      <c r="BA256" s="430"/>
      <c r="BB256" s="430"/>
      <c r="BC256" s="430"/>
      <c r="BD256" s="430"/>
      <c r="BE256" s="430"/>
    </row>
    <row r="257" spans="1:57" ht="15.75" customHeight="1">
      <c r="A257" s="430"/>
      <c r="B257" s="430"/>
      <c r="C257" s="430"/>
      <c r="D257" s="430"/>
      <c r="E257" s="430"/>
      <c r="F257" s="430"/>
      <c r="G257" s="430"/>
      <c r="H257" s="430"/>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c r="AF257" s="430"/>
      <c r="AG257" s="430"/>
      <c r="AH257" s="430"/>
      <c r="AI257" s="430"/>
      <c r="AJ257" s="430"/>
      <c r="AK257" s="430"/>
      <c r="AL257" s="430"/>
      <c r="AM257" s="430"/>
      <c r="AN257" s="430"/>
      <c r="AO257" s="430"/>
      <c r="AP257" s="430"/>
      <c r="AQ257" s="430"/>
      <c r="AR257" s="430"/>
      <c r="AS257" s="430"/>
      <c r="AT257" s="430"/>
      <c r="AU257" s="430"/>
      <c r="AV257" s="430"/>
      <c r="AW257" s="430"/>
      <c r="AX257" s="430"/>
      <c r="AY257" s="430"/>
      <c r="AZ257" s="430"/>
      <c r="BA257" s="430"/>
      <c r="BB257" s="430"/>
      <c r="BC257" s="430"/>
      <c r="BD257" s="430"/>
      <c r="BE257" s="430"/>
    </row>
    <row r="258" spans="1:57" ht="15.75" customHeight="1">
      <c r="A258" s="430"/>
      <c r="B258" s="430"/>
      <c r="C258" s="430"/>
      <c r="D258" s="430"/>
      <c r="E258" s="430"/>
      <c r="F258" s="430"/>
      <c r="G258" s="430"/>
      <c r="H258" s="430"/>
      <c r="I258" s="430"/>
      <c r="J258" s="430"/>
      <c r="K258" s="430"/>
      <c r="L258" s="430"/>
      <c r="M258" s="430"/>
      <c r="N258" s="430"/>
      <c r="O258" s="430"/>
      <c r="P258" s="430"/>
      <c r="Q258" s="430"/>
      <c r="R258" s="430"/>
      <c r="S258" s="430"/>
      <c r="T258" s="430"/>
      <c r="U258" s="430"/>
      <c r="V258" s="430"/>
      <c r="W258" s="430"/>
      <c r="X258" s="430"/>
      <c r="Y258" s="430"/>
      <c r="Z258" s="430"/>
      <c r="AA258" s="430"/>
      <c r="AB258" s="430"/>
      <c r="AC258" s="430"/>
      <c r="AD258" s="430"/>
      <c r="AE258" s="430"/>
      <c r="AF258" s="430"/>
      <c r="AG258" s="430"/>
      <c r="AH258" s="430"/>
      <c r="AI258" s="430"/>
      <c r="AJ258" s="430"/>
      <c r="AK258" s="430"/>
      <c r="AL258" s="430"/>
      <c r="AM258" s="430"/>
      <c r="AN258" s="430"/>
      <c r="AO258" s="430"/>
      <c r="AP258" s="430"/>
      <c r="AQ258" s="430"/>
      <c r="AR258" s="430"/>
      <c r="AS258" s="430"/>
      <c r="AT258" s="430"/>
      <c r="AU258" s="430"/>
      <c r="AV258" s="430"/>
      <c r="AW258" s="430"/>
      <c r="AX258" s="430"/>
      <c r="AY258" s="430"/>
      <c r="AZ258" s="430"/>
      <c r="BA258" s="430"/>
      <c r="BB258" s="430"/>
      <c r="BC258" s="430"/>
      <c r="BD258" s="430"/>
      <c r="BE258" s="430"/>
    </row>
    <row r="259" spans="1:57" ht="15.75" customHeight="1">
      <c r="A259" s="430"/>
      <c r="B259" s="430"/>
      <c r="C259" s="430"/>
      <c r="D259" s="430"/>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c r="AN259" s="430"/>
      <c r="AO259" s="430"/>
      <c r="AP259" s="430"/>
      <c r="AQ259" s="430"/>
      <c r="AR259" s="430"/>
      <c r="AS259" s="430"/>
      <c r="AT259" s="430"/>
      <c r="AU259" s="430"/>
      <c r="AV259" s="430"/>
      <c r="AW259" s="430"/>
      <c r="AX259" s="430"/>
      <c r="AY259" s="430"/>
      <c r="AZ259" s="430"/>
      <c r="BA259" s="430"/>
      <c r="BB259" s="430"/>
      <c r="BC259" s="430"/>
      <c r="BD259" s="430"/>
      <c r="BE259" s="430"/>
    </row>
    <row r="260" spans="1:57" ht="15.75" customHeight="1">
      <c r="A260" s="430"/>
      <c r="B260" s="430"/>
      <c r="C260" s="430"/>
      <c r="D260" s="430"/>
      <c r="E260" s="430"/>
      <c r="F260" s="430"/>
      <c r="G260" s="430"/>
      <c r="H260" s="430"/>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c r="AF260" s="430"/>
      <c r="AG260" s="430"/>
      <c r="AH260" s="430"/>
      <c r="AI260" s="430"/>
      <c r="AJ260" s="430"/>
      <c r="AK260" s="430"/>
      <c r="AL260" s="430"/>
      <c r="AM260" s="430"/>
      <c r="AN260" s="430"/>
      <c r="AO260" s="430"/>
      <c r="AP260" s="430"/>
      <c r="AQ260" s="430"/>
      <c r="AR260" s="430"/>
      <c r="AS260" s="430"/>
      <c r="AT260" s="430"/>
      <c r="AU260" s="430"/>
      <c r="AV260" s="430"/>
      <c r="AW260" s="430"/>
      <c r="AX260" s="430"/>
      <c r="AY260" s="430"/>
      <c r="AZ260" s="430"/>
      <c r="BA260" s="430"/>
      <c r="BB260" s="430"/>
      <c r="BC260" s="430"/>
      <c r="BD260" s="430"/>
      <c r="BE260" s="430"/>
    </row>
    <row r="261" spans="1:57" ht="15.75" customHeight="1">
      <c r="A261" s="430"/>
      <c r="B261" s="430"/>
      <c r="C261" s="430"/>
      <c r="D261" s="430"/>
      <c r="E261" s="430"/>
      <c r="F261" s="430"/>
      <c r="G261" s="430"/>
      <c r="H261" s="430"/>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c r="AF261" s="430"/>
      <c r="AG261" s="430"/>
      <c r="AH261" s="430"/>
      <c r="AI261" s="430"/>
      <c r="AJ261" s="430"/>
      <c r="AK261" s="430"/>
      <c r="AL261" s="430"/>
      <c r="AM261" s="430"/>
      <c r="AN261" s="430"/>
      <c r="AO261" s="430"/>
      <c r="AP261" s="430"/>
      <c r="AQ261" s="430"/>
      <c r="AR261" s="430"/>
      <c r="AS261" s="430"/>
      <c r="AT261" s="430"/>
      <c r="AU261" s="430"/>
      <c r="AV261" s="430"/>
      <c r="AW261" s="430"/>
      <c r="AX261" s="430"/>
      <c r="AY261" s="430"/>
      <c r="AZ261" s="430"/>
      <c r="BA261" s="430"/>
      <c r="BB261" s="430"/>
      <c r="BC261" s="430"/>
      <c r="BD261" s="430"/>
      <c r="BE261" s="430"/>
    </row>
    <row r="262" spans="1:57" ht="15.75" customHeight="1">
      <c r="A262" s="430"/>
      <c r="B262" s="430"/>
      <c r="C262" s="430"/>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0"/>
      <c r="Z262" s="430"/>
      <c r="AA262" s="430"/>
      <c r="AB262" s="430"/>
      <c r="AC262" s="430"/>
      <c r="AD262" s="430"/>
      <c r="AE262" s="430"/>
      <c r="AF262" s="430"/>
      <c r="AG262" s="430"/>
      <c r="AH262" s="430"/>
      <c r="AI262" s="430"/>
      <c r="AJ262" s="430"/>
      <c r="AK262" s="430"/>
      <c r="AL262" s="430"/>
      <c r="AM262" s="430"/>
      <c r="AN262" s="430"/>
      <c r="AO262" s="430"/>
      <c r="AP262" s="430"/>
      <c r="AQ262" s="430"/>
      <c r="AR262" s="430"/>
      <c r="AS262" s="430"/>
      <c r="AT262" s="430"/>
      <c r="AU262" s="430"/>
      <c r="AV262" s="430"/>
      <c r="AW262" s="430"/>
      <c r="AX262" s="430"/>
      <c r="AY262" s="430"/>
      <c r="AZ262" s="430"/>
      <c r="BA262" s="430"/>
      <c r="BB262" s="430"/>
      <c r="BC262" s="430"/>
      <c r="BD262" s="430"/>
      <c r="BE262" s="430"/>
    </row>
    <row r="263" spans="1:57" ht="15.75" customHeight="1">
      <c r="A263" s="430"/>
      <c r="B263" s="430"/>
      <c r="C263" s="430"/>
      <c r="D263" s="430"/>
      <c r="E263" s="430"/>
      <c r="F263" s="430"/>
      <c r="G263" s="430"/>
      <c r="H263" s="430"/>
      <c r="I263" s="430"/>
      <c r="J263" s="430"/>
      <c r="K263" s="430"/>
      <c r="L263" s="430"/>
      <c r="M263" s="430"/>
      <c r="N263" s="430"/>
      <c r="O263" s="430"/>
      <c r="P263" s="430"/>
      <c r="Q263" s="430"/>
      <c r="R263" s="430"/>
      <c r="S263" s="430"/>
      <c r="T263" s="430"/>
      <c r="U263" s="430"/>
      <c r="V263" s="430"/>
      <c r="W263" s="430"/>
      <c r="X263" s="430"/>
      <c r="Y263" s="430"/>
      <c r="Z263" s="430"/>
      <c r="AA263" s="430"/>
      <c r="AB263" s="430"/>
      <c r="AC263" s="430"/>
      <c r="AD263" s="430"/>
      <c r="AE263" s="430"/>
      <c r="AF263" s="430"/>
      <c r="AG263" s="430"/>
      <c r="AH263" s="430"/>
      <c r="AI263" s="430"/>
      <c r="AJ263" s="430"/>
      <c r="AK263" s="430"/>
      <c r="AL263" s="430"/>
      <c r="AM263" s="430"/>
      <c r="AN263" s="430"/>
      <c r="AO263" s="430"/>
      <c r="AP263" s="430"/>
      <c r="AQ263" s="430"/>
      <c r="AR263" s="430"/>
      <c r="AS263" s="430"/>
      <c r="AT263" s="430"/>
      <c r="AU263" s="430"/>
      <c r="AV263" s="430"/>
      <c r="AW263" s="430"/>
      <c r="AX263" s="430"/>
      <c r="AY263" s="430"/>
      <c r="AZ263" s="430"/>
      <c r="BA263" s="430"/>
      <c r="BB263" s="430"/>
      <c r="BC263" s="430"/>
      <c r="BD263" s="430"/>
      <c r="BE263" s="430"/>
    </row>
    <row r="264" spans="1:57" ht="15.75" customHeight="1">
      <c r="A264" s="430"/>
      <c r="B264" s="430"/>
      <c r="C264" s="430"/>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c r="AF264" s="430"/>
      <c r="AG264" s="430"/>
      <c r="AH264" s="430"/>
      <c r="AI264" s="430"/>
      <c r="AJ264" s="430"/>
      <c r="AK264" s="430"/>
      <c r="AL264" s="430"/>
      <c r="AM264" s="430"/>
      <c r="AN264" s="430"/>
      <c r="AO264" s="430"/>
      <c r="AP264" s="430"/>
      <c r="AQ264" s="430"/>
      <c r="AR264" s="430"/>
      <c r="AS264" s="430"/>
      <c r="AT264" s="430"/>
      <c r="AU264" s="430"/>
      <c r="AV264" s="430"/>
      <c r="AW264" s="430"/>
      <c r="AX264" s="430"/>
      <c r="AY264" s="430"/>
      <c r="AZ264" s="430"/>
      <c r="BA264" s="430"/>
      <c r="BB264" s="430"/>
      <c r="BC264" s="430"/>
      <c r="BD264" s="430"/>
      <c r="BE264" s="430"/>
    </row>
    <row r="265" spans="1:57" ht="15.75" customHeight="1">
      <c r="A265" s="430"/>
      <c r="B265" s="430"/>
      <c r="C265" s="430"/>
      <c r="D265" s="430"/>
      <c r="E265" s="430"/>
      <c r="F265" s="430"/>
      <c r="G265" s="430"/>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430"/>
      <c r="AL265" s="430"/>
      <c r="AM265" s="430"/>
      <c r="AN265" s="430"/>
      <c r="AO265" s="430"/>
      <c r="AP265" s="430"/>
      <c r="AQ265" s="430"/>
      <c r="AR265" s="430"/>
      <c r="AS265" s="430"/>
      <c r="AT265" s="430"/>
      <c r="AU265" s="430"/>
      <c r="AV265" s="430"/>
      <c r="AW265" s="430"/>
      <c r="AX265" s="430"/>
      <c r="AY265" s="430"/>
      <c r="AZ265" s="430"/>
      <c r="BA265" s="430"/>
      <c r="BB265" s="430"/>
      <c r="BC265" s="430"/>
      <c r="BD265" s="430"/>
      <c r="BE265" s="430"/>
    </row>
    <row r="266" spans="1:57" ht="15.75" customHeight="1">
      <c r="A266" s="430"/>
      <c r="B266" s="430"/>
      <c r="C266" s="430"/>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c r="AF266" s="430"/>
      <c r="AG266" s="430"/>
      <c r="AH266" s="430"/>
      <c r="AI266" s="430"/>
      <c r="AJ266" s="430"/>
      <c r="AK266" s="430"/>
      <c r="AL266" s="430"/>
      <c r="AM266" s="430"/>
      <c r="AN266" s="430"/>
      <c r="AO266" s="430"/>
      <c r="AP266" s="430"/>
      <c r="AQ266" s="430"/>
      <c r="AR266" s="430"/>
      <c r="AS266" s="430"/>
      <c r="AT266" s="430"/>
      <c r="AU266" s="430"/>
      <c r="AV266" s="430"/>
      <c r="AW266" s="430"/>
      <c r="AX266" s="430"/>
      <c r="AY266" s="430"/>
      <c r="AZ266" s="430"/>
      <c r="BA266" s="430"/>
      <c r="BB266" s="430"/>
      <c r="BC266" s="430"/>
      <c r="BD266" s="430"/>
      <c r="BE266" s="430"/>
    </row>
    <row r="267" spans="1:57" ht="15.75" customHeight="1">
      <c r="A267" s="430"/>
      <c r="B267" s="430"/>
      <c r="C267" s="430"/>
      <c r="D267" s="430"/>
      <c r="E267" s="430"/>
      <c r="F267" s="430"/>
      <c r="G267" s="430"/>
      <c r="H267" s="430"/>
      <c r="I267" s="430"/>
      <c r="J267" s="430"/>
      <c r="K267" s="430"/>
      <c r="L267" s="430"/>
      <c r="M267" s="430"/>
      <c r="N267" s="430"/>
      <c r="O267" s="430"/>
      <c r="P267" s="430"/>
      <c r="Q267" s="430"/>
      <c r="R267" s="430"/>
      <c r="S267" s="430"/>
      <c r="T267" s="430"/>
      <c r="U267" s="430"/>
      <c r="V267" s="430"/>
      <c r="W267" s="430"/>
      <c r="X267" s="430"/>
      <c r="Y267" s="430"/>
      <c r="Z267" s="430"/>
      <c r="AA267" s="430"/>
      <c r="AB267" s="430"/>
      <c r="AC267" s="430"/>
      <c r="AD267" s="430"/>
      <c r="AE267" s="430"/>
      <c r="AF267" s="430"/>
      <c r="AG267" s="430"/>
      <c r="AH267" s="430"/>
      <c r="AI267" s="430"/>
      <c r="AJ267" s="430"/>
      <c r="AK267" s="430"/>
      <c r="AL267" s="430"/>
      <c r="AM267" s="430"/>
      <c r="AN267" s="430"/>
      <c r="AO267" s="430"/>
      <c r="AP267" s="430"/>
      <c r="AQ267" s="430"/>
      <c r="AR267" s="430"/>
      <c r="AS267" s="430"/>
      <c r="AT267" s="430"/>
      <c r="AU267" s="430"/>
      <c r="AV267" s="430"/>
      <c r="AW267" s="430"/>
      <c r="AX267" s="430"/>
      <c r="AY267" s="430"/>
      <c r="AZ267" s="430"/>
      <c r="BA267" s="430"/>
      <c r="BB267" s="430"/>
      <c r="BC267" s="430"/>
      <c r="BD267" s="430"/>
      <c r="BE267" s="430"/>
    </row>
    <row r="268" spans="1:57" ht="15.75" customHeight="1">
      <c r="A268" s="430"/>
      <c r="B268" s="430"/>
      <c r="C268" s="430"/>
      <c r="D268" s="430"/>
      <c r="E268" s="430"/>
      <c r="F268" s="430"/>
      <c r="G268" s="430"/>
      <c r="H268" s="430"/>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c r="AN268" s="430"/>
      <c r="AO268" s="430"/>
      <c r="AP268" s="430"/>
      <c r="AQ268" s="430"/>
      <c r="AR268" s="430"/>
      <c r="AS268" s="430"/>
      <c r="AT268" s="430"/>
      <c r="AU268" s="430"/>
      <c r="AV268" s="430"/>
      <c r="AW268" s="430"/>
      <c r="AX268" s="430"/>
      <c r="AY268" s="430"/>
      <c r="AZ268" s="430"/>
      <c r="BA268" s="430"/>
      <c r="BB268" s="430"/>
      <c r="BC268" s="430"/>
      <c r="BD268" s="430"/>
      <c r="BE268" s="430"/>
    </row>
    <row r="269" spans="1:57" ht="15.75" customHeight="1">
      <c r="A269" s="430"/>
      <c r="B269" s="430"/>
      <c r="C269" s="430"/>
      <c r="D269" s="430"/>
      <c r="E269" s="430"/>
      <c r="F269" s="430"/>
      <c r="G269" s="430"/>
      <c r="H269" s="430"/>
      <c r="I269" s="430"/>
      <c r="J269" s="430"/>
      <c r="K269" s="430"/>
      <c r="L269" s="430"/>
      <c r="M269" s="430"/>
      <c r="N269" s="430"/>
      <c r="O269" s="430"/>
      <c r="P269" s="430"/>
      <c r="Q269" s="430"/>
      <c r="R269" s="430"/>
      <c r="S269" s="430"/>
      <c r="T269" s="430"/>
      <c r="U269" s="430"/>
      <c r="V269" s="430"/>
      <c r="W269" s="430"/>
      <c r="X269" s="430"/>
      <c r="Y269" s="430"/>
      <c r="Z269" s="430"/>
      <c r="AA269" s="430"/>
      <c r="AB269" s="430"/>
      <c r="AC269" s="430"/>
      <c r="AD269" s="430"/>
      <c r="AE269" s="430"/>
      <c r="AF269" s="430"/>
      <c r="AG269" s="430"/>
      <c r="AH269" s="430"/>
      <c r="AI269" s="430"/>
      <c r="AJ269" s="430"/>
      <c r="AK269" s="430"/>
      <c r="AL269" s="430"/>
      <c r="AM269" s="430"/>
      <c r="AN269" s="430"/>
      <c r="AO269" s="430"/>
      <c r="AP269" s="430"/>
      <c r="AQ269" s="430"/>
      <c r="AR269" s="430"/>
      <c r="AS269" s="430"/>
      <c r="AT269" s="430"/>
      <c r="AU269" s="430"/>
      <c r="AV269" s="430"/>
      <c r="AW269" s="430"/>
      <c r="AX269" s="430"/>
      <c r="AY269" s="430"/>
      <c r="AZ269" s="430"/>
      <c r="BA269" s="430"/>
      <c r="BB269" s="430"/>
      <c r="BC269" s="430"/>
      <c r="BD269" s="430"/>
      <c r="BE269" s="430"/>
    </row>
    <row r="270" spans="1:57" ht="15.75" customHeight="1">
      <c r="A270" s="430"/>
      <c r="B270" s="430"/>
      <c r="C270" s="430"/>
      <c r="D270" s="430"/>
      <c r="E270" s="430"/>
      <c r="F270" s="430"/>
      <c r="G270" s="430"/>
      <c r="H270" s="430"/>
      <c r="I270" s="430"/>
      <c r="J270" s="430"/>
      <c r="K270" s="430"/>
      <c r="L270" s="430"/>
      <c r="M270" s="430"/>
      <c r="N270" s="430"/>
      <c r="O270" s="430"/>
      <c r="P270" s="430"/>
      <c r="Q270" s="430"/>
      <c r="R270" s="430"/>
      <c r="S270" s="430"/>
      <c r="T270" s="430"/>
      <c r="U270" s="430"/>
      <c r="V270" s="430"/>
      <c r="W270" s="430"/>
      <c r="X270" s="430"/>
      <c r="Y270" s="430"/>
      <c r="Z270" s="430"/>
      <c r="AA270" s="430"/>
      <c r="AB270" s="430"/>
      <c r="AC270" s="430"/>
      <c r="AD270" s="430"/>
      <c r="AE270" s="430"/>
      <c r="AF270" s="430"/>
      <c r="AG270" s="430"/>
      <c r="AH270" s="430"/>
      <c r="AI270" s="430"/>
      <c r="AJ270" s="430"/>
      <c r="AK270" s="430"/>
      <c r="AL270" s="430"/>
      <c r="AM270" s="430"/>
      <c r="AN270" s="430"/>
      <c r="AO270" s="430"/>
      <c r="AP270" s="430"/>
      <c r="AQ270" s="430"/>
      <c r="AR270" s="430"/>
      <c r="AS270" s="430"/>
      <c r="AT270" s="430"/>
      <c r="AU270" s="430"/>
      <c r="AV270" s="430"/>
      <c r="AW270" s="430"/>
      <c r="AX270" s="430"/>
      <c r="AY270" s="430"/>
      <c r="AZ270" s="430"/>
      <c r="BA270" s="430"/>
      <c r="BB270" s="430"/>
      <c r="BC270" s="430"/>
      <c r="BD270" s="430"/>
      <c r="BE270" s="430"/>
    </row>
    <row r="271" spans="1:57" ht="15.75" customHeight="1">
      <c r="A271" s="430"/>
      <c r="B271" s="430"/>
      <c r="C271" s="430"/>
      <c r="D271" s="430"/>
      <c r="E271" s="430"/>
      <c r="F271" s="430"/>
      <c r="G271" s="430"/>
      <c r="H271" s="430"/>
      <c r="I271" s="430"/>
      <c r="J271" s="430"/>
      <c r="K271" s="430"/>
      <c r="L271" s="430"/>
      <c r="M271" s="430"/>
      <c r="N271" s="430"/>
      <c r="O271" s="430"/>
      <c r="P271" s="430"/>
      <c r="Q271" s="430"/>
      <c r="R271" s="430"/>
      <c r="S271" s="430"/>
      <c r="T271" s="430"/>
      <c r="U271" s="430"/>
      <c r="V271" s="430"/>
      <c r="W271" s="430"/>
      <c r="X271" s="430"/>
      <c r="Y271" s="430"/>
      <c r="Z271" s="430"/>
      <c r="AA271" s="430"/>
      <c r="AB271" s="430"/>
      <c r="AC271" s="430"/>
      <c r="AD271" s="430"/>
      <c r="AE271" s="430"/>
      <c r="AF271" s="430"/>
      <c r="AG271" s="430"/>
      <c r="AH271" s="430"/>
      <c r="AI271" s="430"/>
      <c r="AJ271" s="430"/>
      <c r="AK271" s="430"/>
      <c r="AL271" s="430"/>
      <c r="AM271" s="430"/>
      <c r="AN271" s="430"/>
      <c r="AO271" s="430"/>
      <c r="AP271" s="430"/>
      <c r="AQ271" s="430"/>
      <c r="AR271" s="430"/>
      <c r="AS271" s="430"/>
      <c r="AT271" s="430"/>
      <c r="AU271" s="430"/>
      <c r="AV271" s="430"/>
      <c r="AW271" s="430"/>
      <c r="AX271" s="430"/>
      <c r="AY271" s="430"/>
      <c r="AZ271" s="430"/>
      <c r="BA271" s="430"/>
      <c r="BB271" s="430"/>
      <c r="BC271" s="430"/>
      <c r="BD271" s="430"/>
      <c r="BE271" s="430"/>
    </row>
    <row r="272" spans="1:57" ht="15.75" customHeight="1">
      <c r="A272" s="430"/>
      <c r="B272" s="430"/>
      <c r="C272" s="430"/>
      <c r="D272" s="430"/>
      <c r="E272" s="430"/>
      <c r="F272" s="430"/>
      <c r="G272" s="430"/>
      <c r="H272" s="430"/>
      <c r="I272" s="430"/>
      <c r="J272" s="430"/>
      <c r="K272" s="430"/>
      <c r="L272" s="430"/>
      <c r="M272" s="430"/>
      <c r="N272" s="430"/>
      <c r="O272" s="430"/>
      <c r="P272" s="430"/>
      <c r="Q272" s="430"/>
      <c r="R272" s="430"/>
      <c r="S272" s="430"/>
      <c r="T272" s="430"/>
      <c r="U272" s="430"/>
      <c r="V272" s="430"/>
      <c r="W272" s="430"/>
      <c r="X272" s="430"/>
      <c r="Y272" s="430"/>
      <c r="Z272" s="430"/>
      <c r="AA272" s="430"/>
      <c r="AB272" s="430"/>
      <c r="AC272" s="430"/>
      <c r="AD272" s="430"/>
      <c r="AE272" s="430"/>
      <c r="AF272" s="430"/>
      <c r="AG272" s="430"/>
      <c r="AH272" s="430"/>
      <c r="AI272" s="430"/>
      <c r="AJ272" s="430"/>
      <c r="AK272" s="430"/>
      <c r="AL272" s="430"/>
      <c r="AM272" s="430"/>
      <c r="AN272" s="430"/>
      <c r="AO272" s="430"/>
      <c r="AP272" s="430"/>
      <c r="AQ272" s="430"/>
      <c r="AR272" s="430"/>
      <c r="AS272" s="430"/>
      <c r="AT272" s="430"/>
      <c r="AU272" s="430"/>
      <c r="AV272" s="430"/>
      <c r="AW272" s="430"/>
      <c r="AX272" s="430"/>
      <c r="AY272" s="430"/>
      <c r="AZ272" s="430"/>
      <c r="BA272" s="430"/>
      <c r="BB272" s="430"/>
      <c r="BC272" s="430"/>
      <c r="BD272" s="430"/>
      <c r="BE272" s="430"/>
    </row>
    <row r="273" spans="1:57" ht="15.75" customHeight="1">
      <c r="A273" s="430"/>
      <c r="B273" s="430"/>
      <c r="C273" s="430"/>
      <c r="D273" s="430"/>
      <c r="E273" s="430"/>
      <c r="F273" s="430"/>
      <c r="G273" s="430"/>
      <c r="H273" s="430"/>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430"/>
      <c r="AL273" s="430"/>
      <c r="AM273" s="430"/>
      <c r="AN273" s="430"/>
      <c r="AO273" s="430"/>
      <c r="AP273" s="430"/>
      <c r="AQ273" s="430"/>
      <c r="AR273" s="430"/>
      <c r="AS273" s="430"/>
      <c r="AT273" s="430"/>
      <c r="AU273" s="430"/>
      <c r="AV273" s="430"/>
      <c r="AW273" s="430"/>
      <c r="AX273" s="430"/>
      <c r="AY273" s="430"/>
      <c r="AZ273" s="430"/>
      <c r="BA273" s="430"/>
      <c r="BB273" s="430"/>
      <c r="BC273" s="430"/>
      <c r="BD273" s="430"/>
      <c r="BE273" s="430"/>
    </row>
    <row r="274" spans="1:57" ht="15.75" customHeight="1">
      <c r="A274" s="430"/>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0"/>
      <c r="AJ274" s="430"/>
      <c r="AK274" s="430"/>
      <c r="AL274" s="430"/>
      <c r="AM274" s="430"/>
      <c r="AN274" s="430"/>
      <c r="AO274" s="430"/>
      <c r="AP274" s="430"/>
      <c r="AQ274" s="430"/>
      <c r="AR274" s="430"/>
      <c r="AS274" s="430"/>
      <c r="AT274" s="430"/>
      <c r="AU274" s="430"/>
      <c r="AV274" s="430"/>
      <c r="AW274" s="430"/>
      <c r="AX274" s="430"/>
      <c r="AY274" s="430"/>
      <c r="AZ274" s="430"/>
      <c r="BA274" s="430"/>
      <c r="BB274" s="430"/>
      <c r="BC274" s="430"/>
      <c r="BD274" s="430"/>
      <c r="BE274" s="430"/>
    </row>
    <row r="275" spans="1:57" ht="15.75" customHeight="1">
      <c r="A275" s="430"/>
      <c r="B275" s="430"/>
      <c r="C275" s="430"/>
      <c r="D275" s="430"/>
      <c r="E275" s="430"/>
      <c r="F275" s="430"/>
      <c r="G275" s="430"/>
      <c r="H275" s="430"/>
      <c r="I275" s="430"/>
      <c r="J275" s="430"/>
      <c r="K275" s="430"/>
      <c r="L275" s="430"/>
      <c r="M275" s="430"/>
      <c r="N275" s="430"/>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c r="AN275" s="430"/>
      <c r="AO275" s="430"/>
      <c r="AP275" s="430"/>
      <c r="AQ275" s="430"/>
      <c r="AR275" s="430"/>
      <c r="AS275" s="430"/>
      <c r="AT275" s="430"/>
      <c r="AU275" s="430"/>
      <c r="AV275" s="430"/>
      <c r="AW275" s="430"/>
      <c r="AX275" s="430"/>
      <c r="AY275" s="430"/>
      <c r="AZ275" s="430"/>
      <c r="BA275" s="430"/>
      <c r="BB275" s="430"/>
      <c r="BC275" s="430"/>
      <c r="BD275" s="430"/>
      <c r="BE275" s="430"/>
    </row>
    <row r="276" spans="1:57" ht="15.75" customHeight="1">
      <c r="A276" s="430"/>
      <c r="B276" s="430"/>
      <c r="C276" s="430"/>
      <c r="D276" s="430"/>
      <c r="E276" s="430"/>
      <c r="F276" s="430"/>
      <c r="G276" s="430"/>
      <c r="H276" s="430"/>
      <c r="I276" s="430"/>
      <c r="J276" s="430"/>
      <c r="K276" s="430"/>
      <c r="L276" s="430"/>
      <c r="M276" s="430"/>
      <c r="N276" s="430"/>
      <c r="O276" s="430"/>
      <c r="P276" s="430"/>
      <c r="Q276" s="430"/>
      <c r="R276" s="430"/>
      <c r="S276" s="430"/>
      <c r="T276" s="430"/>
      <c r="U276" s="430"/>
      <c r="V276" s="430"/>
      <c r="W276" s="430"/>
      <c r="X276" s="430"/>
      <c r="Y276" s="430"/>
      <c r="Z276" s="430"/>
      <c r="AA276" s="430"/>
      <c r="AB276" s="430"/>
      <c r="AC276" s="430"/>
      <c r="AD276" s="430"/>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430"/>
      <c r="AZ276" s="430"/>
      <c r="BA276" s="430"/>
      <c r="BB276" s="430"/>
      <c r="BC276" s="430"/>
      <c r="BD276" s="430"/>
      <c r="BE276" s="430"/>
    </row>
    <row r="277" spans="1:57" ht="15.75" customHeight="1">
      <c r="A277" s="430"/>
      <c r="B277" s="430"/>
      <c r="C277" s="430"/>
      <c r="D277" s="430"/>
      <c r="E277" s="430"/>
      <c r="F277" s="430"/>
      <c r="G277" s="430"/>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c r="AP277" s="430"/>
      <c r="AQ277" s="430"/>
      <c r="AR277" s="430"/>
      <c r="AS277" s="430"/>
      <c r="AT277" s="430"/>
      <c r="AU277" s="430"/>
      <c r="AV277" s="430"/>
      <c r="AW277" s="430"/>
      <c r="AX277" s="430"/>
      <c r="AY277" s="430"/>
      <c r="AZ277" s="430"/>
      <c r="BA277" s="430"/>
      <c r="BB277" s="430"/>
      <c r="BC277" s="430"/>
      <c r="BD277" s="430"/>
      <c r="BE277" s="430"/>
    </row>
    <row r="278" spans="1:57" ht="15.75" customHeight="1">
      <c r="A278" s="430"/>
      <c r="B278" s="430"/>
      <c r="C278" s="430"/>
      <c r="D278" s="430"/>
      <c r="E278" s="430"/>
      <c r="F278" s="430"/>
      <c r="G278" s="430"/>
      <c r="H278" s="430"/>
      <c r="I278" s="430"/>
      <c r="J278" s="430"/>
      <c r="K278" s="430"/>
      <c r="L278" s="430"/>
      <c r="M278" s="430"/>
      <c r="N278" s="430"/>
      <c r="O278" s="430"/>
      <c r="P278" s="430"/>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c r="AN278" s="430"/>
      <c r="AO278" s="430"/>
      <c r="AP278" s="430"/>
      <c r="AQ278" s="430"/>
      <c r="AR278" s="430"/>
      <c r="AS278" s="430"/>
      <c r="AT278" s="430"/>
      <c r="AU278" s="430"/>
      <c r="AV278" s="430"/>
      <c r="AW278" s="430"/>
      <c r="AX278" s="430"/>
      <c r="AY278" s="430"/>
      <c r="AZ278" s="430"/>
      <c r="BA278" s="430"/>
      <c r="BB278" s="430"/>
      <c r="BC278" s="430"/>
      <c r="BD278" s="430"/>
      <c r="BE278" s="430"/>
    </row>
    <row r="279" spans="1:57" ht="15.75" customHeight="1">
      <c r="A279" s="430"/>
      <c r="B279" s="430"/>
      <c r="C279" s="430"/>
      <c r="D279" s="430"/>
      <c r="E279" s="430"/>
      <c r="F279" s="430"/>
      <c r="G279" s="430"/>
      <c r="H279" s="430"/>
      <c r="I279" s="430"/>
      <c r="J279" s="430"/>
      <c r="K279" s="430"/>
      <c r="L279" s="430"/>
      <c r="M279" s="430"/>
      <c r="N279" s="430"/>
      <c r="O279" s="430"/>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c r="AN279" s="430"/>
      <c r="AO279" s="430"/>
      <c r="AP279" s="430"/>
      <c r="AQ279" s="430"/>
      <c r="AR279" s="430"/>
      <c r="AS279" s="430"/>
      <c r="AT279" s="430"/>
      <c r="AU279" s="430"/>
      <c r="AV279" s="430"/>
      <c r="AW279" s="430"/>
      <c r="AX279" s="430"/>
      <c r="AY279" s="430"/>
      <c r="AZ279" s="430"/>
      <c r="BA279" s="430"/>
      <c r="BB279" s="430"/>
      <c r="BC279" s="430"/>
      <c r="BD279" s="430"/>
      <c r="BE279" s="430"/>
    </row>
    <row r="280" spans="1:57" ht="15.75" customHeight="1">
      <c r="A280" s="430"/>
      <c r="B280" s="430"/>
      <c r="C280" s="430"/>
      <c r="D280" s="430"/>
      <c r="E280" s="430"/>
      <c r="F280" s="430"/>
      <c r="G280" s="430"/>
      <c r="H280" s="430"/>
      <c r="I280" s="430"/>
      <c r="J280" s="430"/>
      <c r="K280" s="430"/>
      <c r="L280" s="430"/>
      <c r="M280" s="430"/>
      <c r="N280" s="430"/>
      <c r="O280" s="430"/>
      <c r="P280" s="430"/>
      <c r="Q280" s="430"/>
      <c r="R280" s="430"/>
      <c r="S280" s="430"/>
      <c r="T280" s="430"/>
      <c r="U280" s="430"/>
      <c r="V280" s="430"/>
      <c r="W280" s="430"/>
      <c r="X280" s="430"/>
      <c r="Y280" s="430"/>
      <c r="Z280" s="430"/>
      <c r="AA280" s="430"/>
      <c r="AB280" s="430"/>
      <c r="AC280" s="430"/>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0"/>
      <c r="AY280" s="430"/>
      <c r="AZ280" s="430"/>
      <c r="BA280" s="430"/>
      <c r="BB280" s="430"/>
      <c r="BC280" s="430"/>
      <c r="BD280" s="430"/>
      <c r="BE280" s="430"/>
    </row>
    <row r="281" spans="1:57" ht="15.75" customHeight="1">
      <c r="A281" s="430"/>
      <c r="B281" s="430"/>
      <c r="C281" s="430"/>
      <c r="D281" s="430"/>
      <c r="E281" s="430"/>
      <c r="F281" s="430"/>
      <c r="G281" s="430"/>
      <c r="H281" s="430"/>
      <c r="I281" s="430"/>
      <c r="J281" s="430"/>
      <c r="K281" s="430"/>
      <c r="L281" s="430"/>
      <c r="M281" s="430"/>
      <c r="N281" s="430"/>
      <c r="O281" s="430"/>
      <c r="P281" s="430"/>
      <c r="Q281" s="430"/>
      <c r="R281" s="430"/>
      <c r="S281" s="430"/>
      <c r="T281" s="430"/>
      <c r="U281" s="430"/>
      <c r="V281" s="430"/>
      <c r="W281" s="430"/>
      <c r="X281" s="430"/>
      <c r="Y281" s="430"/>
      <c r="Z281" s="430"/>
      <c r="AA281" s="430"/>
      <c r="AB281" s="430"/>
      <c r="AC281" s="430"/>
      <c r="AD281" s="430"/>
      <c r="AE281" s="430"/>
      <c r="AF281" s="430"/>
      <c r="AG281" s="430"/>
      <c r="AH281" s="430"/>
      <c r="AI281" s="430"/>
      <c r="AJ281" s="430"/>
      <c r="AK281" s="430"/>
      <c r="AL281" s="430"/>
      <c r="AM281" s="430"/>
      <c r="AN281" s="430"/>
      <c r="AO281" s="430"/>
      <c r="AP281" s="430"/>
      <c r="AQ281" s="430"/>
      <c r="AR281" s="430"/>
      <c r="AS281" s="430"/>
      <c r="AT281" s="430"/>
      <c r="AU281" s="430"/>
      <c r="AV281" s="430"/>
      <c r="AW281" s="430"/>
      <c r="AX281" s="430"/>
      <c r="AY281" s="430"/>
      <c r="AZ281" s="430"/>
      <c r="BA281" s="430"/>
      <c r="BB281" s="430"/>
      <c r="BC281" s="430"/>
      <c r="BD281" s="430"/>
      <c r="BE281" s="430"/>
    </row>
    <row r="282" spans="1:57" ht="15.75" customHeight="1">
      <c r="A282" s="430"/>
      <c r="B282" s="430"/>
      <c r="C282" s="430"/>
      <c r="D282" s="430"/>
      <c r="E282" s="430"/>
      <c r="F282" s="430"/>
      <c r="G282" s="430"/>
      <c r="H282" s="430"/>
      <c r="I282" s="430"/>
      <c r="J282" s="430"/>
      <c r="K282" s="430"/>
      <c r="L282" s="430"/>
      <c r="M282" s="430"/>
      <c r="N282" s="430"/>
      <c r="O282" s="430"/>
      <c r="P282" s="430"/>
      <c r="Q282" s="430"/>
      <c r="R282" s="430"/>
      <c r="S282" s="430"/>
      <c r="T282" s="430"/>
      <c r="U282" s="430"/>
      <c r="V282" s="430"/>
      <c r="W282" s="430"/>
      <c r="X282" s="430"/>
      <c r="Y282" s="430"/>
      <c r="Z282" s="430"/>
      <c r="AA282" s="430"/>
      <c r="AB282" s="430"/>
      <c r="AC282" s="430"/>
      <c r="AD282" s="430"/>
      <c r="AE282" s="430"/>
      <c r="AF282" s="430"/>
      <c r="AG282" s="430"/>
      <c r="AH282" s="430"/>
      <c r="AI282" s="430"/>
      <c r="AJ282" s="430"/>
      <c r="AK282" s="430"/>
      <c r="AL282" s="430"/>
      <c r="AM282" s="430"/>
      <c r="AN282" s="430"/>
      <c r="AO282" s="430"/>
      <c r="AP282" s="430"/>
      <c r="AQ282" s="430"/>
      <c r="AR282" s="430"/>
      <c r="AS282" s="430"/>
      <c r="AT282" s="430"/>
      <c r="AU282" s="430"/>
      <c r="AV282" s="430"/>
      <c r="AW282" s="430"/>
      <c r="AX282" s="430"/>
      <c r="AY282" s="430"/>
      <c r="AZ282" s="430"/>
      <c r="BA282" s="430"/>
      <c r="BB282" s="430"/>
      <c r="BC282" s="430"/>
      <c r="BD282" s="430"/>
      <c r="BE282" s="430"/>
    </row>
    <row r="283" spans="1:57" ht="15.75" customHeight="1">
      <c r="A283" s="430"/>
      <c r="B283" s="430"/>
      <c r="C283" s="430"/>
      <c r="D283" s="430"/>
      <c r="E283" s="430"/>
      <c r="F283" s="430"/>
      <c r="G283" s="430"/>
      <c r="H283" s="430"/>
      <c r="I283" s="430"/>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c r="AG283" s="430"/>
      <c r="AH283" s="430"/>
      <c r="AI283" s="430"/>
      <c r="AJ283" s="430"/>
      <c r="AK283" s="430"/>
      <c r="AL283" s="430"/>
      <c r="AM283" s="430"/>
      <c r="AN283" s="430"/>
      <c r="AO283" s="430"/>
      <c r="AP283" s="430"/>
      <c r="AQ283" s="430"/>
      <c r="AR283" s="430"/>
      <c r="AS283" s="430"/>
      <c r="AT283" s="430"/>
      <c r="AU283" s="430"/>
      <c r="AV283" s="430"/>
      <c r="AW283" s="430"/>
      <c r="AX283" s="430"/>
      <c r="AY283" s="430"/>
      <c r="AZ283" s="430"/>
      <c r="BA283" s="430"/>
      <c r="BB283" s="430"/>
      <c r="BC283" s="430"/>
      <c r="BD283" s="430"/>
      <c r="BE283" s="430"/>
    </row>
    <row r="284" spans="1:57" ht="15.75" customHeight="1">
      <c r="A284" s="430"/>
      <c r="B284" s="430"/>
      <c r="C284" s="430"/>
      <c r="D284" s="430"/>
      <c r="E284" s="430"/>
      <c r="F284" s="430"/>
      <c r="G284" s="430"/>
      <c r="H284" s="430"/>
      <c r="I284" s="430"/>
      <c r="J284" s="430"/>
      <c r="K284" s="430"/>
      <c r="L284" s="430"/>
      <c r="M284" s="430"/>
      <c r="N284" s="430"/>
      <c r="O284" s="430"/>
      <c r="P284" s="430"/>
      <c r="Q284" s="430"/>
      <c r="R284" s="430"/>
      <c r="S284" s="430"/>
      <c r="T284" s="430"/>
      <c r="U284" s="430"/>
      <c r="V284" s="430"/>
      <c r="W284" s="430"/>
      <c r="X284" s="430"/>
      <c r="Y284" s="430"/>
      <c r="Z284" s="430"/>
      <c r="AA284" s="430"/>
      <c r="AB284" s="430"/>
      <c r="AC284" s="430"/>
      <c r="AD284" s="430"/>
      <c r="AE284" s="430"/>
      <c r="AF284" s="430"/>
      <c r="AG284" s="430"/>
      <c r="AH284" s="430"/>
      <c r="AI284" s="430"/>
      <c r="AJ284" s="430"/>
      <c r="AK284" s="430"/>
      <c r="AL284" s="430"/>
      <c r="AM284" s="430"/>
      <c r="AN284" s="430"/>
      <c r="AO284" s="430"/>
      <c r="AP284" s="430"/>
      <c r="AQ284" s="430"/>
      <c r="AR284" s="430"/>
      <c r="AS284" s="430"/>
      <c r="AT284" s="430"/>
      <c r="AU284" s="430"/>
      <c r="AV284" s="430"/>
      <c r="AW284" s="430"/>
      <c r="AX284" s="430"/>
      <c r="AY284" s="430"/>
      <c r="AZ284" s="430"/>
      <c r="BA284" s="430"/>
      <c r="BB284" s="430"/>
      <c r="BC284" s="430"/>
      <c r="BD284" s="430"/>
      <c r="BE284" s="430"/>
    </row>
    <row r="285" spans="1:57" ht="15.75" customHeight="1">
      <c r="A285" s="430"/>
      <c r="B285" s="430"/>
      <c r="C285" s="430"/>
      <c r="D285" s="430"/>
      <c r="E285" s="430"/>
      <c r="F285" s="430"/>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c r="AN285" s="430"/>
      <c r="AO285" s="430"/>
      <c r="AP285" s="430"/>
      <c r="AQ285" s="430"/>
      <c r="AR285" s="430"/>
      <c r="AS285" s="430"/>
      <c r="AT285" s="430"/>
      <c r="AU285" s="430"/>
      <c r="AV285" s="430"/>
      <c r="AW285" s="430"/>
      <c r="AX285" s="430"/>
      <c r="AY285" s="430"/>
      <c r="AZ285" s="430"/>
      <c r="BA285" s="430"/>
      <c r="BB285" s="430"/>
      <c r="BC285" s="430"/>
      <c r="BD285" s="430"/>
      <c r="BE285" s="430"/>
    </row>
    <row r="286" spans="1:57" ht="15.75" customHeight="1">
      <c r="A286" s="430"/>
      <c r="B286" s="430"/>
      <c r="C286" s="430"/>
      <c r="D286" s="430"/>
      <c r="E286" s="430"/>
      <c r="F286" s="430"/>
      <c r="G286" s="430"/>
      <c r="H286" s="430"/>
      <c r="I286" s="430"/>
      <c r="J286" s="430"/>
      <c r="K286" s="430"/>
      <c r="L286" s="430"/>
      <c r="M286" s="430"/>
      <c r="N286" s="430"/>
      <c r="O286" s="430"/>
      <c r="P286" s="430"/>
      <c r="Q286" s="430"/>
      <c r="R286" s="430"/>
      <c r="S286" s="430"/>
      <c r="T286" s="430"/>
      <c r="U286" s="430"/>
      <c r="V286" s="430"/>
      <c r="W286" s="430"/>
      <c r="X286" s="430"/>
      <c r="Y286" s="430"/>
      <c r="Z286" s="430"/>
      <c r="AA286" s="430"/>
      <c r="AB286" s="430"/>
      <c r="AC286" s="430"/>
      <c r="AD286" s="430"/>
      <c r="AE286" s="430"/>
      <c r="AF286" s="430"/>
      <c r="AG286" s="430"/>
      <c r="AH286" s="430"/>
      <c r="AI286" s="430"/>
      <c r="AJ286" s="430"/>
      <c r="AK286" s="430"/>
      <c r="AL286" s="430"/>
      <c r="AM286" s="430"/>
      <c r="AN286" s="430"/>
      <c r="AO286" s="430"/>
      <c r="AP286" s="430"/>
      <c r="AQ286" s="430"/>
      <c r="AR286" s="430"/>
      <c r="AS286" s="430"/>
      <c r="AT286" s="430"/>
      <c r="AU286" s="430"/>
      <c r="AV286" s="430"/>
      <c r="AW286" s="430"/>
      <c r="AX286" s="430"/>
      <c r="AY286" s="430"/>
      <c r="AZ286" s="430"/>
      <c r="BA286" s="430"/>
      <c r="BB286" s="430"/>
      <c r="BC286" s="430"/>
      <c r="BD286" s="430"/>
      <c r="BE286" s="430"/>
    </row>
    <row r="287" spans="1:57" ht="15.75" customHeight="1">
      <c r="A287" s="430"/>
      <c r="B287" s="430"/>
      <c r="C287" s="430"/>
      <c r="D287" s="430"/>
      <c r="E287" s="430"/>
      <c r="F287" s="430"/>
      <c r="G287" s="430"/>
      <c r="H287" s="430"/>
      <c r="I287" s="430"/>
      <c r="J287" s="430"/>
      <c r="K287" s="430"/>
      <c r="L287" s="430"/>
      <c r="M287" s="430"/>
      <c r="N287" s="430"/>
      <c r="O287" s="430"/>
      <c r="P287" s="430"/>
      <c r="Q287" s="430"/>
      <c r="R287" s="430"/>
      <c r="S287" s="430"/>
      <c r="T287" s="430"/>
      <c r="U287" s="430"/>
      <c r="V287" s="430"/>
      <c r="W287" s="430"/>
      <c r="X287" s="430"/>
      <c r="Y287" s="430"/>
      <c r="Z287" s="430"/>
      <c r="AA287" s="430"/>
      <c r="AB287" s="430"/>
      <c r="AC287" s="430"/>
      <c r="AD287" s="430"/>
      <c r="AE287" s="430"/>
      <c r="AF287" s="430"/>
      <c r="AG287" s="430"/>
      <c r="AH287" s="430"/>
      <c r="AI287" s="430"/>
      <c r="AJ287" s="430"/>
      <c r="AK287" s="430"/>
      <c r="AL287" s="430"/>
      <c r="AM287" s="430"/>
      <c r="AN287" s="430"/>
      <c r="AO287" s="430"/>
      <c r="AP287" s="430"/>
      <c r="AQ287" s="430"/>
      <c r="AR287" s="430"/>
      <c r="AS287" s="430"/>
      <c r="AT287" s="430"/>
      <c r="AU287" s="430"/>
      <c r="AV287" s="430"/>
      <c r="AW287" s="430"/>
      <c r="AX287" s="430"/>
      <c r="AY287" s="430"/>
      <c r="AZ287" s="430"/>
      <c r="BA287" s="430"/>
      <c r="BB287" s="430"/>
      <c r="BC287" s="430"/>
      <c r="BD287" s="430"/>
      <c r="BE287" s="430"/>
    </row>
    <row r="288" spans="1:57" ht="15.75" customHeight="1">
      <c r="A288" s="430"/>
      <c r="B288" s="430"/>
      <c r="C288" s="430"/>
      <c r="D288" s="430"/>
      <c r="E288" s="430"/>
      <c r="F288" s="430"/>
      <c r="G288" s="430"/>
      <c r="H288" s="430"/>
      <c r="I288" s="430"/>
      <c r="J288" s="430"/>
      <c r="K288" s="430"/>
      <c r="L288" s="430"/>
      <c r="M288" s="430"/>
      <c r="N288" s="430"/>
      <c r="O288" s="430"/>
      <c r="P288" s="430"/>
      <c r="Q288" s="430"/>
      <c r="R288" s="430"/>
      <c r="S288" s="430"/>
      <c r="T288" s="430"/>
      <c r="U288" s="430"/>
      <c r="V288" s="430"/>
      <c r="W288" s="430"/>
      <c r="X288" s="430"/>
      <c r="Y288" s="430"/>
      <c r="Z288" s="430"/>
      <c r="AA288" s="430"/>
      <c r="AB288" s="430"/>
      <c r="AC288" s="430"/>
      <c r="AD288" s="430"/>
      <c r="AE288" s="430"/>
      <c r="AF288" s="430"/>
      <c r="AG288" s="430"/>
      <c r="AH288" s="430"/>
      <c r="AI288" s="430"/>
      <c r="AJ288" s="430"/>
      <c r="AK288" s="430"/>
      <c r="AL288" s="430"/>
      <c r="AM288" s="430"/>
      <c r="AN288" s="430"/>
      <c r="AO288" s="430"/>
      <c r="AP288" s="430"/>
      <c r="AQ288" s="430"/>
      <c r="AR288" s="430"/>
      <c r="AS288" s="430"/>
      <c r="AT288" s="430"/>
      <c r="AU288" s="430"/>
      <c r="AV288" s="430"/>
      <c r="AW288" s="430"/>
      <c r="AX288" s="430"/>
      <c r="AY288" s="430"/>
      <c r="AZ288" s="430"/>
      <c r="BA288" s="430"/>
      <c r="BB288" s="430"/>
      <c r="BC288" s="430"/>
      <c r="BD288" s="430"/>
      <c r="BE288" s="430"/>
    </row>
    <row r="289" spans="1:57" ht="15.75" customHeight="1">
      <c r="A289" s="430"/>
      <c r="B289" s="430"/>
      <c r="C289" s="430"/>
      <c r="D289" s="430"/>
      <c r="E289" s="430"/>
      <c r="F289" s="430"/>
      <c r="G289" s="430"/>
      <c r="H289" s="430"/>
      <c r="I289" s="430"/>
      <c r="J289" s="430"/>
      <c r="K289" s="430"/>
      <c r="L289" s="430"/>
      <c r="M289" s="430"/>
      <c r="N289" s="430"/>
      <c r="O289" s="430"/>
      <c r="P289" s="430"/>
      <c r="Q289" s="430"/>
      <c r="R289" s="430"/>
      <c r="S289" s="430"/>
      <c r="T289" s="430"/>
      <c r="U289" s="430"/>
      <c r="V289" s="430"/>
      <c r="W289" s="430"/>
      <c r="X289" s="430"/>
      <c r="Y289" s="430"/>
      <c r="Z289" s="430"/>
      <c r="AA289" s="430"/>
      <c r="AB289" s="430"/>
      <c r="AC289" s="430"/>
      <c r="AD289" s="430"/>
      <c r="AE289" s="430"/>
      <c r="AF289" s="430"/>
      <c r="AG289" s="430"/>
      <c r="AH289" s="430"/>
      <c r="AI289" s="430"/>
      <c r="AJ289" s="430"/>
      <c r="AK289" s="430"/>
      <c r="AL289" s="430"/>
      <c r="AM289" s="430"/>
      <c r="AN289" s="430"/>
      <c r="AO289" s="430"/>
      <c r="AP289" s="430"/>
      <c r="AQ289" s="430"/>
      <c r="AR289" s="430"/>
      <c r="AS289" s="430"/>
      <c r="AT289" s="430"/>
      <c r="AU289" s="430"/>
      <c r="AV289" s="430"/>
      <c r="AW289" s="430"/>
      <c r="AX289" s="430"/>
      <c r="AY289" s="430"/>
      <c r="AZ289" s="430"/>
      <c r="BA289" s="430"/>
      <c r="BB289" s="430"/>
      <c r="BC289" s="430"/>
      <c r="BD289" s="430"/>
      <c r="BE289" s="430"/>
    </row>
    <row r="290" spans="1:57" ht="15.75" customHeight="1">
      <c r="A290" s="430"/>
      <c r="B290" s="430"/>
      <c r="C290" s="430"/>
      <c r="D290" s="430"/>
      <c r="E290" s="430"/>
      <c r="F290" s="430"/>
      <c r="G290" s="430"/>
      <c r="H290" s="430"/>
      <c r="I290" s="430"/>
      <c r="J290" s="430"/>
      <c r="K290" s="430"/>
      <c r="L290" s="430"/>
      <c r="M290" s="430"/>
      <c r="N290" s="430"/>
      <c r="O290" s="430"/>
      <c r="P290" s="430"/>
      <c r="Q290" s="430"/>
      <c r="R290" s="430"/>
      <c r="S290" s="430"/>
      <c r="T290" s="430"/>
      <c r="U290" s="430"/>
      <c r="V290" s="430"/>
      <c r="W290" s="430"/>
      <c r="X290" s="430"/>
      <c r="Y290" s="430"/>
      <c r="Z290" s="430"/>
      <c r="AA290" s="430"/>
      <c r="AB290" s="430"/>
      <c r="AC290" s="430"/>
      <c r="AD290" s="430"/>
      <c r="AE290" s="430"/>
      <c r="AF290" s="430"/>
      <c r="AG290" s="430"/>
      <c r="AH290" s="430"/>
      <c r="AI290" s="430"/>
      <c r="AJ290" s="430"/>
      <c r="AK290" s="430"/>
      <c r="AL290" s="430"/>
      <c r="AM290" s="430"/>
      <c r="AN290" s="430"/>
      <c r="AO290" s="430"/>
      <c r="AP290" s="430"/>
      <c r="AQ290" s="430"/>
      <c r="AR290" s="430"/>
      <c r="AS290" s="430"/>
      <c r="AT290" s="430"/>
      <c r="AU290" s="430"/>
      <c r="AV290" s="430"/>
      <c r="AW290" s="430"/>
      <c r="AX290" s="430"/>
      <c r="AY290" s="430"/>
      <c r="AZ290" s="430"/>
      <c r="BA290" s="430"/>
      <c r="BB290" s="430"/>
      <c r="BC290" s="430"/>
      <c r="BD290" s="430"/>
      <c r="BE290" s="430"/>
    </row>
    <row r="291" spans="1:57" ht="15.75" customHeight="1">
      <c r="A291" s="430"/>
      <c r="B291" s="430"/>
      <c r="C291" s="430"/>
      <c r="D291" s="430"/>
      <c r="E291" s="430"/>
      <c r="F291" s="430"/>
      <c r="G291" s="430"/>
      <c r="H291" s="430"/>
      <c r="I291" s="430"/>
      <c r="J291" s="430"/>
      <c r="K291" s="430"/>
      <c r="L291" s="430"/>
      <c r="M291" s="430"/>
      <c r="N291" s="430"/>
      <c r="O291" s="430"/>
      <c r="P291" s="430"/>
      <c r="Q291" s="430"/>
      <c r="R291" s="430"/>
      <c r="S291" s="430"/>
      <c r="T291" s="430"/>
      <c r="U291" s="430"/>
      <c r="V291" s="430"/>
      <c r="W291" s="430"/>
      <c r="X291" s="430"/>
      <c r="Y291" s="430"/>
      <c r="Z291" s="430"/>
      <c r="AA291" s="430"/>
      <c r="AB291" s="430"/>
      <c r="AC291" s="430"/>
      <c r="AD291" s="430"/>
      <c r="AE291" s="430"/>
      <c r="AF291" s="430"/>
      <c r="AG291" s="430"/>
      <c r="AH291" s="430"/>
      <c r="AI291" s="430"/>
      <c r="AJ291" s="430"/>
      <c r="AK291" s="430"/>
      <c r="AL291" s="430"/>
      <c r="AM291" s="430"/>
      <c r="AN291" s="430"/>
      <c r="AO291" s="430"/>
      <c r="AP291" s="430"/>
      <c r="AQ291" s="430"/>
      <c r="AR291" s="430"/>
      <c r="AS291" s="430"/>
      <c r="AT291" s="430"/>
      <c r="AU291" s="430"/>
      <c r="AV291" s="430"/>
      <c r="AW291" s="430"/>
      <c r="AX291" s="430"/>
      <c r="AY291" s="430"/>
      <c r="AZ291" s="430"/>
      <c r="BA291" s="430"/>
      <c r="BB291" s="430"/>
      <c r="BC291" s="430"/>
      <c r="BD291" s="430"/>
      <c r="BE291" s="430"/>
    </row>
    <row r="292" spans="1:57" ht="15.75" customHeight="1">
      <c r="A292" s="430"/>
      <c r="B292" s="430"/>
      <c r="C292" s="430"/>
      <c r="D292" s="430"/>
      <c r="E292" s="430"/>
      <c r="F292" s="430"/>
      <c r="G292" s="430"/>
      <c r="H292" s="430"/>
      <c r="I292" s="430"/>
      <c r="J292" s="430"/>
      <c r="K292" s="430"/>
      <c r="L292" s="430"/>
      <c r="M292" s="430"/>
      <c r="N292" s="430"/>
      <c r="O292" s="430"/>
      <c r="P292" s="430"/>
      <c r="Q292" s="430"/>
      <c r="R292" s="430"/>
      <c r="S292" s="430"/>
      <c r="T292" s="430"/>
      <c r="U292" s="430"/>
      <c r="V292" s="430"/>
      <c r="W292" s="430"/>
      <c r="X292" s="430"/>
      <c r="Y292" s="430"/>
      <c r="Z292" s="430"/>
      <c r="AA292" s="430"/>
      <c r="AB292" s="430"/>
      <c r="AC292" s="430"/>
      <c r="AD292" s="430"/>
      <c r="AE292" s="430"/>
      <c r="AF292" s="430"/>
      <c r="AG292" s="430"/>
      <c r="AH292" s="430"/>
      <c r="AI292" s="430"/>
      <c r="AJ292" s="430"/>
      <c r="AK292" s="430"/>
      <c r="AL292" s="430"/>
      <c r="AM292" s="430"/>
      <c r="AN292" s="430"/>
      <c r="AO292" s="430"/>
      <c r="AP292" s="430"/>
      <c r="AQ292" s="430"/>
      <c r="AR292" s="430"/>
      <c r="AS292" s="430"/>
      <c r="AT292" s="430"/>
      <c r="AU292" s="430"/>
      <c r="AV292" s="430"/>
      <c r="AW292" s="430"/>
      <c r="AX292" s="430"/>
      <c r="AY292" s="430"/>
      <c r="AZ292" s="430"/>
      <c r="BA292" s="430"/>
      <c r="BB292" s="430"/>
      <c r="BC292" s="430"/>
      <c r="BD292" s="430"/>
      <c r="BE292" s="430"/>
    </row>
    <row r="293" spans="1:57" ht="15.75" customHeight="1">
      <c r="A293" s="430"/>
      <c r="B293" s="430"/>
      <c r="C293" s="430"/>
      <c r="D293" s="430"/>
      <c r="E293" s="430"/>
      <c r="F293" s="430"/>
      <c r="G293" s="430"/>
      <c r="H293" s="430"/>
      <c r="I293" s="430"/>
      <c r="J293" s="430"/>
      <c r="K293" s="430"/>
      <c r="L293" s="430"/>
      <c r="M293" s="430"/>
      <c r="N293" s="430"/>
      <c r="O293" s="430"/>
      <c r="P293" s="430"/>
      <c r="Q293" s="430"/>
      <c r="R293" s="430"/>
      <c r="S293" s="430"/>
      <c r="T293" s="430"/>
      <c r="U293" s="430"/>
      <c r="V293" s="430"/>
      <c r="W293" s="430"/>
      <c r="X293" s="430"/>
      <c r="Y293" s="430"/>
      <c r="Z293" s="430"/>
      <c r="AA293" s="430"/>
      <c r="AB293" s="430"/>
      <c r="AC293" s="430"/>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0"/>
      <c r="AY293" s="430"/>
      <c r="AZ293" s="430"/>
      <c r="BA293" s="430"/>
      <c r="BB293" s="430"/>
      <c r="BC293" s="430"/>
      <c r="BD293" s="430"/>
      <c r="BE293" s="430"/>
    </row>
    <row r="294" spans="1:57" ht="15.75" customHeight="1">
      <c r="A294" s="430"/>
      <c r="B294" s="430"/>
      <c r="C294" s="430"/>
      <c r="D294" s="430"/>
      <c r="E294" s="430"/>
      <c r="F294" s="430"/>
      <c r="G294" s="430"/>
      <c r="H294" s="430"/>
      <c r="I294" s="430"/>
      <c r="J294" s="430"/>
      <c r="K294" s="430"/>
      <c r="L294" s="430"/>
      <c r="M294" s="430"/>
      <c r="N294" s="430"/>
      <c r="O294" s="430"/>
      <c r="P294" s="430"/>
      <c r="Q294" s="430"/>
      <c r="R294" s="430"/>
      <c r="S294" s="430"/>
      <c r="T294" s="430"/>
      <c r="U294" s="430"/>
      <c r="V294" s="430"/>
      <c r="W294" s="430"/>
      <c r="X294" s="430"/>
      <c r="Y294" s="430"/>
      <c r="Z294" s="430"/>
      <c r="AA294" s="430"/>
      <c r="AB294" s="430"/>
      <c r="AC294" s="430"/>
      <c r="AD294" s="430"/>
      <c r="AE294" s="430"/>
      <c r="AF294" s="430"/>
      <c r="AG294" s="430"/>
      <c r="AH294" s="430"/>
      <c r="AI294" s="430"/>
      <c r="AJ294" s="430"/>
      <c r="AK294" s="430"/>
      <c r="AL294" s="430"/>
      <c r="AM294" s="430"/>
      <c r="AN294" s="430"/>
      <c r="AO294" s="430"/>
      <c r="AP294" s="430"/>
      <c r="AQ294" s="430"/>
      <c r="AR294" s="430"/>
      <c r="AS294" s="430"/>
      <c r="AT294" s="430"/>
      <c r="AU294" s="430"/>
      <c r="AV294" s="430"/>
      <c r="AW294" s="430"/>
      <c r="AX294" s="430"/>
      <c r="AY294" s="430"/>
      <c r="AZ294" s="430"/>
      <c r="BA294" s="430"/>
      <c r="BB294" s="430"/>
      <c r="BC294" s="430"/>
      <c r="BD294" s="430"/>
      <c r="BE294" s="430"/>
    </row>
    <row r="295" spans="1:57" ht="15.75" customHeight="1">
      <c r="A295" s="430"/>
      <c r="B295" s="430"/>
      <c r="C295" s="430"/>
      <c r="D295" s="430"/>
      <c r="E295" s="430"/>
      <c r="F295" s="430"/>
      <c r="G295" s="430"/>
      <c r="H295" s="430"/>
      <c r="I295" s="430"/>
      <c r="J295" s="430"/>
      <c r="K295" s="430"/>
      <c r="L295" s="430"/>
      <c r="M295" s="430"/>
      <c r="N295" s="430"/>
      <c r="O295" s="430"/>
      <c r="P295" s="430"/>
      <c r="Q295" s="430"/>
      <c r="R295" s="430"/>
      <c r="S295" s="430"/>
      <c r="T295" s="430"/>
      <c r="U295" s="430"/>
      <c r="V295" s="430"/>
      <c r="W295" s="430"/>
      <c r="X295" s="430"/>
      <c r="Y295" s="430"/>
      <c r="Z295" s="430"/>
      <c r="AA295" s="430"/>
      <c r="AB295" s="430"/>
      <c r="AC295" s="430"/>
      <c r="AD295" s="430"/>
      <c r="AE295" s="430"/>
      <c r="AF295" s="430"/>
      <c r="AG295" s="430"/>
      <c r="AH295" s="430"/>
      <c r="AI295" s="430"/>
      <c r="AJ295" s="430"/>
      <c r="AK295" s="430"/>
      <c r="AL295" s="430"/>
      <c r="AM295" s="430"/>
      <c r="AN295" s="430"/>
      <c r="AO295" s="430"/>
      <c r="AP295" s="430"/>
      <c r="AQ295" s="430"/>
      <c r="AR295" s="430"/>
      <c r="AS295" s="430"/>
      <c r="AT295" s="430"/>
      <c r="AU295" s="430"/>
      <c r="AV295" s="430"/>
      <c r="AW295" s="430"/>
      <c r="AX295" s="430"/>
      <c r="AY295" s="430"/>
      <c r="AZ295" s="430"/>
      <c r="BA295" s="430"/>
      <c r="BB295" s="430"/>
      <c r="BC295" s="430"/>
      <c r="BD295" s="430"/>
      <c r="BE295" s="430"/>
    </row>
    <row r="296" spans="1:57" ht="15.75" customHeight="1">
      <c r="A296" s="430"/>
      <c r="B296" s="430"/>
      <c r="C296" s="430"/>
      <c r="D296" s="430"/>
      <c r="E296" s="430"/>
      <c r="F296" s="430"/>
      <c r="G296" s="430"/>
      <c r="H296" s="430"/>
      <c r="I296" s="430"/>
      <c r="J296" s="430"/>
      <c r="K296" s="430"/>
      <c r="L296" s="430"/>
      <c r="M296" s="430"/>
      <c r="N296" s="430"/>
      <c r="O296" s="430"/>
      <c r="P296" s="430"/>
      <c r="Q296" s="430"/>
      <c r="R296" s="430"/>
      <c r="S296" s="430"/>
      <c r="T296" s="430"/>
      <c r="U296" s="430"/>
      <c r="V296" s="430"/>
      <c r="W296" s="430"/>
      <c r="X296" s="430"/>
      <c r="Y296" s="430"/>
      <c r="Z296" s="430"/>
      <c r="AA296" s="430"/>
      <c r="AB296" s="430"/>
      <c r="AC296" s="430"/>
      <c r="AD296" s="430"/>
      <c r="AE296" s="430"/>
      <c r="AF296" s="430"/>
      <c r="AG296" s="430"/>
      <c r="AH296" s="430"/>
      <c r="AI296" s="430"/>
      <c r="AJ296" s="430"/>
      <c r="AK296" s="430"/>
      <c r="AL296" s="430"/>
      <c r="AM296" s="430"/>
      <c r="AN296" s="430"/>
      <c r="AO296" s="430"/>
      <c r="AP296" s="430"/>
      <c r="AQ296" s="430"/>
      <c r="AR296" s="430"/>
      <c r="AS296" s="430"/>
      <c r="AT296" s="430"/>
      <c r="AU296" s="430"/>
      <c r="AV296" s="430"/>
      <c r="AW296" s="430"/>
      <c r="AX296" s="430"/>
      <c r="AY296" s="430"/>
      <c r="AZ296" s="430"/>
      <c r="BA296" s="430"/>
      <c r="BB296" s="430"/>
      <c r="BC296" s="430"/>
      <c r="BD296" s="430"/>
      <c r="BE296" s="430"/>
    </row>
    <row r="297" spans="1:57" ht="15.75" customHeight="1">
      <c r="A297" s="430"/>
      <c r="B297" s="430"/>
      <c r="C297" s="430"/>
      <c r="D297" s="430"/>
      <c r="E297" s="430"/>
      <c r="F297" s="430"/>
      <c r="G297" s="430"/>
      <c r="H297" s="430"/>
      <c r="I297" s="430"/>
      <c r="J297" s="430"/>
      <c r="K297" s="430"/>
      <c r="L297" s="430"/>
      <c r="M297" s="430"/>
      <c r="N297" s="430"/>
      <c r="O297" s="430"/>
      <c r="P297" s="430"/>
      <c r="Q297" s="430"/>
      <c r="R297" s="430"/>
      <c r="S297" s="430"/>
      <c r="T297" s="430"/>
      <c r="U297" s="430"/>
      <c r="V297" s="430"/>
      <c r="W297" s="430"/>
      <c r="X297" s="430"/>
      <c r="Y297" s="430"/>
      <c r="Z297" s="430"/>
      <c r="AA297" s="430"/>
      <c r="AB297" s="430"/>
      <c r="AC297" s="430"/>
      <c r="AD297" s="430"/>
      <c r="AE297" s="430"/>
      <c r="AF297" s="430"/>
      <c r="AG297" s="430"/>
      <c r="AH297" s="430"/>
      <c r="AI297" s="430"/>
      <c r="AJ297" s="430"/>
      <c r="AK297" s="430"/>
      <c r="AL297" s="430"/>
      <c r="AM297" s="430"/>
      <c r="AN297" s="430"/>
      <c r="AO297" s="430"/>
      <c r="AP297" s="430"/>
      <c r="AQ297" s="430"/>
      <c r="AR297" s="430"/>
      <c r="AS297" s="430"/>
      <c r="AT297" s="430"/>
      <c r="AU297" s="430"/>
      <c r="AV297" s="430"/>
      <c r="AW297" s="430"/>
      <c r="AX297" s="430"/>
      <c r="AY297" s="430"/>
      <c r="AZ297" s="430"/>
      <c r="BA297" s="430"/>
      <c r="BB297" s="430"/>
      <c r="BC297" s="430"/>
      <c r="BD297" s="430"/>
      <c r="BE297" s="430"/>
    </row>
    <row r="298" spans="1:57" ht="15.75" customHeight="1">
      <c r="A298" s="430"/>
      <c r="B298" s="430"/>
      <c r="C298" s="430"/>
      <c r="D298" s="430"/>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row>
    <row r="299" spans="1:57" ht="15.75" customHeight="1">
      <c r="A299" s="430"/>
      <c r="B299" s="430"/>
      <c r="C299" s="430"/>
      <c r="D299" s="430"/>
      <c r="E299" s="430"/>
      <c r="F299" s="430"/>
      <c r="G299" s="430"/>
      <c r="H299" s="430"/>
      <c r="I299" s="430"/>
      <c r="J299" s="430"/>
      <c r="K299" s="430"/>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430"/>
      <c r="AL299" s="430"/>
      <c r="AM299" s="430"/>
      <c r="AN299" s="430"/>
      <c r="AO299" s="430"/>
      <c r="AP299" s="430"/>
      <c r="AQ299" s="430"/>
      <c r="AR299" s="430"/>
      <c r="AS299" s="430"/>
      <c r="AT299" s="430"/>
      <c r="AU299" s="430"/>
      <c r="AV299" s="430"/>
      <c r="AW299" s="430"/>
      <c r="AX299" s="430"/>
      <c r="AY299" s="430"/>
      <c r="AZ299" s="430"/>
      <c r="BA299" s="430"/>
      <c r="BB299" s="430"/>
      <c r="BC299" s="430"/>
      <c r="BD299" s="430"/>
      <c r="BE299" s="430"/>
    </row>
    <row r="300" spans="1:57" ht="15.75" customHeight="1">
      <c r="A300" s="430"/>
      <c r="B300" s="430"/>
      <c r="C300" s="430"/>
      <c r="D300" s="430"/>
      <c r="E300" s="430"/>
      <c r="F300" s="430"/>
      <c r="G300" s="430"/>
      <c r="H300" s="430"/>
      <c r="I300" s="430"/>
      <c r="J300" s="430"/>
      <c r="K300" s="430"/>
      <c r="L300" s="430"/>
      <c r="M300" s="430"/>
      <c r="N300" s="430"/>
      <c r="O300" s="430"/>
      <c r="P300" s="430"/>
      <c r="Q300" s="430"/>
      <c r="R300" s="430"/>
      <c r="S300" s="430"/>
      <c r="T300" s="430"/>
      <c r="U300" s="430"/>
      <c r="V300" s="430"/>
      <c r="W300" s="430"/>
      <c r="X300" s="430"/>
      <c r="Y300" s="430"/>
      <c r="Z300" s="430"/>
      <c r="AA300" s="430"/>
      <c r="AB300" s="430"/>
      <c r="AC300" s="430"/>
      <c r="AD300" s="430"/>
      <c r="AE300" s="430"/>
      <c r="AF300" s="430"/>
      <c r="AG300" s="430"/>
      <c r="AH300" s="430"/>
      <c r="AI300" s="430"/>
      <c r="AJ300" s="430"/>
      <c r="AK300" s="430"/>
      <c r="AL300" s="430"/>
      <c r="AM300" s="430"/>
      <c r="AN300" s="430"/>
      <c r="AO300" s="430"/>
      <c r="AP300" s="430"/>
      <c r="AQ300" s="430"/>
      <c r="AR300" s="430"/>
      <c r="AS300" s="430"/>
      <c r="AT300" s="430"/>
      <c r="AU300" s="430"/>
      <c r="AV300" s="430"/>
      <c r="AW300" s="430"/>
      <c r="AX300" s="430"/>
      <c r="AY300" s="430"/>
      <c r="AZ300" s="430"/>
      <c r="BA300" s="430"/>
      <c r="BB300" s="430"/>
      <c r="BC300" s="430"/>
      <c r="BD300" s="430"/>
      <c r="BE300" s="430"/>
    </row>
    <row r="301" spans="1:57" ht="15.75" customHeight="1">
      <c r="A301" s="430"/>
      <c r="B301" s="430"/>
      <c r="C301" s="430"/>
      <c r="D301" s="430"/>
      <c r="E301" s="430"/>
      <c r="F301" s="430"/>
      <c r="G301" s="430"/>
      <c r="H301" s="430"/>
      <c r="I301" s="430"/>
      <c r="J301" s="430"/>
      <c r="K301" s="430"/>
      <c r="L301" s="430"/>
      <c r="M301" s="430"/>
      <c r="N301" s="430"/>
      <c r="O301" s="430"/>
      <c r="P301" s="430"/>
      <c r="Q301" s="430"/>
      <c r="R301" s="430"/>
      <c r="S301" s="430"/>
      <c r="T301" s="430"/>
      <c r="U301" s="430"/>
      <c r="V301" s="430"/>
      <c r="W301" s="430"/>
      <c r="X301" s="430"/>
      <c r="Y301" s="430"/>
      <c r="Z301" s="430"/>
      <c r="AA301" s="430"/>
      <c r="AB301" s="430"/>
      <c r="AC301" s="430"/>
      <c r="AD301" s="430"/>
      <c r="AE301" s="430"/>
      <c r="AF301" s="430"/>
      <c r="AG301" s="430"/>
      <c r="AH301" s="430"/>
      <c r="AI301" s="430"/>
      <c r="AJ301" s="430"/>
      <c r="AK301" s="430"/>
      <c r="AL301" s="430"/>
      <c r="AM301" s="430"/>
      <c r="AN301" s="430"/>
      <c r="AO301" s="430"/>
      <c r="AP301" s="430"/>
      <c r="AQ301" s="430"/>
      <c r="AR301" s="430"/>
      <c r="AS301" s="430"/>
      <c r="AT301" s="430"/>
      <c r="AU301" s="430"/>
      <c r="AV301" s="430"/>
      <c r="AW301" s="430"/>
      <c r="AX301" s="430"/>
      <c r="AY301" s="430"/>
      <c r="AZ301" s="430"/>
      <c r="BA301" s="430"/>
      <c r="BB301" s="430"/>
      <c r="BC301" s="430"/>
      <c r="BD301" s="430"/>
      <c r="BE301" s="430"/>
    </row>
    <row r="302" spans="1:57" ht="15.75" customHeight="1">
      <c r="A302" s="430"/>
      <c r="B302" s="430"/>
      <c r="C302" s="430"/>
      <c r="D302" s="430"/>
      <c r="E302" s="430"/>
      <c r="F302" s="430"/>
      <c r="G302" s="430"/>
      <c r="H302" s="430"/>
      <c r="I302" s="430"/>
      <c r="J302" s="430"/>
      <c r="K302" s="430"/>
      <c r="L302" s="430"/>
      <c r="M302" s="430"/>
      <c r="N302" s="430"/>
      <c r="O302" s="430"/>
      <c r="P302" s="430"/>
      <c r="Q302" s="430"/>
      <c r="R302" s="430"/>
      <c r="S302" s="430"/>
      <c r="T302" s="430"/>
      <c r="U302" s="430"/>
      <c r="V302" s="430"/>
      <c r="W302" s="430"/>
      <c r="X302" s="430"/>
      <c r="Y302" s="430"/>
      <c r="Z302" s="430"/>
      <c r="AA302" s="430"/>
      <c r="AB302" s="430"/>
      <c r="AC302" s="430"/>
      <c r="AD302" s="430"/>
      <c r="AE302" s="430"/>
      <c r="AF302" s="430"/>
      <c r="AG302" s="430"/>
      <c r="AH302" s="430"/>
      <c r="AI302" s="430"/>
      <c r="AJ302" s="430"/>
      <c r="AK302" s="430"/>
      <c r="AL302" s="430"/>
      <c r="AM302" s="430"/>
      <c r="AN302" s="430"/>
      <c r="AO302" s="430"/>
      <c r="AP302" s="430"/>
      <c r="AQ302" s="430"/>
      <c r="AR302" s="430"/>
      <c r="AS302" s="430"/>
      <c r="AT302" s="430"/>
      <c r="AU302" s="430"/>
      <c r="AV302" s="430"/>
      <c r="AW302" s="430"/>
      <c r="AX302" s="430"/>
      <c r="AY302" s="430"/>
      <c r="AZ302" s="430"/>
      <c r="BA302" s="430"/>
      <c r="BB302" s="430"/>
      <c r="BC302" s="430"/>
      <c r="BD302" s="430"/>
      <c r="BE302" s="430"/>
    </row>
    <row r="303" spans="1:57" ht="15.75" customHeight="1">
      <c r="A303" s="430"/>
      <c r="B303" s="430"/>
      <c r="C303" s="430"/>
      <c r="D303" s="430"/>
      <c r="E303" s="430"/>
      <c r="F303" s="430"/>
      <c r="G303" s="430"/>
      <c r="H303" s="430"/>
      <c r="I303" s="430"/>
      <c r="J303" s="430"/>
      <c r="K303" s="430"/>
      <c r="L303" s="430"/>
      <c r="M303" s="430"/>
      <c r="N303" s="430"/>
      <c r="O303" s="430"/>
      <c r="P303" s="430"/>
      <c r="Q303" s="430"/>
      <c r="R303" s="430"/>
      <c r="S303" s="430"/>
      <c r="T303" s="430"/>
      <c r="U303" s="430"/>
      <c r="V303" s="430"/>
      <c r="W303" s="430"/>
      <c r="X303" s="430"/>
      <c r="Y303" s="430"/>
      <c r="Z303" s="430"/>
      <c r="AA303" s="430"/>
      <c r="AB303" s="430"/>
      <c r="AC303" s="430"/>
      <c r="AD303" s="430"/>
      <c r="AE303" s="430"/>
      <c r="AF303" s="430"/>
      <c r="AG303" s="430"/>
      <c r="AH303" s="430"/>
      <c r="AI303" s="430"/>
      <c r="AJ303" s="430"/>
      <c r="AK303" s="430"/>
      <c r="AL303" s="430"/>
      <c r="AM303" s="430"/>
      <c r="AN303" s="430"/>
      <c r="AO303" s="430"/>
      <c r="AP303" s="430"/>
      <c r="AQ303" s="430"/>
      <c r="AR303" s="430"/>
      <c r="AS303" s="430"/>
      <c r="AT303" s="430"/>
      <c r="AU303" s="430"/>
      <c r="AV303" s="430"/>
      <c r="AW303" s="430"/>
      <c r="AX303" s="430"/>
      <c r="AY303" s="430"/>
      <c r="AZ303" s="430"/>
      <c r="BA303" s="430"/>
      <c r="BB303" s="430"/>
      <c r="BC303" s="430"/>
      <c r="BD303" s="430"/>
      <c r="BE303" s="430"/>
    </row>
    <row r="304" spans="1:57" ht="15.75" customHeight="1">
      <c r="A304" s="430"/>
      <c r="B304" s="430"/>
      <c r="C304" s="430"/>
      <c r="D304" s="430"/>
      <c r="E304" s="430"/>
      <c r="F304" s="430"/>
      <c r="G304" s="430"/>
      <c r="H304" s="430"/>
      <c r="I304" s="430"/>
      <c r="J304" s="430"/>
      <c r="K304" s="430"/>
      <c r="L304" s="430"/>
      <c r="M304" s="430"/>
      <c r="N304" s="430"/>
      <c r="O304" s="430"/>
      <c r="P304" s="430"/>
      <c r="Q304" s="430"/>
      <c r="R304" s="430"/>
      <c r="S304" s="430"/>
      <c r="T304" s="430"/>
      <c r="U304" s="430"/>
      <c r="V304" s="430"/>
      <c r="W304" s="430"/>
      <c r="X304" s="430"/>
      <c r="Y304" s="430"/>
      <c r="Z304" s="430"/>
      <c r="AA304" s="430"/>
      <c r="AB304" s="430"/>
      <c r="AC304" s="430"/>
      <c r="AD304" s="430"/>
      <c r="AE304" s="430"/>
      <c r="AF304" s="430"/>
      <c r="AG304" s="430"/>
      <c r="AH304" s="430"/>
      <c r="AI304" s="430"/>
      <c r="AJ304" s="430"/>
      <c r="AK304" s="430"/>
      <c r="AL304" s="430"/>
      <c r="AM304" s="430"/>
      <c r="AN304" s="430"/>
      <c r="AO304" s="430"/>
      <c r="AP304" s="430"/>
      <c r="AQ304" s="430"/>
      <c r="AR304" s="430"/>
      <c r="AS304" s="430"/>
      <c r="AT304" s="430"/>
      <c r="AU304" s="430"/>
      <c r="AV304" s="430"/>
      <c r="AW304" s="430"/>
      <c r="AX304" s="430"/>
      <c r="AY304" s="430"/>
      <c r="AZ304" s="430"/>
      <c r="BA304" s="430"/>
      <c r="BB304" s="430"/>
      <c r="BC304" s="430"/>
      <c r="BD304" s="430"/>
      <c r="BE304" s="430"/>
    </row>
    <row r="305" spans="1:57" ht="15.75" customHeight="1">
      <c r="A305" s="430"/>
      <c r="B305" s="430"/>
      <c r="C305" s="430"/>
      <c r="D305" s="430"/>
      <c r="E305" s="430"/>
      <c r="F305" s="430"/>
      <c r="G305" s="430"/>
      <c r="H305" s="430"/>
      <c r="I305" s="430"/>
      <c r="J305" s="430"/>
      <c r="K305" s="430"/>
      <c r="L305" s="430"/>
      <c r="M305" s="430"/>
      <c r="N305" s="430"/>
      <c r="O305" s="430"/>
      <c r="P305" s="430"/>
      <c r="Q305" s="430"/>
      <c r="R305" s="430"/>
      <c r="S305" s="430"/>
      <c r="T305" s="430"/>
      <c r="U305" s="430"/>
      <c r="V305" s="430"/>
      <c r="W305" s="430"/>
      <c r="X305" s="430"/>
      <c r="Y305" s="430"/>
      <c r="Z305" s="430"/>
      <c r="AA305" s="430"/>
      <c r="AB305" s="430"/>
      <c r="AC305" s="430"/>
      <c r="AD305" s="430"/>
      <c r="AE305" s="430"/>
      <c r="AF305" s="430"/>
      <c r="AG305" s="430"/>
      <c r="AH305" s="430"/>
      <c r="AI305" s="430"/>
      <c r="AJ305" s="430"/>
      <c r="AK305" s="430"/>
      <c r="AL305" s="430"/>
      <c r="AM305" s="430"/>
      <c r="AN305" s="430"/>
      <c r="AO305" s="430"/>
      <c r="AP305" s="430"/>
      <c r="AQ305" s="430"/>
      <c r="AR305" s="430"/>
      <c r="AS305" s="430"/>
      <c r="AT305" s="430"/>
      <c r="AU305" s="430"/>
      <c r="AV305" s="430"/>
      <c r="AW305" s="430"/>
      <c r="AX305" s="430"/>
      <c r="AY305" s="430"/>
      <c r="AZ305" s="430"/>
      <c r="BA305" s="430"/>
      <c r="BB305" s="430"/>
      <c r="BC305" s="430"/>
      <c r="BD305" s="430"/>
      <c r="BE305" s="430"/>
    </row>
    <row r="306" spans="1:57" ht="15.75" customHeight="1">
      <c r="A306" s="430"/>
      <c r="B306" s="430"/>
      <c r="C306" s="430"/>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0"/>
      <c r="Z306" s="430"/>
      <c r="AA306" s="430"/>
      <c r="AB306" s="430"/>
      <c r="AC306" s="430"/>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0"/>
      <c r="AY306" s="430"/>
      <c r="AZ306" s="430"/>
      <c r="BA306" s="430"/>
      <c r="BB306" s="430"/>
      <c r="BC306" s="430"/>
      <c r="BD306" s="430"/>
      <c r="BE306" s="430"/>
    </row>
    <row r="307" spans="1:57" ht="15.75" customHeight="1">
      <c r="A307" s="430"/>
      <c r="B307" s="430"/>
      <c r="C307" s="430"/>
      <c r="D307" s="430"/>
      <c r="E307" s="430"/>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0"/>
      <c r="AY307" s="430"/>
      <c r="AZ307" s="430"/>
      <c r="BA307" s="430"/>
      <c r="BB307" s="430"/>
      <c r="BC307" s="430"/>
      <c r="BD307" s="430"/>
      <c r="BE307" s="430"/>
    </row>
    <row r="308" spans="1:57" ht="15.75" customHeight="1">
      <c r="A308" s="430"/>
      <c r="B308" s="430"/>
      <c r="C308" s="430"/>
      <c r="D308" s="430"/>
      <c r="E308" s="430"/>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30"/>
      <c r="AY308" s="430"/>
      <c r="AZ308" s="430"/>
      <c r="BA308" s="430"/>
      <c r="BB308" s="430"/>
      <c r="BC308" s="430"/>
      <c r="BD308" s="430"/>
      <c r="BE308" s="430"/>
    </row>
    <row r="309" spans="1:57" ht="15.75" customHeight="1">
      <c r="A309" s="430"/>
      <c r="B309" s="430"/>
      <c r="C309" s="430"/>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0"/>
      <c r="Z309" s="430"/>
      <c r="AA309" s="430"/>
      <c r="AB309" s="430"/>
      <c r="AC309" s="430"/>
      <c r="AD309" s="430"/>
      <c r="AE309" s="430"/>
      <c r="AF309" s="430"/>
      <c r="AG309" s="430"/>
      <c r="AH309" s="430"/>
      <c r="AI309" s="430"/>
      <c r="AJ309" s="430"/>
      <c r="AK309" s="430"/>
      <c r="AL309" s="430"/>
      <c r="AM309" s="430"/>
      <c r="AN309" s="430"/>
      <c r="AO309" s="430"/>
      <c r="AP309" s="430"/>
      <c r="AQ309" s="430"/>
      <c r="AR309" s="430"/>
      <c r="AS309" s="430"/>
      <c r="AT309" s="430"/>
      <c r="AU309" s="430"/>
      <c r="AV309" s="430"/>
      <c r="AW309" s="430"/>
      <c r="AX309" s="430"/>
      <c r="AY309" s="430"/>
      <c r="AZ309" s="430"/>
      <c r="BA309" s="430"/>
      <c r="BB309" s="430"/>
      <c r="BC309" s="430"/>
      <c r="BD309" s="430"/>
      <c r="BE309" s="430"/>
    </row>
    <row r="310" spans="1:57" ht="15.75" customHeight="1">
      <c r="A310" s="430"/>
      <c r="B310" s="430"/>
      <c r="C310" s="430"/>
      <c r="D310" s="430"/>
      <c r="E310" s="430"/>
      <c r="F310" s="430"/>
      <c r="G310" s="430"/>
      <c r="H310" s="430"/>
      <c r="I310" s="430"/>
      <c r="J310" s="430"/>
      <c r="K310" s="430"/>
      <c r="L310" s="430"/>
      <c r="M310" s="430"/>
      <c r="N310" s="430"/>
      <c r="O310" s="430"/>
      <c r="P310" s="430"/>
      <c r="Q310" s="430"/>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c r="AN310" s="430"/>
      <c r="AO310" s="430"/>
      <c r="AP310" s="430"/>
      <c r="AQ310" s="430"/>
      <c r="AR310" s="430"/>
      <c r="AS310" s="430"/>
      <c r="AT310" s="430"/>
      <c r="AU310" s="430"/>
      <c r="AV310" s="430"/>
      <c r="AW310" s="430"/>
      <c r="AX310" s="430"/>
      <c r="AY310" s="430"/>
      <c r="AZ310" s="430"/>
      <c r="BA310" s="430"/>
      <c r="BB310" s="430"/>
      <c r="BC310" s="430"/>
      <c r="BD310" s="430"/>
      <c r="BE310" s="430"/>
    </row>
    <row r="311" spans="1:57" ht="15.75" customHeight="1">
      <c r="A311" s="430"/>
      <c r="B311" s="430"/>
      <c r="C311" s="430"/>
      <c r="D311" s="430"/>
      <c r="E311" s="430"/>
      <c r="F311" s="430"/>
      <c r="G311" s="430"/>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c r="AU311" s="430"/>
      <c r="AV311" s="430"/>
      <c r="AW311" s="430"/>
      <c r="AX311" s="430"/>
      <c r="AY311" s="430"/>
      <c r="AZ311" s="430"/>
      <c r="BA311" s="430"/>
      <c r="BB311" s="430"/>
      <c r="BC311" s="430"/>
      <c r="BD311" s="430"/>
      <c r="BE311" s="430"/>
    </row>
    <row r="312" spans="1:57" ht="15.75" customHeight="1">
      <c r="A312" s="430"/>
      <c r="B312" s="430"/>
      <c r="C312" s="430"/>
      <c r="D312" s="430"/>
      <c r="E312" s="430"/>
      <c r="F312" s="430"/>
      <c r="G312" s="430"/>
      <c r="H312" s="430"/>
      <c r="I312" s="430"/>
      <c r="J312" s="430"/>
      <c r="K312" s="430"/>
      <c r="L312" s="430"/>
      <c r="M312" s="430"/>
      <c r="N312" s="430"/>
      <c r="O312" s="430"/>
      <c r="P312" s="430"/>
      <c r="Q312" s="430"/>
      <c r="R312" s="430"/>
      <c r="S312" s="430"/>
      <c r="T312" s="430"/>
      <c r="U312" s="430"/>
      <c r="V312" s="430"/>
      <c r="W312" s="430"/>
      <c r="X312" s="430"/>
      <c r="Y312" s="430"/>
      <c r="Z312" s="430"/>
      <c r="AA312" s="430"/>
      <c r="AB312" s="430"/>
      <c r="AC312" s="430"/>
      <c r="AD312" s="430"/>
      <c r="AE312" s="430"/>
      <c r="AF312" s="430"/>
      <c r="AG312" s="430"/>
      <c r="AH312" s="430"/>
      <c r="AI312" s="430"/>
      <c r="AJ312" s="430"/>
      <c r="AK312" s="430"/>
      <c r="AL312" s="430"/>
      <c r="AM312" s="430"/>
      <c r="AN312" s="430"/>
      <c r="AO312" s="430"/>
      <c r="AP312" s="430"/>
      <c r="AQ312" s="430"/>
      <c r="AR312" s="430"/>
      <c r="AS312" s="430"/>
      <c r="AT312" s="430"/>
      <c r="AU312" s="430"/>
      <c r="AV312" s="430"/>
      <c r="AW312" s="430"/>
      <c r="AX312" s="430"/>
      <c r="AY312" s="430"/>
      <c r="AZ312" s="430"/>
      <c r="BA312" s="430"/>
      <c r="BB312" s="430"/>
      <c r="BC312" s="430"/>
      <c r="BD312" s="430"/>
      <c r="BE312" s="430"/>
    </row>
    <row r="313" spans="1:57" ht="15.75" customHeight="1">
      <c r="A313" s="430"/>
      <c r="B313" s="430"/>
      <c r="C313" s="430"/>
      <c r="D313" s="430"/>
      <c r="E313" s="430"/>
      <c r="F313" s="430"/>
      <c r="G313" s="430"/>
      <c r="H313" s="430"/>
      <c r="I313" s="430"/>
      <c r="J313" s="430"/>
      <c r="K313" s="430"/>
      <c r="L313" s="430"/>
      <c r="M313" s="430"/>
      <c r="N313" s="430"/>
      <c r="O313" s="430"/>
      <c r="P313" s="430"/>
      <c r="Q313" s="430"/>
      <c r="R313" s="430"/>
      <c r="S313" s="430"/>
      <c r="T313" s="430"/>
      <c r="U313" s="430"/>
      <c r="V313" s="430"/>
      <c r="W313" s="430"/>
      <c r="X313" s="430"/>
      <c r="Y313" s="430"/>
      <c r="Z313" s="430"/>
      <c r="AA313" s="430"/>
      <c r="AB313" s="430"/>
      <c r="AC313" s="430"/>
      <c r="AD313" s="430"/>
      <c r="AE313" s="430"/>
      <c r="AF313" s="430"/>
      <c r="AG313" s="430"/>
      <c r="AH313" s="430"/>
      <c r="AI313" s="430"/>
      <c r="AJ313" s="430"/>
      <c r="AK313" s="430"/>
      <c r="AL313" s="430"/>
      <c r="AM313" s="430"/>
      <c r="AN313" s="430"/>
      <c r="AO313" s="430"/>
      <c r="AP313" s="430"/>
      <c r="AQ313" s="430"/>
      <c r="AR313" s="430"/>
      <c r="AS313" s="430"/>
      <c r="AT313" s="430"/>
      <c r="AU313" s="430"/>
      <c r="AV313" s="430"/>
      <c r="AW313" s="430"/>
      <c r="AX313" s="430"/>
      <c r="AY313" s="430"/>
      <c r="AZ313" s="430"/>
      <c r="BA313" s="430"/>
      <c r="BB313" s="430"/>
      <c r="BC313" s="430"/>
      <c r="BD313" s="430"/>
      <c r="BE313" s="430"/>
    </row>
    <row r="314" spans="1:57" ht="15.75" customHeight="1">
      <c r="A314" s="430"/>
      <c r="B314" s="430"/>
      <c r="C314" s="430"/>
      <c r="D314" s="430"/>
      <c r="E314" s="430"/>
      <c r="F314" s="430"/>
      <c r="G314" s="430"/>
      <c r="H314" s="430"/>
      <c r="I314" s="430"/>
      <c r="J314" s="430"/>
      <c r="K314" s="430"/>
      <c r="L314" s="430"/>
      <c r="M314" s="430"/>
      <c r="N314" s="430"/>
      <c r="O314" s="430"/>
      <c r="P314" s="430"/>
      <c r="Q314" s="430"/>
      <c r="R314" s="430"/>
      <c r="S314" s="430"/>
      <c r="T314" s="430"/>
      <c r="U314" s="430"/>
      <c r="V314" s="430"/>
      <c r="W314" s="430"/>
      <c r="X314" s="430"/>
      <c r="Y314" s="430"/>
      <c r="Z314" s="430"/>
      <c r="AA314" s="430"/>
      <c r="AB314" s="430"/>
      <c r="AC314" s="430"/>
      <c r="AD314" s="430"/>
      <c r="AE314" s="430"/>
      <c r="AF314" s="430"/>
      <c r="AG314" s="430"/>
      <c r="AH314" s="430"/>
      <c r="AI314" s="430"/>
      <c r="AJ314" s="430"/>
      <c r="AK314" s="430"/>
      <c r="AL314" s="430"/>
      <c r="AM314" s="430"/>
      <c r="AN314" s="430"/>
      <c r="AO314" s="430"/>
      <c r="AP314" s="430"/>
      <c r="AQ314" s="430"/>
      <c r="AR314" s="430"/>
      <c r="AS314" s="430"/>
      <c r="AT314" s="430"/>
      <c r="AU314" s="430"/>
      <c r="AV314" s="430"/>
      <c r="AW314" s="430"/>
      <c r="AX314" s="430"/>
      <c r="AY314" s="430"/>
      <c r="AZ314" s="430"/>
      <c r="BA314" s="430"/>
      <c r="BB314" s="430"/>
      <c r="BC314" s="430"/>
      <c r="BD314" s="430"/>
      <c r="BE314" s="430"/>
    </row>
    <row r="315" spans="1:57" ht="15.75" customHeight="1">
      <c r="A315" s="430"/>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430"/>
      <c r="AN315" s="430"/>
      <c r="AO315" s="430"/>
      <c r="AP315" s="430"/>
      <c r="AQ315" s="430"/>
      <c r="AR315" s="430"/>
      <c r="AS315" s="430"/>
      <c r="AT315" s="430"/>
      <c r="AU315" s="430"/>
      <c r="AV315" s="430"/>
      <c r="AW315" s="430"/>
      <c r="AX315" s="430"/>
      <c r="AY315" s="430"/>
      <c r="AZ315" s="430"/>
      <c r="BA315" s="430"/>
      <c r="BB315" s="430"/>
      <c r="BC315" s="430"/>
      <c r="BD315" s="430"/>
      <c r="BE315" s="430"/>
    </row>
    <row r="316" spans="1:57" ht="15.7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430"/>
      <c r="AN316" s="430"/>
      <c r="AO316" s="430"/>
      <c r="AP316" s="430"/>
      <c r="AQ316" s="430"/>
      <c r="AR316" s="430"/>
      <c r="AS316" s="430"/>
      <c r="AT316" s="430"/>
      <c r="AU316" s="430"/>
      <c r="AV316" s="430"/>
      <c r="AW316" s="430"/>
      <c r="AX316" s="430"/>
      <c r="AY316" s="430"/>
      <c r="AZ316" s="430"/>
      <c r="BA316" s="430"/>
      <c r="BB316" s="430"/>
      <c r="BC316" s="430"/>
      <c r="BD316" s="430"/>
      <c r="BE316" s="430"/>
    </row>
    <row r="317" spans="1:57" ht="15.7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430"/>
      <c r="AN317" s="430"/>
      <c r="AO317" s="430"/>
      <c r="AP317" s="430"/>
      <c r="AQ317" s="430"/>
      <c r="AR317" s="430"/>
      <c r="AS317" s="430"/>
      <c r="AT317" s="430"/>
      <c r="AU317" s="430"/>
      <c r="AV317" s="430"/>
      <c r="AW317" s="430"/>
      <c r="AX317" s="430"/>
      <c r="AY317" s="430"/>
      <c r="AZ317" s="430"/>
      <c r="BA317" s="430"/>
      <c r="BB317" s="430"/>
      <c r="BC317" s="430"/>
      <c r="BD317" s="430"/>
      <c r="BE317" s="430"/>
    </row>
    <row r="318" spans="1:57" ht="15.7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430"/>
      <c r="AN318" s="430"/>
      <c r="AO318" s="430"/>
      <c r="AP318" s="430"/>
      <c r="AQ318" s="430"/>
      <c r="AR318" s="430"/>
      <c r="AS318" s="430"/>
      <c r="AT318" s="430"/>
      <c r="AU318" s="430"/>
      <c r="AV318" s="430"/>
      <c r="AW318" s="430"/>
      <c r="AX318" s="430"/>
      <c r="AY318" s="430"/>
      <c r="AZ318" s="430"/>
      <c r="BA318" s="430"/>
      <c r="BB318" s="430"/>
      <c r="BC318" s="430"/>
      <c r="BD318" s="430"/>
      <c r="BE318" s="430"/>
    </row>
    <row r="319" spans="1:57" ht="15.7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0"/>
      <c r="AY319" s="430"/>
      <c r="AZ319" s="430"/>
      <c r="BA319" s="430"/>
      <c r="BB319" s="430"/>
      <c r="BC319" s="430"/>
      <c r="BD319" s="430"/>
      <c r="BE319" s="430"/>
    </row>
    <row r="320" spans="1:57" ht="15.7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430"/>
      <c r="AN320" s="430"/>
      <c r="AO320" s="430"/>
      <c r="AP320" s="430"/>
      <c r="AQ320" s="430"/>
      <c r="AR320" s="430"/>
      <c r="AS320" s="430"/>
      <c r="AT320" s="430"/>
      <c r="AU320" s="430"/>
      <c r="AV320" s="430"/>
      <c r="AW320" s="430"/>
      <c r="AX320" s="430"/>
      <c r="AY320" s="430"/>
      <c r="AZ320" s="430"/>
      <c r="BA320" s="430"/>
      <c r="BB320" s="430"/>
      <c r="BC320" s="430"/>
      <c r="BD320" s="430"/>
      <c r="BE320" s="430"/>
    </row>
    <row r="321" spans="1:57" ht="15.7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430"/>
      <c r="AN321" s="430"/>
      <c r="AO321" s="430"/>
      <c r="AP321" s="430"/>
      <c r="AQ321" s="430"/>
      <c r="AR321" s="430"/>
      <c r="AS321" s="430"/>
      <c r="AT321" s="430"/>
      <c r="AU321" s="430"/>
      <c r="AV321" s="430"/>
      <c r="AW321" s="430"/>
      <c r="AX321" s="430"/>
      <c r="AY321" s="430"/>
      <c r="AZ321" s="430"/>
      <c r="BA321" s="430"/>
      <c r="BB321" s="430"/>
      <c r="BC321" s="430"/>
      <c r="BD321" s="430"/>
      <c r="BE321" s="430"/>
    </row>
    <row r="322" spans="1:57" ht="15.7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430"/>
      <c r="AN322" s="430"/>
      <c r="AO322" s="430"/>
      <c r="AP322" s="430"/>
      <c r="AQ322" s="430"/>
      <c r="AR322" s="430"/>
      <c r="AS322" s="430"/>
      <c r="AT322" s="430"/>
      <c r="AU322" s="430"/>
      <c r="AV322" s="430"/>
      <c r="AW322" s="430"/>
      <c r="AX322" s="430"/>
      <c r="AY322" s="430"/>
      <c r="AZ322" s="430"/>
      <c r="BA322" s="430"/>
      <c r="BB322" s="430"/>
      <c r="BC322" s="430"/>
      <c r="BD322" s="430"/>
      <c r="BE322" s="430"/>
    </row>
    <row r="323" spans="1:57" ht="15.7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430"/>
      <c r="AN323" s="430"/>
      <c r="AO323" s="430"/>
      <c r="AP323" s="430"/>
      <c r="AQ323" s="430"/>
      <c r="AR323" s="430"/>
      <c r="AS323" s="430"/>
      <c r="AT323" s="430"/>
      <c r="AU323" s="430"/>
      <c r="AV323" s="430"/>
      <c r="AW323" s="430"/>
      <c r="AX323" s="430"/>
      <c r="AY323" s="430"/>
      <c r="AZ323" s="430"/>
      <c r="BA323" s="430"/>
      <c r="BB323" s="430"/>
      <c r="BC323" s="430"/>
      <c r="BD323" s="430"/>
      <c r="BE323" s="430"/>
    </row>
    <row r="324" spans="1:57" ht="15.7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430"/>
      <c r="AN324" s="430"/>
      <c r="AO324" s="430"/>
      <c r="AP324" s="430"/>
      <c r="AQ324" s="430"/>
      <c r="AR324" s="430"/>
      <c r="AS324" s="430"/>
      <c r="AT324" s="430"/>
      <c r="AU324" s="430"/>
      <c r="AV324" s="430"/>
      <c r="AW324" s="430"/>
      <c r="AX324" s="430"/>
      <c r="AY324" s="430"/>
      <c r="AZ324" s="430"/>
      <c r="BA324" s="430"/>
      <c r="BB324" s="430"/>
      <c r="BC324" s="430"/>
      <c r="BD324" s="430"/>
      <c r="BE324" s="430"/>
    </row>
    <row r="325" spans="1:57" ht="15.7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430"/>
      <c r="AN325" s="430"/>
      <c r="AO325" s="430"/>
      <c r="AP325" s="430"/>
      <c r="AQ325" s="430"/>
      <c r="AR325" s="430"/>
      <c r="AS325" s="430"/>
      <c r="AT325" s="430"/>
      <c r="AU325" s="430"/>
      <c r="AV325" s="430"/>
      <c r="AW325" s="430"/>
      <c r="AX325" s="430"/>
      <c r="AY325" s="430"/>
      <c r="AZ325" s="430"/>
      <c r="BA325" s="430"/>
      <c r="BB325" s="430"/>
      <c r="BC325" s="430"/>
      <c r="BD325" s="430"/>
      <c r="BE325" s="430"/>
    </row>
    <row r="326" spans="1:57" ht="15.7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430"/>
      <c r="AN326" s="430"/>
      <c r="AO326" s="430"/>
      <c r="AP326" s="430"/>
      <c r="AQ326" s="430"/>
      <c r="AR326" s="430"/>
      <c r="AS326" s="430"/>
      <c r="AT326" s="430"/>
      <c r="AU326" s="430"/>
      <c r="AV326" s="430"/>
      <c r="AW326" s="430"/>
      <c r="AX326" s="430"/>
      <c r="AY326" s="430"/>
      <c r="AZ326" s="430"/>
      <c r="BA326" s="430"/>
      <c r="BB326" s="430"/>
      <c r="BC326" s="430"/>
      <c r="BD326" s="430"/>
      <c r="BE326" s="430"/>
    </row>
    <row r="327" spans="1:57" ht="15.7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430"/>
      <c r="AN327" s="430"/>
      <c r="AO327" s="430"/>
      <c r="AP327" s="430"/>
      <c r="AQ327" s="430"/>
      <c r="AR327" s="430"/>
      <c r="AS327" s="430"/>
      <c r="AT327" s="430"/>
      <c r="AU327" s="430"/>
      <c r="AV327" s="430"/>
      <c r="AW327" s="430"/>
      <c r="AX327" s="430"/>
      <c r="AY327" s="430"/>
      <c r="AZ327" s="430"/>
      <c r="BA327" s="430"/>
      <c r="BB327" s="430"/>
      <c r="BC327" s="430"/>
      <c r="BD327" s="430"/>
      <c r="BE327" s="430"/>
    </row>
    <row r="328" spans="1:57" ht="15.7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430"/>
      <c r="AN328" s="430"/>
      <c r="AO328" s="430"/>
      <c r="AP328" s="430"/>
      <c r="AQ328" s="430"/>
      <c r="AR328" s="430"/>
      <c r="AS328" s="430"/>
      <c r="AT328" s="430"/>
      <c r="AU328" s="430"/>
      <c r="AV328" s="430"/>
      <c r="AW328" s="430"/>
      <c r="AX328" s="430"/>
      <c r="AY328" s="430"/>
      <c r="AZ328" s="430"/>
      <c r="BA328" s="430"/>
      <c r="BB328" s="430"/>
      <c r="BC328" s="430"/>
      <c r="BD328" s="430"/>
      <c r="BE328" s="430"/>
    </row>
    <row r="329" spans="1:57" ht="15.75"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430"/>
      <c r="AN329" s="430"/>
      <c r="AO329" s="430"/>
      <c r="AP329" s="430"/>
      <c r="AQ329" s="430"/>
      <c r="AR329" s="430"/>
      <c r="AS329" s="430"/>
      <c r="AT329" s="430"/>
      <c r="AU329" s="430"/>
      <c r="AV329" s="430"/>
      <c r="AW329" s="430"/>
      <c r="AX329" s="430"/>
      <c r="AY329" s="430"/>
      <c r="AZ329" s="430"/>
      <c r="BA329" s="430"/>
      <c r="BB329" s="430"/>
      <c r="BC329" s="430"/>
      <c r="BD329" s="430"/>
      <c r="BE329" s="430"/>
    </row>
    <row r="330" spans="1:57" ht="15.75" customHeight="1">
      <c r="A330" s="430"/>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430"/>
      <c r="AN330" s="430"/>
      <c r="AO330" s="430"/>
      <c r="AP330" s="430"/>
      <c r="AQ330" s="430"/>
      <c r="AR330" s="430"/>
      <c r="AS330" s="430"/>
      <c r="AT330" s="430"/>
      <c r="AU330" s="430"/>
      <c r="AV330" s="430"/>
      <c r="AW330" s="430"/>
      <c r="AX330" s="430"/>
      <c r="AY330" s="430"/>
      <c r="AZ330" s="430"/>
      <c r="BA330" s="430"/>
      <c r="BB330" s="430"/>
      <c r="BC330" s="430"/>
      <c r="BD330" s="430"/>
      <c r="BE330" s="430"/>
    </row>
    <row r="331" spans="1:57" ht="15.7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430"/>
      <c r="AN331" s="430"/>
      <c r="AO331" s="430"/>
      <c r="AP331" s="430"/>
      <c r="AQ331" s="430"/>
      <c r="AR331" s="430"/>
      <c r="AS331" s="430"/>
      <c r="AT331" s="430"/>
      <c r="AU331" s="430"/>
      <c r="AV331" s="430"/>
      <c r="AW331" s="430"/>
      <c r="AX331" s="430"/>
      <c r="AY331" s="430"/>
      <c r="AZ331" s="430"/>
      <c r="BA331" s="430"/>
      <c r="BB331" s="430"/>
      <c r="BC331" s="430"/>
      <c r="BD331" s="430"/>
      <c r="BE331" s="430"/>
    </row>
    <row r="332" spans="1:57" ht="15.7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430"/>
      <c r="AN332" s="430"/>
      <c r="AO332" s="430"/>
      <c r="AP332" s="430"/>
      <c r="AQ332" s="430"/>
      <c r="AR332" s="430"/>
      <c r="AS332" s="430"/>
      <c r="AT332" s="430"/>
      <c r="AU332" s="430"/>
      <c r="AV332" s="430"/>
      <c r="AW332" s="430"/>
      <c r="AX332" s="430"/>
      <c r="AY332" s="430"/>
      <c r="AZ332" s="430"/>
      <c r="BA332" s="430"/>
      <c r="BB332" s="430"/>
      <c r="BC332" s="430"/>
      <c r="BD332" s="430"/>
      <c r="BE332" s="430"/>
    </row>
    <row r="333" spans="1:57" ht="15.7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430"/>
      <c r="AN333" s="430"/>
      <c r="AO333" s="430"/>
      <c r="AP333" s="430"/>
      <c r="AQ333" s="430"/>
      <c r="AR333" s="430"/>
      <c r="AS333" s="430"/>
      <c r="AT333" s="430"/>
      <c r="AU333" s="430"/>
      <c r="AV333" s="430"/>
      <c r="AW333" s="430"/>
      <c r="AX333" s="430"/>
      <c r="AY333" s="430"/>
      <c r="AZ333" s="430"/>
      <c r="BA333" s="430"/>
      <c r="BB333" s="430"/>
      <c r="BC333" s="430"/>
      <c r="BD333" s="430"/>
      <c r="BE333" s="430"/>
    </row>
    <row r="334" spans="1:57" ht="15.7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0"/>
      <c r="AY334" s="430"/>
      <c r="AZ334" s="430"/>
      <c r="BA334" s="430"/>
      <c r="BB334" s="430"/>
      <c r="BC334" s="430"/>
      <c r="BD334" s="430"/>
      <c r="BE334" s="430"/>
    </row>
    <row r="335" spans="1:57" ht="15.7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430"/>
      <c r="AN335" s="430"/>
      <c r="AO335" s="430"/>
      <c r="AP335" s="430"/>
      <c r="AQ335" s="430"/>
      <c r="AR335" s="430"/>
      <c r="AS335" s="430"/>
      <c r="AT335" s="430"/>
      <c r="AU335" s="430"/>
      <c r="AV335" s="430"/>
      <c r="AW335" s="430"/>
      <c r="AX335" s="430"/>
      <c r="AY335" s="430"/>
      <c r="AZ335" s="430"/>
      <c r="BA335" s="430"/>
      <c r="BB335" s="430"/>
      <c r="BC335" s="430"/>
      <c r="BD335" s="430"/>
      <c r="BE335" s="430"/>
    </row>
    <row r="336" spans="1:57" ht="15.7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430"/>
      <c r="AN336" s="430"/>
      <c r="AO336" s="430"/>
      <c r="AP336" s="430"/>
      <c r="AQ336" s="430"/>
      <c r="AR336" s="430"/>
      <c r="AS336" s="430"/>
      <c r="AT336" s="430"/>
      <c r="AU336" s="430"/>
      <c r="AV336" s="430"/>
      <c r="AW336" s="430"/>
      <c r="AX336" s="430"/>
      <c r="AY336" s="430"/>
      <c r="AZ336" s="430"/>
      <c r="BA336" s="430"/>
      <c r="BB336" s="430"/>
      <c r="BC336" s="430"/>
      <c r="BD336" s="430"/>
      <c r="BE336" s="430"/>
    </row>
    <row r="337" spans="1:57" ht="15.7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430"/>
      <c r="AN337" s="430"/>
      <c r="AO337" s="430"/>
      <c r="AP337" s="430"/>
      <c r="AQ337" s="430"/>
      <c r="AR337" s="430"/>
      <c r="AS337" s="430"/>
      <c r="AT337" s="430"/>
      <c r="AU337" s="430"/>
      <c r="AV337" s="430"/>
      <c r="AW337" s="430"/>
      <c r="AX337" s="430"/>
      <c r="AY337" s="430"/>
      <c r="AZ337" s="430"/>
      <c r="BA337" s="430"/>
      <c r="BB337" s="430"/>
      <c r="BC337" s="430"/>
      <c r="BD337" s="430"/>
      <c r="BE337" s="430"/>
    </row>
    <row r="338" spans="1:57" ht="15.7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430"/>
      <c r="AN338" s="430"/>
      <c r="AO338" s="430"/>
      <c r="AP338" s="430"/>
      <c r="AQ338" s="430"/>
      <c r="AR338" s="430"/>
      <c r="AS338" s="430"/>
      <c r="AT338" s="430"/>
      <c r="AU338" s="430"/>
      <c r="AV338" s="430"/>
      <c r="AW338" s="430"/>
      <c r="AX338" s="430"/>
      <c r="AY338" s="430"/>
      <c r="AZ338" s="430"/>
      <c r="BA338" s="430"/>
      <c r="BB338" s="430"/>
      <c r="BC338" s="430"/>
      <c r="BD338" s="430"/>
      <c r="BE338" s="430"/>
    </row>
    <row r="339" spans="1:57" ht="15.7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c r="AN339" s="430"/>
      <c r="AO339" s="430"/>
      <c r="AP339" s="430"/>
      <c r="AQ339" s="430"/>
      <c r="AR339" s="430"/>
      <c r="AS339" s="430"/>
      <c r="AT339" s="430"/>
      <c r="AU339" s="430"/>
      <c r="AV339" s="430"/>
      <c r="AW339" s="430"/>
      <c r="AX339" s="430"/>
      <c r="AY339" s="430"/>
      <c r="AZ339" s="430"/>
      <c r="BA339" s="430"/>
      <c r="BB339" s="430"/>
      <c r="BC339" s="430"/>
      <c r="BD339" s="430"/>
      <c r="BE339" s="430"/>
    </row>
    <row r="340" spans="1:57" ht="15.7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c r="AN340" s="430"/>
      <c r="AO340" s="430"/>
      <c r="AP340" s="430"/>
      <c r="AQ340" s="430"/>
      <c r="AR340" s="430"/>
      <c r="AS340" s="430"/>
      <c r="AT340" s="430"/>
      <c r="AU340" s="430"/>
      <c r="AV340" s="430"/>
      <c r="AW340" s="430"/>
      <c r="AX340" s="430"/>
      <c r="AY340" s="430"/>
      <c r="AZ340" s="430"/>
      <c r="BA340" s="430"/>
      <c r="BB340" s="430"/>
      <c r="BC340" s="430"/>
      <c r="BD340" s="430"/>
      <c r="BE340" s="430"/>
    </row>
    <row r="341" spans="1:57" ht="15.7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430"/>
      <c r="AN341" s="430"/>
      <c r="AO341" s="430"/>
      <c r="AP341" s="430"/>
      <c r="AQ341" s="430"/>
      <c r="AR341" s="430"/>
      <c r="AS341" s="430"/>
      <c r="AT341" s="430"/>
      <c r="AU341" s="430"/>
      <c r="AV341" s="430"/>
      <c r="AW341" s="430"/>
      <c r="AX341" s="430"/>
      <c r="AY341" s="430"/>
      <c r="AZ341" s="430"/>
      <c r="BA341" s="430"/>
      <c r="BB341" s="430"/>
      <c r="BC341" s="430"/>
      <c r="BD341" s="430"/>
      <c r="BE341" s="430"/>
    </row>
    <row r="342" spans="1:57" ht="15.7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430"/>
      <c r="AN342" s="430"/>
      <c r="AO342" s="430"/>
      <c r="AP342" s="430"/>
      <c r="AQ342" s="430"/>
      <c r="AR342" s="430"/>
      <c r="AS342" s="430"/>
      <c r="AT342" s="430"/>
      <c r="AU342" s="430"/>
      <c r="AV342" s="430"/>
      <c r="AW342" s="430"/>
      <c r="AX342" s="430"/>
      <c r="AY342" s="430"/>
      <c r="AZ342" s="430"/>
      <c r="BA342" s="430"/>
      <c r="BB342" s="430"/>
      <c r="BC342" s="430"/>
      <c r="BD342" s="430"/>
      <c r="BE342" s="430"/>
    </row>
    <row r="343" spans="1:57" ht="15.7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430"/>
      <c r="AN343" s="430"/>
      <c r="AO343" s="430"/>
      <c r="AP343" s="430"/>
      <c r="AQ343" s="430"/>
      <c r="AR343" s="430"/>
      <c r="AS343" s="430"/>
      <c r="AT343" s="430"/>
      <c r="AU343" s="430"/>
      <c r="AV343" s="430"/>
      <c r="AW343" s="430"/>
      <c r="AX343" s="430"/>
      <c r="AY343" s="430"/>
      <c r="AZ343" s="430"/>
      <c r="BA343" s="430"/>
      <c r="BB343" s="430"/>
      <c r="BC343" s="430"/>
      <c r="BD343" s="430"/>
      <c r="BE343" s="430"/>
    </row>
    <row r="344" spans="1:57" ht="15.75"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430"/>
      <c r="AN344" s="430"/>
      <c r="AO344" s="430"/>
      <c r="AP344" s="430"/>
      <c r="AQ344" s="430"/>
      <c r="AR344" s="430"/>
      <c r="AS344" s="430"/>
      <c r="AT344" s="430"/>
      <c r="AU344" s="430"/>
      <c r="AV344" s="430"/>
      <c r="AW344" s="430"/>
      <c r="AX344" s="430"/>
      <c r="AY344" s="430"/>
      <c r="AZ344" s="430"/>
      <c r="BA344" s="430"/>
      <c r="BB344" s="430"/>
      <c r="BC344" s="430"/>
      <c r="BD344" s="430"/>
      <c r="BE344" s="430"/>
    </row>
    <row r="345" spans="1:57" ht="15.75" customHeight="1">
      <c r="A345" s="430"/>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430"/>
      <c r="AN345" s="430"/>
      <c r="AO345" s="430"/>
      <c r="AP345" s="430"/>
      <c r="AQ345" s="430"/>
      <c r="AR345" s="430"/>
      <c r="AS345" s="430"/>
      <c r="AT345" s="430"/>
      <c r="AU345" s="430"/>
      <c r="AV345" s="430"/>
      <c r="AW345" s="430"/>
      <c r="AX345" s="430"/>
      <c r="AY345" s="430"/>
      <c r="AZ345" s="430"/>
      <c r="BA345" s="430"/>
      <c r="BB345" s="430"/>
      <c r="BC345" s="430"/>
      <c r="BD345" s="430"/>
      <c r="BE345" s="430"/>
    </row>
    <row r="346" spans="1:57" ht="15.7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430"/>
      <c r="AN346" s="430"/>
      <c r="AO346" s="430"/>
      <c r="AP346" s="430"/>
      <c r="AQ346" s="430"/>
      <c r="AR346" s="430"/>
      <c r="AS346" s="430"/>
      <c r="AT346" s="430"/>
      <c r="AU346" s="430"/>
      <c r="AV346" s="430"/>
      <c r="AW346" s="430"/>
      <c r="AX346" s="430"/>
      <c r="AY346" s="430"/>
      <c r="AZ346" s="430"/>
      <c r="BA346" s="430"/>
      <c r="BB346" s="430"/>
      <c r="BC346" s="430"/>
      <c r="BD346" s="430"/>
      <c r="BE346" s="430"/>
    </row>
    <row r="347" spans="1:57" ht="15.7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430"/>
      <c r="AN347" s="430"/>
      <c r="AO347" s="430"/>
      <c r="AP347" s="430"/>
      <c r="AQ347" s="430"/>
      <c r="AR347" s="430"/>
      <c r="AS347" s="430"/>
      <c r="AT347" s="430"/>
      <c r="AU347" s="430"/>
      <c r="AV347" s="430"/>
      <c r="AW347" s="430"/>
      <c r="AX347" s="430"/>
      <c r="AY347" s="430"/>
      <c r="AZ347" s="430"/>
      <c r="BA347" s="430"/>
      <c r="BB347" s="430"/>
      <c r="BC347" s="430"/>
      <c r="BD347" s="430"/>
      <c r="BE347" s="430"/>
    </row>
    <row r="348" spans="1:57" ht="15.7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430"/>
      <c r="AN348" s="430"/>
      <c r="AO348" s="430"/>
      <c r="AP348" s="430"/>
      <c r="AQ348" s="430"/>
      <c r="AR348" s="430"/>
      <c r="AS348" s="430"/>
      <c r="AT348" s="430"/>
      <c r="AU348" s="430"/>
      <c r="AV348" s="430"/>
      <c r="AW348" s="430"/>
      <c r="AX348" s="430"/>
      <c r="AY348" s="430"/>
      <c r="AZ348" s="430"/>
      <c r="BA348" s="430"/>
      <c r="BB348" s="430"/>
      <c r="BC348" s="430"/>
      <c r="BD348" s="430"/>
      <c r="BE348" s="430"/>
    </row>
    <row r="349" spans="1:57" ht="15.75"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430"/>
      <c r="AN349" s="430"/>
      <c r="AO349" s="430"/>
      <c r="AP349" s="430"/>
      <c r="AQ349" s="430"/>
      <c r="AR349" s="430"/>
      <c r="AS349" s="430"/>
      <c r="AT349" s="430"/>
      <c r="AU349" s="430"/>
      <c r="AV349" s="430"/>
      <c r="AW349" s="430"/>
      <c r="AX349" s="430"/>
      <c r="AY349" s="430"/>
      <c r="AZ349" s="430"/>
      <c r="BA349" s="430"/>
      <c r="BB349" s="430"/>
      <c r="BC349" s="430"/>
      <c r="BD349" s="430"/>
      <c r="BE349" s="430"/>
    </row>
    <row r="350" spans="1:57" ht="15.7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430"/>
      <c r="AN350" s="430"/>
      <c r="AO350" s="430"/>
      <c r="AP350" s="430"/>
      <c r="AQ350" s="430"/>
      <c r="AR350" s="430"/>
      <c r="AS350" s="430"/>
      <c r="AT350" s="430"/>
      <c r="AU350" s="430"/>
      <c r="AV350" s="430"/>
      <c r="AW350" s="430"/>
      <c r="AX350" s="430"/>
      <c r="AY350" s="430"/>
      <c r="AZ350" s="430"/>
      <c r="BA350" s="430"/>
      <c r="BB350" s="430"/>
      <c r="BC350" s="430"/>
      <c r="BD350" s="430"/>
      <c r="BE350" s="430"/>
    </row>
    <row r="351" spans="1:57" ht="15.7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430"/>
      <c r="AN351" s="430"/>
      <c r="AO351" s="430"/>
      <c r="AP351" s="430"/>
      <c r="AQ351" s="430"/>
      <c r="AR351" s="430"/>
      <c r="AS351" s="430"/>
      <c r="AT351" s="430"/>
      <c r="AU351" s="430"/>
      <c r="AV351" s="430"/>
      <c r="AW351" s="430"/>
      <c r="AX351" s="430"/>
      <c r="AY351" s="430"/>
      <c r="AZ351" s="430"/>
      <c r="BA351" s="430"/>
      <c r="BB351" s="430"/>
      <c r="BC351" s="430"/>
      <c r="BD351" s="430"/>
      <c r="BE351" s="430"/>
    </row>
    <row r="352" spans="1:57" ht="15.7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430"/>
      <c r="AN352" s="430"/>
      <c r="AO352" s="430"/>
      <c r="AP352" s="430"/>
      <c r="AQ352" s="430"/>
      <c r="AR352" s="430"/>
      <c r="AS352" s="430"/>
      <c r="AT352" s="430"/>
      <c r="AU352" s="430"/>
      <c r="AV352" s="430"/>
      <c r="AW352" s="430"/>
      <c r="AX352" s="430"/>
      <c r="AY352" s="430"/>
      <c r="AZ352" s="430"/>
      <c r="BA352" s="430"/>
      <c r="BB352" s="430"/>
      <c r="BC352" s="430"/>
      <c r="BD352" s="430"/>
      <c r="BE352" s="430"/>
    </row>
    <row r="353" spans="1:57" ht="15.7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430"/>
      <c r="AN353" s="430"/>
      <c r="AO353" s="430"/>
      <c r="AP353" s="430"/>
      <c r="AQ353" s="430"/>
      <c r="AR353" s="430"/>
      <c r="AS353" s="430"/>
      <c r="AT353" s="430"/>
      <c r="AU353" s="430"/>
      <c r="AV353" s="430"/>
      <c r="AW353" s="430"/>
      <c r="AX353" s="430"/>
      <c r="AY353" s="430"/>
      <c r="AZ353" s="430"/>
      <c r="BA353" s="430"/>
      <c r="BB353" s="430"/>
      <c r="BC353" s="430"/>
      <c r="BD353" s="430"/>
      <c r="BE353" s="430"/>
    </row>
    <row r="354" spans="1:57" ht="15.7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430"/>
      <c r="AN354" s="430"/>
      <c r="AO354" s="430"/>
      <c r="AP354" s="430"/>
      <c r="AQ354" s="430"/>
      <c r="AR354" s="430"/>
      <c r="AS354" s="430"/>
      <c r="AT354" s="430"/>
      <c r="AU354" s="430"/>
      <c r="AV354" s="430"/>
      <c r="AW354" s="430"/>
      <c r="AX354" s="430"/>
      <c r="AY354" s="430"/>
      <c r="AZ354" s="430"/>
      <c r="BA354" s="430"/>
      <c r="BB354" s="430"/>
      <c r="BC354" s="430"/>
      <c r="BD354" s="430"/>
      <c r="BE354" s="430"/>
    </row>
    <row r="355" spans="1:57" ht="15.7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430"/>
      <c r="AN355" s="430"/>
      <c r="AO355" s="430"/>
      <c r="AP355" s="430"/>
      <c r="AQ355" s="430"/>
      <c r="AR355" s="430"/>
      <c r="AS355" s="430"/>
      <c r="AT355" s="430"/>
      <c r="AU355" s="430"/>
      <c r="AV355" s="430"/>
      <c r="AW355" s="430"/>
      <c r="AX355" s="430"/>
      <c r="AY355" s="430"/>
      <c r="AZ355" s="430"/>
      <c r="BA355" s="430"/>
      <c r="BB355" s="430"/>
      <c r="BC355" s="430"/>
      <c r="BD355" s="430"/>
      <c r="BE355" s="430"/>
    </row>
    <row r="356" spans="1:57" ht="15.7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430"/>
      <c r="AN356" s="430"/>
      <c r="AO356" s="430"/>
      <c r="AP356" s="430"/>
      <c r="AQ356" s="430"/>
      <c r="AR356" s="430"/>
      <c r="AS356" s="430"/>
      <c r="AT356" s="430"/>
      <c r="AU356" s="430"/>
      <c r="AV356" s="430"/>
      <c r="AW356" s="430"/>
      <c r="AX356" s="430"/>
      <c r="AY356" s="430"/>
      <c r="AZ356" s="430"/>
      <c r="BA356" s="430"/>
      <c r="BB356" s="430"/>
      <c r="BC356" s="430"/>
      <c r="BD356" s="430"/>
      <c r="BE356" s="430"/>
    </row>
    <row r="357" spans="1:57" ht="15.7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430"/>
      <c r="AN357" s="430"/>
      <c r="AO357" s="430"/>
      <c r="AP357" s="430"/>
      <c r="AQ357" s="430"/>
      <c r="AR357" s="430"/>
      <c r="AS357" s="430"/>
      <c r="AT357" s="430"/>
      <c r="AU357" s="430"/>
      <c r="AV357" s="430"/>
      <c r="AW357" s="430"/>
      <c r="AX357" s="430"/>
      <c r="AY357" s="430"/>
      <c r="AZ357" s="430"/>
      <c r="BA357" s="430"/>
      <c r="BB357" s="430"/>
      <c r="BC357" s="430"/>
      <c r="BD357" s="430"/>
      <c r="BE357" s="430"/>
    </row>
    <row r="358" spans="1:57" ht="15.75" customHeight="1">
      <c r="A358" s="430"/>
      <c r="B358" s="430"/>
      <c r="C358" s="430"/>
      <c r="D358" s="430"/>
      <c r="E358" s="430"/>
      <c r="F358" s="430"/>
      <c r="G358" s="430"/>
      <c r="H358" s="430"/>
      <c r="I358" s="430"/>
      <c r="J358" s="430"/>
      <c r="K358" s="430"/>
      <c r="L358" s="430"/>
      <c r="M358" s="430"/>
      <c r="N358" s="430"/>
      <c r="O358" s="430"/>
      <c r="P358" s="430"/>
      <c r="Q358" s="430"/>
      <c r="R358" s="430"/>
      <c r="S358" s="430"/>
      <c r="T358" s="430"/>
      <c r="U358" s="430"/>
      <c r="V358" s="430"/>
      <c r="W358" s="430"/>
      <c r="X358" s="430"/>
      <c r="Y358" s="430"/>
      <c r="Z358" s="430"/>
      <c r="AA358" s="430"/>
      <c r="AB358" s="430"/>
      <c r="AC358" s="430"/>
      <c r="AD358" s="430"/>
      <c r="AE358" s="430"/>
      <c r="AF358" s="430"/>
      <c r="AG358" s="430"/>
      <c r="AH358" s="430"/>
      <c r="AI358" s="430"/>
      <c r="AJ358" s="430"/>
      <c r="AK358" s="430"/>
      <c r="AL358" s="430"/>
      <c r="AM358" s="430"/>
      <c r="AN358" s="430"/>
      <c r="AO358" s="430"/>
      <c r="AP358" s="430"/>
      <c r="AQ358" s="430"/>
      <c r="AR358" s="430"/>
      <c r="AS358" s="430"/>
      <c r="AT358" s="430"/>
      <c r="AU358" s="430"/>
      <c r="AV358" s="430"/>
      <c r="AW358" s="430"/>
      <c r="AX358" s="430"/>
      <c r="AY358" s="430"/>
      <c r="AZ358" s="430"/>
      <c r="BA358" s="430"/>
      <c r="BB358" s="430"/>
      <c r="BC358" s="430"/>
      <c r="BD358" s="430"/>
      <c r="BE358" s="430"/>
    </row>
    <row r="359" spans="1:57" ht="15.75" customHeight="1">
      <c r="A359" s="430"/>
      <c r="B359" s="430"/>
      <c r="C359" s="430"/>
      <c r="D359" s="430"/>
      <c r="E359" s="430"/>
      <c r="F359" s="430"/>
      <c r="G359" s="430"/>
      <c r="H359" s="430"/>
      <c r="I359" s="430"/>
      <c r="J359" s="430"/>
      <c r="K359" s="430"/>
      <c r="L359" s="430"/>
      <c r="M359" s="430"/>
      <c r="N359" s="430"/>
      <c r="O359" s="430"/>
      <c r="P359" s="430"/>
      <c r="Q359" s="430"/>
      <c r="R359" s="430"/>
      <c r="S359" s="430"/>
      <c r="T359" s="430"/>
      <c r="U359" s="430"/>
      <c r="V359" s="430"/>
      <c r="W359" s="430"/>
      <c r="X359" s="430"/>
      <c r="Y359" s="430"/>
      <c r="Z359" s="430"/>
      <c r="AA359" s="430"/>
      <c r="AB359" s="430"/>
      <c r="AC359" s="430"/>
      <c r="AD359" s="430"/>
      <c r="AE359" s="430"/>
      <c r="AF359" s="430"/>
      <c r="AG359" s="430"/>
      <c r="AH359" s="430"/>
      <c r="AI359" s="430"/>
      <c r="AJ359" s="430"/>
      <c r="AK359" s="430"/>
      <c r="AL359" s="430"/>
      <c r="AM359" s="430"/>
      <c r="AN359" s="430"/>
      <c r="AO359" s="430"/>
      <c r="AP359" s="430"/>
      <c r="AQ359" s="430"/>
      <c r="AR359" s="430"/>
      <c r="AS359" s="430"/>
      <c r="AT359" s="430"/>
      <c r="AU359" s="430"/>
      <c r="AV359" s="430"/>
      <c r="AW359" s="430"/>
      <c r="AX359" s="430"/>
      <c r="AY359" s="430"/>
      <c r="AZ359" s="430"/>
      <c r="BA359" s="430"/>
      <c r="BB359" s="430"/>
      <c r="BC359" s="430"/>
      <c r="BD359" s="430"/>
      <c r="BE359" s="430"/>
    </row>
    <row r="360" spans="1:57" ht="15.75" customHeight="1">
      <c r="A360" s="430"/>
      <c r="B360" s="430"/>
      <c r="C360" s="430"/>
      <c r="D360" s="430"/>
      <c r="E360" s="430"/>
      <c r="F360" s="430"/>
      <c r="G360" s="430"/>
      <c r="H360" s="430"/>
      <c r="I360" s="430"/>
      <c r="J360" s="430"/>
      <c r="K360" s="430"/>
      <c r="L360" s="430"/>
      <c r="M360" s="430"/>
      <c r="N360" s="430"/>
      <c r="O360" s="430"/>
      <c r="P360" s="430"/>
      <c r="Q360" s="430"/>
      <c r="R360" s="430"/>
      <c r="S360" s="430"/>
      <c r="T360" s="430"/>
      <c r="U360" s="430"/>
      <c r="V360" s="430"/>
      <c r="W360" s="430"/>
      <c r="X360" s="430"/>
      <c r="Y360" s="430"/>
      <c r="Z360" s="430"/>
      <c r="AA360" s="430"/>
      <c r="AB360" s="430"/>
      <c r="AC360" s="430"/>
      <c r="AD360" s="430"/>
      <c r="AE360" s="430"/>
      <c r="AF360" s="430"/>
      <c r="AG360" s="430"/>
      <c r="AH360" s="430"/>
      <c r="AI360" s="430"/>
      <c r="AJ360" s="430"/>
      <c r="AK360" s="430"/>
      <c r="AL360" s="430"/>
      <c r="AM360" s="430"/>
      <c r="AN360" s="430"/>
      <c r="AO360" s="430"/>
      <c r="AP360" s="430"/>
      <c r="AQ360" s="430"/>
      <c r="AR360" s="430"/>
      <c r="AS360" s="430"/>
      <c r="AT360" s="430"/>
      <c r="AU360" s="430"/>
      <c r="AV360" s="430"/>
      <c r="AW360" s="430"/>
      <c r="AX360" s="430"/>
      <c r="AY360" s="430"/>
      <c r="AZ360" s="430"/>
      <c r="BA360" s="430"/>
      <c r="BB360" s="430"/>
      <c r="BC360" s="430"/>
      <c r="BD360" s="430"/>
      <c r="BE360" s="430"/>
    </row>
    <row r="361" spans="1:57" ht="15.75" customHeight="1">
      <c r="A361" s="430"/>
      <c r="B361" s="430"/>
      <c r="C361" s="430"/>
      <c r="D361" s="430"/>
      <c r="E361" s="430"/>
      <c r="F361" s="430"/>
      <c r="G361" s="430"/>
      <c r="H361" s="430"/>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430"/>
      <c r="AL361" s="430"/>
      <c r="AM361" s="430"/>
      <c r="AN361" s="430"/>
      <c r="AO361" s="430"/>
      <c r="AP361" s="430"/>
      <c r="AQ361" s="430"/>
      <c r="AR361" s="430"/>
      <c r="AS361" s="430"/>
      <c r="AT361" s="430"/>
      <c r="AU361" s="430"/>
      <c r="AV361" s="430"/>
      <c r="AW361" s="430"/>
      <c r="AX361" s="430"/>
      <c r="AY361" s="430"/>
      <c r="AZ361" s="430"/>
      <c r="BA361" s="430"/>
      <c r="BB361" s="430"/>
      <c r="BC361" s="430"/>
      <c r="BD361" s="430"/>
      <c r="BE361" s="430"/>
    </row>
    <row r="362" spans="1:57" ht="15.75" customHeight="1">
      <c r="A362" s="430"/>
      <c r="B362" s="430"/>
      <c r="C362" s="430"/>
      <c r="D362" s="430"/>
      <c r="E362" s="430"/>
      <c r="F362" s="430"/>
      <c r="G362" s="430"/>
      <c r="H362" s="430"/>
      <c r="I362" s="430"/>
      <c r="J362" s="430"/>
      <c r="K362" s="430"/>
      <c r="L362" s="430"/>
      <c r="M362" s="430"/>
      <c r="N362" s="430"/>
      <c r="O362" s="430"/>
      <c r="P362" s="430"/>
      <c r="Q362" s="430"/>
      <c r="R362" s="430"/>
      <c r="S362" s="430"/>
      <c r="T362" s="430"/>
      <c r="U362" s="430"/>
      <c r="V362" s="430"/>
      <c r="W362" s="430"/>
      <c r="X362" s="430"/>
      <c r="Y362" s="430"/>
      <c r="Z362" s="430"/>
      <c r="AA362" s="430"/>
      <c r="AB362" s="430"/>
      <c r="AC362" s="430"/>
      <c r="AD362" s="430"/>
      <c r="AE362" s="430"/>
      <c r="AF362" s="430"/>
      <c r="AG362" s="430"/>
      <c r="AH362" s="430"/>
      <c r="AI362" s="430"/>
      <c r="AJ362" s="430"/>
      <c r="AK362" s="430"/>
      <c r="AL362" s="430"/>
      <c r="AM362" s="430"/>
      <c r="AN362" s="430"/>
      <c r="AO362" s="430"/>
      <c r="AP362" s="430"/>
      <c r="AQ362" s="430"/>
      <c r="AR362" s="430"/>
      <c r="AS362" s="430"/>
      <c r="AT362" s="430"/>
      <c r="AU362" s="430"/>
      <c r="AV362" s="430"/>
      <c r="AW362" s="430"/>
      <c r="AX362" s="430"/>
      <c r="AY362" s="430"/>
      <c r="AZ362" s="430"/>
      <c r="BA362" s="430"/>
      <c r="BB362" s="430"/>
      <c r="BC362" s="430"/>
      <c r="BD362" s="430"/>
      <c r="BE362" s="430"/>
    </row>
    <row r="363" spans="1:57" ht="15.75" customHeight="1">
      <c r="A363" s="430"/>
      <c r="B363" s="430"/>
      <c r="C363" s="430"/>
      <c r="D363" s="430"/>
      <c r="E363" s="430"/>
      <c r="F363" s="430"/>
      <c r="G363" s="430"/>
      <c r="H363" s="430"/>
      <c r="I363" s="430"/>
      <c r="J363" s="430"/>
      <c r="K363" s="430"/>
      <c r="L363" s="430"/>
      <c r="M363" s="430"/>
      <c r="N363" s="430"/>
      <c r="O363" s="430"/>
      <c r="P363" s="430"/>
      <c r="Q363" s="430"/>
      <c r="R363" s="430"/>
      <c r="S363" s="430"/>
      <c r="T363" s="430"/>
      <c r="U363" s="430"/>
      <c r="V363" s="430"/>
      <c r="W363" s="430"/>
      <c r="X363" s="430"/>
      <c r="Y363" s="430"/>
      <c r="Z363" s="430"/>
      <c r="AA363" s="430"/>
      <c r="AB363" s="430"/>
      <c r="AC363" s="430"/>
      <c r="AD363" s="430"/>
      <c r="AE363" s="430"/>
      <c r="AF363" s="430"/>
      <c r="AG363" s="430"/>
      <c r="AH363" s="430"/>
      <c r="AI363" s="430"/>
      <c r="AJ363" s="430"/>
      <c r="AK363" s="430"/>
      <c r="AL363" s="430"/>
      <c r="AM363" s="430"/>
      <c r="AN363" s="430"/>
      <c r="AO363" s="430"/>
      <c r="AP363" s="430"/>
      <c r="AQ363" s="430"/>
      <c r="AR363" s="430"/>
      <c r="AS363" s="430"/>
      <c r="AT363" s="430"/>
      <c r="AU363" s="430"/>
      <c r="AV363" s="430"/>
      <c r="AW363" s="430"/>
      <c r="AX363" s="430"/>
      <c r="AY363" s="430"/>
      <c r="AZ363" s="430"/>
      <c r="BA363" s="430"/>
      <c r="BB363" s="430"/>
      <c r="BC363" s="430"/>
      <c r="BD363" s="430"/>
      <c r="BE363" s="430"/>
    </row>
    <row r="364" spans="1:57" ht="15.75" customHeight="1">
      <c r="A364" s="430"/>
      <c r="B364" s="430"/>
      <c r="C364" s="430"/>
      <c r="D364" s="430"/>
      <c r="E364" s="430"/>
      <c r="F364" s="430"/>
      <c r="G364" s="430"/>
      <c r="H364" s="430"/>
      <c r="I364" s="430"/>
      <c r="J364" s="430"/>
      <c r="K364" s="430"/>
      <c r="L364" s="430"/>
      <c r="M364" s="430"/>
      <c r="N364" s="430"/>
      <c r="O364" s="430"/>
      <c r="P364" s="430"/>
      <c r="Q364" s="430"/>
      <c r="R364" s="430"/>
      <c r="S364" s="430"/>
      <c r="T364" s="430"/>
      <c r="U364" s="430"/>
      <c r="V364" s="430"/>
      <c r="W364" s="430"/>
      <c r="X364" s="430"/>
      <c r="Y364" s="430"/>
      <c r="Z364" s="430"/>
      <c r="AA364" s="430"/>
      <c r="AB364" s="430"/>
      <c r="AC364" s="430"/>
      <c r="AD364" s="430"/>
      <c r="AE364" s="430"/>
      <c r="AF364" s="430"/>
      <c r="AG364" s="430"/>
      <c r="AH364" s="430"/>
      <c r="AI364" s="430"/>
      <c r="AJ364" s="430"/>
      <c r="AK364" s="430"/>
      <c r="AL364" s="430"/>
      <c r="AM364" s="430"/>
      <c r="AN364" s="430"/>
      <c r="AO364" s="430"/>
      <c r="AP364" s="430"/>
      <c r="AQ364" s="430"/>
      <c r="AR364" s="430"/>
      <c r="AS364" s="430"/>
      <c r="AT364" s="430"/>
      <c r="AU364" s="430"/>
      <c r="AV364" s="430"/>
      <c r="AW364" s="430"/>
      <c r="AX364" s="430"/>
      <c r="AY364" s="430"/>
      <c r="AZ364" s="430"/>
      <c r="BA364" s="430"/>
      <c r="BB364" s="430"/>
      <c r="BC364" s="430"/>
      <c r="BD364" s="430"/>
      <c r="BE364" s="430"/>
    </row>
    <row r="365" spans="1:57" ht="15.75" customHeight="1">
      <c r="A365" s="430"/>
      <c r="B365" s="430"/>
      <c r="C365" s="430"/>
      <c r="D365" s="430"/>
      <c r="E365" s="430"/>
      <c r="F365" s="430"/>
      <c r="G365" s="430"/>
      <c r="H365" s="430"/>
      <c r="I365" s="430"/>
      <c r="J365" s="430"/>
      <c r="K365" s="430"/>
      <c r="L365" s="430"/>
      <c r="M365" s="430"/>
      <c r="N365" s="430"/>
      <c r="O365" s="430"/>
      <c r="P365" s="430"/>
      <c r="Q365" s="430"/>
      <c r="R365" s="430"/>
      <c r="S365" s="430"/>
      <c r="T365" s="430"/>
      <c r="U365" s="430"/>
      <c r="V365" s="430"/>
      <c r="W365" s="430"/>
      <c r="X365" s="430"/>
      <c r="Y365" s="430"/>
      <c r="Z365" s="430"/>
      <c r="AA365" s="430"/>
      <c r="AB365" s="430"/>
      <c r="AC365" s="430"/>
      <c r="AD365" s="430"/>
      <c r="AE365" s="430"/>
      <c r="AF365" s="430"/>
      <c r="AG365" s="430"/>
      <c r="AH365" s="430"/>
      <c r="AI365" s="430"/>
      <c r="AJ365" s="430"/>
      <c r="AK365" s="430"/>
      <c r="AL365" s="430"/>
      <c r="AM365" s="430"/>
      <c r="AN365" s="430"/>
      <c r="AO365" s="430"/>
      <c r="AP365" s="430"/>
      <c r="AQ365" s="430"/>
      <c r="AR365" s="430"/>
      <c r="AS365" s="430"/>
      <c r="AT365" s="430"/>
      <c r="AU365" s="430"/>
      <c r="AV365" s="430"/>
      <c r="AW365" s="430"/>
      <c r="AX365" s="430"/>
      <c r="AY365" s="430"/>
      <c r="AZ365" s="430"/>
      <c r="BA365" s="430"/>
      <c r="BB365" s="430"/>
      <c r="BC365" s="430"/>
      <c r="BD365" s="430"/>
      <c r="BE365" s="430"/>
    </row>
    <row r="366" spans="1:57" ht="15.75" customHeight="1">
      <c r="A366" s="430"/>
      <c r="B366" s="430"/>
      <c r="C366" s="430"/>
      <c r="D366" s="430"/>
      <c r="E366" s="430"/>
      <c r="F366" s="430"/>
      <c r="G366" s="430"/>
      <c r="H366" s="430"/>
      <c r="I366" s="430"/>
      <c r="J366" s="430"/>
      <c r="K366" s="430"/>
      <c r="L366" s="430"/>
      <c r="M366" s="430"/>
      <c r="N366" s="430"/>
      <c r="O366" s="430"/>
      <c r="P366" s="430"/>
      <c r="Q366" s="430"/>
      <c r="R366" s="430"/>
      <c r="S366" s="430"/>
      <c r="T366" s="430"/>
      <c r="U366" s="430"/>
      <c r="V366" s="430"/>
      <c r="W366" s="430"/>
      <c r="X366" s="430"/>
      <c r="Y366" s="430"/>
      <c r="Z366" s="430"/>
      <c r="AA366" s="430"/>
      <c r="AB366" s="430"/>
      <c r="AC366" s="430"/>
      <c r="AD366" s="430"/>
      <c r="AE366" s="430"/>
      <c r="AF366" s="430"/>
      <c r="AG366" s="430"/>
      <c r="AH366" s="430"/>
      <c r="AI366" s="430"/>
      <c r="AJ366" s="430"/>
      <c r="AK366" s="430"/>
      <c r="AL366" s="430"/>
      <c r="AM366" s="430"/>
      <c r="AN366" s="430"/>
      <c r="AO366" s="430"/>
      <c r="AP366" s="430"/>
      <c r="AQ366" s="430"/>
      <c r="AR366" s="430"/>
      <c r="AS366" s="430"/>
      <c r="AT366" s="430"/>
      <c r="AU366" s="430"/>
      <c r="AV366" s="430"/>
      <c r="AW366" s="430"/>
      <c r="AX366" s="430"/>
      <c r="AY366" s="430"/>
      <c r="AZ366" s="430"/>
      <c r="BA366" s="430"/>
      <c r="BB366" s="430"/>
      <c r="BC366" s="430"/>
      <c r="BD366" s="430"/>
      <c r="BE366" s="430"/>
    </row>
    <row r="367" spans="1:57" ht="15.75" customHeight="1">
      <c r="A367" s="430"/>
      <c r="B367" s="430"/>
      <c r="C367" s="430"/>
      <c r="D367" s="430"/>
      <c r="E367" s="430"/>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0"/>
      <c r="AY367" s="430"/>
      <c r="AZ367" s="430"/>
      <c r="BA367" s="430"/>
      <c r="BB367" s="430"/>
      <c r="BC367" s="430"/>
      <c r="BD367" s="430"/>
      <c r="BE367" s="430"/>
    </row>
    <row r="368" spans="1:57" ht="15.75" customHeight="1">
      <c r="A368" s="430"/>
      <c r="B368" s="430"/>
      <c r="C368" s="430"/>
      <c r="D368" s="430"/>
      <c r="E368" s="430"/>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30"/>
      <c r="AY368" s="430"/>
      <c r="AZ368" s="430"/>
      <c r="BA368" s="430"/>
      <c r="BB368" s="430"/>
      <c r="BC368" s="430"/>
      <c r="BD368" s="430"/>
      <c r="BE368" s="430"/>
    </row>
    <row r="369" spans="1:57" ht="15.75" customHeight="1">
      <c r="A369" s="430"/>
      <c r="B369" s="430"/>
      <c r="C369" s="430"/>
      <c r="D369" s="430"/>
      <c r="E369" s="430"/>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30"/>
      <c r="AY369" s="430"/>
      <c r="AZ369" s="430"/>
      <c r="BA369" s="430"/>
      <c r="BB369" s="430"/>
      <c r="BC369" s="430"/>
      <c r="BD369" s="430"/>
      <c r="BE369" s="430"/>
    </row>
    <row r="370" spans="1:57" ht="15.75" customHeight="1">
      <c r="A370" s="430"/>
      <c r="B370" s="430"/>
      <c r="C370" s="430"/>
      <c r="D370" s="430"/>
      <c r="E370" s="430"/>
      <c r="F370" s="430"/>
      <c r="G370" s="430"/>
      <c r="H370" s="430"/>
      <c r="I370" s="430"/>
      <c r="J370" s="430"/>
      <c r="K370" s="430"/>
      <c r="L370" s="430"/>
      <c r="M370" s="430"/>
      <c r="N370" s="430"/>
      <c r="O370" s="430"/>
      <c r="P370" s="430"/>
      <c r="Q370" s="430"/>
      <c r="R370" s="430"/>
      <c r="S370" s="430"/>
      <c r="T370" s="430"/>
      <c r="U370" s="430"/>
      <c r="V370" s="430"/>
      <c r="W370" s="430"/>
      <c r="X370" s="430"/>
      <c r="Y370" s="430"/>
      <c r="Z370" s="430"/>
      <c r="AA370" s="430"/>
      <c r="AB370" s="430"/>
      <c r="AC370" s="430"/>
      <c r="AD370" s="430"/>
      <c r="AE370" s="430"/>
      <c r="AF370" s="430"/>
      <c r="AG370" s="430"/>
      <c r="AH370" s="430"/>
      <c r="AI370" s="430"/>
      <c r="AJ370" s="430"/>
      <c r="AK370" s="430"/>
      <c r="AL370" s="430"/>
      <c r="AM370" s="430"/>
      <c r="AN370" s="430"/>
      <c r="AO370" s="430"/>
      <c r="AP370" s="430"/>
      <c r="AQ370" s="430"/>
      <c r="AR370" s="430"/>
      <c r="AS370" s="430"/>
      <c r="AT370" s="430"/>
      <c r="AU370" s="430"/>
      <c r="AV370" s="430"/>
      <c r="AW370" s="430"/>
      <c r="AX370" s="430"/>
      <c r="AY370" s="430"/>
      <c r="AZ370" s="430"/>
      <c r="BA370" s="430"/>
      <c r="BB370" s="430"/>
      <c r="BC370" s="430"/>
      <c r="BD370" s="430"/>
      <c r="BE370" s="430"/>
    </row>
    <row r="371" spans="1:57" ht="15.75" customHeight="1">
      <c r="A371" s="430"/>
      <c r="B371" s="430"/>
      <c r="C371" s="430"/>
      <c r="D371" s="430"/>
      <c r="E371" s="430"/>
      <c r="F371" s="430"/>
      <c r="G371" s="430"/>
      <c r="H371" s="430"/>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c r="AN371" s="430"/>
      <c r="AO371" s="430"/>
      <c r="AP371" s="430"/>
      <c r="AQ371" s="430"/>
      <c r="AR371" s="430"/>
      <c r="AS371" s="430"/>
      <c r="AT371" s="430"/>
      <c r="AU371" s="430"/>
      <c r="AV371" s="430"/>
      <c r="AW371" s="430"/>
      <c r="AX371" s="430"/>
      <c r="AY371" s="430"/>
      <c r="AZ371" s="430"/>
      <c r="BA371" s="430"/>
      <c r="BB371" s="430"/>
      <c r="BC371" s="430"/>
      <c r="BD371" s="430"/>
      <c r="BE371" s="430"/>
    </row>
    <row r="372" spans="1:57" ht="15.75" customHeight="1">
      <c r="A372" s="430"/>
      <c r="B372" s="430"/>
      <c r="C372" s="430"/>
      <c r="D372" s="430"/>
      <c r="E372" s="430"/>
      <c r="F372" s="430"/>
      <c r="G372" s="430"/>
      <c r="H372" s="430"/>
      <c r="I372" s="430"/>
      <c r="J372" s="430"/>
      <c r="K372" s="430"/>
      <c r="L372" s="430"/>
      <c r="M372" s="430"/>
      <c r="N372" s="430"/>
      <c r="O372" s="430"/>
      <c r="P372" s="430"/>
      <c r="Q372" s="430"/>
      <c r="R372" s="430"/>
      <c r="S372" s="430"/>
      <c r="T372" s="430"/>
      <c r="U372" s="430"/>
      <c r="V372" s="430"/>
      <c r="W372" s="430"/>
      <c r="X372" s="430"/>
      <c r="Y372" s="430"/>
      <c r="Z372" s="430"/>
      <c r="AA372" s="430"/>
      <c r="AB372" s="430"/>
      <c r="AC372" s="430"/>
      <c r="AD372" s="430"/>
      <c r="AE372" s="430"/>
      <c r="AF372" s="430"/>
      <c r="AG372" s="430"/>
      <c r="AH372" s="430"/>
      <c r="AI372" s="430"/>
      <c r="AJ372" s="430"/>
      <c r="AK372" s="430"/>
      <c r="AL372" s="430"/>
      <c r="AM372" s="430"/>
      <c r="AN372" s="430"/>
      <c r="AO372" s="430"/>
      <c r="AP372" s="430"/>
      <c r="AQ372" s="430"/>
      <c r="AR372" s="430"/>
      <c r="AS372" s="430"/>
      <c r="AT372" s="430"/>
      <c r="AU372" s="430"/>
      <c r="AV372" s="430"/>
      <c r="AW372" s="430"/>
      <c r="AX372" s="430"/>
      <c r="AY372" s="430"/>
      <c r="AZ372" s="430"/>
      <c r="BA372" s="430"/>
      <c r="BB372" s="430"/>
      <c r="BC372" s="430"/>
      <c r="BD372" s="430"/>
      <c r="BE372" s="430"/>
    </row>
    <row r="373" spans="1:57" ht="15.75" customHeight="1">
      <c r="A373" s="430"/>
      <c r="B373" s="430"/>
      <c r="C373" s="430"/>
      <c r="D373" s="430"/>
      <c r="E373" s="430"/>
      <c r="F373" s="430"/>
      <c r="G373" s="430"/>
      <c r="H373" s="430"/>
      <c r="I373" s="430"/>
      <c r="J373" s="430"/>
      <c r="K373" s="430"/>
      <c r="L373" s="430"/>
      <c r="M373" s="430"/>
      <c r="N373" s="430"/>
      <c r="O373" s="430"/>
      <c r="P373" s="430"/>
      <c r="Q373" s="430"/>
      <c r="R373" s="430"/>
      <c r="S373" s="430"/>
      <c r="T373" s="430"/>
      <c r="U373" s="430"/>
      <c r="V373" s="430"/>
      <c r="W373" s="430"/>
      <c r="X373" s="430"/>
      <c r="Y373" s="430"/>
      <c r="Z373" s="430"/>
      <c r="AA373" s="430"/>
      <c r="AB373" s="430"/>
      <c r="AC373" s="430"/>
      <c r="AD373" s="430"/>
      <c r="AE373" s="430"/>
      <c r="AF373" s="430"/>
      <c r="AG373" s="430"/>
      <c r="AH373" s="430"/>
      <c r="AI373" s="430"/>
      <c r="AJ373" s="430"/>
      <c r="AK373" s="430"/>
      <c r="AL373" s="430"/>
      <c r="AM373" s="430"/>
      <c r="AN373" s="430"/>
      <c r="AO373" s="430"/>
      <c r="AP373" s="430"/>
      <c r="AQ373" s="430"/>
      <c r="AR373" s="430"/>
      <c r="AS373" s="430"/>
      <c r="AT373" s="430"/>
      <c r="AU373" s="430"/>
      <c r="AV373" s="430"/>
      <c r="AW373" s="430"/>
      <c r="AX373" s="430"/>
      <c r="AY373" s="430"/>
      <c r="AZ373" s="430"/>
      <c r="BA373" s="430"/>
      <c r="BB373" s="430"/>
      <c r="BC373" s="430"/>
      <c r="BD373" s="430"/>
      <c r="BE373" s="430"/>
    </row>
    <row r="374" spans="1:57" ht="15.75" customHeight="1">
      <c r="A374" s="430"/>
      <c r="B374" s="430"/>
      <c r="C374" s="430"/>
      <c r="D374" s="430"/>
      <c r="E374" s="430"/>
      <c r="F374" s="430"/>
      <c r="G374" s="430"/>
      <c r="H374" s="430"/>
      <c r="I374" s="430"/>
      <c r="J374" s="430"/>
      <c r="K374" s="430"/>
      <c r="L374" s="430"/>
      <c r="M374" s="430"/>
      <c r="N374" s="430"/>
      <c r="O374" s="430"/>
      <c r="P374" s="430"/>
      <c r="Q374" s="430"/>
      <c r="R374" s="430"/>
      <c r="S374" s="430"/>
      <c r="T374" s="430"/>
      <c r="U374" s="430"/>
      <c r="V374" s="430"/>
      <c r="W374" s="430"/>
      <c r="X374" s="430"/>
      <c r="Y374" s="430"/>
      <c r="Z374" s="430"/>
      <c r="AA374" s="430"/>
      <c r="AB374" s="430"/>
      <c r="AC374" s="430"/>
      <c r="AD374" s="430"/>
      <c r="AE374" s="430"/>
      <c r="AF374" s="430"/>
      <c r="AG374" s="430"/>
      <c r="AH374" s="430"/>
      <c r="AI374" s="430"/>
      <c r="AJ374" s="430"/>
      <c r="AK374" s="430"/>
      <c r="AL374" s="430"/>
      <c r="AM374" s="430"/>
      <c r="AN374" s="430"/>
      <c r="AO374" s="430"/>
      <c r="AP374" s="430"/>
      <c r="AQ374" s="430"/>
      <c r="AR374" s="430"/>
      <c r="AS374" s="430"/>
      <c r="AT374" s="430"/>
      <c r="AU374" s="430"/>
      <c r="AV374" s="430"/>
      <c r="AW374" s="430"/>
      <c r="AX374" s="430"/>
      <c r="AY374" s="430"/>
      <c r="AZ374" s="430"/>
      <c r="BA374" s="430"/>
      <c r="BB374" s="430"/>
      <c r="BC374" s="430"/>
      <c r="BD374" s="430"/>
      <c r="BE374" s="430"/>
    </row>
    <row r="375" spans="1:57" ht="15.75" customHeight="1">
      <c r="A375" s="430"/>
      <c r="B375" s="430"/>
      <c r="C375" s="430"/>
      <c r="D375" s="430"/>
      <c r="E375" s="430"/>
      <c r="F375" s="430"/>
      <c r="G375" s="430"/>
      <c r="H375" s="430"/>
      <c r="I375" s="430"/>
      <c r="J375" s="430"/>
      <c r="K375" s="430"/>
      <c r="L375" s="430"/>
      <c r="M375" s="430"/>
      <c r="N375" s="430"/>
      <c r="O375" s="430"/>
      <c r="P375" s="430"/>
      <c r="Q375" s="430"/>
      <c r="R375" s="430"/>
      <c r="S375" s="430"/>
      <c r="T375" s="430"/>
      <c r="U375" s="430"/>
      <c r="V375" s="430"/>
      <c r="W375" s="430"/>
      <c r="X375" s="430"/>
      <c r="Y375" s="430"/>
      <c r="Z375" s="430"/>
      <c r="AA375" s="430"/>
      <c r="AB375" s="430"/>
      <c r="AC375" s="430"/>
      <c r="AD375" s="430"/>
      <c r="AE375" s="430"/>
      <c r="AF375" s="430"/>
      <c r="AG375" s="430"/>
      <c r="AH375" s="430"/>
      <c r="AI375" s="430"/>
      <c r="AJ375" s="430"/>
      <c r="AK375" s="430"/>
      <c r="AL375" s="430"/>
      <c r="AM375" s="430"/>
      <c r="AN375" s="430"/>
      <c r="AO375" s="430"/>
      <c r="AP375" s="430"/>
      <c r="AQ375" s="430"/>
      <c r="AR375" s="430"/>
      <c r="AS375" s="430"/>
      <c r="AT375" s="430"/>
      <c r="AU375" s="430"/>
      <c r="AV375" s="430"/>
      <c r="AW375" s="430"/>
      <c r="AX375" s="430"/>
      <c r="AY375" s="430"/>
      <c r="AZ375" s="430"/>
      <c r="BA375" s="430"/>
      <c r="BB375" s="430"/>
      <c r="BC375" s="430"/>
      <c r="BD375" s="430"/>
      <c r="BE375" s="430"/>
    </row>
    <row r="376" spans="1:57" ht="15.75" customHeight="1">
      <c r="A376" s="430"/>
      <c r="B376" s="430"/>
      <c r="C376" s="430"/>
      <c r="D376" s="430"/>
      <c r="E376" s="430"/>
      <c r="F376" s="430"/>
      <c r="G376" s="430"/>
      <c r="H376" s="430"/>
      <c r="I376" s="430"/>
      <c r="J376" s="430"/>
      <c r="K376" s="430"/>
      <c r="L376" s="430"/>
      <c r="M376" s="430"/>
      <c r="N376" s="430"/>
      <c r="O376" s="430"/>
      <c r="P376" s="430"/>
      <c r="Q376" s="430"/>
      <c r="R376" s="430"/>
      <c r="S376" s="430"/>
      <c r="T376" s="430"/>
      <c r="U376" s="430"/>
      <c r="V376" s="430"/>
      <c r="W376" s="430"/>
      <c r="X376" s="430"/>
      <c r="Y376" s="430"/>
      <c r="Z376" s="430"/>
      <c r="AA376" s="430"/>
      <c r="AB376" s="430"/>
      <c r="AC376" s="430"/>
      <c r="AD376" s="430"/>
      <c r="AE376" s="430"/>
      <c r="AF376" s="430"/>
      <c r="AG376" s="430"/>
      <c r="AH376" s="430"/>
      <c r="AI376" s="430"/>
      <c r="AJ376" s="430"/>
      <c r="AK376" s="430"/>
      <c r="AL376" s="430"/>
      <c r="AM376" s="430"/>
      <c r="AN376" s="430"/>
      <c r="AO376" s="430"/>
      <c r="AP376" s="430"/>
      <c r="AQ376" s="430"/>
      <c r="AR376" s="430"/>
      <c r="AS376" s="430"/>
      <c r="AT376" s="430"/>
      <c r="AU376" s="430"/>
      <c r="AV376" s="430"/>
      <c r="AW376" s="430"/>
      <c r="AX376" s="430"/>
      <c r="AY376" s="430"/>
      <c r="AZ376" s="430"/>
      <c r="BA376" s="430"/>
      <c r="BB376" s="430"/>
      <c r="BC376" s="430"/>
      <c r="BD376" s="430"/>
      <c r="BE376" s="430"/>
    </row>
    <row r="377" spans="1:57" ht="15.75" customHeight="1">
      <c r="A377" s="430"/>
      <c r="B377" s="430"/>
      <c r="C377" s="430"/>
      <c r="D377" s="430"/>
      <c r="E377" s="430"/>
      <c r="F377" s="430"/>
      <c r="G377" s="430"/>
      <c r="H377" s="430"/>
      <c r="I377" s="430"/>
      <c r="J377" s="430"/>
      <c r="K377" s="430"/>
      <c r="L377" s="430"/>
      <c r="M377" s="430"/>
      <c r="N377" s="430"/>
      <c r="O377" s="430"/>
      <c r="P377" s="430"/>
      <c r="Q377" s="430"/>
      <c r="R377" s="430"/>
      <c r="S377" s="430"/>
      <c r="T377" s="430"/>
      <c r="U377" s="430"/>
      <c r="V377" s="430"/>
      <c r="W377" s="430"/>
      <c r="X377" s="430"/>
      <c r="Y377" s="430"/>
      <c r="Z377" s="430"/>
      <c r="AA377" s="430"/>
      <c r="AB377" s="430"/>
      <c r="AC377" s="430"/>
      <c r="AD377" s="430"/>
      <c r="AE377" s="430"/>
      <c r="AF377" s="430"/>
      <c r="AG377" s="430"/>
      <c r="AH377" s="430"/>
      <c r="AI377" s="430"/>
      <c r="AJ377" s="430"/>
      <c r="AK377" s="430"/>
      <c r="AL377" s="430"/>
      <c r="AM377" s="430"/>
      <c r="AN377" s="430"/>
      <c r="AO377" s="430"/>
      <c r="AP377" s="430"/>
      <c r="AQ377" s="430"/>
      <c r="AR377" s="430"/>
      <c r="AS377" s="430"/>
      <c r="AT377" s="430"/>
      <c r="AU377" s="430"/>
      <c r="AV377" s="430"/>
      <c r="AW377" s="430"/>
      <c r="AX377" s="430"/>
      <c r="AY377" s="430"/>
      <c r="AZ377" s="430"/>
      <c r="BA377" s="430"/>
      <c r="BB377" s="430"/>
      <c r="BC377" s="430"/>
      <c r="BD377" s="430"/>
      <c r="BE377" s="430"/>
    </row>
    <row r="378" spans="1:57" ht="15.75" customHeight="1">
      <c r="A378" s="430"/>
      <c r="B378" s="430"/>
      <c r="C378" s="430"/>
      <c r="D378" s="430"/>
      <c r="E378" s="430"/>
      <c r="F378" s="430"/>
      <c r="G378" s="430"/>
      <c r="H378" s="430"/>
      <c r="I378" s="430"/>
      <c r="J378" s="430"/>
      <c r="K378" s="430"/>
      <c r="L378" s="430"/>
      <c r="M378" s="430"/>
      <c r="N378" s="430"/>
      <c r="O378" s="430"/>
      <c r="P378" s="430"/>
      <c r="Q378" s="430"/>
      <c r="R378" s="430"/>
      <c r="S378" s="430"/>
      <c r="T378" s="430"/>
      <c r="U378" s="430"/>
      <c r="V378" s="430"/>
      <c r="W378" s="430"/>
      <c r="X378" s="430"/>
      <c r="Y378" s="430"/>
      <c r="Z378" s="430"/>
      <c r="AA378" s="430"/>
      <c r="AB378" s="430"/>
      <c r="AC378" s="430"/>
      <c r="AD378" s="430"/>
      <c r="AE378" s="430"/>
      <c r="AF378" s="430"/>
      <c r="AG378" s="430"/>
      <c r="AH378" s="430"/>
      <c r="AI378" s="430"/>
      <c r="AJ378" s="430"/>
      <c r="AK378" s="430"/>
      <c r="AL378" s="430"/>
      <c r="AM378" s="430"/>
      <c r="AN378" s="430"/>
      <c r="AO378" s="430"/>
      <c r="AP378" s="430"/>
      <c r="AQ378" s="430"/>
      <c r="AR378" s="430"/>
      <c r="AS378" s="430"/>
      <c r="AT378" s="430"/>
      <c r="AU378" s="430"/>
      <c r="AV378" s="430"/>
      <c r="AW378" s="430"/>
      <c r="AX378" s="430"/>
      <c r="AY378" s="430"/>
      <c r="AZ378" s="430"/>
      <c r="BA378" s="430"/>
      <c r="BB378" s="430"/>
      <c r="BC378" s="430"/>
      <c r="BD378" s="430"/>
      <c r="BE378" s="430"/>
    </row>
    <row r="379" spans="1:57" ht="15.75" customHeight="1">
      <c r="A379" s="430"/>
      <c r="B379" s="430"/>
      <c r="C379" s="430"/>
      <c r="D379" s="430"/>
      <c r="E379" s="430"/>
      <c r="F379" s="430"/>
      <c r="G379" s="430"/>
      <c r="H379" s="430"/>
      <c r="I379" s="430"/>
      <c r="J379" s="430"/>
      <c r="K379" s="430"/>
      <c r="L379" s="430"/>
      <c r="M379" s="430"/>
      <c r="N379" s="430"/>
      <c r="O379" s="430"/>
      <c r="P379" s="430"/>
      <c r="Q379" s="430"/>
      <c r="R379" s="430"/>
      <c r="S379" s="430"/>
      <c r="T379" s="430"/>
      <c r="U379" s="430"/>
      <c r="V379" s="430"/>
      <c r="W379" s="430"/>
      <c r="X379" s="430"/>
      <c r="Y379" s="430"/>
      <c r="Z379" s="430"/>
      <c r="AA379" s="430"/>
      <c r="AB379" s="430"/>
      <c r="AC379" s="430"/>
      <c r="AD379" s="430"/>
      <c r="AE379" s="430"/>
      <c r="AF379" s="430"/>
      <c r="AG379" s="430"/>
      <c r="AH379" s="430"/>
      <c r="AI379" s="430"/>
      <c r="AJ379" s="430"/>
      <c r="AK379" s="430"/>
      <c r="AL379" s="430"/>
      <c r="AM379" s="430"/>
      <c r="AN379" s="430"/>
      <c r="AO379" s="430"/>
      <c r="AP379" s="430"/>
      <c r="AQ379" s="430"/>
      <c r="AR379" s="430"/>
      <c r="AS379" s="430"/>
      <c r="AT379" s="430"/>
      <c r="AU379" s="430"/>
      <c r="AV379" s="430"/>
      <c r="AW379" s="430"/>
      <c r="AX379" s="430"/>
      <c r="AY379" s="430"/>
      <c r="AZ379" s="430"/>
      <c r="BA379" s="430"/>
      <c r="BB379" s="430"/>
      <c r="BC379" s="430"/>
      <c r="BD379" s="430"/>
      <c r="BE379" s="430"/>
    </row>
    <row r="380" spans="1:57" ht="15.75" customHeight="1">
      <c r="A380" s="430"/>
      <c r="B380" s="430"/>
      <c r="C380" s="430"/>
      <c r="D380" s="430"/>
      <c r="E380" s="430"/>
      <c r="F380" s="430"/>
      <c r="G380" s="430"/>
      <c r="H380" s="430"/>
      <c r="I380" s="430"/>
      <c r="J380" s="430"/>
      <c r="K380" s="430"/>
      <c r="L380" s="430"/>
      <c r="M380" s="430"/>
      <c r="N380" s="430"/>
      <c r="O380" s="430"/>
      <c r="P380" s="430"/>
      <c r="Q380" s="430"/>
      <c r="R380" s="430"/>
      <c r="S380" s="430"/>
      <c r="T380" s="430"/>
      <c r="U380" s="430"/>
      <c r="V380" s="430"/>
      <c r="W380" s="430"/>
      <c r="X380" s="430"/>
      <c r="Y380" s="430"/>
      <c r="Z380" s="430"/>
      <c r="AA380" s="430"/>
      <c r="AB380" s="430"/>
      <c r="AC380" s="430"/>
      <c r="AD380" s="430"/>
      <c r="AE380" s="430"/>
      <c r="AF380" s="430"/>
      <c r="AG380" s="430"/>
      <c r="AH380" s="430"/>
      <c r="AI380" s="430"/>
      <c r="AJ380" s="430"/>
      <c r="AK380" s="430"/>
      <c r="AL380" s="430"/>
      <c r="AM380" s="430"/>
      <c r="AN380" s="430"/>
      <c r="AO380" s="430"/>
      <c r="AP380" s="430"/>
      <c r="AQ380" s="430"/>
      <c r="AR380" s="430"/>
      <c r="AS380" s="430"/>
      <c r="AT380" s="430"/>
      <c r="AU380" s="430"/>
      <c r="AV380" s="430"/>
      <c r="AW380" s="430"/>
      <c r="AX380" s="430"/>
      <c r="AY380" s="430"/>
      <c r="AZ380" s="430"/>
      <c r="BA380" s="430"/>
      <c r="BB380" s="430"/>
      <c r="BC380" s="430"/>
      <c r="BD380" s="430"/>
      <c r="BE380" s="430"/>
    </row>
    <row r="381" spans="1:57" ht="15.75" customHeight="1">
      <c r="A381" s="430"/>
      <c r="B381" s="430"/>
      <c r="C381" s="430"/>
      <c r="D381" s="430"/>
      <c r="E381" s="430"/>
      <c r="F381" s="430"/>
      <c r="G381" s="430"/>
      <c r="H381" s="430"/>
      <c r="I381" s="430"/>
      <c r="J381" s="430"/>
      <c r="K381" s="430"/>
      <c r="L381" s="430"/>
      <c r="M381" s="430"/>
      <c r="N381" s="430"/>
      <c r="O381" s="430"/>
      <c r="P381" s="430"/>
      <c r="Q381" s="430"/>
      <c r="R381" s="430"/>
      <c r="S381" s="430"/>
      <c r="T381" s="430"/>
      <c r="U381" s="430"/>
      <c r="V381" s="430"/>
      <c r="W381" s="430"/>
      <c r="X381" s="430"/>
      <c r="Y381" s="430"/>
      <c r="Z381" s="430"/>
      <c r="AA381" s="430"/>
      <c r="AB381" s="430"/>
      <c r="AC381" s="430"/>
      <c r="AD381" s="430"/>
      <c r="AE381" s="430"/>
      <c r="AF381" s="430"/>
      <c r="AG381" s="430"/>
      <c r="AH381" s="430"/>
      <c r="AI381" s="430"/>
      <c r="AJ381" s="430"/>
      <c r="AK381" s="430"/>
      <c r="AL381" s="430"/>
      <c r="AM381" s="430"/>
      <c r="AN381" s="430"/>
      <c r="AO381" s="430"/>
      <c r="AP381" s="430"/>
      <c r="AQ381" s="430"/>
      <c r="AR381" s="430"/>
      <c r="AS381" s="430"/>
      <c r="AT381" s="430"/>
      <c r="AU381" s="430"/>
      <c r="AV381" s="430"/>
      <c r="AW381" s="430"/>
      <c r="AX381" s="430"/>
      <c r="AY381" s="430"/>
      <c r="AZ381" s="430"/>
      <c r="BA381" s="430"/>
      <c r="BB381" s="430"/>
      <c r="BC381" s="430"/>
      <c r="BD381" s="430"/>
      <c r="BE381" s="430"/>
    </row>
    <row r="382" spans="1:57" ht="15.75" customHeight="1">
      <c r="A382" s="430"/>
      <c r="B382" s="430"/>
      <c r="C382" s="430"/>
      <c r="D382" s="430"/>
      <c r="E382" s="430"/>
      <c r="F382" s="430"/>
      <c r="G382" s="430"/>
      <c r="H382" s="430"/>
      <c r="I382" s="430"/>
      <c r="J382" s="430"/>
      <c r="K382" s="430"/>
      <c r="L382" s="430"/>
      <c r="M382" s="430"/>
      <c r="N382" s="430"/>
      <c r="O382" s="430"/>
      <c r="P382" s="430"/>
      <c r="Q382" s="430"/>
      <c r="R382" s="430"/>
      <c r="S382" s="430"/>
      <c r="T382" s="430"/>
      <c r="U382" s="430"/>
      <c r="V382" s="430"/>
      <c r="W382" s="430"/>
      <c r="X382" s="430"/>
      <c r="Y382" s="430"/>
      <c r="Z382" s="430"/>
      <c r="AA382" s="430"/>
      <c r="AB382" s="430"/>
      <c r="AC382" s="430"/>
      <c r="AD382" s="430"/>
      <c r="AE382" s="430"/>
      <c r="AF382" s="430"/>
      <c r="AG382" s="430"/>
      <c r="AH382" s="430"/>
      <c r="AI382" s="430"/>
      <c r="AJ382" s="430"/>
      <c r="AK382" s="430"/>
      <c r="AL382" s="430"/>
      <c r="AM382" s="430"/>
      <c r="AN382" s="430"/>
      <c r="AO382" s="430"/>
      <c r="AP382" s="430"/>
      <c r="AQ382" s="430"/>
      <c r="AR382" s="430"/>
      <c r="AS382" s="430"/>
      <c r="AT382" s="430"/>
      <c r="AU382" s="430"/>
      <c r="AV382" s="430"/>
      <c r="AW382" s="430"/>
      <c r="AX382" s="430"/>
      <c r="AY382" s="430"/>
      <c r="AZ382" s="430"/>
      <c r="BA382" s="430"/>
      <c r="BB382" s="430"/>
      <c r="BC382" s="430"/>
      <c r="BD382" s="430"/>
      <c r="BE382" s="430"/>
    </row>
    <row r="383" spans="1:57" ht="15.75" customHeight="1">
      <c r="A383" s="430"/>
      <c r="B383" s="430"/>
      <c r="C383" s="430"/>
      <c r="D383" s="430"/>
      <c r="E383" s="430"/>
      <c r="F383" s="430"/>
      <c r="G383" s="430"/>
      <c r="H383" s="430"/>
      <c r="I383" s="430"/>
      <c r="J383" s="430"/>
      <c r="K383" s="430"/>
      <c r="L383" s="430"/>
      <c r="M383" s="430"/>
      <c r="N383" s="430"/>
      <c r="O383" s="430"/>
      <c r="P383" s="430"/>
      <c r="Q383" s="430"/>
      <c r="R383" s="430"/>
      <c r="S383" s="430"/>
      <c r="T383" s="430"/>
      <c r="U383" s="430"/>
      <c r="V383" s="430"/>
      <c r="W383" s="430"/>
      <c r="X383" s="430"/>
      <c r="Y383" s="430"/>
      <c r="Z383" s="430"/>
      <c r="AA383" s="430"/>
      <c r="AB383" s="430"/>
      <c r="AC383" s="430"/>
      <c r="AD383" s="430"/>
      <c r="AE383" s="430"/>
      <c r="AF383" s="430"/>
      <c r="AG383" s="430"/>
      <c r="AH383" s="430"/>
      <c r="AI383" s="430"/>
      <c r="AJ383" s="430"/>
      <c r="AK383" s="430"/>
      <c r="AL383" s="430"/>
      <c r="AM383" s="430"/>
      <c r="AN383" s="430"/>
      <c r="AO383" s="430"/>
      <c r="AP383" s="430"/>
      <c r="AQ383" s="430"/>
      <c r="AR383" s="430"/>
      <c r="AS383" s="430"/>
      <c r="AT383" s="430"/>
      <c r="AU383" s="430"/>
      <c r="AV383" s="430"/>
      <c r="AW383" s="430"/>
      <c r="AX383" s="430"/>
      <c r="AY383" s="430"/>
      <c r="AZ383" s="430"/>
      <c r="BA383" s="430"/>
      <c r="BB383" s="430"/>
      <c r="BC383" s="430"/>
      <c r="BD383" s="430"/>
      <c r="BE383" s="430"/>
    </row>
    <row r="384" spans="1:57" ht="15.75" customHeight="1">
      <c r="A384" s="430"/>
      <c r="B384" s="430"/>
      <c r="C384" s="430"/>
      <c r="D384" s="430"/>
      <c r="E384" s="430"/>
      <c r="F384" s="430"/>
      <c r="G384" s="430"/>
      <c r="H384" s="430"/>
      <c r="I384" s="430"/>
      <c r="J384" s="430"/>
      <c r="K384" s="430"/>
      <c r="L384" s="430"/>
      <c r="M384" s="430"/>
      <c r="N384" s="430"/>
      <c r="O384" s="430"/>
      <c r="P384" s="430"/>
      <c r="Q384" s="430"/>
      <c r="R384" s="430"/>
      <c r="S384" s="430"/>
      <c r="T384" s="430"/>
      <c r="U384" s="430"/>
      <c r="V384" s="430"/>
      <c r="W384" s="430"/>
      <c r="X384" s="430"/>
      <c r="Y384" s="430"/>
      <c r="Z384" s="430"/>
      <c r="AA384" s="430"/>
      <c r="AB384" s="430"/>
      <c r="AC384" s="430"/>
      <c r="AD384" s="430"/>
      <c r="AE384" s="430"/>
      <c r="AF384" s="430"/>
      <c r="AG384" s="430"/>
      <c r="AH384" s="430"/>
      <c r="AI384" s="430"/>
      <c r="AJ384" s="430"/>
      <c r="AK384" s="430"/>
      <c r="AL384" s="430"/>
      <c r="AM384" s="430"/>
      <c r="AN384" s="430"/>
      <c r="AO384" s="430"/>
      <c r="AP384" s="430"/>
      <c r="AQ384" s="430"/>
      <c r="AR384" s="430"/>
      <c r="AS384" s="430"/>
      <c r="AT384" s="430"/>
      <c r="AU384" s="430"/>
      <c r="AV384" s="430"/>
      <c r="AW384" s="430"/>
      <c r="AX384" s="430"/>
      <c r="AY384" s="430"/>
      <c r="AZ384" s="430"/>
      <c r="BA384" s="430"/>
      <c r="BB384" s="430"/>
      <c r="BC384" s="430"/>
      <c r="BD384" s="430"/>
      <c r="BE384" s="430"/>
    </row>
    <row r="385" spans="1:57" ht="15.75" customHeight="1">
      <c r="A385" s="430"/>
      <c r="B385" s="430"/>
      <c r="C385" s="430"/>
      <c r="D385" s="430"/>
      <c r="E385" s="430"/>
      <c r="F385" s="430"/>
      <c r="G385" s="430"/>
      <c r="H385" s="430"/>
      <c r="I385" s="430"/>
      <c r="J385" s="430"/>
      <c r="K385" s="430"/>
      <c r="L385" s="430"/>
      <c r="M385" s="430"/>
      <c r="N385" s="430"/>
      <c r="O385" s="430"/>
      <c r="P385" s="430"/>
      <c r="Q385" s="430"/>
      <c r="R385" s="430"/>
      <c r="S385" s="430"/>
      <c r="T385" s="430"/>
      <c r="U385" s="430"/>
      <c r="V385" s="430"/>
      <c r="W385" s="430"/>
      <c r="X385" s="430"/>
      <c r="Y385" s="430"/>
      <c r="Z385" s="430"/>
      <c r="AA385" s="430"/>
      <c r="AB385" s="430"/>
      <c r="AC385" s="430"/>
      <c r="AD385" s="430"/>
      <c r="AE385" s="430"/>
      <c r="AF385" s="430"/>
      <c r="AG385" s="430"/>
      <c r="AH385" s="430"/>
      <c r="AI385" s="430"/>
      <c r="AJ385" s="430"/>
      <c r="AK385" s="430"/>
      <c r="AL385" s="430"/>
      <c r="AM385" s="430"/>
      <c r="AN385" s="430"/>
      <c r="AO385" s="430"/>
      <c r="AP385" s="430"/>
      <c r="AQ385" s="430"/>
      <c r="AR385" s="430"/>
      <c r="AS385" s="430"/>
      <c r="AT385" s="430"/>
      <c r="AU385" s="430"/>
      <c r="AV385" s="430"/>
      <c r="AW385" s="430"/>
      <c r="AX385" s="430"/>
      <c r="AY385" s="430"/>
      <c r="AZ385" s="430"/>
      <c r="BA385" s="430"/>
      <c r="BB385" s="430"/>
      <c r="BC385" s="430"/>
      <c r="BD385" s="430"/>
      <c r="BE385" s="430"/>
    </row>
    <row r="386" spans="1:57" ht="15.75" customHeight="1">
      <c r="A386" s="430"/>
      <c r="B386" s="430"/>
      <c r="C386" s="430"/>
      <c r="D386" s="430"/>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row>
    <row r="387" spans="1:57" ht="15.75" customHeight="1">
      <c r="A387" s="430"/>
      <c r="B387" s="430"/>
      <c r="C387" s="430"/>
      <c r="D387" s="430"/>
      <c r="E387" s="430"/>
      <c r="F387" s="430"/>
      <c r="G387" s="430"/>
      <c r="H387" s="430"/>
      <c r="I387" s="430"/>
      <c r="J387" s="430"/>
      <c r="K387" s="430"/>
      <c r="L387" s="430"/>
      <c r="M387" s="430"/>
      <c r="N387" s="430"/>
      <c r="O387" s="430"/>
      <c r="P387" s="430"/>
      <c r="Q387" s="430"/>
      <c r="R387" s="430"/>
      <c r="S387" s="430"/>
      <c r="T387" s="430"/>
      <c r="U387" s="430"/>
      <c r="V387" s="430"/>
      <c r="W387" s="430"/>
      <c r="X387" s="430"/>
      <c r="Y387" s="430"/>
      <c r="Z387" s="430"/>
      <c r="AA387" s="430"/>
      <c r="AB387" s="430"/>
      <c r="AC387" s="430"/>
      <c r="AD387" s="430"/>
      <c r="AE387" s="430"/>
      <c r="AF387" s="430"/>
      <c r="AG387" s="430"/>
      <c r="AH387" s="430"/>
      <c r="AI387" s="430"/>
      <c r="AJ387" s="430"/>
      <c r="AK387" s="430"/>
      <c r="AL387" s="430"/>
      <c r="AM387" s="430"/>
      <c r="AN387" s="430"/>
      <c r="AO387" s="430"/>
      <c r="AP387" s="430"/>
      <c r="AQ387" s="430"/>
      <c r="AR387" s="430"/>
      <c r="AS387" s="430"/>
      <c r="AT387" s="430"/>
      <c r="AU387" s="430"/>
      <c r="AV387" s="430"/>
      <c r="AW387" s="430"/>
      <c r="AX387" s="430"/>
      <c r="AY387" s="430"/>
      <c r="AZ387" s="430"/>
      <c r="BA387" s="430"/>
      <c r="BB387" s="430"/>
      <c r="BC387" s="430"/>
      <c r="BD387" s="430"/>
      <c r="BE387" s="430"/>
    </row>
    <row r="388" spans="1:57" ht="15.75" customHeight="1">
      <c r="A388" s="430"/>
      <c r="B388" s="430"/>
      <c r="C388" s="430"/>
      <c r="D388" s="430"/>
      <c r="E388" s="430"/>
      <c r="F388" s="430"/>
      <c r="G388" s="430"/>
      <c r="H388" s="430"/>
      <c r="I388" s="430"/>
      <c r="J388" s="430"/>
      <c r="K388" s="430"/>
      <c r="L388" s="430"/>
      <c r="M388" s="430"/>
      <c r="N388" s="430"/>
      <c r="O388" s="430"/>
      <c r="P388" s="430"/>
      <c r="Q388" s="430"/>
      <c r="R388" s="430"/>
      <c r="S388" s="430"/>
      <c r="T388" s="430"/>
      <c r="U388" s="430"/>
      <c r="V388" s="430"/>
      <c r="W388" s="430"/>
      <c r="X388" s="430"/>
      <c r="Y388" s="430"/>
      <c r="Z388" s="430"/>
      <c r="AA388" s="430"/>
      <c r="AB388" s="430"/>
      <c r="AC388" s="430"/>
      <c r="AD388" s="430"/>
      <c r="AE388" s="430"/>
      <c r="AF388" s="430"/>
      <c r="AG388" s="430"/>
      <c r="AH388" s="430"/>
      <c r="AI388" s="430"/>
      <c r="AJ388" s="430"/>
      <c r="AK388" s="430"/>
      <c r="AL388" s="430"/>
      <c r="AM388" s="430"/>
      <c r="AN388" s="430"/>
      <c r="AO388" s="430"/>
      <c r="AP388" s="430"/>
      <c r="AQ388" s="430"/>
      <c r="AR388" s="430"/>
      <c r="AS388" s="430"/>
      <c r="AT388" s="430"/>
      <c r="AU388" s="430"/>
      <c r="AV388" s="430"/>
      <c r="AW388" s="430"/>
      <c r="AX388" s="430"/>
      <c r="AY388" s="430"/>
      <c r="AZ388" s="430"/>
      <c r="BA388" s="430"/>
      <c r="BB388" s="430"/>
      <c r="BC388" s="430"/>
      <c r="BD388" s="430"/>
      <c r="BE388" s="430"/>
    </row>
    <row r="389" spans="1:57" ht="15.75" customHeight="1">
      <c r="A389" s="430"/>
      <c r="B389" s="430"/>
      <c r="C389" s="430"/>
      <c r="D389" s="430"/>
      <c r="E389" s="430"/>
      <c r="F389" s="430"/>
      <c r="G389" s="430"/>
      <c r="H389" s="430"/>
      <c r="I389" s="430"/>
      <c r="J389" s="430"/>
      <c r="K389" s="430"/>
      <c r="L389" s="430"/>
      <c r="M389" s="430"/>
      <c r="N389" s="430"/>
      <c r="O389" s="430"/>
      <c r="P389" s="430"/>
      <c r="Q389" s="430"/>
      <c r="R389" s="430"/>
      <c r="S389" s="430"/>
      <c r="T389" s="430"/>
      <c r="U389" s="430"/>
      <c r="V389" s="430"/>
      <c r="W389" s="430"/>
      <c r="X389" s="430"/>
      <c r="Y389" s="430"/>
      <c r="Z389" s="430"/>
      <c r="AA389" s="430"/>
      <c r="AB389" s="430"/>
      <c r="AC389" s="430"/>
      <c r="AD389" s="430"/>
      <c r="AE389" s="430"/>
      <c r="AF389" s="430"/>
      <c r="AG389" s="430"/>
      <c r="AH389" s="430"/>
      <c r="AI389" s="430"/>
      <c r="AJ389" s="430"/>
      <c r="AK389" s="430"/>
      <c r="AL389" s="430"/>
      <c r="AM389" s="430"/>
      <c r="AN389" s="430"/>
      <c r="AO389" s="430"/>
      <c r="AP389" s="430"/>
      <c r="AQ389" s="430"/>
      <c r="AR389" s="430"/>
      <c r="AS389" s="430"/>
      <c r="AT389" s="430"/>
      <c r="AU389" s="430"/>
      <c r="AV389" s="430"/>
      <c r="AW389" s="430"/>
      <c r="AX389" s="430"/>
      <c r="AY389" s="430"/>
      <c r="AZ389" s="430"/>
      <c r="BA389" s="430"/>
      <c r="BB389" s="430"/>
      <c r="BC389" s="430"/>
      <c r="BD389" s="430"/>
      <c r="BE389" s="430"/>
    </row>
    <row r="390" spans="1:57" ht="15.75" customHeight="1">
      <c r="A390" s="430"/>
      <c r="B390" s="430"/>
      <c r="C390" s="430"/>
      <c r="D390" s="430"/>
      <c r="E390" s="430"/>
      <c r="F390" s="430"/>
      <c r="G390" s="430"/>
      <c r="H390" s="430"/>
      <c r="I390" s="430"/>
      <c r="J390" s="430"/>
      <c r="K390" s="430"/>
      <c r="L390" s="430"/>
      <c r="M390" s="430"/>
      <c r="N390" s="430"/>
      <c r="O390" s="430"/>
      <c r="P390" s="430"/>
      <c r="Q390" s="430"/>
      <c r="R390" s="430"/>
      <c r="S390" s="430"/>
      <c r="T390" s="430"/>
      <c r="U390" s="430"/>
      <c r="V390" s="430"/>
      <c r="W390" s="430"/>
      <c r="X390" s="430"/>
      <c r="Y390" s="430"/>
      <c r="Z390" s="430"/>
      <c r="AA390" s="430"/>
      <c r="AB390" s="430"/>
      <c r="AC390" s="430"/>
      <c r="AD390" s="430"/>
      <c r="AE390" s="430"/>
      <c r="AF390" s="430"/>
      <c r="AG390" s="430"/>
      <c r="AH390" s="430"/>
      <c r="AI390" s="430"/>
      <c r="AJ390" s="430"/>
      <c r="AK390" s="430"/>
      <c r="AL390" s="430"/>
      <c r="AM390" s="430"/>
      <c r="AN390" s="430"/>
      <c r="AO390" s="430"/>
      <c r="AP390" s="430"/>
      <c r="AQ390" s="430"/>
      <c r="AR390" s="430"/>
      <c r="AS390" s="430"/>
      <c r="AT390" s="430"/>
      <c r="AU390" s="430"/>
      <c r="AV390" s="430"/>
      <c r="AW390" s="430"/>
      <c r="AX390" s="430"/>
      <c r="AY390" s="430"/>
      <c r="AZ390" s="430"/>
      <c r="BA390" s="430"/>
      <c r="BB390" s="430"/>
      <c r="BC390" s="430"/>
      <c r="BD390" s="430"/>
      <c r="BE390" s="430"/>
    </row>
    <row r="391" spans="1:57" ht="15.75" customHeight="1">
      <c r="A391" s="430"/>
      <c r="B391" s="430"/>
      <c r="C391" s="430"/>
      <c r="D391" s="430"/>
      <c r="E391" s="430"/>
      <c r="F391" s="430"/>
      <c r="G391" s="430"/>
      <c r="H391" s="430"/>
      <c r="I391" s="430"/>
      <c r="J391" s="430"/>
      <c r="K391" s="430"/>
      <c r="L391" s="430"/>
      <c r="M391" s="430"/>
      <c r="N391" s="430"/>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430"/>
      <c r="AL391" s="430"/>
      <c r="AM391" s="430"/>
      <c r="AN391" s="430"/>
      <c r="AO391" s="430"/>
      <c r="AP391" s="430"/>
      <c r="AQ391" s="430"/>
      <c r="AR391" s="430"/>
      <c r="AS391" s="430"/>
      <c r="AT391" s="430"/>
      <c r="AU391" s="430"/>
      <c r="AV391" s="430"/>
      <c r="AW391" s="430"/>
      <c r="AX391" s="430"/>
      <c r="AY391" s="430"/>
      <c r="AZ391" s="430"/>
      <c r="BA391" s="430"/>
      <c r="BB391" s="430"/>
      <c r="BC391" s="430"/>
      <c r="BD391" s="430"/>
      <c r="BE391" s="430"/>
    </row>
    <row r="392" spans="1:57" ht="15.75" customHeight="1">
      <c r="A392" s="430"/>
      <c r="B392" s="430"/>
      <c r="C392" s="430"/>
      <c r="D392" s="430"/>
      <c r="E392" s="430"/>
      <c r="F392" s="430"/>
      <c r="G392" s="430"/>
      <c r="H392" s="430"/>
      <c r="I392" s="430"/>
      <c r="J392" s="430"/>
      <c r="K392" s="430"/>
      <c r="L392" s="430"/>
      <c r="M392" s="430"/>
      <c r="N392" s="430"/>
      <c r="O392" s="430"/>
      <c r="P392" s="430"/>
      <c r="Q392" s="430"/>
      <c r="R392" s="430"/>
      <c r="S392" s="430"/>
      <c r="T392" s="430"/>
      <c r="U392" s="430"/>
      <c r="V392" s="430"/>
      <c r="W392" s="430"/>
      <c r="X392" s="430"/>
      <c r="Y392" s="430"/>
      <c r="Z392" s="430"/>
      <c r="AA392" s="430"/>
      <c r="AB392" s="430"/>
      <c r="AC392" s="430"/>
      <c r="AD392" s="430"/>
      <c r="AE392" s="430"/>
      <c r="AF392" s="430"/>
      <c r="AG392" s="430"/>
      <c r="AH392" s="430"/>
      <c r="AI392" s="430"/>
      <c r="AJ392" s="430"/>
      <c r="AK392" s="430"/>
      <c r="AL392" s="430"/>
      <c r="AM392" s="430"/>
      <c r="AN392" s="430"/>
      <c r="AO392" s="430"/>
      <c r="AP392" s="430"/>
      <c r="AQ392" s="430"/>
      <c r="AR392" s="430"/>
      <c r="AS392" s="430"/>
      <c r="AT392" s="430"/>
      <c r="AU392" s="430"/>
      <c r="AV392" s="430"/>
      <c r="AW392" s="430"/>
      <c r="AX392" s="430"/>
      <c r="AY392" s="430"/>
      <c r="AZ392" s="430"/>
      <c r="BA392" s="430"/>
      <c r="BB392" s="430"/>
      <c r="BC392" s="430"/>
      <c r="BD392" s="430"/>
      <c r="BE392" s="430"/>
    </row>
    <row r="393" spans="1:57" ht="15.75" customHeight="1">
      <c r="A393" s="430"/>
      <c r="B393" s="430"/>
      <c r="C393" s="430"/>
      <c r="D393" s="430"/>
      <c r="E393" s="430"/>
      <c r="F393" s="430"/>
      <c r="G393" s="430"/>
      <c r="H393" s="430"/>
      <c r="I393" s="430"/>
      <c r="J393" s="430"/>
      <c r="K393" s="430"/>
      <c r="L393" s="430"/>
      <c r="M393" s="430"/>
      <c r="N393" s="430"/>
      <c r="O393" s="430"/>
      <c r="P393" s="430"/>
      <c r="Q393" s="430"/>
      <c r="R393" s="430"/>
      <c r="S393" s="430"/>
      <c r="T393" s="430"/>
      <c r="U393" s="430"/>
      <c r="V393" s="430"/>
      <c r="W393" s="430"/>
      <c r="X393" s="430"/>
      <c r="Y393" s="430"/>
      <c r="Z393" s="430"/>
      <c r="AA393" s="430"/>
      <c r="AB393" s="430"/>
      <c r="AC393" s="430"/>
      <c r="AD393" s="430"/>
      <c r="AE393" s="430"/>
      <c r="AF393" s="430"/>
      <c r="AG393" s="430"/>
      <c r="AH393" s="430"/>
      <c r="AI393" s="430"/>
      <c r="AJ393" s="430"/>
      <c r="AK393" s="430"/>
      <c r="AL393" s="430"/>
      <c r="AM393" s="430"/>
      <c r="AN393" s="430"/>
      <c r="AO393" s="430"/>
      <c r="AP393" s="430"/>
      <c r="AQ393" s="430"/>
      <c r="AR393" s="430"/>
      <c r="AS393" s="430"/>
      <c r="AT393" s="430"/>
      <c r="AU393" s="430"/>
      <c r="AV393" s="430"/>
      <c r="AW393" s="430"/>
      <c r="AX393" s="430"/>
      <c r="AY393" s="430"/>
      <c r="AZ393" s="430"/>
      <c r="BA393" s="430"/>
      <c r="BB393" s="430"/>
      <c r="BC393" s="430"/>
      <c r="BD393" s="430"/>
      <c r="BE393" s="430"/>
    </row>
    <row r="394" spans="1:57" ht="15.75" customHeight="1">
      <c r="A394" s="430"/>
      <c r="B394" s="430"/>
      <c r="C394" s="430"/>
      <c r="D394" s="430"/>
      <c r="E394" s="430"/>
      <c r="F394" s="430"/>
      <c r="G394" s="430"/>
      <c r="H394" s="430"/>
      <c r="I394" s="430"/>
      <c r="J394" s="430"/>
      <c r="K394" s="430"/>
      <c r="L394" s="430"/>
      <c r="M394" s="430"/>
      <c r="N394" s="430"/>
      <c r="O394" s="430"/>
      <c r="P394" s="430"/>
      <c r="Q394" s="430"/>
      <c r="R394" s="430"/>
      <c r="S394" s="430"/>
      <c r="T394" s="430"/>
      <c r="U394" s="430"/>
      <c r="V394" s="430"/>
      <c r="W394" s="430"/>
      <c r="X394" s="430"/>
      <c r="Y394" s="430"/>
      <c r="Z394" s="430"/>
      <c r="AA394" s="430"/>
      <c r="AB394" s="430"/>
      <c r="AC394" s="430"/>
      <c r="AD394" s="430"/>
      <c r="AE394" s="430"/>
      <c r="AF394" s="430"/>
      <c r="AG394" s="430"/>
      <c r="AH394" s="430"/>
      <c r="AI394" s="430"/>
      <c r="AJ394" s="430"/>
      <c r="AK394" s="430"/>
      <c r="AL394" s="430"/>
      <c r="AM394" s="430"/>
      <c r="AN394" s="430"/>
      <c r="AO394" s="430"/>
      <c r="AP394" s="430"/>
      <c r="AQ394" s="430"/>
      <c r="AR394" s="430"/>
      <c r="AS394" s="430"/>
      <c r="AT394" s="430"/>
      <c r="AU394" s="430"/>
      <c r="AV394" s="430"/>
      <c r="AW394" s="430"/>
      <c r="AX394" s="430"/>
      <c r="AY394" s="430"/>
      <c r="AZ394" s="430"/>
      <c r="BA394" s="430"/>
      <c r="BB394" s="430"/>
      <c r="BC394" s="430"/>
      <c r="BD394" s="430"/>
      <c r="BE394" s="430"/>
    </row>
    <row r="395" spans="1:57" ht="15.75" customHeight="1">
      <c r="A395" s="430"/>
      <c r="B395" s="430"/>
      <c r="C395" s="430"/>
      <c r="D395" s="430"/>
      <c r="E395" s="430"/>
      <c r="F395" s="430"/>
      <c r="G395" s="430"/>
      <c r="H395" s="430"/>
      <c r="I395" s="430"/>
      <c r="J395" s="430"/>
      <c r="K395" s="430"/>
      <c r="L395" s="430"/>
      <c r="M395" s="430"/>
      <c r="N395" s="430"/>
      <c r="O395" s="430"/>
      <c r="P395" s="430"/>
      <c r="Q395" s="430"/>
      <c r="R395" s="430"/>
      <c r="S395" s="430"/>
      <c r="T395" s="430"/>
      <c r="U395" s="430"/>
      <c r="V395" s="430"/>
      <c r="W395" s="430"/>
      <c r="X395" s="430"/>
      <c r="Y395" s="430"/>
      <c r="Z395" s="430"/>
      <c r="AA395" s="430"/>
      <c r="AB395" s="430"/>
      <c r="AC395" s="430"/>
      <c r="AD395" s="430"/>
      <c r="AE395" s="430"/>
      <c r="AF395" s="430"/>
      <c r="AG395" s="430"/>
      <c r="AH395" s="430"/>
      <c r="AI395" s="430"/>
      <c r="AJ395" s="430"/>
      <c r="AK395" s="430"/>
      <c r="AL395" s="430"/>
      <c r="AM395" s="430"/>
      <c r="AN395" s="430"/>
      <c r="AO395" s="430"/>
      <c r="AP395" s="430"/>
      <c r="AQ395" s="430"/>
      <c r="AR395" s="430"/>
      <c r="AS395" s="430"/>
      <c r="AT395" s="430"/>
      <c r="AU395" s="430"/>
      <c r="AV395" s="430"/>
      <c r="AW395" s="430"/>
      <c r="AX395" s="430"/>
      <c r="AY395" s="430"/>
      <c r="AZ395" s="430"/>
      <c r="BA395" s="430"/>
      <c r="BB395" s="430"/>
      <c r="BC395" s="430"/>
      <c r="BD395" s="430"/>
      <c r="BE395" s="430"/>
    </row>
    <row r="396" spans="1:57" ht="15.75" customHeight="1">
      <c r="A396" s="430"/>
      <c r="B396" s="430"/>
      <c r="C396" s="430"/>
      <c r="D396" s="430"/>
      <c r="E396" s="430"/>
      <c r="F396" s="430"/>
      <c r="G396" s="430"/>
      <c r="H396" s="430"/>
      <c r="I396" s="430"/>
      <c r="J396" s="430"/>
      <c r="K396" s="430"/>
      <c r="L396" s="430"/>
      <c r="M396" s="430"/>
      <c r="N396" s="430"/>
      <c r="O396" s="430"/>
      <c r="P396" s="430"/>
      <c r="Q396" s="430"/>
      <c r="R396" s="430"/>
      <c r="S396" s="430"/>
      <c r="T396" s="430"/>
      <c r="U396" s="430"/>
      <c r="V396" s="430"/>
      <c r="W396" s="430"/>
      <c r="X396" s="430"/>
      <c r="Y396" s="430"/>
      <c r="Z396" s="430"/>
      <c r="AA396" s="430"/>
      <c r="AB396" s="430"/>
      <c r="AC396" s="430"/>
      <c r="AD396" s="430"/>
      <c r="AE396" s="430"/>
      <c r="AF396" s="430"/>
      <c r="AG396" s="430"/>
      <c r="AH396" s="430"/>
      <c r="AI396" s="430"/>
      <c r="AJ396" s="430"/>
      <c r="AK396" s="430"/>
      <c r="AL396" s="430"/>
      <c r="AM396" s="430"/>
      <c r="AN396" s="430"/>
      <c r="AO396" s="430"/>
      <c r="AP396" s="430"/>
      <c r="AQ396" s="430"/>
      <c r="AR396" s="430"/>
      <c r="AS396" s="430"/>
      <c r="AT396" s="430"/>
      <c r="AU396" s="430"/>
      <c r="AV396" s="430"/>
      <c r="AW396" s="430"/>
      <c r="AX396" s="430"/>
      <c r="AY396" s="430"/>
      <c r="AZ396" s="430"/>
      <c r="BA396" s="430"/>
      <c r="BB396" s="430"/>
      <c r="BC396" s="430"/>
      <c r="BD396" s="430"/>
      <c r="BE396" s="430"/>
    </row>
    <row r="397" spans="1:57" ht="15.75" customHeight="1">
      <c r="A397" s="430"/>
      <c r="B397" s="430"/>
      <c r="C397" s="430"/>
      <c r="D397" s="430"/>
      <c r="E397" s="430"/>
      <c r="F397" s="430"/>
      <c r="G397" s="430"/>
      <c r="H397" s="430"/>
      <c r="I397" s="430"/>
      <c r="J397" s="430"/>
      <c r="K397" s="430"/>
      <c r="L397" s="430"/>
      <c r="M397" s="430"/>
      <c r="N397" s="430"/>
      <c r="O397" s="430"/>
      <c r="P397" s="430"/>
      <c r="Q397" s="430"/>
      <c r="R397" s="430"/>
      <c r="S397" s="430"/>
      <c r="T397" s="430"/>
      <c r="U397" s="430"/>
      <c r="V397" s="430"/>
      <c r="W397" s="430"/>
      <c r="X397" s="430"/>
      <c r="Y397" s="430"/>
      <c r="Z397" s="430"/>
      <c r="AA397" s="430"/>
      <c r="AB397" s="430"/>
      <c r="AC397" s="430"/>
      <c r="AD397" s="430"/>
      <c r="AE397" s="430"/>
      <c r="AF397" s="430"/>
      <c r="AG397" s="430"/>
      <c r="AH397" s="430"/>
      <c r="AI397" s="430"/>
      <c r="AJ397" s="430"/>
      <c r="AK397" s="430"/>
      <c r="AL397" s="430"/>
      <c r="AM397" s="430"/>
      <c r="AN397" s="430"/>
      <c r="AO397" s="430"/>
      <c r="AP397" s="430"/>
      <c r="AQ397" s="430"/>
      <c r="AR397" s="430"/>
      <c r="AS397" s="430"/>
      <c r="AT397" s="430"/>
      <c r="AU397" s="430"/>
      <c r="AV397" s="430"/>
      <c r="AW397" s="430"/>
      <c r="AX397" s="430"/>
      <c r="AY397" s="430"/>
      <c r="AZ397" s="430"/>
      <c r="BA397" s="430"/>
      <c r="BB397" s="430"/>
      <c r="BC397" s="430"/>
      <c r="BD397" s="430"/>
      <c r="BE397" s="430"/>
    </row>
    <row r="398" spans="1:57" ht="15.75" customHeight="1">
      <c r="A398" s="430"/>
      <c r="B398" s="430"/>
      <c r="C398" s="430"/>
      <c r="D398" s="430"/>
      <c r="E398" s="430"/>
      <c r="F398" s="430"/>
      <c r="G398" s="430"/>
      <c r="H398" s="430"/>
      <c r="I398" s="430"/>
      <c r="J398" s="430"/>
      <c r="K398" s="430"/>
      <c r="L398" s="430"/>
      <c r="M398" s="430"/>
      <c r="N398" s="430"/>
      <c r="O398" s="430"/>
      <c r="P398" s="430"/>
      <c r="Q398" s="430"/>
      <c r="R398" s="430"/>
      <c r="S398" s="430"/>
      <c r="T398" s="430"/>
      <c r="U398" s="430"/>
      <c r="V398" s="430"/>
      <c r="W398" s="430"/>
      <c r="X398" s="430"/>
      <c r="Y398" s="430"/>
      <c r="Z398" s="430"/>
      <c r="AA398" s="430"/>
      <c r="AB398" s="430"/>
      <c r="AC398" s="430"/>
      <c r="AD398" s="430"/>
      <c r="AE398" s="430"/>
      <c r="AF398" s="430"/>
      <c r="AG398" s="430"/>
      <c r="AH398" s="430"/>
      <c r="AI398" s="430"/>
      <c r="AJ398" s="430"/>
      <c r="AK398" s="430"/>
      <c r="AL398" s="430"/>
      <c r="AM398" s="430"/>
      <c r="AN398" s="430"/>
      <c r="AO398" s="430"/>
      <c r="AP398" s="430"/>
      <c r="AQ398" s="430"/>
      <c r="AR398" s="430"/>
      <c r="AS398" s="430"/>
      <c r="AT398" s="430"/>
      <c r="AU398" s="430"/>
      <c r="AV398" s="430"/>
      <c r="AW398" s="430"/>
      <c r="AX398" s="430"/>
      <c r="AY398" s="430"/>
      <c r="AZ398" s="430"/>
      <c r="BA398" s="430"/>
      <c r="BB398" s="430"/>
      <c r="BC398" s="430"/>
      <c r="BD398" s="430"/>
      <c r="BE398" s="430"/>
    </row>
    <row r="399" spans="1:57" ht="15.75" customHeight="1">
      <c r="A399" s="430"/>
      <c r="B399" s="430"/>
      <c r="C399" s="430"/>
      <c r="D399" s="430"/>
      <c r="E399" s="430"/>
      <c r="F399" s="430"/>
      <c r="G399" s="430"/>
      <c r="H399" s="430"/>
      <c r="I399" s="430"/>
      <c r="J399" s="430"/>
      <c r="K399" s="430"/>
      <c r="L399" s="430"/>
      <c r="M399" s="430"/>
      <c r="N399" s="430"/>
      <c r="O399" s="430"/>
      <c r="P399" s="430"/>
      <c r="Q399" s="430"/>
      <c r="R399" s="430"/>
      <c r="S399" s="430"/>
      <c r="T399" s="430"/>
      <c r="U399" s="430"/>
      <c r="V399" s="430"/>
      <c r="W399" s="430"/>
      <c r="X399" s="430"/>
      <c r="Y399" s="430"/>
      <c r="Z399" s="430"/>
      <c r="AA399" s="430"/>
      <c r="AB399" s="430"/>
      <c r="AC399" s="430"/>
      <c r="AD399" s="430"/>
      <c r="AE399" s="430"/>
      <c r="AF399" s="430"/>
      <c r="AG399" s="430"/>
      <c r="AH399" s="430"/>
      <c r="AI399" s="430"/>
      <c r="AJ399" s="430"/>
      <c r="AK399" s="430"/>
      <c r="AL399" s="430"/>
      <c r="AM399" s="430"/>
      <c r="AN399" s="430"/>
      <c r="AO399" s="430"/>
      <c r="AP399" s="430"/>
      <c r="AQ399" s="430"/>
      <c r="AR399" s="430"/>
      <c r="AS399" s="430"/>
      <c r="AT399" s="430"/>
      <c r="AU399" s="430"/>
      <c r="AV399" s="430"/>
      <c r="AW399" s="430"/>
      <c r="AX399" s="430"/>
      <c r="AY399" s="430"/>
      <c r="AZ399" s="430"/>
      <c r="BA399" s="430"/>
      <c r="BB399" s="430"/>
      <c r="BC399" s="430"/>
      <c r="BD399" s="430"/>
      <c r="BE399" s="430"/>
    </row>
    <row r="400" spans="1:57" ht="15.75" customHeight="1">
      <c r="A400" s="430"/>
      <c r="B400" s="430"/>
      <c r="C400" s="430"/>
      <c r="D400" s="430"/>
      <c r="E400" s="430"/>
      <c r="F400" s="430"/>
      <c r="G400" s="430"/>
      <c r="H400" s="430"/>
      <c r="I400" s="430"/>
      <c r="J400" s="430"/>
      <c r="K400" s="430"/>
      <c r="L400" s="430"/>
      <c r="M400" s="430"/>
      <c r="N400" s="430"/>
      <c r="O400" s="430"/>
      <c r="P400" s="430"/>
      <c r="Q400" s="430"/>
      <c r="R400" s="430"/>
      <c r="S400" s="430"/>
      <c r="T400" s="430"/>
      <c r="U400" s="430"/>
      <c r="V400" s="430"/>
      <c r="W400" s="430"/>
      <c r="X400" s="430"/>
      <c r="Y400" s="430"/>
      <c r="Z400" s="430"/>
      <c r="AA400" s="430"/>
      <c r="AB400" s="430"/>
      <c r="AC400" s="430"/>
      <c r="AD400" s="430"/>
      <c r="AE400" s="430"/>
      <c r="AF400" s="430"/>
      <c r="AG400" s="430"/>
      <c r="AH400" s="430"/>
      <c r="AI400" s="430"/>
      <c r="AJ400" s="430"/>
      <c r="AK400" s="430"/>
      <c r="AL400" s="430"/>
      <c r="AM400" s="430"/>
      <c r="AN400" s="430"/>
      <c r="AO400" s="430"/>
      <c r="AP400" s="430"/>
      <c r="AQ400" s="430"/>
      <c r="AR400" s="430"/>
      <c r="AS400" s="430"/>
      <c r="AT400" s="430"/>
      <c r="AU400" s="430"/>
      <c r="AV400" s="430"/>
      <c r="AW400" s="430"/>
      <c r="AX400" s="430"/>
      <c r="AY400" s="430"/>
      <c r="AZ400" s="430"/>
      <c r="BA400" s="430"/>
      <c r="BB400" s="430"/>
      <c r="BC400" s="430"/>
      <c r="BD400" s="430"/>
      <c r="BE400" s="430"/>
    </row>
    <row r="401" spans="1:57" ht="15.75" customHeight="1">
      <c r="A401" s="430"/>
      <c r="B401" s="430"/>
      <c r="C401" s="430"/>
      <c r="D401" s="430"/>
      <c r="E401" s="430"/>
      <c r="F401" s="430"/>
      <c r="G401" s="430"/>
      <c r="H401" s="430"/>
      <c r="I401" s="430"/>
      <c r="J401" s="430"/>
      <c r="K401" s="430"/>
      <c r="L401" s="430"/>
      <c r="M401" s="430"/>
      <c r="N401" s="430"/>
      <c r="O401" s="430"/>
      <c r="P401" s="430"/>
      <c r="Q401" s="430"/>
      <c r="R401" s="430"/>
      <c r="S401" s="430"/>
      <c r="T401" s="430"/>
      <c r="U401" s="430"/>
      <c r="V401" s="430"/>
      <c r="W401" s="430"/>
      <c r="X401" s="430"/>
      <c r="Y401" s="430"/>
      <c r="Z401" s="430"/>
      <c r="AA401" s="430"/>
      <c r="AB401" s="430"/>
      <c r="AC401" s="430"/>
      <c r="AD401" s="430"/>
      <c r="AE401" s="430"/>
      <c r="AF401" s="430"/>
      <c r="AG401" s="430"/>
      <c r="AH401" s="430"/>
      <c r="AI401" s="430"/>
      <c r="AJ401" s="430"/>
      <c r="AK401" s="430"/>
      <c r="AL401" s="430"/>
      <c r="AM401" s="430"/>
      <c r="AN401" s="430"/>
      <c r="AO401" s="430"/>
      <c r="AP401" s="430"/>
      <c r="AQ401" s="430"/>
      <c r="AR401" s="430"/>
      <c r="AS401" s="430"/>
      <c r="AT401" s="430"/>
      <c r="AU401" s="430"/>
      <c r="AV401" s="430"/>
      <c r="AW401" s="430"/>
      <c r="AX401" s="430"/>
      <c r="AY401" s="430"/>
      <c r="AZ401" s="430"/>
      <c r="BA401" s="430"/>
      <c r="BB401" s="430"/>
      <c r="BC401" s="430"/>
      <c r="BD401" s="430"/>
      <c r="BE401" s="430"/>
    </row>
    <row r="402" spans="1:57" ht="15.75" customHeight="1">
      <c r="A402" s="430"/>
      <c r="B402" s="430"/>
      <c r="C402" s="430"/>
      <c r="D402" s="430"/>
      <c r="E402" s="430"/>
      <c r="F402" s="430"/>
      <c r="G402" s="430"/>
      <c r="H402" s="430"/>
      <c r="I402" s="430"/>
      <c r="J402" s="430"/>
      <c r="K402" s="430"/>
      <c r="L402" s="430"/>
      <c r="M402" s="430"/>
      <c r="N402" s="430"/>
      <c r="O402" s="430"/>
      <c r="P402" s="430"/>
      <c r="Q402" s="430"/>
      <c r="R402" s="430"/>
      <c r="S402" s="430"/>
      <c r="T402" s="430"/>
      <c r="U402" s="430"/>
      <c r="V402" s="430"/>
      <c r="W402" s="430"/>
      <c r="X402" s="430"/>
      <c r="Y402" s="430"/>
      <c r="Z402" s="430"/>
      <c r="AA402" s="430"/>
      <c r="AB402" s="430"/>
      <c r="AC402" s="430"/>
      <c r="AD402" s="430"/>
      <c r="AE402" s="430"/>
      <c r="AF402" s="430"/>
      <c r="AG402" s="430"/>
      <c r="AH402" s="430"/>
      <c r="AI402" s="430"/>
      <c r="AJ402" s="430"/>
      <c r="AK402" s="430"/>
      <c r="AL402" s="430"/>
      <c r="AM402" s="430"/>
      <c r="AN402" s="430"/>
      <c r="AO402" s="430"/>
      <c r="AP402" s="430"/>
      <c r="AQ402" s="430"/>
      <c r="AR402" s="430"/>
      <c r="AS402" s="430"/>
      <c r="AT402" s="430"/>
      <c r="AU402" s="430"/>
      <c r="AV402" s="430"/>
      <c r="AW402" s="430"/>
      <c r="AX402" s="430"/>
      <c r="AY402" s="430"/>
      <c r="AZ402" s="430"/>
      <c r="BA402" s="430"/>
      <c r="BB402" s="430"/>
      <c r="BC402" s="430"/>
      <c r="BD402" s="430"/>
      <c r="BE402" s="430"/>
    </row>
    <row r="403" spans="1:57" ht="15.75" customHeight="1">
      <c r="A403" s="430"/>
      <c r="B403" s="430"/>
      <c r="C403" s="430"/>
      <c r="D403" s="430"/>
      <c r="E403" s="430"/>
      <c r="F403" s="430"/>
      <c r="G403" s="430"/>
      <c r="H403" s="430"/>
      <c r="I403" s="430"/>
      <c r="J403" s="430"/>
      <c r="K403" s="430"/>
      <c r="L403" s="430"/>
      <c r="M403" s="430"/>
      <c r="N403" s="430"/>
      <c r="O403" s="430"/>
      <c r="P403" s="430"/>
      <c r="Q403" s="430"/>
      <c r="R403" s="430"/>
      <c r="S403" s="430"/>
      <c r="T403" s="430"/>
      <c r="U403" s="430"/>
      <c r="V403" s="430"/>
      <c r="W403" s="430"/>
      <c r="X403" s="430"/>
      <c r="Y403" s="430"/>
      <c r="Z403" s="430"/>
      <c r="AA403" s="430"/>
      <c r="AB403" s="430"/>
      <c r="AC403" s="430"/>
      <c r="AD403" s="430"/>
      <c r="AE403" s="430"/>
      <c r="AF403" s="430"/>
      <c r="AG403" s="430"/>
      <c r="AH403" s="430"/>
      <c r="AI403" s="430"/>
      <c r="AJ403" s="430"/>
      <c r="AK403" s="430"/>
      <c r="AL403" s="430"/>
      <c r="AM403" s="430"/>
      <c r="AN403" s="430"/>
      <c r="AO403" s="430"/>
      <c r="AP403" s="430"/>
      <c r="AQ403" s="430"/>
      <c r="AR403" s="430"/>
      <c r="AS403" s="430"/>
      <c r="AT403" s="430"/>
      <c r="AU403" s="430"/>
      <c r="AV403" s="430"/>
      <c r="AW403" s="430"/>
      <c r="AX403" s="430"/>
      <c r="AY403" s="430"/>
      <c r="AZ403" s="430"/>
      <c r="BA403" s="430"/>
      <c r="BB403" s="430"/>
      <c r="BC403" s="430"/>
      <c r="BD403" s="430"/>
      <c r="BE403" s="430"/>
    </row>
    <row r="404" spans="1:57" ht="15.75" customHeight="1">
      <c r="A404" s="430"/>
      <c r="B404" s="430"/>
      <c r="C404" s="430"/>
      <c r="D404" s="430"/>
      <c r="E404" s="430"/>
      <c r="F404" s="430"/>
      <c r="G404" s="430"/>
      <c r="H404" s="430"/>
      <c r="I404" s="430"/>
      <c r="J404" s="430"/>
      <c r="K404" s="430"/>
      <c r="L404" s="430"/>
      <c r="M404" s="430"/>
      <c r="N404" s="430"/>
      <c r="O404" s="430"/>
      <c r="P404" s="430"/>
      <c r="Q404" s="430"/>
      <c r="R404" s="430"/>
      <c r="S404" s="430"/>
      <c r="T404" s="430"/>
      <c r="U404" s="430"/>
      <c r="V404" s="430"/>
      <c r="W404" s="430"/>
      <c r="X404" s="430"/>
      <c r="Y404" s="430"/>
      <c r="Z404" s="430"/>
      <c r="AA404" s="430"/>
      <c r="AB404" s="430"/>
      <c r="AC404" s="430"/>
      <c r="AD404" s="430"/>
      <c r="AE404" s="430"/>
      <c r="AF404" s="430"/>
      <c r="AG404" s="430"/>
      <c r="AH404" s="430"/>
      <c r="AI404" s="430"/>
      <c r="AJ404" s="430"/>
      <c r="AK404" s="430"/>
      <c r="AL404" s="430"/>
      <c r="AM404" s="430"/>
      <c r="AN404" s="430"/>
      <c r="AO404" s="430"/>
      <c r="AP404" s="430"/>
      <c r="AQ404" s="430"/>
      <c r="AR404" s="430"/>
      <c r="AS404" s="430"/>
      <c r="AT404" s="430"/>
      <c r="AU404" s="430"/>
      <c r="AV404" s="430"/>
      <c r="AW404" s="430"/>
      <c r="AX404" s="430"/>
      <c r="AY404" s="430"/>
      <c r="AZ404" s="430"/>
      <c r="BA404" s="430"/>
      <c r="BB404" s="430"/>
      <c r="BC404" s="430"/>
      <c r="BD404" s="430"/>
      <c r="BE404" s="430"/>
    </row>
    <row r="405" spans="1:57" ht="15.75" customHeight="1">
      <c r="A405" s="430"/>
      <c r="B405" s="430"/>
      <c r="C405" s="430"/>
      <c r="D405" s="430"/>
      <c r="E405" s="430"/>
      <c r="F405" s="430"/>
      <c r="G405" s="430"/>
      <c r="H405" s="430"/>
      <c r="I405" s="430"/>
      <c r="J405" s="430"/>
      <c r="K405" s="430"/>
      <c r="L405" s="430"/>
      <c r="M405" s="430"/>
      <c r="N405" s="430"/>
      <c r="O405" s="430"/>
      <c r="P405" s="430"/>
      <c r="Q405" s="430"/>
      <c r="R405" s="430"/>
      <c r="S405" s="430"/>
      <c r="T405" s="430"/>
      <c r="U405" s="430"/>
      <c r="V405" s="430"/>
      <c r="W405" s="430"/>
      <c r="X405" s="430"/>
      <c r="Y405" s="430"/>
      <c r="Z405" s="430"/>
      <c r="AA405" s="430"/>
      <c r="AB405" s="430"/>
      <c r="AC405" s="430"/>
      <c r="AD405" s="430"/>
      <c r="AE405" s="430"/>
      <c r="AF405" s="430"/>
      <c r="AG405" s="430"/>
      <c r="AH405" s="430"/>
      <c r="AI405" s="430"/>
      <c r="AJ405" s="430"/>
      <c r="AK405" s="430"/>
      <c r="AL405" s="430"/>
      <c r="AM405" s="430"/>
      <c r="AN405" s="430"/>
      <c r="AO405" s="430"/>
      <c r="AP405" s="430"/>
      <c r="AQ405" s="430"/>
      <c r="AR405" s="430"/>
      <c r="AS405" s="430"/>
      <c r="AT405" s="430"/>
      <c r="AU405" s="430"/>
      <c r="AV405" s="430"/>
      <c r="AW405" s="430"/>
      <c r="AX405" s="430"/>
      <c r="AY405" s="430"/>
      <c r="AZ405" s="430"/>
      <c r="BA405" s="430"/>
      <c r="BB405" s="430"/>
      <c r="BC405" s="430"/>
      <c r="BD405" s="430"/>
      <c r="BE405" s="430"/>
    </row>
    <row r="406" spans="1:57" ht="15.75" customHeight="1">
      <c r="A406" s="430"/>
      <c r="B406" s="430"/>
      <c r="C406" s="430"/>
      <c r="D406" s="430"/>
      <c r="E406" s="430"/>
      <c r="F406" s="430"/>
      <c r="G406" s="430"/>
      <c r="H406" s="430"/>
      <c r="I406" s="430"/>
      <c r="J406" s="430"/>
      <c r="K406" s="430"/>
      <c r="L406" s="430"/>
      <c r="M406" s="430"/>
      <c r="N406" s="430"/>
      <c r="O406" s="430"/>
      <c r="P406" s="430"/>
      <c r="Q406" s="430"/>
      <c r="R406" s="430"/>
      <c r="S406" s="430"/>
      <c r="T406" s="430"/>
      <c r="U406" s="430"/>
      <c r="V406" s="430"/>
      <c r="W406" s="430"/>
      <c r="X406" s="430"/>
      <c r="Y406" s="430"/>
      <c r="Z406" s="430"/>
      <c r="AA406" s="430"/>
      <c r="AB406" s="430"/>
      <c r="AC406" s="430"/>
      <c r="AD406" s="430"/>
      <c r="AE406" s="430"/>
      <c r="AF406" s="430"/>
      <c r="AG406" s="430"/>
      <c r="AH406" s="430"/>
      <c r="AI406" s="430"/>
      <c r="AJ406" s="430"/>
      <c r="AK406" s="430"/>
      <c r="AL406" s="430"/>
      <c r="AM406" s="430"/>
      <c r="AN406" s="430"/>
      <c r="AO406" s="430"/>
      <c r="AP406" s="430"/>
      <c r="AQ406" s="430"/>
      <c r="AR406" s="430"/>
      <c r="AS406" s="430"/>
      <c r="AT406" s="430"/>
      <c r="AU406" s="430"/>
      <c r="AV406" s="430"/>
      <c r="AW406" s="430"/>
      <c r="AX406" s="430"/>
      <c r="AY406" s="430"/>
      <c r="AZ406" s="430"/>
      <c r="BA406" s="430"/>
      <c r="BB406" s="430"/>
      <c r="BC406" s="430"/>
      <c r="BD406" s="430"/>
      <c r="BE406" s="430"/>
    </row>
    <row r="407" spans="1:57" ht="15.75" customHeight="1">
      <c r="A407" s="430"/>
      <c r="B407" s="430"/>
      <c r="C407" s="430"/>
      <c r="D407" s="430"/>
      <c r="E407" s="430"/>
      <c r="F407" s="430"/>
      <c r="G407" s="430"/>
      <c r="H407" s="430"/>
      <c r="I407" s="430"/>
      <c r="J407" s="430"/>
      <c r="K407" s="430"/>
      <c r="L407" s="430"/>
      <c r="M407" s="430"/>
      <c r="N407" s="430"/>
      <c r="O407" s="430"/>
      <c r="P407" s="430"/>
      <c r="Q407" s="430"/>
      <c r="R407" s="430"/>
      <c r="S407" s="430"/>
      <c r="T407" s="430"/>
      <c r="U407" s="430"/>
      <c r="V407" s="430"/>
      <c r="W407" s="430"/>
      <c r="X407" s="430"/>
      <c r="Y407" s="430"/>
      <c r="Z407" s="430"/>
      <c r="AA407" s="430"/>
      <c r="AB407" s="430"/>
      <c r="AC407" s="430"/>
      <c r="AD407" s="430"/>
      <c r="AE407" s="430"/>
      <c r="AF407" s="430"/>
      <c r="AG407" s="430"/>
      <c r="AH407" s="430"/>
      <c r="AI407" s="430"/>
      <c r="AJ407" s="430"/>
      <c r="AK407" s="430"/>
      <c r="AL407" s="430"/>
      <c r="AM407" s="430"/>
      <c r="AN407" s="430"/>
      <c r="AO407" s="430"/>
      <c r="AP407" s="430"/>
      <c r="AQ407" s="430"/>
      <c r="AR407" s="430"/>
      <c r="AS407" s="430"/>
      <c r="AT407" s="430"/>
      <c r="AU407" s="430"/>
      <c r="AV407" s="430"/>
      <c r="AW407" s="430"/>
      <c r="AX407" s="430"/>
      <c r="AY407" s="430"/>
      <c r="AZ407" s="430"/>
      <c r="BA407" s="430"/>
      <c r="BB407" s="430"/>
      <c r="BC407" s="430"/>
      <c r="BD407" s="430"/>
      <c r="BE407" s="430"/>
    </row>
    <row r="408" spans="1:57" ht="15.75" customHeight="1">
      <c r="A408" s="430"/>
      <c r="B408" s="430"/>
      <c r="C408" s="430"/>
      <c r="D408" s="430"/>
      <c r="E408" s="430"/>
      <c r="F408" s="430"/>
      <c r="G408" s="430"/>
      <c r="H408" s="430"/>
      <c r="I408" s="430"/>
      <c r="J408" s="430"/>
      <c r="K408" s="430"/>
      <c r="L408" s="430"/>
      <c r="M408" s="430"/>
      <c r="N408" s="430"/>
      <c r="O408" s="430"/>
      <c r="P408" s="430"/>
      <c r="Q408" s="430"/>
      <c r="R408" s="430"/>
      <c r="S408" s="430"/>
      <c r="T408" s="430"/>
      <c r="U408" s="430"/>
      <c r="V408" s="430"/>
      <c r="W408" s="430"/>
      <c r="X408" s="430"/>
      <c r="Y408" s="430"/>
      <c r="Z408" s="430"/>
      <c r="AA408" s="430"/>
      <c r="AB408" s="430"/>
      <c r="AC408" s="430"/>
      <c r="AD408" s="430"/>
      <c r="AE408" s="430"/>
      <c r="AF408" s="430"/>
      <c r="AG408" s="430"/>
      <c r="AH408" s="430"/>
      <c r="AI408" s="430"/>
      <c r="AJ408" s="430"/>
      <c r="AK408" s="430"/>
      <c r="AL408" s="430"/>
      <c r="AM408" s="430"/>
      <c r="AN408" s="430"/>
      <c r="AO408" s="430"/>
      <c r="AP408" s="430"/>
      <c r="AQ408" s="430"/>
      <c r="AR408" s="430"/>
      <c r="AS408" s="430"/>
      <c r="AT408" s="430"/>
      <c r="AU408" s="430"/>
      <c r="AV408" s="430"/>
      <c r="AW408" s="430"/>
      <c r="AX408" s="430"/>
      <c r="AY408" s="430"/>
      <c r="AZ408" s="430"/>
      <c r="BA408" s="430"/>
      <c r="BB408" s="430"/>
      <c r="BC408" s="430"/>
      <c r="BD408" s="430"/>
      <c r="BE408" s="430"/>
    </row>
    <row r="409" spans="1:57" ht="15.75" customHeight="1">
      <c r="A409" s="430"/>
      <c r="B409" s="430"/>
      <c r="C409" s="430"/>
      <c r="D409" s="430"/>
      <c r="E409" s="430"/>
      <c r="F409" s="430"/>
      <c r="G409" s="430"/>
      <c r="H409" s="430"/>
      <c r="I409" s="430"/>
      <c r="J409" s="430"/>
      <c r="K409" s="430"/>
      <c r="L409" s="430"/>
      <c r="M409" s="430"/>
      <c r="N409" s="430"/>
      <c r="O409" s="430"/>
      <c r="P409" s="430"/>
      <c r="Q409" s="430"/>
      <c r="R409" s="430"/>
      <c r="S409" s="430"/>
      <c r="T409" s="430"/>
      <c r="U409" s="430"/>
      <c r="V409" s="430"/>
      <c r="W409" s="430"/>
      <c r="X409" s="430"/>
      <c r="Y409" s="430"/>
      <c r="Z409" s="430"/>
      <c r="AA409" s="430"/>
      <c r="AB409" s="430"/>
      <c r="AC409" s="430"/>
      <c r="AD409" s="430"/>
      <c r="AE409" s="430"/>
      <c r="AF409" s="430"/>
      <c r="AG409" s="430"/>
      <c r="AH409" s="430"/>
      <c r="AI409" s="430"/>
      <c r="AJ409" s="430"/>
      <c r="AK409" s="430"/>
      <c r="AL409" s="430"/>
      <c r="AM409" s="430"/>
      <c r="AN409" s="430"/>
      <c r="AO409" s="430"/>
      <c r="AP409" s="430"/>
      <c r="AQ409" s="430"/>
      <c r="AR409" s="430"/>
      <c r="AS409" s="430"/>
      <c r="AT409" s="430"/>
      <c r="AU409" s="430"/>
      <c r="AV409" s="430"/>
      <c r="AW409" s="430"/>
      <c r="AX409" s="430"/>
      <c r="AY409" s="430"/>
      <c r="AZ409" s="430"/>
      <c r="BA409" s="430"/>
      <c r="BB409" s="430"/>
      <c r="BC409" s="430"/>
      <c r="BD409" s="430"/>
      <c r="BE409" s="430"/>
    </row>
    <row r="410" spans="1:57" ht="15.75" customHeight="1">
      <c r="A410" s="430"/>
      <c r="B410" s="430"/>
      <c r="C410" s="430"/>
      <c r="D410" s="430"/>
      <c r="E410" s="430"/>
      <c r="F410" s="430"/>
      <c r="G410" s="430"/>
      <c r="H410" s="430"/>
      <c r="I410" s="430"/>
      <c r="J410" s="430"/>
      <c r="K410" s="430"/>
      <c r="L410" s="430"/>
      <c r="M410" s="430"/>
      <c r="N410" s="430"/>
      <c r="O410" s="430"/>
      <c r="P410" s="430"/>
      <c r="Q410" s="430"/>
      <c r="R410" s="430"/>
      <c r="S410" s="430"/>
      <c r="T410" s="430"/>
      <c r="U410" s="430"/>
      <c r="V410" s="430"/>
      <c r="W410" s="430"/>
      <c r="X410" s="430"/>
      <c r="Y410" s="430"/>
      <c r="Z410" s="430"/>
      <c r="AA410" s="430"/>
      <c r="AB410" s="430"/>
      <c r="AC410" s="430"/>
      <c r="AD410" s="430"/>
      <c r="AE410" s="430"/>
      <c r="AF410" s="430"/>
      <c r="AG410" s="430"/>
      <c r="AH410" s="430"/>
      <c r="AI410" s="430"/>
      <c r="AJ410" s="430"/>
      <c r="AK410" s="430"/>
      <c r="AL410" s="430"/>
      <c r="AM410" s="430"/>
      <c r="AN410" s="430"/>
      <c r="AO410" s="430"/>
      <c r="AP410" s="430"/>
      <c r="AQ410" s="430"/>
      <c r="AR410" s="430"/>
      <c r="AS410" s="430"/>
      <c r="AT410" s="430"/>
      <c r="AU410" s="430"/>
      <c r="AV410" s="430"/>
      <c r="AW410" s="430"/>
      <c r="AX410" s="430"/>
      <c r="AY410" s="430"/>
      <c r="AZ410" s="430"/>
      <c r="BA410" s="430"/>
      <c r="BB410" s="430"/>
      <c r="BC410" s="430"/>
      <c r="BD410" s="430"/>
      <c r="BE410" s="430"/>
    </row>
    <row r="411" spans="1:57" ht="15.75" customHeight="1">
      <c r="A411" s="430"/>
      <c r="B411" s="430"/>
      <c r="C411" s="430"/>
      <c r="D411" s="430"/>
      <c r="E411" s="430"/>
      <c r="F411" s="430"/>
      <c r="G411" s="430"/>
      <c r="H411" s="430"/>
      <c r="I411" s="430"/>
      <c r="J411" s="430"/>
      <c r="K411" s="430"/>
      <c r="L411" s="430"/>
      <c r="M411" s="430"/>
      <c r="N411" s="430"/>
      <c r="O411" s="430"/>
      <c r="P411" s="430"/>
      <c r="Q411" s="430"/>
      <c r="R411" s="430"/>
      <c r="S411" s="430"/>
      <c r="T411" s="430"/>
      <c r="U411" s="430"/>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430"/>
      <c r="AY411" s="430"/>
      <c r="AZ411" s="430"/>
      <c r="BA411" s="430"/>
      <c r="BB411" s="430"/>
      <c r="BC411" s="430"/>
      <c r="BD411" s="430"/>
      <c r="BE411" s="430"/>
    </row>
    <row r="412" spans="1:57" ht="15.75" customHeight="1">
      <c r="A412" s="430"/>
      <c r="B412" s="430"/>
      <c r="C412" s="430"/>
      <c r="D412" s="430"/>
      <c r="E412" s="430"/>
      <c r="F412" s="430"/>
      <c r="G412" s="430"/>
      <c r="H412" s="430"/>
      <c r="I412" s="430"/>
      <c r="J412" s="430"/>
      <c r="K412" s="430"/>
      <c r="L412" s="430"/>
      <c r="M412" s="430"/>
      <c r="N412" s="430"/>
      <c r="O412" s="430"/>
      <c r="P412" s="430"/>
      <c r="Q412" s="430"/>
      <c r="R412" s="430"/>
      <c r="S412" s="430"/>
      <c r="T412" s="430"/>
      <c r="U412" s="430"/>
      <c r="V412" s="430"/>
      <c r="W412" s="430"/>
      <c r="X412" s="430"/>
      <c r="Y412" s="430"/>
      <c r="Z412" s="430"/>
      <c r="AA412" s="430"/>
      <c r="AB412" s="430"/>
      <c r="AC412" s="430"/>
      <c r="AD412" s="430"/>
      <c r="AE412" s="430"/>
      <c r="AF412" s="430"/>
      <c r="AG412" s="430"/>
      <c r="AH412" s="430"/>
      <c r="AI412" s="430"/>
      <c r="AJ412" s="430"/>
      <c r="AK412" s="430"/>
      <c r="AL412" s="430"/>
      <c r="AM412" s="430"/>
      <c r="AN412" s="430"/>
      <c r="AO412" s="430"/>
      <c r="AP412" s="430"/>
      <c r="AQ412" s="430"/>
      <c r="AR412" s="430"/>
      <c r="AS412" s="430"/>
      <c r="AT412" s="430"/>
      <c r="AU412" s="430"/>
      <c r="AV412" s="430"/>
      <c r="AW412" s="430"/>
      <c r="AX412" s="430"/>
      <c r="AY412" s="430"/>
      <c r="AZ412" s="430"/>
      <c r="BA412" s="430"/>
      <c r="BB412" s="430"/>
      <c r="BC412" s="430"/>
      <c r="BD412" s="430"/>
      <c r="BE412" s="430"/>
    </row>
    <row r="413" spans="1:57" ht="15.75" customHeight="1">
      <c r="A413" s="430"/>
      <c r="B413" s="430"/>
      <c r="C413" s="430"/>
      <c r="D413" s="430"/>
      <c r="E413" s="430"/>
      <c r="F413" s="430"/>
      <c r="G413" s="430"/>
      <c r="H413" s="430"/>
      <c r="I413" s="430"/>
      <c r="J413" s="430"/>
      <c r="K413" s="430"/>
      <c r="L413" s="430"/>
      <c r="M413" s="430"/>
      <c r="N413" s="430"/>
      <c r="O413" s="430"/>
      <c r="P413" s="430"/>
      <c r="Q413" s="430"/>
      <c r="R413" s="430"/>
      <c r="S413" s="430"/>
      <c r="T413" s="430"/>
      <c r="U413" s="430"/>
      <c r="V413" s="430"/>
      <c r="W413" s="430"/>
      <c r="X413" s="430"/>
      <c r="Y413" s="430"/>
      <c r="Z413" s="430"/>
      <c r="AA413" s="430"/>
      <c r="AB413" s="430"/>
      <c r="AC413" s="430"/>
      <c r="AD413" s="430"/>
      <c r="AE413" s="430"/>
      <c r="AF413" s="430"/>
      <c r="AG413" s="430"/>
      <c r="AH413" s="430"/>
      <c r="AI413" s="430"/>
      <c r="AJ413" s="430"/>
      <c r="AK413" s="430"/>
      <c r="AL413" s="430"/>
      <c r="AM413" s="430"/>
      <c r="AN413" s="430"/>
      <c r="AO413" s="430"/>
      <c r="AP413" s="430"/>
      <c r="AQ413" s="430"/>
      <c r="AR413" s="430"/>
      <c r="AS413" s="430"/>
      <c r="AT413" s="430"/>
      <c r="AU413" s="430"/>
      <c r="AV413" s="430"/>
      <c r="AW413" s="430"/>
      <c r="AX413" s="430"/>
      <c r="AY413" s="430"/>
      <c r="AZ413" s="430"/>
      <c r="BA413" s="430"/>
      <c r="BB413" s="430"/>
      <c r="BC413" s="430"/>
      <c r="BD413" s="430"/>
      <c r="BE413" s="430"/>
    </row>
    <row r="414" spans="1:57" ht="15.75" customHeight="1">
      <c r="A414" s="430"/>
      <c r="B414" s="430"/>
      <c r="C414" s="430"/>
      <c r="D414" s="430"/>
      <c r="E414" s="430"/>
      <c r="F414" s="430"/>
      <c r="G414" s="430"/>
      <c r="H414" s="430"/>
      <c r="I414" s="430"/>
      <c r="J414" s="430"/>
      <c r="K414" s="430"/>
      <c r="L414" s="430"/>
      <c r="M414" s="430"/>
      <c r="N414" s="430"/>
      <c r="O414" s="430"/>
      <c r="P414" s="430"/>
      <c r="Q414" s="430"/>
      <c r="R414" s="430"/>
      <c r="S414" s="430"/>
      <c r="T414" s="430"/>
      <c r="U414" s="430"/>
      <c r="V414" s="430"/>
      <c r="W414" s="430"/>
      <c r="X414" s="430"/>
      <c r="Y414" s="430"/>
      <c r="Z414" s="430"/>
      <c r="AA414" s="430"/>
      <c r="AB414" s="430"/>
      <c r="AC414" s="430"/>
      <c r="AD414" s="430"/>
      <c r="AE414" s="430"/>
      <c r="AF414" s="430"/>
      <c r="AG414" s="430"/>
      <c r="AH414" s="430"/>
      <c r="AI414" s="430"/>
      <c r="AJ414" s="430"/>
      <c r="AK414" s="430"/>
      <c r="AL414" s="430"/>
      <c r="AM414" s="430"/>
      <c r="AN414" s="430"/>
      <c r="AO414" s="430"/>
      <c r="AP414" s="430"/>
      <c r="AQ414" s="430"/>
      <c r="AR414" s="430"/>
      <c r="AS414" s="430"/>
      <c r="AT414" s="430"/>
      <c r="AU414" s="430"/>
      <c r="AV414" s="430"/>
      <c r="AW414" s="430"/>
      <c r="AX414" s="430"/>
      <c r="AY414" s="430"/>
      <c r="AZ414" s="430"/>
      <c r="BA414" s="430"/>
      <c r="BB414" s="430"/>
      <c r="BC414" s="430"/>
      <c r="BD414" s="430"/>
      <c r="BE414" s="430"/>
    </row>
    <row r="415" spans="1:57" ht="15.75" customHeight="1">
      <c r="A415" s="430"/>
      <c r="B415" s="430"/>
      <c r="C415" s="430"/>
      <c r="D415" s="430"/>
      <c r="E415" s="430"/>
      <c r="F415" s="430"/>
      <c r="G415" s="430"/>
      <c r="H415" s="430"/>
      <c r="I415" s="430"/>
      <c r="J415" s="430"/>
      <c r="K415" s="430"/>
      <c r="L415" s="430"/>
      <c r="M415" s="430"/>
      <c r="N415" s="430"/>
      <c r="O415" s="430"/>
      <c r="P415" s="430"/>
      <c r="Q415" s="430"/>
      <c r="R415" s="430"/>
      <c r="S415" s="430"/>
      <c r="T415" s="430"/>
      <c r="U415" s="430"/>
      <c r="V415" s="430"/>
      <c r="W415" s="430"/>
      <c r="X415" s="430"/>
      <c r="Y415" s="430"/>
      <c r="Z415" s="430"/>
      <c r="AA415" s="430"/>
      <c r="AB415" s="430"/>
      <c r="AC415" s="430"/>
      <c r="AD415" s="430"/>
      <c r="AE415" s="430"/>
      <c r="AF415" s="430"/>
      <c r="AG415" s="430"/>
      <c r="AH415" s="430"/>
      <c r="AI415" s="430"/>
      <c r="AJ415" s="430"/>
      <c r="AK415" s="430"/>
      <c r="AL415" s="430"/>
      <c r="AM415" s="430"/>
      <c r="AN415" s="430"/>
      <c r="AO415" s="430"/>
      <c r="AP415" s="430"/>
      <c r="AQ415" s="430"/>
      <c r="AR415" s="430"/>
      <c r="AS415" s="430"/>
      <c r="AT415" s="430"/>
      <c r="AU415" s="430"/>
      <c r="AV415" s="430"/>
      <c r="AW415" s="430"/>
      <c r="AX415" s="430"/>
      <c r="AY415" s="430"/>
      <c r="AZ415" s="430"/>
      <c r="BA415" s="430"/>
      <c r="BB415" s="430"/>
      <c r="BC415" s="430"/>
      <c r="BD415" s="430"/>
      <c r="BE415" s="430"/>
    </row>
    <row r="416" spans="1:57" ht="15.75" customHeight="1">
      <c r="A416" s="430"/>
      <c r="B416" s="430"/>
      <c r="C416" s="430"/>
      <c r="D416" s="430"/>
      <c r="E416" s="430"/>
      <c r="F416" s="430"/>
      <c r="G416" s="430"/>
      <c r="H416" s="430"/>
      <c r="I416" s="430"/>
      <c r="J416" s="430"/>
      <c r="K416" s="430"/>
      <c r="L416" s="430"/>
      <c r="M416" s="430"/>
      <c r="N416" s="430"/>
      <c r="O416" s="430"/>
      <c r="P416" s="430"/>
      <c r="Q416" s="430"/>
      <c r="R416" s="430"/>
      <c r="S416" s="430"/>
      <c r="T416" s="430"/>
      <c r="U416" s="430"/>
      <c r="V416" s="430"/>
      <c r="W416" s="430"/>
      <c r="X416" s="430"/>
      <c r="Y416" s="430"/>
      <c r="Z416" s="430"/>
      <c r="AA416" s="430"/>
      <c r="AB416" s="430"/>
      <c r="AC416" s="430"/>
      <c r="AD416" s="430"/>
      <c r="AE416" s="430"/>
      <c r="AF416" s="430"/>
      <c r="AG416" s="430"/>
      <c r="AH416" s="430"/>
      <c r="AI416" s="430"/>
      <c r="AJ416" s="430"/>
      <c r="AK416" s="430"/>
      <c r="AL416" s="430"/>
      <c r="AM416" s="430"/>
      <c r="AN416" s="430"/>
      <c r="AO416" s="430"/>
      <c r="AP416" s="430"/>
      <c r="AQ416" s="430"/>
      <c r="AR416" s="430"/>
      <c r="AS416" s="430"/>
      <c r="AT416" s="430"/>
      <c r="AU416" s="430"/>
      <c r="AV416" s="430"/>
      <c r="AW416" s="430"/>
      <c r="AX416" s="430"/>
      <c r="AY416" s="430"/>
      <c r="AZ416" s="430"/>
      <c r="BA416" s="430"/>
      <c r="BB416" s="430"/>
      <c r="BC416" s="430"/>
      <c r="BD416" s="430"/>
      <c r="BE416" s="430"/>
    </row>
    <row r="417" spans="1:57" ht="15.75" customHeight="1">
      <c r="A417" s="430"/>
      <c r="B417" s="430"/>
      <c r="C417" s="430"/>
      <c r="D417" s="430"/>
      <c r="E417" s="430"/>
      <c r="F417" s="430"/>
      <c r="G417" s="430"/>
      <c r="H417" s="430"/>
      <c r="I417" s="430"/>
      <c r="J417" s="430"/>
      <c r="K417" s="430"/>
      <c r="L417" s="430"/>
      <c r="M417" s="430"/>
      <c r="N417" s="430"/>
      <c r="O417" s="430"/>
      <c r="P417" s="430"/>
      <c r="Q417" s="430"/>
      <c r="R417" s="430"/>
      <c r="S417" s="430"/>
      <c r="T417" s="430"/>
      <c r="U417" s="430"/>
      <c r="V417" s="430"/>
      <c r="W417" s="430"/>
      <c r="X417" s="430"/>
      <c r="Y417" s="430"/>
      <c r="Z417" s="430"/>
      <c r="AA417" s="430"/>
      <c r="AB417" s="430"/>
      <c r="AC417" s="430"/>
      <c r="AD417" s="430"/>
      <c r="AE417" s="430"/>
      <c r="AF417" s="430"/>
      <c r="AG417" s="430"/>
      <c r="AH417" s="430"/>
      <c r="AI417" s="430"/>
      <c r="AJ417" s="430"/>
      <c r="AK417" s="430"/>
      <c r="AL417" s="430"/>
      <c r="AM417" s="430"/>
      <c r="AN417" s="430"/>
      <c r="AO417" s="430"/>
      <c r="AP417" s="430"/>
      <c r="AQ417" s="430"/>
      <c r="AR417" s="430"/>
      <c r="AS417" s="430"/>
      <c r="AT417" s="430"/>
      <c r="AU417" s="430"/>
      <c r="AV417" s="430"/>
      <c r="AW417" s="430"/>
      <c r="AX417" s="430"/>
      <c r="AY417" s="430"/>
      <c r="AZ417" s="430"/>
      <c r="BA417" s="430"/>
      <c r="BB417" s="430"/>
      <c r="BC417" s="430"/>
      <c r="BD417" s="430"/>
      <c r="BE417" s="430"/>
    </row>
    <row r="418" spans="1:57" ht="15.75" customHeight="1">
      <c r="A418" s="430"/>
      <c r="B418" s="430"/>
      <c r="C418" s="430"/>
      <c r="D418" s="430"/>
      <c r="E418" s="430"/>
      <c r="F418" s="430"/>
      <c r="G418" s="430"/>
      <c r="H418" s="430"/>
      <c r="I418" s="430"/>
      <c r="J418" s="430"/>
      <c r="K418" s="430"/>
      <c r="L418" s="430"/>
      <c r="M418" s="430"/>
      <c r="N418" s="430"/>
      <c r="O418" s="430"/>
      <c r="P418" s="430"/>
      <c r="Q418" s="430"/>
      <c r="R418" s="430"/>
      <c r="S418" s="430"/>
      <c r="T418" s="430"/>
      <c r="U418" s="430"/>
      <c r="V418" s="430"/>
      <c r="W418" s="430"/>
      <c r="X418" s="430"/>
      <c r="Y418" s="430"/>
      <c r="Z418" s="430"/>
      <c r="AA418" s="430"/>
      <c r="AB418" s="430"/>
      <c r="AC418" s="430"/>
      <c r="AD418" s="430"/>
      <c r="AE418" s="430"/>
      <c r="AF418" s="430"/>
      <c r="AG418" s="430"/>
      <c r="AH418" s="430"/>
      <c r="AI418" s="430"/>
      <c r="AJ418" s="430"/>
      <c r="AK418" s="430"/>
      <c r="AL418" s="430"/>
      <c r="AM418" s="430"/>
      <c r="AN418" s="430"/>
      <c r="AO418" s="430"/>
      <c r="AP418" s="430"/>
      <c r="AQ418" s="430"/>
      <c r="AR418" s="430"/>
      <c r="AS418" s="430"/>
      <c r="AT418" s="430"/>
      <c r="AU418" s="430"/>
      <c r="AV418" s="430"/>
      <c r="AW418" s="430"/>
      <c r="AX418" s="430"/>
      <c r="AY418" s="430"/>
      <c r="AZ418" s="430"/>
      <c r="BA418" s="430"/>
      <c r="BB418" s="430"/>
      <c r="BC418" s="430"/>
      <c r="BD418" s="430"/>
      <c r="BE418" s="430"/>
    </row>
    <row r="419" spans="1:57" ht="15.75" customHeight="1">
      <c r="A419" s="430"/>
      <c r="B419" s="430"/>
      <c r="C419" s="430"/>
      <c r="D419" s="430"/>
      <c r="E419" s="430"/>
      <c r="F419" s="430"/>
      <c r="G419" s="430"/>
      <c r="H419" s="430"/>
      <c r="I419" s="430"/>
      <c r="J419" s="430"/>
      <c r="K419" s="430"/>
      <c r="L419" s="430"/>
      <c r="M419" s="430"/>
      <c r="N419" s="430"/>
      <c r="O419" s="430"/>
      <c r="P419" s="430"/>
      <c r="Q419" s="430"/>
      <c r="R419" s="430"/>
      <c r="S419" s="430"/>
      <c r="T419" s="430"/>
      <c r="U419" s="430"/>
      <c r="V419" s="430"/>
      <c r="W419" s="430"/>
      <c r="X419" s="430"/>
      <c r="Y419" s="430"/>
      <c r="Z419" s="430"/>
      <c r="AA419" s="430"/>
      <c r="AB419" s="430"/>
      <c r="AC419" s="430"/>
      <c r="AD419" s="430"/>
      <c r="AE419" s="430"/>
      <c r="AF419" s="430"/>
      <c r="AG419" s="430"/>
      <c r="AH419" s="430"/>
      <c r="AI419" s="430"/>
      <c r="AJ419" s="430"/>
      <c r="AK419" s="430"/>
      <c r="AL419" s="430"/>
      <c r="AM419" s="430"/>
      <c r="AN419" s="430"/>
      <c r="AO419" s="430"/>
      <c r="AP419" s="430"/>
      <c r="AQ419" s="430"/>
      <c r="AR419" s="430"/>
      <c r="AS419" s="430"/>
      <c r="AT419" s="430"/>
      <c r="AU419" s="430"/>
      <c r="AV419" s="430"/>
      <c r="AW419" s="430"/>
      <c r="AX419" s="430"/>
      <c r="AY419" s="430"/>
      <c r="AZ419" s="430"/>
      <c r="BA419" s="430"/>
      <c r="BB419" s="430"/>
      <c r="BC419" s="430"/>
      <c r="BD419" s="430"/>
      <c r="BE419" s="430"/>
    </row>
    <row r="420" spans="1:57" ht="15.75" customHeight="1">
      <c r="A420" s="430"/>
      <c r="B420" s="430"/>
      <c r="C420" s="430"/>
      <c r="D420" s="430"/>
      <c r="E420" s="430"/>
      <c r="F420" s="430"/>
      <c r="G420" s="430"/>
      <c r="H420" s="430"/>
      <c r="I420" s="430"/>
      <c r="J420" s="430"/>
      <c r="K420" s="430"/>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0"/>
      <c r="AK420" s="430"/>
      <c r="AL420" s="430"/>
      <c r="AM420" s="430"/>
      <c r="AN420" s="430"/>
      <c r="AO420" s="430"/>
      <c r="AP420" s="430"/>
      <c r="AQ420" s="430"/>
      <c r="AR420" s="430"/>
      <c r="AS420" s="430"/>
      <c r="AT420" s="430"/>
      <c r="AU420" s="430"/>
      <c r="AV420" s="430"/>
      <c r="AW420" s="430"/>
      <c r="AX420" s="430"/>
      <c r="AY420" s="430"/>
      <c r="AZ420" s="430"/>
      <c r="BA420" s="430"/>
      <c r="BB420" s="430"/>
      <c r="BC420" s="430"/>
      <c r="BD420" s="430"/>
      <c r="BE420" s="430"/>
    </row>
    <row r="421" spans="1:57" ht="15.75" customHeight="1">
      <c r="A421" s="430"/>
      <c r="B421" s="430"/>
      <c r="C421" s="430"/>
      <c r="D421" s="430"/>
      <c r="E421" s="430"/>
      <c r="F421" s="430"/>
      <c r="G421" s="430"/>
      <c r="H421" s="430"/>
      <c r="I421" s="430"/>
      <c r="J421" s="430"/>
      <c r="K421" s="430"/>
      <c r="L421" s="430"/>
      <c r="M421" s="430"/>
      <c r="N421" s="430"/>
      <c r="O421" s="430"/>
      <c r="P421" s="430"/>
      <c r="Q421" s="430"/>
      <c r="R421" s="430"/>
      <c r="S421" s="430"/>
      <c r="T421" s="430"/>
      <c r="U421" s="430"/>
      <c r="V421" s="430"/>
      <c r="W421" s="430"/>
      <c r="X421" s="430"/>
      <c r="Y421" s="430"/>
      <c r="Z421" s="430"/>
      <c r="AA421" s="430"/>
      <c r="AB421" s="430"/>
      <c r="AC421" s="430"/>
      <c r="AD421" s="430"/>
      <c r="AE421" s="430"/>
      <c r="AF421" s="430"/>
      <c r="AG421" s="430"/>
      <c r="AH421" s="430"/>
      <c r="AI421" s="430"/>
      <c r="AJ421" s="430"/>
      <c r="AK421" s="430"/>
      <c r="AL421" s="430"/>
      <c r="AM421" s="430"/>
      <c r="AN421" s="430"/>
      <c r="AO421" s="430"/>
      <c r="AP421" s="430"/>
      <c r="AQ421" s="430"/>
      <c r="AR421" s="430"/>
      <c r="AS421" s="430"/>
      <c r="AT421" s="430"/>
      <c r="AU421" s="430"/>
      <c r="AV421" s="430"/>
      <c r="AW421" s="430"/>
      <c r="AX421" s="430"/>
      <c r="AY421" s="430"/>
      <c r="AZ421" s="430"/>
      <c r="BA421" s="430"/>
      <c r="BB421" s="430"/>
      <c r="BC421" s="430"/>
      <c r="BD421" s="430"/>
      <c r="BE421" s="430"/>
    </row>
    <row r="422" spans="1:57" ht="15.75" customHeight="1">
      <c r="A422" s="430"/>
      <c r="B422" s="430"/>
      <c r="C422" s="430"/>
      <c r="D422" s="430"/>
      <c r="E422" s="430"/>
      <c r="F422" s="430"/>
      <c r="G422" s="430"/>
      <c r="H422" s="430"/>
      <c r="I422" s="430"/>
      <c r="J422" s="430"/>
      <c r="K422" s="430"/>
      <c r="L422" s="430"/>
      <c r="M422" s="430"/>
      <c r="N422" s="430"/>
      <c r="O422" s="430"/>
      <c r="P422" s="430"/>
      <c r="Q422" s="430"/>
      <c r="R422" s="430"/>
      <c r="S422" s="430"/>
      <c r="T422" s="430"/>
      <c r="U422" s="430"/>
      <c r="V422" s="430"/>
      <c r="W422" s="430"/>
      <c r="X422" s="430"/>
      <c r="Y422" s="430"/>
      <c r="Z422" s="430"/>
      <c r="AA422" s="430"/>
      <c r="AB422" s="430"/>
      <c r="AC422" s="430"/>
      <c r="AD422" s="430"/>
      <c r="AE422" s="430"/>
      <c r="AF422" s="430"/>
      <c r="AG422" s="430"/>
      <c r="AH422" s="430"/>
      <c r="AI422" s="430"/>
      <c r="AJ422" s="430"/>
      <c r="AK422" s="430"/>
      <c r="AL422" s="430"/>
      <c r="AM422" s="430"/>
      <c r="AN422" s="430"/>
      <c r="AO422" s="430"/>
      <c r="AP422" s="430"/>
      <c r="AQ422" s="430"/>
      <c r="AR422" s="430"/>
      <c r="AS422" s="430"/>
      <c r="AT422" s="430"/>
      <c r="AU422" s="430"/>
      <c r="AV422" s="430"/>
      <c r="AW422" s="430"/>
      <c r="AX422" s="430"/>
      <c r="AY422" s="430"/>
      <c r="AZ422" s="430"/>
      <c r="BA422" s="430"/>
      <c r="BB422" s="430"/>
      <c r="BC422" s="430"/>
      <c r="BD422" s="430"/>
      <c r="BE422" s="430"/>
    </row>
    <row r="423" spans="1:57" ht="15.75" customHeight="1">
      <c r="A423" s="430"/>
      <c r="B423" s="430"/>
      <c r="C423" s="430"/>
      <c r="D423" s="430"/>
      <c r="E423" s="430"/>
      <c r="F423" s="430"/>
      <c r="G423" s="430"/>
      <c r="H423" s="430"/>
      <c r="I423" s="430"/>
      <c r="J423" s="430"/>
      <c r="K423" s="430"/>
      <c r="L423" s="430"/>
      <c r="M423" s="430"/>
      <c r="N423" s="430"/>
      <c r="O423" s="430"/>
      <c r="P423" s="430"/>
      <c r="Q423" s="430"/>
      <c r="R423" s="430"/>
      <c r="S423" s="430"/>
      <c r="T423" s="430"/>
      <c r="U423" s="430"/>
      <c r="V423" s="430"/>
      <c r="W423" s="430"/>
      <c r="X423" s="430"/>
      <c r="Y423" s="430"/>
      <c r="Z423" s="430"/>
      <c r="AA423" s="430"/>
      <c r="AB423" s="430"/>
      <c r="AC423" s="430"/>
      <c r="AD423" s="430"/>
      <c r="AE423" s="430"/>
      <c r="AF423" s="430"/>
      <c r="AG423" s="430"/>
      <c r="AH423" s="430"/>
      <c r="AI423" s="430"/>
      <c r="AJ423" s="430"/>
      <c r="AK423" s="430"/>
      <c r="AL423" s="430"/>
      <c r="AM423" s="430"/>
      <c r="AN423" s="430"/>
      <c r="AO423" s="430"/>
      <c r="AP423" s="430"/>
      <c r="AQ423" s="430"/>
      <c r="AR423" s="430"/>
      <c r="AS423" s="430"/>
      <c r="AT423" s="430"/>
      <c r="AU423" s="430"/>
      <c r="AV423" s="430"/>
      <c r="AW423" s="430"/>
      <c r="AX423" s="430"/>
      <c r="AY423" s="430"/>
      <c r="AZ423" s="430"/>
      <c r="BA423" s="430"/>
      <c r="BB423" s="430"/>
      <c r="BC423" s="430"/>
      <c r="BD423" s="430"/>
      <c r="BE423" s="430"/>
    </row>
    <row r="424" spans="1:57" ht="15.75" customHeight="1">
      <c r="A424" s="430"/>
      <c r="B424" s="430"/>
      <c r="C424" s="430"/>
      <c r="D424" s="430"/>
      <c r="E424" s="430"/>
      <c r="F424" s="430"/>
      <c r="G424" s="430"/>
      <c r="H424" s="430"/>
      <c r="I424" s="430"/>
      <c r="J424" s="430"/>
      <c r="K424" s="430"/>
      <c r="L424" s="430"/>
      <c r="M424" s="430"/>
      <c r="N424" s="430"/>
      <c r="O424" s="430"/>
      <c r="P424" s="430"/>
      <c r="Q424" s="430"/>
      <c r="R424" s="430"/>
      <c r="S424" s="430"/>
      <c r="T424" s="430"/>
      <c r="U424" s="430"/>
      <c r="V424" s="430"/>
      <c r="W424" s="430"/>
      <c r="X424" s="430"/>
      <c r="Y424" s="430"/>
      <c r="Z424" s="430"/>
      <c r="AA424" s="430"/>
      <c r="AB424" s="430"/>
      <c r="AC424" s="430"/>
      <c r="AD424" s="430"/>
      <c r="AE424" s="430"/>
      <c r="AF424" s="430"/>
      <c r="AG424" s="430"/>
      <c r="AH424" s="430"/>
      <c r="AI424" s="430"/>
      <c r="AJ424" s="430"/>
      <c r="AK424" s="430"/>
      <c r="AL424" s="430"/>
      <c r="AM424" s="430"/>
      <c r="AN424" s="430"/>
      <c r="AO424" s="430"/>
      <c r="AP424" s="430"/>
      <c r="AQ424" s="430"/>
      <c r="AR424" s="430"/>
      <c r="AS424" s="430"/>
      <c r="AT424" s="430"/>
      <c r="AU424" s="430"/>
      <c r="AV424" s="430"/>
      <c r="AW424" s="430"/>
      <c r="AX424" s="430"/>
      <c r="AY424" s="430"/>
      <c r="AZ424" s="430"/>
      <c r="BA424" s="430"/>
      <c r="BB424" s="430"/>
      <c r="BC424" s="430"/>
      <c r="BD424" s="430"/>
      <c r="BE424" s="430"/>
    </row>
    <row r="425" spans="1:57" ht="15.75" customHeight="1">
      <c r="A425" s="430"/>
      <c r="B425" s="430"/>
      <c r="C425" s="430"/>
      <c r="D425" s="430"/>
      <c r="E425" s="430"/>
      <c r="F425" s="430"/>
      <c r="G425" s="430"/>
      <c r="H425" s="430"/>
      <c r="I425" s="430"/>
      <c r="J425" s="430"/>
      <c r="K425" s="430"/>
      <c r="L425" s="430"/>
      <c r="M425" s="430"/>
      <c r="N425" s="430"/>
      <c r="O425" s="430"/>
      <c r="P425" s="430"/>
      <c r="Q425" s="430"/>
      <c r="R425" s="430"/>
      <c r="S425" s="430"/>
      <c r="T425" s="430"/>
      <c r="U425" s="430"/>
      <c r="V425" s="430"/>
      <c r="W425" s="430"/>
      <c r="X425" s="430"/>
      <c r="Y425" s="430"/>
      <c r="Z425" s="430"/>
      <c r="AA425" s="430"/>
      <c r="AB425" s="430"/>
      <c r="AC425" s="430"/>
      <c r="AD425" s="430"/>
      <c r="AE425" s="430"/>
      <c r="AF425" s="430"/>
      <c r="AG425" s="430"/>
      <c r="AH425" s="430"/>
      <c r="AI425" s="430"/>
      <c r="AJ425" s="430"/>
      <c r="AK425" s="430"/>
      <c r="AL425" s="430"/>
      <c r="AM425" s="430"/>
      <c r="AN425" s="430"/>
      <c r="AO425" s="430"/>
      <c r="AP425" s="430"/>
      <c r="AQ425" s="430"/>
      <c r="AR425" s="430"/>
      <c r="AS425" s="430"/>
      <c r="AT425" s="430"/>
      <c r="AU425" s="430"/>
      <c r="AV425" s="430"/>
      <c r="AW425" s="430"/>
      <c r="AX425" s="430"/>
      <c r="AY425" s="430"/>
      <c r="AZ425" s="430"/>
      <c r="BA425" s="430"/>
      <c r="BB425" s="430"/>
      <c r="BC425" s="430"/>
      <c r="BD425" s="430"/>
      <c r="BE425" s="430"/>
    </row>
    <row r="426" spans="1:57" ht="15.75" customHeight="1">
      <c r="A426" s="430"/>
      <c r="B426" s="430"/>
      <c r="C426" s="430"/>
      <c r="D426" s="430"/>
      <c r="E426" s="430"/>
      <c r="F426" s="430"/>
      <c r="G426" s="430"/>
      <c r="H426" s="430"/>
      <c r="I426" s="430"/>
      <c r="J426" s="430"/>
      <c r="K426" s="430"/>
      <c r="L426" s="430"/>
      <c r="M426" s="430"/>
      <c r="N426" s="430"/>
      <c r="O426" s="430"/>
      <c r="P426" s="430"/>
      <c r="Q426" s="430"/>
      <c r="R426" s="430"/>
      <c r="S426" s="430"/>
      <c r="T426" s="430"/>
      <c r="U426" s="430"/>
      <c r="V426" s="430"/>
      <c r="W426" s="430"/>
      <c r="X426" s="430"/>
      <c r="Y426" s="430"/>
      <c r="Z426" s="430"/>
      <c r="AA426" s="430"/>
      <c r="AB426" s="430"/>
      <c r="AC426" s="430"/>
      <c r="AD426" s="430"/>
      <c r="AE426" s="430"/>
      <c r="AF426" s="430"/>
      <c r="AG426" s="430"/>
      <c r="AH426" s="430"/>
      <c r="AI426" s="430"/>
      <c r="AJ426" s="430"/>
      <c r="AK426" s="430"/>
      <c r="AL426" s="430"/>
      <c r="AM426" s="430"/>
      <c r="AN426" s="430"/>
      <c r="AO426" s="430"/>
      <c r="AP426" s="430"/>
      <c r="AQ426" s="430"/>
      <c r="AR426" s="430"/>
      <c r="AS426" s="430"/>
      <c r="AT426" s="430"/>
      <c r="AU426" s="430"/>
      <c r="AV426" s="430"/>
      <c r="AW426" s="430"/>
      <c r="AX426" s="430"/>
      <c r="AY426" s="430"/>
      <c r="AZ426" s="430"/>
      <c r="BA426" s="430"/>
      <c r="BB426" s="430"/>
      <c r="BC426" s="430"/>
      <c r="BD426" s="430"/>
      <c r="BE426" s="430"/>
    </row>
    <row r="427" spans="1:57" ht="15.75" customHeight="1">
      <c r="A427" s="430"/>
      <c r="B427" s="430"/>
      <c r="C427" s="430"/>
      <c r="D427" s="430"/>
      <c r="E427" s="430"/>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0"/>
      <c r="AY427" s="430"/>
      <c r="AZ427" s="430"/>
      <c r="BA427" s="430"/>
      <c r="BB427" s="430"/>
      <c r="BC427" s="430"/>
      <c r="BD427" s="430"/>
      <c r="BE427" s="430"/>
    </row>
    <row r="428" spans="1:57" ht="15.75" customHeight="1">
      <c r="A428" s="430"/>
      <c r="B428" s="430"/>
      <c r="C428" s="430"/>
      <c r="D428" s="430"/>
      <c r="E428" s="430"/>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30"/>
      <c r="AY428" s="430"/>
      <c r="AZ428" s="430"/>
      <c r="BA428" s="430"/>
      <c r="BB428" s="430"/>
      <c r="BC428" s="430"/>
      <c r="BD428" s="430"/>
      <c r="BE428" s="430"/>
    </row>
    <row r="429" spans="1:57" ht="15.75" customHeight="1">
      <c r="A429" s="430"/>
      <c r="B429" s="430"/>
      <c r="C429" s="430"/>
      <c r="D429" s="430"/>
      <c r="E429" s="430"/>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30"/>
      <c r="AY429" s="430"/>
      <c r="AZ429" s="430"/>
      <c r="BA429" s="430"/>
      <c r="BB429" s="430"/>
      <c r="BC429" s="430"/>
      <c r="BD429" s="430"/>
      <c r="BE429" s="430"/>
    </row>
    <row r="430" spans="1:57" ht="15.75" customHeight="1">
      <c r="A430" s="430"/>
      <c r="B430" s="430"/>
      <c r="C430" s="430"/>
      <c r="D430" s="430"/>
      <c r="E430" s="430"/>
      <c r="F430" s="430"/>
      <c r="G430" s="430"/>
      <c r="H430" s="430"/>
      <c r="I430" s="430"/>
      <c r="J430" s="430"/>
      <c r="K430" s="430"/>
      <c r="L430" s="430"/>
      <c r="M430" s="430"/>
      <c r="N430" s="430"/>
      <c r="O430" s="430"/>
      <c r="P430" s="430"/>
      <c r="Q430" s="430"/>
      <c r="R430" s="430"/>
      <c r="S430" s="430"/>
      <c r="T430" s="430"/>
      <c r="U430" s="430"/>
      <c r="V430" s="430"/>
      <c r="W430" s="430"/>
      <c r="X430" s="430"/>
      <c r="Y430" s="430"/>
      <c r="Z430" s="430"/>
      <c r="AA430" s="430"/>
      <c r="AB430" s="430"/>
      <c r="AC430" s="430"/>
      <c r="AD430" s="430"/>
      <c r="AE430" s="430"/>
      <c r="AF430" s="430"/>
      <c r="AG430" s="430"/>
      <c r="AH430" s="430"/>
      <c r="AI430" s="430"/>
      <c r="AJ430" s="430"/>
      <c r="AK430" s="430"/>
      <c r="AL430" s="430"/>
      <c r="AM430" s="430"/>
      <c r="AN430" s="430"/>
      <c r="AO430" s="430"/>
      <c r="AP430" s="430"/>
      <c r="AQ430" s="430"/>
      <c r="AR430" s="430"/>
      <c r="AS430" s="430"/>
      <c r="AT430" s="430"/>
      <c r="AU430" s="430"/>
      <c r="AV430" s="430"/>
      <c r="AW430" s="430"/>
      <c r="AX430" s="430"/>
      <c r="AY430" s="430"/>
      <c r="AZ430" s="430"/>
      <c r="BA430" s="430"/>
      <c r="BB430" s="430"/>
      <c r="BC430" s="430"/>
      <c r="BD430" s="430"/>
      <c r="BE430" s="430"/>
    </row>
    <row r="431" spans="1:57" ht="15.75" customHeight="1">
      <c r="A431" s="430"/>
      <c r="B431" s="430"/>
      <c r="C431" s="430"/>
      <c r="D431" s="430"/>
      <c r="E431" s="430"/>
      <c r="F431" s="430"/>
      <c r="G431" s="430"/>
      <c r="H431" s="430"/>
      <c r="I431" s="430"/>
      <c r="J431" s="430"/>
      <c r="K431" s="430"/>
      <c r="L431" s="430"/>
      <c r="M431" s="430"/>
      <c r="N431" s="430"/>
      <c r="O431" s="430"/>
      <c r="P431" s="430"/>
      <c r="Q431" s="430"/>
      <c r="R431" s="430"/>
      <c r="S431" s="430"/>
      <c r="T431" s="430"/>
      <c r="U431" s="430"/>
      <c r="V431" s="430"/>
      <c r="W431" s="430"/>
      <c r="X431" s="430"/>
      <c r="Y431" s="430"/>
      <c r="Z431" s="430"/>
      <c r="AA431" s="430"/>
      <c r="AB431" s="430"/>
      <c r="AC431" s="430"/>
      <c r="AD431" s="430"/>
      <c r="AE431" s="430"/>
      <c r="AF431" s="430"/>
      <c r="AG431" s="430"/>
      <c r="AH431" s="430"/>
      <c r="AI431" s="430"/>
      <c r="AJ431" s="430"/>
      <c r="AK431" s="430"/>
      <c r="AL431" s="430"/>
      <c r="AM431" s="430"/>
      <c r="AN431" s="430"/>
      <c r="AO431" s="430"/>
      <c r="AP431" s="430"/>
      <c r="AQ431" s="430"/>
      <c r="AR431" s="430"/>
      <c r="AS431" s="430"/>
      <c r="AT431" s="430"/>
      <c r="AU431" s="430"/>
      <c r="AV431" s="430"/>
      <c r="AW431" s="430"/>
      <c r="AX431" s="430"/>
      <c r="AY431" s="430"/>
      <c r="AZ431" s="430"/>
      <c r="BA431" s="430"/>
      <c r="BB431" s="430"/>
      <c r="BC431" s="430"/>
      <c r="BD431" s="430"/>
      <c r="BE431" s="430"/>
    </row>
    <row r="432" spans="1:57" ht="15.75" customHeight="1">
      <c r="A432" s="430"/>
      <c r="B432" s="430"/>
      <c r="C432" s="430"/>
      <c r="D432" s="430"/>
      <c r="E432" s="430"/>
      <c r="F432" s="430"/>
      <c r="G432" s="430"/>
      <c r="H432" s="430"/>
      <c r="I432" s="430"/>
      <c r="J432" s="430"/>
      <c r="K432" s="430"/>
      <c r="L432" s="430"/>
      <c r="M432" s="430"/>
      <c r="N432" s="430"/>
      <c r="O432" s="430"/>
      <c r="P432" s="430"/>
      <c r="Q432" s="430"/>
      <c r="R432" s="430"/>
      <c r="S432" s="430"/>
      <c r="T432" s="430"/>
      <c r="U432" s="430"/>
      <c r="V432" s="430"/>
      <c r="W432" s="430"/>
      <c r="X432" s="430"/>
      <c r="Y432" s="430"/>
      <c r="Z432" s="430"/>
      <c r="AA432" s="430"/>
      <c r="AB432" s="430"/>
      <c r="AC432" s="430"/>
      <c r="AD432" s="430"/>
      <c r="AE432" s="430"/>
      <c r="AF432" s="430"/>
      <c r="AG432" s="430"/>
      <c r="AH432" s="430"/>
      <c r="AI432" s="430"/>
      <c r="AJ432" s="430"/>
      <c r="AK432" s="430"/>
      <c r="AL432" s="430"/>
      <c r="AM432" s="430"/>
      <c r="AN432" s="430"/>
      <c r="AO432" s="430"/>
      <c r="AP432" s="430"/>
      <c r="AQ432" s="430"/>
      <c r="AR432" s="430"/>
      <c r="AS432" s="430"/>
      <c r="AT432" s="430"/>
      <c r="AU432" s="430"/>
      <c r="AV432" s="430"/>
      <c r="AW432" s="430"/>
      <c r="AX432" s="430"/>
      <c r="AY432" s="430"/>
      <c r="AZ432" s="430"/>
      <c r="BA432" s="430"/>
      <c r="BB432" s="430"/>
      <c r="BC432" s="430"/>
      <c r="BD432" s="430"/>
      <c r="BE432" s="430"/>
    </row>
    <row r="433" spans="1:57" ht="15.75" customHeight="1">
      <c r="A433" s="430"/>
      <c r="B433" s="430"/>
      <c r="C433" s="430"/>
      <c r="D433" s="430"/>
      <c r="E433" s="430"/>
      <c r="F433" s="430"/>
      <c r="G433" s="430"/>
      <c r="H433" s="430"/>
      <c r="I433" s="430"/>
      <c r="J433" s="430"/>
      <c r="K433" s="430"/>
      <c r="L433" s="430"/>
      <c r="M433" s="430"/>
      <c r="N433" s="430"/>
      <c r="O433" s="430"/>
      <c r="P433" s="430"/>
      <c r="Q433" s="430"/>
      <c r="R433" s="430"/>
      <c r="S433" s="430"/>
      <c r="T433" s="430"/>
      <c r="U433" s="430"/>
      <c r="V433" s="430"/>
      <c r="W433" s="430"/>
      <c r="X433" s="430"/>
      <c r="Y433" s="430"/>
      <c r="Z433" s="430"/>
      <c r="AA433" s="430"/>
      <c r="AB433" s="430"/>
      <c r="AC433" s="430"/>
      <c r="AD433" s="430"/>
      <c r="AE433" s="430"/>
      <c r="AF433" s="430"/>
      <c r="AG433" s="430"/>
      <c r="AH433" s="430"/>
      <c r="AI433" s="430"/>
      <c r="AJ433" s="430"/>
      <c r="AK433" s="430"/>
      <c r="AL433" s="430"/>
      <c r="AM433" s="430"/>
      <c r="AN433" s="430"/>
      <c r="AO433" s="430"/>
      <c r="AP433" s="430"/>
      <c r="AQ433" s="430"/>
      <c r="AR433" s="430"/>
      <c r="AS433" s="430"/>
      <c r="AT433" s="430"/>
      <c r="AU433" s="430"/>
      <c r="AV433" s="430"/>
      <c r="AW433" s="430"/>
      <c r="AX433" s="430"/>
      <c r="AY433" s="430"/>
      <c r="AZ433" s="430"/>
      <c r="BA433" s="430"/>
      <c r="BB433" s="430"/>
      <c r="BC433" s="430"/>
      <c r="BD433" s="430"/>
      <c r="BE433" s="430"/>
    </row>
    <row r="434" spans="1:57" ht="15.75" customHeight="1">
      <c r="A434" s="430"/>
      <c r="B434" s="430"/>
      <c r="C434" s="430"/>
      <c r="D434" s="430"/>
      <c r="E434" s="430"/>
      <c r="F434" s="430"/>
      <c r="G434" s="430"/>
      <c r="H434" s="430"/>
      <c r="I434" s="430"/>
      <c r="J434" s="430"/>
      <c r="K434" s="430"/>
      <c r="L434" s="430"/>
      <c r="M434" s="430"/>
      <c r="N434" s="430"/>
      <c r="O434" s="430"/>
      <c r="P434" s="430"/>
      <c r="Q434" s="430"/>
      <c r="R434" s="430"/>
      <c r="S434" s="430"/>
      <c r="T434" s="430"/>
      <c r="U434" s="430"/>
      <c r="V434" s="430"/>
      <c r="W434" s="430"/>
      <c r="X434" s="430"/>
      <c r="Y434" s="430"/>
      <c r="Z434" s="430"/>
      <c r="AA434" s="430"/>
      <c r="AB434" s="430"/>
      <c r="AC434" s="430"/>
      <c r="AD434" s="430"/>
      <c r="AE434" s="430"/>
      <c r="AF434" s="430"/>
      <c r="AG434" s="430"/>
      <c r="AH434" s="430"/>
      <c r="AI434" s="430"/>
      <c r="AJ434" s="430"/>
      <c r="AK434" s="430"/>
      <c r="AL434" s="430"/>
      <c r="AM434" s="430"/>
      <c r="AN434" s="430"/>
      <c r="AO434" s="430"/>
      <c r="AP434" s="430"/>
      <c r="AQ434" s="430"/>
      <c r="AR434" s="430"/>
      <c r="AS434" s="430"/>
      <c r="AT434" s="430"/>
      <c r="AU434" s="430"/>
      <c r="AV434" s="430"/>
      <c r="AW434" s="430"/>
      <c r="AX434" s="430"/>
      <c r="AY434" s="430"/>
      <c r="AZ434" s="430"/>
      <c r="BA434" s="430"/>
      <c r="BB434" s="430"/>
      <c r="BC434" s="430"/>
      <c r="BD434" s="430"/>
      <c r="BE434" s="430"/>
    </row>
    <row r="435" spans="1:57" ht="15.75" customHeight="1">
      <c r="A435" s="430"/>
      <c r="B435" s="430"/>
      <c r="C435" s="430"/>
      <c r="D435" s="430"/>
      <c r="E435" s="430"/>
      <c r="F435" s="430"/>
      <c r="G435" s="430"/>
      <c r="H435" s="430"/>
      <c r="I435" s="430"/>
      <c r="J435" s="430"/>
      <c r="K435" s="430"/>
      <c r="L435" s="430"/>
      <c r="M435" s="430"/>
      <c r="N435" s="430"/>
      <c r="O435" s="430"/>
      <c r="P435" s="430"/>
      <c r="Q435" s="430"/>
      <c r="R435" s="430"/>
      <c r="S435" s="430"/>
      <c r="T435" s="430"/>
      <c r="U435" s="430"/>
      <c r="V435" s="430"/>
      <c r="W435" s="430"/>
      <c r="X435" s="430"/>
      <c r="Y435" s="430"/>
      <c r="Z435" s="430"/>
      <c r="AA435" s="430"/>
      <c r="AB435" s="430"/>
      <c r="AC435" s="430"/>
      <c r="AD435" s="430"/>
      <c r="AE435" s="430"/>
      <c r="AF435" s="430"/>
      <c r="AG435" s="430"/>
      <c r="AH435" s="430"/>
      <c r="AI435" s="430"/>
      <c r="AJ435" s="430"/>
      <c r="AK435" s="430"/>
      <c r="AL435" s="430"/>
      <c r="AM435" s="430"/>
      <c r="AN435" s="430"/>
      <c r="AO435" s="430"/>
      <c r="AP435" s="430"/>
      <c r="AQ435" s="430"/>
      <c r="AR435" s="430"/>
      <c r="AS435" s="430"/>
      <c r="AT435" s="430"/>
      <c r="AU435" s="430"/>
      <c r="AV435" s="430"/>
      <c r="AW435" s="430"/>
      <c r="AX435" s="430"/>
      <c r="AY435" s="430"/>
      <c r="AZ435" s="430"/>
      <c r="BA435" s="430"/>
      <c r="BB435" s="430"/>
      <c r="BC435" s="430"/>
      <c r="BD435" s="430"/>
      <c r="BE435" s="430"/>
    </row>
    <row r="436" spans="1:57" ht="15.75" customHeight="1">
      <c r="A436" s="430"/>
      <c r="B436" s="430"/>
      <c r="C436" s="430"/>
      <c r="D436" s="430"/>
      <c r="E436" s="430"/>
      <c r="F436" s="430"/>
      <c r="G436" s="430"/>
      <c r="H436" s="430"/>
      <c r="I436" s="430"/>
      <c r="J436" s="430"/>
      <c r="K436" s="430"/>
      <c r="L436" s="430"/>
      <c r="M436" s="430"/>
      <c r="N436" s="430"/>
      <c r="O436" s="430"/>
      <c r="P436" s="430"/>
      <c r="Q436" s="430"/>
      <c r="R436" s="430"/>
      <c r="S436" s="430"/>
      <c r="T436" s="430"/>
      <c r="U436" s="430"/>
      <c r="V436" s="430"/>
      <c r="W436" s="430"/>
      <c r="X436" s="430"/>
      <c r="Y436" s="430"/>
      <c r="Z436" s="430"/>
      <c r="AA436" s="430"/>
      <c r="AB436" s="430"/>
      <c r="AC436" s="430"/>
      <c r="AD436" s="430"/>
      <c r="AE436" s="430"/>
      <c r="AF436" s="430"/>
      <c r="AG436" s="430"/>
      <c r="AH436" s="430"/>
      <c r="AI436" s="430"/>
      <c r="AJ436" s="430"/>
      <c r="AK436" s="430"/>
      <c r="AL436" s="430"/>
      <c r="AM436" s="430"/>
      <c r="AN436" s="430"/>
      <c r="AO436" s="430"/>
      <c r="AP436" s="430"/>
      <c r="AQ436" s="430"/>
      <c r="AR436" s="430"/>
      <c r="AS436" s="430"/>
      <c r="AT436" s="430"/>
      <c r="AU436" s="430"/>
      <c r="AV436" s="430"/>
      <c r="AW436" s="430"/>
      <c r="AX436" s="430"/>
      <c r="AY436" s="430"/>
      <c r="AZ436" s="430"/>
      <c r="BA436" s="430"/>
      <c r="BB436" s="430"/>
      <c r="BC436" s="430"/>
      <c r="BD436" s="430"/>
      <c r="BE436" s="430"/>
    </row>
    <row r="437" spans="1:57" ht="15.75" customHeight="1">
      <c r="A437" s="430"/>
      <c r="B437" s="430"/>
      <c r="C437" s="430"/>
      <c r="D437" s="430"/>
      <c r="E437" s="430"/>
      <c r="F437" s="430"/>
      <c r="G437" s="430"/>
      <c r="H437" s="430"/>
      <c r="I437" s="430"/>
      <c r="J437" s="430"/>
      <c r="K437" s="430"/>
      <c r="L437" s="430"/>
      <c r="M437" s="430"/>
      <c r="N437" s="430"/>
      <c r="O437" s="430"/>
      <c r="P437" s="430"/>
      <c r="Q437" s="430"/>
      <c r="R437" s="430"/>
      <c r="S437" s="430"/>
      <c r="T437" s="430"/>
      <c r="U437" s="430"/>
      <c r="V437" s="430"/>
      <c r="W437" s="430"/>
      <c r="X437" s="430"/>
      <c r="Y437" s="430"/>
      <c r="Z437" s="430"/>
      <c r="AA437" s="430"/>
      <c r="AB437" s="430"/>
      <c r="AC437" s="430"/>
      <c r="AD437" s="430"/>
      <c r="AE437" s="430"/>
      <c r="AF437" s="430"/>
      <c r="AG437" s="430"/>
      <c r="AH437" s="430"/>
      <c r="AI437" s="430"/>
      <c r="AJ437" s="430"/>
      <c r="AK437" s="430"/>
      <c r="AL437" s="430"/>
      <c r="AM437" s="430"/>
      <c r="AN437" s="430"/>
      <c r="AO437" s="430"/>
      <c r="AP437" s="430"/>
      <c r="AQ437" s="430"/>
      <c r="AR437" s="430"/>
      <c r="AS437" s="430"/>
      <c r="AT437" s="430"/>
      <c r="AU437" s="430"/>
      <c r="AV437" s="430"/>
      <c r="AW437" s="430"/>
      <c r="AX437" s="430"/>
      <c r="AY437" s="430"/>
      <c r="AZ437" s="430"/>
      <c r="BA437" s="430"/>
      <c r="BB437" s="430"/>
      <c r="BC437" s="430"/>
      <c r="BD437" s="430"/>
      <c r="BE437" s="430"/>
    </row>
    <row r="438" spans="1:57" ht="15.75" customHeight="1">
      <c r="A438" s="430"/>
      <c r="B438" s="430"/>
      <c r="C438" s="430"/>
      <c r="D438" s="430"/>
      <c r="E438" s="430"/>
      <c r="F438" s="430"/>
      <c r="G438" s="430"/>
      <c r="H438" s="430"/>
      <c r="I438" s="430"/>
      <c r="J438" s="430"/>
      <c r="K438" s="430"/>
      <c r="L438" s="430"/>
      <c r="M438" s="430"/>
      <c r="N438" s="430"/>
      <c r="O438" s="430"/>
      <c r="P438" s="430"/>
      <c r="Q438" s="430"/>
      <c r="R438" s="430"/>
      <c r="S438" s="430"/>
      <c r="T438" s="430"/>
      <c r="U438" s="430"/>
      <c r="V438" s="430"/>
      <c r="W438" s="430"/>
      <c r="X438" s="430"/>
      <c r="Y438" s="430"/>
      <c r="Z438" s="430"/>
      <c r="AA438" s="430"/>
      <c r="AB438" s="430"/>
      <c r="AC438" s="430"/>
      <c r="AD438" s="430"/>
      <c r="AE438" s="430"/>
      <c r="AF438" s="430"/>
      <c r="AG438" s="430"/>
      <c r="AH438" s="430"/>
      <c r="AI438" s="430"/>
      <c r="AJ438" s="430"/>
      <c r="AK438" s="430"/>
      <c r="AL438" s="430"/>
      <c r="AM438" s="430"/>
      <c r="AN438" s="430"/>
      <c r="AO438" s="430"/>
      <c r="AP438" s="430"/>
      <c r="AQ438" s="430"/>
      <c r="AR438" s="430"/>
      <c r="AS438" s="430"/>
      <c r="AT438" s="430"/>
      <c r="AU438" s="430"/>
      <c r="AV438" s="430"/>
      <c r="AW438" s="430"/>
      <c r="AX438" s="430"/>
      <c r="AY438" s="430"/>
      <c r="AZ438" s="430"/>
      <c r="BA438" s="430"/>
      <c r="BB438" s="430"/>
      <c r="BC438" s="430"/>
      <c r="BD438" s="430"/>
      <c r="BE438" s="430"/>
    </row>
    <row r="439" spans="1:57" ht="15.75" customHeight="1">
      <c r="A439" s="430"/>
      <c r="B439" s="430"/>
      <c r="C439" s="430"/>
      <c r="D439" s="430"/>
      <c r="E439" s="430"/>
      <c r="F439" s="430"/>
      <c r="G439" s="430"/>
      <c r="H439" s="430"/>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c r="AI439" s="430"/>
      <c r="AJ439" s="430"/>
      <c r="AK439" s="430"/>
      <c r="AL439" s="430"/>
      <c r="AM439" s="430"/>
      <c r="AN439" s="430"/>
      <c r="AO439" s="430"/>
      <c r="AP439" s="430"/>
      <c r="AQ439" s="430"/>
      <c r="AR439" s="430"/>
      <c r="AS439" s="430"/>
      <c r="AT439" s="430"/>
      <c r="AU439" s="430"/>
      <c r="AV439" s="430"/>
      <c r="AW439" s="430"/>
      <c r="AX439" s="430"/>
      <c r="AY439" s="430"/>
      <c r="AZ439" s="430"/>
      <c r="BA439" s="430"/>
      <c r="BB439" s="430"/>
      <c r="BC439" s="430"/>
      <c r="BD439" s="430"/>
      <c r="BE439" s="430"/>
    </row>
    <row r="440" spans="1:57" ht="15.75" customHeight="1">
      <c r="A440" s="430"/>
      <c r="B440" s="430"/>
      <c r="C440" s="430"/>
      <c r="D440" s="430"/>
      <c r="E440" s="430"/>
      <c r="F440" s="430"/>
      <c r="G440" s="430"/>
      <c r="H440" s="430"/>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0"/>
      <c r="AJ440" s="430"/>
      <c r="AK440" s="430"/>
      <c r="AL440" s="430"/>
      <c r="AM440" s="430"/>
      <c r="AN440" s="430"/>
      <c r="AO440" s="430"/>
      <c r="AP440" s="430"/>
      <c r="AQ440" s="430"/>
      <c r="AR440" s="430"/>
      <c r="AS440" s="430"/>
      <c r="AT440" s="430"/>
      <c r="AU440" s="430"/>
      <c r="AV440" s="430"/>
      <c r="AW440" s="430"/>
      <c r="AX440" s="430"/>
      <c r="AY440" s="430"/>
      <c r="AZ440" s="430"/>
      <c r="BA440" s="430"/>
      <c r="BB440" s="430"/>
      <c r="BC440" s="430"/>
      <c r="BD440" s="430"/>
      <c r="BE440" s="430"/>
    </row>
    <row r="441" spans="1:57" ht="15.75" customHeight="1">
      <c r="A441" s="430"/>
      <c r="B441" s="430"/>
      <c r="C441" s="430"/>
      <c r="D441" s="430"/>
      <c r="E441" s="430"/>
      <c r="F441" s="430"/>
      <c r="G441" s="430"/>
      <c r="H441" s="430"/>
      <c r="I441" s="430"/>
      <c r="J441" s="430"/>
      <c r="K441" s="430"/>
      <c r="L441" s="430"/>
      <c r="M441" s="430"/>
      <c r="N441" s="430"/>
      <c r="O441" s="430"/>
      <c r="P441" s="430"/>
      <c r="Q441" s="430"/>
      <c r="R441" s="430"/>
      <c r="S441" s="430"/>
      <c r="T441" s="430"/>
      <c r="U441" s="430"/>
      <c r="V441" s="430"/>
      <c r="W441" s="430"/>
      <c r="X441" s="430"/>
      <c r="Y441" s="430"/>
      <c r="Z441" s="430"/>
      <c r="AA441" s="430"/>
      <c r="AB441" s="430"/>
      <c r="AC441" s="430"/>
      <c r="AD441" s="430"/>
      <c r="AE441" s="430"/>
      <c r="AF441" s="430"/>
      <c r="AG441" s="430"/>
      <c r="AH441" s="430"/>
      <c r="AI441" s="430"/>
      <c r="AJ441" s="430"/>
      <c r="AK441" s="430"/>
      <c r="AL441" s="430"/>
      <c r="AM441" s="430"/>
      <c r="AN441" s="430"/>
      <c r="AO441" s="430"/>
      <c r="AP441" s="430"/>
      <c r="AQ441" s="430"/>
      <c r="AR441" s="430"/>
      <c r="AS441" s="430"/>
      <c r="AT441" s="430"/>
      <c r="AU441" s="430"/>
      <c r="AV441" s="430"/>
      <c r="AW441" s="430"/>
      <c r="AX441" s="430"/>
      <c r="AY441" s="430"/>
      <c r="AZ441" s="430"/>
      <c r="BA441" s="430"/>
      <c r="BB441" s="430"/>
      <c r="BC441" s="430"/>
      <c r="BD441" s="430"/>
      <c r="BE441" s="430"/>
    </row>
    <row r="442" spans="1:57" ht="15.75" customHeight="1">
      <c r="A442" s="430"/>
      <c r="B442" s="430"/>
      <c r="C442" s="430"/>
      <c r="D442" s="430"/>
      <c r="E442" s="430"/>
      <c r="F442" s="430"/>
      <c r="G442" s="430"/>
      <c r="H442" s="430"/>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0"/>
      <c r="AJ442" s="430"/>
      <c r="AK442" s="430"/>
      <c r="AL442" s="430"/>
      <c r="AM442" s="430"/>
      <c r="AN442" s="430"/>
      <c r="AO442" s="430"/>
      <c r="AP442" s="430"/>
      <c r="AQ442" s="430"/>
      <c r="AR442" s="430"/>
      <c r="AS442" s="430"/>
      <c r="AT442" s="430"/>
      <c r="AU442" s="430"/>
      <c r="AV442" s="430"/>
      <c r="AW442" s="430"/>
      <c r="AX442" s="430"/>
      <c r="AY442" s="430"/>
      <c r="AZ442" s="430"/>
      <c r="BA442" s="430"/>
      <c r="BB442" s="430"/>
      <c r="BC442" s="430"/>
      <c r="BD442" s="430"/>
      <c r="BE442" s="430"/>
    </row>
    <row r="443" spans="1:57" ht="15.75" customHeight="1">
      <c r="A443" s="430"/>
      <c r="B443" s="430"/>
      <c r="C443" s="430"/>
      <c r="D443" s="430"/>
      <c r="E443" s="430"/>
      <c r="F443" s="430"/>
      <c r="G443" s="430"/>
      <c r="H443" s="430"/>
      <c r="I443" s="430"/>
      <c r="J443" s="430"/>
      <c r="K443" s="430"/>
      <c r="L443" s="430"/>
      <c r="M443" s="430"/>
      <c r="N443" s="430"/>
      <c r="O443" s="430"/>
      <c r="P443" s="430"/>
      <c r="Q443" s="430"/>
      <c r="R443" s="430"/>
      <c r="S443" s="430"/>
      <c r="T443" s="430"/>
      <c r="U443" s="430"/>
      <c r="V443" s="430"/>
      <c r="W443" s="430"/>
      <c r="X443" s="430"/>
      <c r="Y443" s="430"/>
      <c r="Z443" s="430"/>
      <c r="AA443" s="430"/>
      <c r="AB443" s="430"/>
      <c r="AC443" s="430"/>
      <c r="AD443" s="430"/>
      <c r="AE443" s="430"/>
      <c r="AF443" s="430"/>
      <c r="AG443" s="430"/>
      <c r="AH443" s="430"/>
      <c r="AI443" s="430"/>
      <c r="AJ443" s="430"/>
      <c r="AK443" s="430"/>
      <c r="AL443" s="430"/>
      <c r="AM443" s="430"/>
      <c r="AN443" s="430"/>
      <c r="AO443" s="430"/>
      <c r="AP443" s="430"/>
      <c r="AQ443" s="430"/>
      <c r="AR443" s="430"/>
      <c r="AS443" s="430"/>
      <c r="AT443" s="430"/>
      <c r="AU443" s="430"/>
      <c r="AV443" s="430"/>
      <c r="AW443" s="430"/>
      <c r="AX443" s="430"/>
      <c r="AY443" s="430"/>
      <c r="AZ443" s="430"/>
      <c r="BA443" s="430"/>
      <c r="BB443" s="430"/>
      <c r="BC443" s="430"/>
      <c r="BD443" s="430"/>
      <c r="BE443" s="430"/>
    </row>
    <row r="444" spans="1:57" ht="15.75" customHeight="1">
      <c r="A444" s="430"/>
      <c r="B444" s="430"/>
      <c r="C444" s="430"/>
      <c r="D444" s="430"/>
      <c r="E444" s="430"/>
      <c r="F444" s="430"/>
      <c r="G444" s="430"/>
      <c r="H444" s="430"/>
      <c r="I444" s="430"/>
      <c r="J444" s="430"/>
      <c r="K444" s="430"/>
      <c r="L444" s="430"/>
      <c r="M444" s="430"/>
      <c r="N444" s="430"/>
      <c r="O444" s="430"/>
      <c r="P444" s="430"/>
      <c r="Q444" s="430"/>
      <c r="R444" s="430"/>
      <c r="S444" s="430"/>
      <c r="T444" s="430"/>
      <c r="U444" s="430"/>
      <c r="V444" s="430"/>
      <c r="W444" s="430"/>
      <c r="X444" s="430"/>
      <c r="Y444" s="430"/>
      <c r="Z444" s="430"/>
      <c r="AA444" s="430"/>
      <c r="AB444" s="430"/>
      <c r="AC444" s="430"/>
      <c r="AD444" s="430"/>
      <c r="AE444" s="430"/>
      <c r="AF444" s="430"/>
      <c r="AG444" s="430"/>
      <c r="AH444" s="430"/>
      <c r="AI444" s="430"/>
      <c r="AJ444" s="430"/>
      <c r="AK444" s="430"/>
      <c r="AL444" s="430"/>
      <c r="AM444" s="430"/>
      <c r="AN444" s="430"/>
      <c r="AO444" s="430"/>
      <c r="AP444" s="430"/>
      <c r="AQ444" s="430"/>
      <c r="AR444" s="430"/>
      <c r="AS444" s="430"/>
      <c r="AT444" s="430"/>
      <c r="AU444" s="430"/>
      <c r="AV444" s="430"/>
      <c r="AW444" s="430"/>
      <c r="AX444" s="430"/>
      <c r="AY444" s="430"/>
      <c r="AZ444" s="430"/>
      <c r="BA444" s="430"/>
      <c r="BB444" s="430"/>
      <c r="BC444" s="430"/>
      <c r="BD444" s="430"/>
      <c r="BE444" s="430"/>
    </row>
    <row r="445" spans="1:57" ht="15.75" customHeight="1">
      <c r="A445" s="430"/>
      <c r="B445" s="430"/>
      <c r="C445" s="430"/>
      <c r="D445" s="430"/>
      <c r="E445" s="430"/>
      <c r="F445" s="430"/>
      <c r="G445" s="430"/>
      <c r="H445" s="430"/>
      <c r="I445" s="430"/>
      <c r="J445" s="430"/>
      <c r="K445" s="430"/>
      <c r="L445" s="430"/>
      <c r="M445" s="430"/>
      <c r="N445" s="430"/>
      <c r="O445" s="430"/>
      <c r="P445" s="430"/>
      <c r="Q445" s="430"/>
      <c r="R445" s="430"/>
      <c r="S445" s="430"/>
      <c r="T445" s="430"/>
      <c r="U445" s="430"/>
      <c r="V445" s="430"/>
      <c r="W445" s="430"/>
      <c r="X445" s="430"/>
      <c r="Y445" s="430"/>
      <c r="Z445" s="430"/>
      <c r="AA445" s="430"/>
      <c r="AB445" s="430"/>
      <c r="AC445" s="430"/>
      <c r="AD445" s="430"/>
      <c r="AE445" s="430"/>
      <c r="AF445" s="430"/>
      <c r="AG445" s="430"/>
      <c r="AH445" s="430"/>
      <c r="AI445" s="430"/>
      <c r="AJ445" s="430"/>
      <c r="AK445" s="430"/>
      <c r="AL445" s="430"/>
      <c r="AM445" s="430"/>
      <c r="AN445" s="430"/>
      <c r="AO445" s="430"/>
      <c r="AP445" s="430"/>
      <c r="AQ445" s="430"/>
      <c r="AR445" s="430"/>
      <c r="AS445" s="430"/>
      <c r="AT445" s="430"/>
      <c r="AU445" s="430"/>
      <c r="AV445" s="430"/>
      <c r="AW445" s="430"/>
      <c r="AX445" s="430"/>
      <c r="AY445" s="430"/>
      <c r="AZ445" s="430"/>
      <c r="BA445" s="430"/>
      <c r="BB445" s="430"/>
      <c r="BC445" s="430"/>
      <c r="BD445" s="430"/>
      <c r="BE445" s="430"/>
    </row>
    <row r="446" spans="1:57" ht="15.75" customHeight="1">
      <c r="A446" s="430"/>
      <c r="B446" s="430"/>
      <c r="C446" s="430"/>
      <c r="D446" s="430"/>
      <c r="E446" s="430"/>
      <c r="F446" s="430"/>
      <c r="G446" s="430"/>
      <c r="H446" s="430"/>
      <c r="I446" s="430"/>
      <c r="J446" s="430"/>
      <c r="K446" s="430"/>
      <c r="L446" s="430"/>
      <c r="M446" s="430"/>
      <c r="N446" s="430"/>
      <c r="O446" s="430"/>
      <c r="P446" s="430"/>
      <c r="Q446" s="430"/>
      <c r="R446" s="430"/>
      <c r="S446" s="430"/>
      <c r="T446" s="430"/>
      <c r="U446" s="430"/>
      <c r="V446" s="430"/>
      <c r="W446" s="430"/>
      <c r="X446" s="430"/>
      <c r="Y446" s="430"/>
      <c r="Z446" s="430"/>
      <c r="AA446" s="430"/>
      <c r="AB446" s="430"/>
      <c r="AC446" s="430"/>
      <c r="AD446" s="430"/>
      <c r="AE446" s="430"/>
      <c r="AF446" s="430"/>
      <c r="AG446" s="430"/>
      <c r="AH446" s="430"/>
      <c r="AI446" s="430"/>
      <c r="AJ446" s="430"/>
      <c r="AK446" s="430"/>
      <c r="AL446" s="430"/>
      <c r="AM446" s="430"/>
      <c r="AN446" s="430"/>
      <c r="AO446" s="430"/>
      <c r="AP446" s="430"/>
      <c r="AQ446" s="430"/>
      <c r="AR446" s="430"/>
      <c r="AS446" s="430"/>
      <c r="AT446" s="430"/>
      <c r="AU446" s="430"/>
      <c r="AV446" s="430"/>
      <c r="AW446" s="430"/>
      <c r="AX446" s="430"/>
      <c r="AY446" s="430"/>
      <c r="AZ446" s="430"/>
      <c r="BA446" s="430"/>
      <c r="BB446" s="430"/>
      <c r="BC446" s="430"/>
      <c r="BD446" s="430"/>
      <c r="BE446" s="430"/>
    </row>
    <row r="447" spans="1:57" ht="15.75" customHeight="1">
      <c r="A447" s="430"/>
      <c r="B447" s="430"/>
      <c r="C447" s="430"/>
      <c r="D447" s="430"/>
      <c r="E447" s="430"/>
      <c r="F447" s="430"/>
      <c r="G447" s="430"/>
      <c r="H447" s="430"/>
      <c r="I447" s="430"/>
      <c r="J447" s="430"/>
      <c r="K447" s="430"/>
      <c r="L447" s="430"/>
      <c r="M447" s="430"/>
      <c r="N447" s="430"/>
      <c r="O447" s="430"/>
      <c r="P447" s="430"/>
      <c r="Q447" s="430"/>
      <c r="R447" s="430"/>
      <c r="S447" s="430"/>
      <c r="T447" s="430"/>
      <c r="U447" s="430"/>
      <c r="V447" s="430"/>
      <c r="W447" s="430"/>
      <c r="X447" s="430"/>
      <c r="Y447" s="430"/>
      <c r="Z447" s="430"/>
      <c r="AA447" s="430"/>
      <c r="AB447" s="430"/>
      <c r="AC447" s="430"/>
      <c r="AD447" s="430"/>
      <c r="AE447" s="430"/>
      <c r="AF447" s="430"/>
      <c r="AG447" s="430"/>
      <c r="AH447" s="430"/>
      <c r="AI447" s="430"/>
      <c r="AJ447" s="430"/>
      <c r="AK447" s="430"/>
      <c r="AL447" s="430"/>
      <c r="AM447" s="430"/>
      <c r="AN447" s="430"/>
      <c r="AO447" s="430"/>
      <c r="AP447" s="430"/>
      <c r="AQ447" s="430"/>
      <c r="AR447" s="430"/>
      <c r="AS447" s="430"/>
      <c r="AT447" s="430"/>
      <c r="AU447" s="430"/>
      <c r="AV447" s="430"/>
      <c r="AW447" s="430"/>
      <c r="AX447" s="430"/>
      <c r="AY447" s="430"/>
      <c r="AZ447" s="430"/>
      <c r="BA447" s="430"/>
      <c r="BB447" s="430"/>
      <c r="BC447" s="430"/>
      <c r="BD447" s="430"/>
      <c r="BE447" s="430"/>
    </row>
    <row r="448" spans="1:57" ht="15.75" customHeight="1">
      <c r="A448" s="430"/>
      <c r="B448" s="430"/>
      <c r="C448" s="430"/>
      <c r="D448" s="430"/>
      <c r="E448" s="430"/>
      <c r="F448" s="430"/>
      <c r="G448" s="430"/>
      <c r="H448" s="430"/>
      <c r="I448" s="430"/>
      <c r="J448" s="430"/>
      <c r="K448" s="430"/>
      <c r="L448" s="430"/>
      <c r="M448" s="430"/>
      <c r="N448" s="430"/>
      <c r="O448" s="430"/>
      <c r="P448" s="430"/>
      <c r="Q448" s="430"/>
      <c r="R448" s="430"/>
      <c r="S448" s="430"/>
      <c r="T448" s="430"/>
      <c r="U448" s="430"/>
      <c r="V448" s="430"/>
      <c r="W448" s="430"/>
      <c r="X448" s="430"/>
      <c r="Y448" s="430"/>
      <c r="Z448" s="430"/>
      <c r="AA448" s="430"/>
      <c r="AB448" s="430"/>
      <c r="AC448" s="430"/>
      <c r="AD448" s="430"/>
      <c r="AE448" s="430"/>
      <c r="AF448" s="430"/>
      <c r="AG448" s="430"/>
      <c r="AH448" s="430"/>
      <c r="AI448" s="430"/>
      <c r="AJ448" s="430"/>
      <c r="AK448" s="430"/>
      <c r="AL448" s="430"/>
      <c r="AM448" s="430"/>
      <c r="AN448" s="430"/>
      <c r="AO448" s="430"/>
      <c r="AP448" s="430"/>
      <c r="AQ448" s="430"/>
      <c r="AR448" s="430"/>
      <c r="AS448" s="430"/>
      <c r="AT448" s="430"/>
      <c r="AU448" s="430"/>
      <c r="AV448" s="430"/>
      <c r="AW448" s="430"/>
      <c r="AX448" s="430"/>
      <c r="AY448" s="430"/>
      <c r="AZ448" s="430"/>
      <c r="BA448" s="430"/>
      <c r="BB448" s="430"/>
      <c r="BC448" s="430"/>
      <c r="BD448" s="430"/>
      <c r="BE448" s="430"/>
    </row>
    <row r="449" spans="1:57" ht="15.75" customHeight="1">
      <c r="A449" s="430"/>
      <c r="B449" s="430"/>
      <c r="C449" s="430"/>
      <c r="D449" s="430"/>
      <c r="E449" s="430"/>
      <c r="F449" s="430"/>
      <c r="G449" s="430"/>
      <c r="H449" s="430"/>
      <c r="I449" s="430"/>
      <c r="J449" s="430"/>
      <c r="K449" s="430"/>
      <c r="L449" s="430"/>
      <c r="M449" s="430"/>
      <c r="N449" s="430"/>
      <c r="O449" s="430"/>
      <c r="P449" s="430"/>
      <c r="Q449" s="430"/>
      <c r="R449" s="430"/>
      <c r="S449" s="430"/>
      <c r="T449" s="430"/>
      <c r="U449" s="430"/>
      <c r="V449" s="430"/>
      <c r="W449" s="430"/>
      <c r="X449" s="430"/>
      <c r="Y449" s="430"/>
      <c r="Z449" s="430"/>
      <c r="AA449" s="430"/>
      <c r="AB449" s="430"/>
      <c r="AC449" s="430"/>
      <c r="AD449" s="430"/>
      <c r="AE449" s="430"/>
      <c r="AF449" s="430"/>
      <c r="AG449" s="430"/>
      <c r="AH449" s="430"/>
      <c r="AI449" s="430"/>
      <c r="AJ449" s="430"/>
      <c r="AK449" s="430"/>
      <c r="AL449" s="430"/>
      <c r="AM449" s="430"/>
      <c r="AN449" s="430"/>
      <c r="AO449" s="430"/>
      <c r="AP449" s="430"/>
      <c r="AQ449" s="430"/>
      <c r="AR449" s="430"/>
      <c r="AS449" s="430"/>
      <c r="AT449" s="430"/>
      <c r="AU449" s="430"/>
      <c r="AV449" s="430"/>
      <c r="AW449" s="430"/>
      <c r="AX449" s="430"/>
      <c r="AY449" s="430"/>
      <c r="AZ449" s="430"/>
      <c r="BA449" s="430"/>
      <c r="BB449" s="430"/>
      <c r="BC449" s="430"/>
      <c r="BD449" s="430"/>
      <c r="BE449" s="430"/>
    </row>
    <row r="450" spans="1:57" ht="15.75" customHeight="1">
      <c r="A450" s="430"/>
      <c r="B450" s="430"/>
      <c r="C450" s="430"/>
      <c r="D450" s="430"/>
      <c r="E450" s="430"/>
      <c r="F450" s="430"/>
      <c r="G450" s="430"/>
      <c r="H450" s="430"/>
      <c r="I450" s="430"/>
      <c r="J450" s="430"/>
      <c r="K450" s="430"/>
      <c r="L450" s="430"/>
      <c r="M450" s="430"/>
      <c r="N450" s="430"/>
      <c r="O450" s="430"/>
      <c r="P450" s="430"/>
      <c r="Q450" s="430"/>
      <c r="R450" s="430"/>
      <c r="S450" s="430"/>
      <c r="T450" s="430"/>
      <c r="U450" s="430"/>
      <c r="V450" s="430"/>
      <c r="W450" s="430"/>
      <c r="X450" s="430"/>
      <c r="Y450" s="430"/>
      <c r="Z450" s="430"/>
      <c r="AA450" s="430"/>
      <c r="AB450" s="430"/>
      <c r="AC450" s="430"/>
      <c r="AD450" s="430"/>
      <c r="AE450" s="430"/>
      <c r="AF450" s="430"/>
      <c r="AG450" s="430"/>
      <c r="AH450" s="430"/>
      <c r="AI450" s="430"/>
      <c r="AJ450" s="430"/>
      <c r="AK450" s="430"/>
      <c r="AL450" s="430"/>
      <c r="AM450" s="430"/>
      <c r="AN450" s="430"/>
      <c r="AO450" s="430"/>
      <c r="AP450" s="430"/>
      <c r="AQ450" s="430"/>
      <c r="AR450" s="430"/>
      <c r="AS450" s="430"/>
      <c r="AT450" s="430"/>
      <c r="AU450" s="430"/>
      <c r="AV450" s="430"/>
      <c r="AW450" s="430"/>
      <c r="AX450" s="430"/>
      <c r="AY450" s="430"/>
      <c r="AZ450" s="430"/>
      <c r="BA450" s="430"/>
      <c r="BB450" s="430"/>
      <c r="BC450" s="430"/>
      <c r="BD450" s="430"/>
      <c r="BE450" s="430"/>
    </row>
    <row r="451" spans="1:57" ht="15.75" customHeight="1">
      <c r="A451" s="430"/>
      <c r="B451" s="430"/>
      <c r="C451" s="430"/>
      <c r="D451" s="430"/>
      <c r="E451" s="430"/>
      <c r="F451" s="430"/>
      <c r="G451" s="430"/>
      <c r="H451" s="430"/>
      <c r="I451" s="430"/>
      <c r="J451" s="430"/>
      <c r="K451" s="430"/>
      <c r="L451" s="430"/>
      <c r="M451" s="430"/>
      <c r="N451" s="430"/>
      <c r="O451" s="430"/>
      <c r="P451" s="430"/>
      <c r="Q451" s="430"/>
      <c r="R451" s="430"/>
      <c r="S451" s="430"/>
      <c r="T451" s="430"/>
      <c r="U451" s="430"/>
      <c r="V451" s="430"/>
      <c r="W451" s="430"/>
      <c r="X451" s="430"/>
      <c r="Y451" s="430"/>
      <c r="Z451" s="430"/>
      <c r="AA451" s="430"/>
      <c r="AB451" s="430"/>
      <c r="AC451" s="430"/>
      <c r="AD451" s="430"/>
      <c r="AE451" s="430"/>
      <c r="AF451" s="430"/>
      <c r="AG451" s="430"/>
      <c r="AH451" s="430"/>
      <c r="AI451" s="430"/>
      <c r="AJ451" s="430"/>
      <c r="AK451" s="430"/>
      <c r="AL451" s="430"/>
      <c r="AM451" s="430"/>
      <c r="AN451" s="430"/>
      <c r="AO451" s="430"/>
      <c r="AP451" s="430"/>
      <c r="AQ451" s="430"/>
      <c r="AR451" s="430"/>
      <c r="AS451" s="430"/>
      <c r="AT451" s="430"/>
      <c r="AU451" s="430"/>
      <c r="AV451" s="430"/>
      <c r="AW451" s="430"/>
      <c r="AX451" s="430"/>
      <c r="AY451" s="430"/>
      <c r="AZ451" s="430"/>
      <c r="BA451" s="430"/>
      <c r="BB451" s="430"/>
      <c r="BC451" s="430"/>
      <c r="BD451" s="430"/>
      <c r="BE451" s="430"/>
    </row>
    <row r="452" spans="1:57" ht="15.75" customHeight="1">
      <c r="A452" s="430"/>
      <c r="B452" s="430"/>
      <c r="C452" s="430"/>
      <c r="D452" s="430"/>
      <c r="E452" s="430"/>
      <c r="F452" s="430"/>
      <c r="G452" s="430"/>
      <c r="H452" s="430"/>
      <c r="I452" s="430"/>
      <c r="J452" s="430"/>
      <c r="K452" s="430"/>
      <c r="L452" s="430"/>
      <c r="M452" s="430"/>
      <c r="N452" s="430"/>
      <c r="O452" s="430"/>
      <c r="P452" s="430"/>
      <c r="Q452" s="430"/>
      <c r="R452" s="430"/>
      <c r="S452" s="430"/>
      <c r="T452" s="430"/>
      <c r="U452" s="430"/>
      <c r="V452" s="430"/>
      <c r="W452" s="430"/>
      <c r="X452" s="430"/>
      <c r="Y452" s="430"/>
      <c r="Z452" s="430"/>
      <c r="AA452" s="430"/>
      <c r="AB452" s="430"/>
      <c r="AC452" s="430"/>
      <c r="AD452" s="430"/>
      <c r="AE452" s="430"/>
      <c r="AF452" s="430"/>
      <c r="AG452" s="430"/>
      <c r="AH452" s="430"/>
      <c r="AI452" s="430"/>
      <c r="AJ452" s="430"/>
      <c r="AK452" s="430"/>
      <c r="AL452" s="430"/>
      <c r="AM452" s="430"/>
      <c r="AN452" s="430"/>
      <c r="AO452" s="430"/>
      <c r="AP452" s="430"/>
      <c r="AQ452" s="430"/>
      <c r="AR452" s="430"/>
      <c r="AS452" s="430"/>
      <c r="AT452" s="430"/>
      <c r="AU452" s="430"/>
      <c r="AV452" s="430"/>
      <c r="AW452" s="430"/>
      <c r="AX452" s="430"/>
      <c r="AY452" s="430"/>
      <c r="AZ452" s="430"/>
      <c r="BA452" s="430"/>
      <c r="BB452" s="430"/>
      <c r="BC452" s="430"/>
      <c r="BD452" s="430"/>
      <c r="BE452" s="430"/>
    </row>
    <row r="453" spans="1:57" ht="15.75" customHeight="1">
      <c r="A453" s="430"/>
      <c r="B453" s="430"/>
      <c r="C453" s="430"/>
      <c r="D453" s="430"/>
      <c r="E453" s="430"/>
      <c r="F453" s="430"/>
      <c r="G453" s="430"/>
      <c r="H453" s="430"/>
      <c r="I453" s="430"/>
      <c r="J453" s="430"/>
      <c r="K453" s="430"/>
      <c r="L453" s="430"/>
      <c r="M453" s="430"/>
      <c r="N453" s="430"/>
      <c r="O453" s="430"/>
      <c r="P453" s="430"/>
      <c r="Q453" s="430"/>
      <c r="R453" s="430"/>
      <c r="S453" s="430"/>
      <c r="T453" s="430"/>
      <c r="U453" s="430"/>
      <c r="V453" s="430"/>
      <c r="W453" s="430"/>
      <c r="X453" s="430"/>
      <c r="Y453" s="430"/>
      <c r="Z453" s="430"/>
      <c r="AA453" s="430"/>
      <c r="AB453" s="430"/>
      <c r="AC453" s="430"/>
      <c r="AD453" s="430"/>
      <c r="AE453" s="430"/>
      <c r="AF453" s="430"/>
      <c r="AG453" s="430"/>
      <c r="AH453" s="430"/>
      <c r="AI453" s="430"/>
      <c r="AJ453" s="430"/>
      <c r="AK453" s="430"/>
      <c r="AL453" s="430"/>
      <c r="AM453" s="430"/>
      <c r="AN453" s="430"/>
      <c r="AO453" s="430"/>
      <c r="AP453" s="430"/>
      <c r="AQ453" s="430"/>
      <c r="AR453" s="430"/>
      <c r="AS453" s="430"/>
      <c r="AT453" s="430"/>
      <c r="AU453" s="430"/>
      <c r="AV453" s="430"/>
      <c r="AW453" s="430"/>
      <c r="AX453" s="430"/>
      <c r="AY453" s="430"/>
      <c r="AZ453" s="430"/>
      <c r="BA453" s="430"/>
      <c r="BB453" s="430"/>
      <c r="BC453" s="430"/>
      <c r="BD453" s="430"/>
      <c r="BE453" s="430"/>
    </row>
    <row r="454" spans="1:57" ht="15.75" customHeight="1">
      <c r="A454" s="430"/>
      <c r="B454" s="430"/>
      <c r="C454" s="430"/>
      <c r="D454" s="430"/>
      <c r="E454" s="430"/>
      <c r="F454" s="430"/>
      <c r="G454" s="430"/>
      <c r="H454" s="430"/>
      <c r="I454" s="430"/>
      <c r="J454" s="430"/>
      <c r="K454" s="430"/>
      <c r="L454" s="430"/>
      <c r="M454" s="430"/>
      <c r="N454" s="430"/>
      <c r="O454" s="430"/>
      <c r="P454" s="430"/>
      <c r="Q454" s="430"/>
      <c r="R454" s="430"/>
      <c r="S454" s="430"/>
      <c r="T454" s="430"/>
      <c r="U454" s="430"/>
      <c r="V454" s="430"/>
      <c r="W454" s="430"/>
      <c r="X454" s="430"/>
      <c r="Y454" s="430"/>
      <c r="Z454" s="430"/>
      <c r="AA454" s="430"/>
      <c r="AB454" s="430"/>
      <c r="AC454" s="430"/>
      <c r="AD454" s="430"/>
      <c r="AE454" s="430"/>
      <c r="AF454" s="430"/>
      <c r="AG454" s="430"/>
      <c r="AH454" s="430"/>
      <c r="AI454" s="430"/>
      <c r="AJ454" s="430"/>
      <c r="AK454" s="430"/>
      <c r="AL454" s="430"/>
      <c r="AM454" s="430"/>
      <c r="AN454" s="430"/>
      <c r="AO454" s="430"/>
      <c r="AP454" s="430"/>
      <c r="AQ454" s="430"/>
      <c r="AR454" s="430"/>
      <c r="AS454" s="430"/>
      <c r="AT454" s="430"/>
      <c r="AU454" s="430"/>
      <c r="AV454" s="430"/>
      <c r="AW454" s="430"/>
      <c r="AX454" s="430"/>
      <c r="AY454" s="430"/>
      <c r="AZ454" s="430"/>
      <c r="BA454" s="430"/>
      <c r="BB454" s="430"/>
      <c r="BC454" s="430"/>
      <c r="BD454" s="430"/>
      <c r="BE454" s="430"/>
    </row>
    <row r="455" spans="1:57" ht="15.75" customHeight="1">
      <c r="A455" s="430"/>
      <c r="B455" s="430"/>
      <c r="C455" s="430"/>
      <c r="D455" s="430"/>
      <c r="E455" s="430"/>
      <c r="F455" s="430"/>
      <c r="G455" s="430"/>
      <c r="H455" s="430"/>
      <c r="I455" s="430"/>
      <c r="J455" s="430"/>
      <c r="K455" s="430"/>
      <c r="L455" s="430"/>
      <c r="M455" s="430"/>
      <c r="N455" s="430"/>
      <c r="O455" s="430"/>
      <c r="P455" s="430"/>
      <c r="Q455" s="430"/>
      <c r="R455" s="430"/>
      <c r="S455" s="430"/>
      <c r="T455" s="430"/>
      <c r="U455" s="430"/>
      <c r="V455" s="430"/>
      <c r="W455" s="430"/>
      <c r="X455" s="430"/>
      <c r="Y455" s="430"/>
      <c r="Z455" s="430"/>
      <c r="AA455" s="430"/>
      <c r="AB455" s="430"/>
      <c r="AC455" s="430"/>
      <c r="AD455" s="430"/>
      <c r="AE455" s="430"/>
      <c r="AF455" s="430"/>
      <c r="AG455" s="430"/>
      <c r="AH455" s="430"/>
      <c r="AI455" s="430"/>
      <c r="AJ455" s="430"/>
      <c r="AK455" s="430"/>
      <c r="AL455" s="430"/>
      <c r="AM455" s="430"/>
      <c r="AN455" s="430"/>
      <c r="AO455" s="430"/>
      <c r="AP455" s="430"/>
      <c r="AQ455" s="430"/>
      <c r="AR455" s="430"/>
      <c r="AS455" s="430"/>
      <c r="AT455" s="430"/>
      <c r="AU455" s="430"/>
      <c r="AV455" s="430"/>
      <c r="AW455" s="430"/>
      <c r="AX455" s="430"/>
      <c r="AY455" s="430"/>
      <c r="AZ455" s="430"/>
      <c r="BA455" s="430"/>
      <c r="BB455" s="430"/>
      <c r="BC455" s="430"/>
      <c r="BD455" s="430"/>
      <c r="BE455" s="430"/>
    </row>
    <row r="456" spans="1:57" ht="15.75" customHeight="1">
      <c r="A456" s="430"/>
      <c r="B456" s="430"/>
      <c r="C456" s="430"/>
      <c r="D456" s="430"/>
      <c r="E456" s="430"/>
      <c r="F456" s="430"/>
      <c r="G456" s="430"/>
      <c r="H456" s="430"/>
      <c r="I456" s="430"/>
      <c r="J456" s="430"/>
      <c r="K456" s="430"/>
      <c r="L456" s="430"/>
      <c r="M456" s="430"/>
      <c r="N456" s="430"/>
      <c r="O456" s="430"/>
      <c r="P456" s="430"/>
      <c r="Q456" s="430"/>
      <c r="R456" s="430"/>
      <c r="S456" s="430"/>
      <c r="T456" s="430"/>
      <c r="U456" s="430"/>
      <c r="V456" s="430"/>
      <c r="W456" s="430"/>
      <c r="X456" s="430"/>
      <c r="Y456" s="430"/>
      <c r="Z456" s="430"/>
      <c r="AA456" s="430"/>
      <c r="AB456" s="430"/>
      <c r="AC456" s="430"/>
      <c r="AD456" s="430"/>
      <c r="AE456" s="430"/>
      <c r="AF456" s="430"/>
      <c r="AG456" s="430"/>
      <c r="AH456" s="430"/>
      <c r="AI456" s="430"/>
      <c r="AJ456" s="430"/>
      <c r="AK456" s="430"/>
      <c r="AL456" s="430"/>
      <c r="AM456" s="430"/>
      <c r="AN456" s="430"/>
      <c r="AO456" s="430"/>
      <c r="AP456" s="430"/>
      <c r="AQ456" s="430"/>
      <c r="AR456" s="430"/>
      <c r="AS456" s="430"/>
      <c r="AT456" s="430"/>
      <c r="AU456" s="430"/>
      <c r="AV456" s="430"/>
      <c r="AW456" s="430"/>
      <c r="AX456" s="430"/>
      <c r="AY456" s="430"/>
      <c r="AZ456" s="430"/>
      <c r="BA456" s="430"/>
      <c r="BB456" s="430"/>
      <c r="BC456" s="430"/>
      <c r="BD456" s="430"/>
      <c r="BE456" s="430"/>
    </row>
    <row r="457" spans="1:57" ht="15.75" customHeight="1">
      <c r="A457" s="430"/>
      <c r="B457" s="430"/>
      <c r="C457" s="430"/>
      <c r="D457" s="430"/>
      <c r="E457" s="430"/>
      <c r="F457" s="430"/>
      <c r="G457" s="430"/>
      <c r="H457" s="430"/>
      <c r="I457" s="430"/>
      <c r="J457" s="430"/>
      <c r="K457" s="430"/>
      <c r="L457" s="430"/>
      <c r="M457" s="430"/>
      <c r="N457" s="430"/>
      <c r="O457" s="430"/>
      <c r="P457" s="430"/>
      <c r="Q457" s="430"/>
      <c r="R457" s="430"/>
      <c r="S457" s="430"/>
      <c r="T457" s="430"/>
      <c r="U457" s="430"/>
      <c r="V457" s="430"/>
      <c r="W457" s="430"/>
      <c r="X457" s="430"/>
      <c r="Y457" s="430"/>
      <c r="Z457" s="430"/>
      <c r="AA457" s="430"/>
      <c r="AB457" s="430"/>
      <c r="AC457" s="430"/>
      <c r="AD457" s="430"/>
      <c r="AE457" s="430"/>
      <c r="AF457" s="430"/>
      <c r="AG457" s="430"/>
      <c r="AH457" s="430"/>
      <c r="AI457" s="430"/>
      <c r="AJ457" s="430"/>
      <c r="AK457" s="430"/>
      <c r="AL457" s="430"/>
      <c r="AM457" s="430"/>
      <c r="AN457" s="430"/>
      <c r="AO457" s="430"/>
      <c r="AP457" s="430"/>
      <c r="AQ457" s="430"/>
      <c r="AR457" s="430"/>
      <c r="AS457" s="430"/>
      <c r="AT457" s="430"/>
      <c r="AU457" s="430"/>
      <c r="AV457" s="430"/>
      <c r="AW457" s="430"/>
      <c r="AX457" s="430"/>
      <c r="AY457" s="430"/>
      <c r="AZ457" s="430"/>
      <c r="BA457" s="430"/>
      <c r="BB457" s="430"/>
      <c r="BC457" s="430"/>
      <c r="BD457" s="430"/>
      <c r="BE457" s="430"/>
    </row>
    <row r="458" spans="1:57" ht="15.75" customHeight="1">
      <c r="A458" s="430"/>
      <c r="B458" s="430"/>
      <c r="C458" s="430"/>
      <c r="D458" s="430"/>
      <c r="E458" s="430"/>
      <c r="F458" s="430"/>
      <c r="G458" s="430"/>
      <c r="H458" s="430"/>
      <c r="I458" s="430"/>
      <c r="J458" s="430"/>
      <c r="K458" s="430"/>
      <c r="L458" s="430"/>
      <c r="M458" s="430"/>
      <c r="N458" s="430"/>
      <c r="O458" s="430"/>
      <c r="P458" s="430"/>
      <c r="Q458" s="430"/>
      <c r="R458" s="430"/>
      <c r="S458" s="430"/>
      <c r="T458" s="430"/>
      <c r="U458" s="430"/>
      <c r="V458" s="430"/>
      <c r="W458" s="430"/>
      <c r="X458" s="430"/>
      <c r="Y458" s="430"/>
      <c r="Z458" s="430"/>
      <c r="AA458" s="430"/>
      <c r="AB458" s="430"/>
      <c r="AC458" s="430"/>
      <c r="AD458" s="430"/>
      <c r="AE458" s="430"/>
      <c r="AF458" s="430"/>
      <c r="AG458" s="430"/>
      <c r="AH458" s="430"/>
      <c r="AI458" s="430"/>
      <c r="AJ458" s="430"/>
      <c r="AK458" s="430"/>
      <c r="AL458" s="430"/>
      <c r="AM458" s="430"/>
      <c r="AN458" s="430"/>
      <c r="AO458" s="430"/>
      <c r="AP458" s="430"/>
      <c r="AQ458" s="430"/>
      <c r="AR458" s="430"/>
      <c r="AS458" s="430"/>
      <c r="AT458" s="430"/>
      <c r="AU458" s="430"/>
      <c r="AV458" s="430"/>
      <c r="AW458" s="430"/>
      <c r="AX458" s="430"/>
      <c r="AY458" s="430"/>
      <c r="AZ458" s="430"/>
      <c r="BA458" s="430"/>
      <c r="BB458" s="430"/>
      <c r="BC458" s="430"/>
      <c r="BD458" s="430"/>
      <c r="BE458" s="430"/>
    </row>
    <row r="459" spans="1:57" ht="15.75" customHeight="1">
      <c r="A459" s="430"/>
      <c r="B459" s="430"/>
      <c r="C459" s="430"/>
      <c r="D459" s="430"/>
      <c r="E459" s="430"/>
      <c r="F459" s="430"/>
      <c r="G459" s="430"/>
      <c r="H459" s="430"/>
      <c r="I459" s="430"/>
      <c r="J459" s="430"/>
      <c r="K459" s="430"/>
      <c r="L459" s="430"/>
      <c r="M459" s="430"/>
      <c r="N459" s="430"/>
      <c r="O459" s="430"/>
      <c r="P459" s="430"/>
      <c r="Q459" s="430"/>
      <c r="R459" s="430"/>
      <c r="S459" s="430"/>
      <c r="T459" s="430"/>
      <c r="U459" s="430"/>
      <c r="V459" s="430"/>
      <c r="W459" s="430"/>
      <c r="X459" s="430"/>
      <c r="Y459" s="430"/>
      <c r="Z459" s="430"/>
      <c r="AA459" s="430"/>
      <c r="AB459" s="430"/>
      <c r="AC459" s="430"/>
      <c r="AD459" s="430"/>
      <c r="AE459" s="430"/>
      <c r="AF459" s="430"/>
      <c r="AG459" s="430"/>
      <c r="AH459" s="430"/>
      <c r="AI459" s="430"/>
      <c r="AJ459" s="430"/>
      <c r="AK459" s="430"/>
      <c r="AL459" s="430"/>
      <c r="AM459" s="430"/>
      <c r="AN459" s="430"/>
      <c r="AO459" s="430"/>
      <c r="AP459" s="430"/>
      <c r="AQ459" s="430"/>
      <c r="AR459" s="430"/>
      <c r="AS459" s="430"/>
      <c r="AT459" s="430"/>
      <c r="AU459" s="430"/>
      <c r="AV459" s="430"/>
      <c r="AW459" s="430"/>
      <c r="AX459" s="430"/>
      <c r="AY459" s="430"/>
      <c r="AZ459" s="430"/>
      <c r="BA459" s="430"/>
      <c r="BB459" s="430"/>
      <c r="BC459" s="430"/>
      <c r="BD459" s="430"/>
      <c r="BE459" s="430"/>
    </row>
    <row r="460" spans="1:57" ht="15.75" customHeight="1">
      <c r="A460" s="430"/>
      <c r="B460" s="430"/>
      <c r="C460" s="430"/>
      <c r="D460" s="430"/>
      <c r="E460" s="430"/>
      <c r="F460" s="430"/>
      <c r="G460" s="430"/>
      <c r="H460" s="430"/>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0"/>
      <c r="AE460" s="430"/>
      <c r="AF460" s="430"/>
      <c r="AG460" s="430"/>
      <c r="AH460" s="430"/>
      <c r="AI460" s="430"/>
      <c r="AJ460" s="430"/>
      <c r="AK460" s="430"/>
      <c r="AL460" s="430"/>
      <c r="AM460" s="430"/>
      <c r="AN460" s="430"/>
      <c r="AO460" s="430"/>
      <c r="AP460" s="430"/>
      <c r="AQ460" s="430"/>
      <c r="AR460" s="430"/>
      <c r="AS460" s="430"/>
      <c r="AT460" s="430"/>
      <c r="AU460" s="430"/>
      <c r="AV460" s="430"/>
      <c r="AW460" s="430"/>
      <c r="AX460" s="430"/>
      <c r="AY460" s="430"/>
      <c r="AZ460" s="430"/>
      <c r="BA460" s="430"/>
      <c r="BB460" s="430"/>
      <c r="BC460" s="430"/>
      <c r="BD460" s="430"/>
      <c r="BE460" s="430"/>
    </row>
    <row r="461" spans="1:57" ht="15.75" customHeight="1">
      <c r="A461" s="430"/>
      <c r="B461" s="430"/>
      <c r="C461" s="430"/>
      <c r="D461" s="430"/>
      <c r="E461" s="430"/>
      <c r="F461" s="430"/>
      <c r="G461" s="430"/>
      <c r="H461" s="430"/>
      <c r="I461" s="430"/>
      <c r="J461" s="430"/>
      <c r="K461" s="430"/>
      <c r="L461" s="430"/>
      <c r="M461" s="430"/>
      <c r="N461" s="430"/>
      <c r="O461" s="430"/>
      <c r="P461" s="430"/>
      <c r="Q461" s="430"/>
      <c r="R461" s="430"/>
      <c r="S461" s="430"/>
      <c r="T461" s="430"/>
      <c r="U461" s="430"/>
      <c r="V461" s="430"/>
      <c r="W461" s="430"/>
      <c r="X461" s="430"/>
      <c r="Y461" s="430"/>
      <c r="Z461" s="430"/>
      <c r="AA461" s="430"/>
      <c r="AB461" s="430"/>
      <c r="AC461" s="430"/>
      <c r="AD461" s="430"/>
      <c r="AE461" s="430"/>
      <c r="AF461" s="430"/>
      <c r="AG461" s="430"/>
      <c r="AH461" s="430"/>
      <c r="AI461" s="430"/>
      <c r="AJ461" s="430"/>
      <c r="AK461" s="430"/>
      <c r="AL461" s="430"/>
      <c r="AM461" s="430"/>
      <c r="AN461" s="430"/>
      <c r="AO461" s="430"/>
      <c r="AP461" s="430"/>
      <c r="AQ461" s="430"/>
      <c r="AR461" s="430"/>
      <c r="AS461" s="430"/>
      <c r="AT461" s="430"/>
      <c r="AU461" s="430"/>
      <c r="AV461" s="430"/>
      <c r="AW461" s="430"/>
      <c r="AX461" s="430"/>
      <c r="AY461" s="430"/>
      <c r="AZ461" s="430"/>
      <c r="BA461" s="430"/>
      <c r="BB461" s="430"/>
      <c r="BC461" s="430"/>
      <c r="BD461" s="430"/>
      <c r="BE461" s="430"/>
    </row>
    <row r="462" spans="1:57" ht="15.75" customHeight="1">
      <c r="A462" s="430"/>
      <c r="B462" s="430"/>
      <c r="C462" s="430"/>
      <c r="D462" s="430"/>
      <c r="E462" s="430"/>
      <c r="F462" s="430"/>
      <c r="G462" s="430"/>
      <c r="H462" s="430"/>
      <c r="I462" s="430"/>
      <c r="J462" s="430"/>
      <c r="K462" s="430"/>
      <c r="L462" s="430"/>
      <c r="M462" s="430"/>
      <c r="N462" s="430"/>
      <c r="O462" s="430"/>
      <c r="P462" s="430"/>
      <c r="Q462" s="430"/>
      <c r="R462" s="430"/>
      <c r="S462" s="430"/>
      <c r="T462" s="430"/>
      <c r="U462" s="430"/>
      <c r="V462" s="430"/>
      <c r="W462" s="430"/>
      <c r="X462" s="430"/>
      <c r="Y462" s="430"/>
      <c r="Z462" s="430"/>
      <c r="AA462" s="430"/>
      <c r="AB462" s="430"/>
      <c r="AC462" s="430"/>
      <c r="AD462" s="430"/>
      <c r="AE462" s="430"/>
      <c r="AF462" s="430"/>
      <c r="AG462" s="430"/>
      <c r="AH462" s="430"/>
      <c r="AI462" s="430"/>
      <c r="AJ462" s="430"/>
      <c r="AK462" s="430"/>
      <c r="AL462" s="430"/>
      <c r="AM462" s="430"/>
      <c r="AN462" s="430"/>
      <c r="AO462" s="430"/>
      <c r="AP462" s="430"/>
      <c r="AQ462" s="430"/>
      <c r="AR462" s="430"/>
      <c r="AS462" s="430"/>
      <c r="AT462" s="430"/>
      <c r="AU462" s="430"/>
      <c r="AV462" s="430"/>
      <c r="AW462" s="430"/>
      <c r="AX462" s="430"/>
      <c r="AY462" s="430"/>
      <c r="AZ462" s="430"/>
      <c r="BA462" s="430"/>
      <c r="BB462" s="430"/>
      <c r="BC462" s="430"/>
      <c r="BD462" s="430"/>
      <c r="BE462" s="430"/>
    </row>
    <row r="463" spans="1:57" ht="15.75" customHeight="1">
      <c r="A463" s="430"/>
      <c r="B463" s="430"/>
      <c r="C463" s="430"/>
      <c r="D463" s="430"/>
      <c r="E463" s="430"/>
      <c r="F463" s="430"/>
      <c r="G463" s="430"/>
      <c r="H463" s="430"/>
      <c r="I463" s="430"/>
      <c r="J463" s="430"/>
      <c r="K463" s="430"/>
      <c r="L463" s="430"/>
      <c r="M463" s="430"/>
      <c r="N463" s="430"/>
      <c r="O463" s="430"/>
      <c r="P463" s="430"/>
      <c r="Q463" s="430"/>
      <c r="R463" s="430"/>
      <c r="S463" s="430"/>
      <c r="T463" s="430"/>
      <c r="U463" s="430"/>
      <c r="V463" s="430"/>
      <c r="W463" s="430"/>
      <c r="X463" s="430"/>
      <c r="Y463" s="430"/>
      <c r="Z463" s="430"/>
      <c r="AA463" s="430"/>
      <c r="AB463" s="430"/>
      <c r="AC463" s="430"/>
      <c r="AD463" s="430"/>
      <c r="AE463" s="430"/>
      <c r="AF463" s="430"/>
      <c r="AG463" s="430"/>
      <c r="AH463" s="430"/>
      <c r="AI463" s="430"/>
      <c r="AJ463" s="430"/>
      <c r="AK463" s="430"/>
      <c r="AL463" s="430"/>
      <c r="AM463" s="430"/>
      <c r="AN463" s="430"/>
      <c r="AO463" s="430"/>
      <c r="AP463" s="430"/>
      <c r="AQ463" s="430"/>
      <c r="AR463" s="430"/>
      <c r="AS463" s="430"/>
      <c r="AT463" s="430"/>
      <c r="AU463" s="430"/>
      <c r="AV463" s="430"/>
      <c r="AW463" s="430"/>
      <c r="AX463" s="430"/>
      <c r="AY463" s="430"/>
      <c r="AZ463" s="430"/>
      <c r="BA463" s="430"/>
      <c r="BB463" s="430"/>
      <c r="BC463" s="430"/>
      <c r="BD463" s="430"/>
      <c r="BE463" s="430"/>
    </row>
    <row r="464" spans="1:57" ht="15.75" customHeight="1">
      <c r="A464" s="430"/>
      <c r="B464" s="430"/>
      <c r="C464" s="430"/>
      <c r="D464" s="430"/>
      <c r="E464" s="430"/>
      <c r="F464" s="430"/>
      <c r="G464" s="430"/>
      <c r="H464" s="430"/>
      <c r="I464" s="430"/>
      <c r="J464" s="430"/>
      <c r="K464" s="430"/>
      <c r="L464" s="430"/>
      <c r="M464" s="430"/>
      <c r="N464" s="430"/>
      <c r="O464" s="430"/>
      <c r="P464" s="430"/>
      <c r="Q464" s="430"/>
      <c r="R464" s="430"/>
      <c r="S464" s="430"/>
      <c r="T464" s="430"/>
      <c r="U464" s="430"/>
      <c r="V464" s="430"/>
      <c r="W464" s="430"/>
      <c r="X464" s="430"/>
      <c r="Y464" s="430"/>
      <c r="Z464" s="430"/>
      <c r="AA464" s="430"/>
      <c r="AB464" s="430"/>
      <c r="AC464" s="430"/>
      <c r="AD464" s="430"/>
      <c r="AE464" s="430"/>
      <c r="AF464" s="430"/>
      <c r="AG464" s="430"/>
      <c r="AH464" s="430"/>
      <c r="AI464" s="430"/>
      <c r="AJ464" s="430"/>
      <c r="AK464" s="430"/>
      <c r="AL464" s="430"/>
      <c r="AM464" s="430"/>
      <c r="AN464" s="430"/>
      <c r="AO464" s="430"/>
      <c r="AP464" s="430"/>
      <c r="AQ464" s="430"/>
      <c r="AR464" s="430"/>
      <c r="AS464" s="430"/>
      <c r="AT464" s="430"/>
      <c r="AU464" s="430"/>
      <c r="AV464" s="430"/>
      <c r="AW464" s="430"/>
      <c r="AX464" s="430"/>
      <c r="AY464" s="430"/>
      <c r="AZ464" s="430"/>
      <c r="BA464" s="430"/>
      <c r="BB464" s="430"/>
      <c r="BC464" s="430"/>
      <c r="BD464" s="430"/>
      <c r="BE464" s="430"/>
    </row>
    <row r="465" spans="1:57" ht="15.75" customHeight="1">
      <c r="A465" s="430"/>
      <c r="B465" s="430"/>
      <c r="C465" s="430"/>
      <c r="D465" s="430"/>
      <c r="E465" s="430"/>
      <c r="F465" s="430"/>
      <c r="G465" s="430"/>
      <c r="H465" s="430"/>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430"/>
      <c r="AL465" s="430"/>
      <c r="AM465" s="430"/>
      <c r="AN465" s="430"/>
      <c r="AO465" s="430"/>
      <c r="AP465" s="430"/>
      <c r="AQ465" s="430"/>
      <c r="AR465" s="430"/>
      <c r="AS465" s="430"/>
      <c r="AT465" s="430"/>
      <c r="AU465" s="430"/>
      <c r="AV465" s="430"/>
      <c r="AW465" s="430"/>
      <c r="AX465" s="430"/>
      <c r="AY465" s="430"/>
      <c r="AZ465" s="430"/>
      <c r="BA465" s="430"/>
      <c r="BB465" s="430"/>
      <c r="BC465" s="430"/>
      <c r="BD465" s="430"/>
      <c r="BE465" s="430"/>
    </row>
    <row r="466" spans="1:57" ht="15.75" customHeight="1">
      <c r="A466" s="430"/>
      <c r="B466" s="430"/>
      <c r="C466" s="430"/>
      <c r="D466" s="430"/>
      <c r="E466" s="430"/>
      <c r="F466" s="430"/>
      <c r="G466" s="430"/>
      <c r="H466" s="430"/>
      <c r="I466" s="430"/>
      <c r="J466" s="430"/>
      <c r="K466" s="430"/>
      <c r="L466" s="430"/>
      <c r="M466" s="430"/>
      <c r="N466" s="430"/>
      <c r="O466" s="430"/>
      <c r="P466" s="430"/>
      <c r="Q466" s="430"/>
      <c r="R466" s="430"/>
      <c r="S466" s="430"/>
      <c r="T466" s="430"/>
      <c r="U466" s="430"/>
      <c r="V466" s="430"/>
      <c r="W466" s="430"/>
      <c r="X466" s="430"/>
      <c r="Y466" s="430"/>
      <c r="Z466" s="430"/>
      <c r="AA466" s="430"/>
      <c r="AB466" s="430"/>
      <c r="AC466" s="430"/>
      <c r="AD466" s="430"/>
      <c r="AE466" s="430"/>
      <c r="AF466" s="430"/>
      <c r="AG466" s="430"/>
      <c r="AH466" s="430"/>
      <c r="AI466" s="430"/>
      <c r="AJ466" s="430"/>
      <c r="AK466" s="430"/>
      <c r="AL466" s="430"/>
      <c r="AM466" s="430"/>
      <c r="AN466" s="430"/>
      <c r="AO466" s="430"/>
      <c r="AP466" s="430"/>
      <c r="AQ466" s="430"/>
      <c r="AR466" s="430"/>
      <c r="AS466" s="430"/>
      <c r="AT466" s="430"/>
      <c r="AU466" s="430"/>
      <c r="AV466" s="430"/>
      <c r="AW466" s="430"/>
      <c r="AX466" s="430"/>
      <c r="AY466" s="430"/>
      <c r="AZ466" s="430"/>
      <c r="BA466" s="430"/>
      <c r="BB466" s="430"/>
      <c r="BC466" s="430"/>
      <c r="BD466" s="430"/>
      <c r="BE466" s="430"/>
    </row>
    <row r="467" spans="1:57" ht="15.75" customHeight="1">
      <c r="A467" s="430"/>
      <c r="B467" s="430"/>
      <c r="C467" s="430"/>
      <c r="D467" s="430"/>
      <c r="E467" s="430"/>
      <c r="F467" s="430"/>
      <c r="G467" s="430"/>
      <c r="H467" s="430"/>
      <c r="I467" s="430"/>
      <c r="J467" s="430"/>
      <c r="K467" s="430"/>
      <c r="L467" s="430"/>
      <c r="M467" s="430"/>
      <c r="N467" s="430"/>
      <c r="O467" s="430"/>
      <c r="P467" s="430"/>
      <c r="Q467" s="430"/>
      <c r="R467" s="430"/>
      <c r="S467" s="430"/>
      <c r="T467" s="430"/>
      <c r="U467" s="430"/>
      <c r="V467" s="430"/>
      <c r="W467" s="430"/>
      <c r="X467" s="430"/>
      <c r="Y467" s="430"/>
      <c r="Z467" s="430"/>
      <c r="AA467" s="430"/>
      <c r="AB467" s="430"/>
      <c r="AC467" s="430"/>
      <c r="AD467" s="430"/>
      <c r="AE467" s="430"/>
      <c r="AF467" s="430"/>
      <c r="AG467" s="430"/>
      <c r="AH467" s="430"/>
      <c r="AI467" s="430"/>
      <c r="AJ467" s="430"/>
      <c r="AK467" s="430"/>
      <c r="AL467" s="430"/>
      <c r="AM467" s="430"/>
      <c r="AN467" s="430"/>
      <c r="AO467" s="430"/>
      <c r="AP467" s="430"/>
      <c r="AQ467" s="430"/>
      <c r="AR467" s="430"/>
      <c r="AS467" s="430"/>
      <c r="AT467" s="430"/>
      <c r="AU467" s="430"/>
      <c r="AV467" s="430"/>
      <c r="AW467" s="430"/>
      <c r="AX467" s="430"/>
      <c r="AY467" s="430"/>
      <c r="AZ467" s="430"/>
      <c r="BA467" s="430"/>
      <c r="BB467" s="430"/>
      <c r="BC467" s="430"/>
      <c r="BD467" s="430"/>
      <c r="BE467" s="430"/>
    </row>
    <row r="468" spans="1:57" ht="15.75" customHeight="1">
      <c r="A468" s="430"/>
      <c r="B468" s="430"/>
      <c r="C468" s="430"/>
      <c r="D468" s="430"/>
      <c r="E468" s="430"/>
      <c r="F468" s="430"/>
      <c r="G468" s="430"/>
      <c r="H468" s="430"/>
      <c r="I468" s="430"/>
      <c r="J468" s="430"/>
      <c r="K468" s="430"/>
      <c r="L468" s="430"/>
      <c r="M468" s="430"/>
      <c r="N468" s="430"/>
      <c r="O468" s="430"/>
      <c r="P468" s="430"/>
      <c r="Q468" s="430"/>
      <c r="R468" s="430"/>
      <c r="S468" s="430"/>
      <c r="T468" s="430"/>
      <c r="U468" s="430"/>
      <c r="V468" s="430"/>
      <c r="W468" s="430"/>
      <c r="X468" s="430"/>
      <c r="Y468" s="430"/>
      <c r="Z468" s="430"/>
      <c r="AA468" s="430"/>
      <c r="AB468" s="430"/>
      <c r="AC468" s="430"/>
      <c r="AD468" s="430"/>
      <c r="AE468" s="430"/>
      <c r="AF468" s="430"/>
      <c r="AG468" s="430"/>
      <c r="AH468" s="430"/>
      <c r="AI468" s="430"/>
      <c r="AJ468" s="430"/>
      <c r="AK468" s="430"/>
      <c r="AL468" s="430"/>
      <c r="AM468" s="430"/>
      <c r="AN468" s="430"/>
      <c r="AO468" s="430"/>
      <c r="AP468" s="430"/>
      <c r="AQ468" s="430"/>
      <c r="AR468" s="430"/>
      <c r="AS468" s="430"/>
      <c r="AT468" s="430"/>
      <c r="AU468" s="430"/>
      <c r="AV468" s="430"/>
      <c r="AW468" s="430"/>
      <c r="AX468" s="430"/>
      <c r="AY468" s="430"/>
      <c r="AZ468" s="430"/>
      <c r="BA468" s="430"/>
      <c r="BB468" s="430"/>
      <c r="BC468" s="430"/>
      <c r="BD468" s="430"/>
      <c r="BE468" s="430"/>
    </row>
    <row r="469" spans="1:57" ht="15.75" customHeight="1">
      <c r="A469" s="430"/>
      <c r="B469" s="430"/>
      <c r="C469" s="430"/>
      <c r="D469" s="430"/>
      <c r="E469" s="430"/>
      <c r="F469" s="430"/>
      <c r="G469" s="430"/>
      <c r="H469" s="430"/>
      <c r="I469" s="430"/>
      <c r="J469" s="430"/>
      <c r="K469" s="430"/>
      <c r="L469" s="430"/>
      <c r="M469" s="430"/>
      <c r="N469" s="430"/>
      <c r="O469" s="430"/>
      <c r="P469" s="430"/>
      <c r="Q469" s="430"/>
      <c r="R469" s="430"/>
      <c r="S469" s="430"/>
      <c r="T469" s="430"/>
      <c r="U469" s="430"/>
      <c r="V469" s="430"/>
      <c r="W469" s="430"/>
      <c r="X469" s="430"/>
      <c r="Y469" s="430"/>
      <c r="Z469" s="430"/>
      <c r="AA469" s="430"/>
      <c r="AB469" s="430"/>
      <c r="AC469" s="430"/>
      <c r="AD469" s="430"/>
      <c r="AE469" s="430"/>
      <c r="AF469" s="430"/>
      <c r="AG469" s="430"/>
      <c r="AH469" s="430"/>
      <c r="AI469" s="430"/>
      <c r="AJ469" s="430"/>
      <c r="AK469" s="430"/>
      <c r="AL469" s="430"/>
      <c r="AM469" s="430"/>
      <c r="AN469" s="430"/>
      <c r="AO469" s="430"/>
      <c r="AP469" s="430"/>
      <c r="AQ469" s="430"/>
      <c r="AR469" s="430"/>
      <c r="AS469" s="430"/>
      <c r="AT469" s="430"/>
      <c r="AU469" s="430"/>
      <c r="AV469" s="430"/>
      <c r="AW469" s="430"/>
      <c r="AX469" s="430"/>
      <c r="AY469" s="430"/>
      <c r="AZ469" s="430"/>
      <c r="BA469" s="430"/>
      <c r="BB469" s="430"/>
      <c r="BC469" s="430"/>
      <c r="BD469" s="430"/>
      <c r="BE469" s="430"/>
    </row>
    <row r="470" spans="1:57" ht="15.75" customHeight="1">
      <c r="A470" s="430"/>
      <c r="B470" s="430"/>
      <c r="C470" s="430"/>
      <c r="D470" s="430"/>
      <c r="E470" s="430"/>
      <c r="F470" s="430"/>
      <c r="G470" s="430"/>
      <c r="H470" s="430"/>
      <c r="I470" s="430"/>
      <c r="J470" s="430"/>
      <c r="K470" s="430"/>
      <c r="L470" s="430"/>
      <c r="M470" s="430"/>
      <c r="N470" s="430"/>
      <c r="O470" s="430"/>
      <c r="P470" s="430"/>
      <c r="Q470" s="430"/>
      <c r="R470" s="430"/>
      <c r="S470" s="430"/>
      <c r="T470" s="430"/>
      <c r="U470" s="430"/>
      <c r="V470" s="430"/>
      <c r="W470" s="430"/>
      <c r="X470" s="430"/>
      <c r="Y470" s="430"/>
      <c r="Z470" s="430"/>
      <c r="AA470" s="430"/>
      <c r="AB470" s="430"/>
      <c r="AC470" s="430"/>
      <c r="AD470" s="430"/>
      <c r="AE470" s="430"/>
      <c r="AF470" s="430"/>
      <c r="AG470" s="430"/>
      <c r="AH470" s="430"/>
      <c r="AI470" s="430"/>
      <c r="AJ470" s="430"/>
      <c r="AK470" s="430"/>
      <c r="AL470" s="430"/>
      <c r="AM470" s="430"/>
      <c r="AN470" s="430"/>
      <c r="AO470" s="430"/>
      <c r="AP470" s="430"/>
      <c r="AQ470" s="430"/>
      <c r="AR470" s="430"/>
      <c r="AS470" s="430"/>
      <c r="AT470" s="430"/>
      <c r="AU470" s="430"/>
      <c r="AV470" s="430"/>
      <c r="AW470" s="430"/>
      <c r="AX470" s="430"/>
      <c r="AY470" s="430"/>
      <c r="AZ470" s="430"/>
      <c r="BA470" s="430"/>
      <c r="BB470" s="430"/>
      <c r="BC470" s="430"/>
      <c r="BD470" s="430"/>
      <c r="BE470" s="430"/>
    </row>
    <row r="471" spans="1:57" ht="15.75" customHeight="1">
      <c r="A471" s="430"/>
      <c r="B471" s="430"/>
      <c r="C471" s="430"/>
      <c r="D471" s="430"/>
      <c r="E471" s="430"/>
      <c r="F471" s="430"/>
      <c r="G471" s="430"/>
      <c r="H471" s="430"/>
      <c r="I471" s="430"/>
      <c r="J471" s="430"/>
      <c r="K471" s="430"/>
      <c r="L471" s="430"/>
      <c r="M471" s="430"/>
      <c r="N471" s="430"/>
      <c r="O471" s="430"/>
      <c r="P471" s="430"/>
      <c r="Q471" s="430"/>
      <c r="R471" s="430"/>
      <c r="S471" s="430"/>
      <c r="T471" s="430"/>
      <c r="U471" s="430"/>
      <c r="V471" s="430"/>
      <c r="W471" s="430"/>
      <c r="X471" s="430"/>
      <c r="Y471" s="430"/>
      <c r="Z471" s="430"/>
      <c r="AA471" s="430"/>
      <c r="AB471" s="430"/>
      <c r="AC471" s="430"/>
      <c r="AD471" s="430"/>
      <c r="AE471" s="430"/>
      <c r="AF471" s="430"/>
      <c r="AG471" s="430"/>
      <c r="AH471" s="430"/>
      <c r="AI471" s="430"/>
      <c r="AJ471" s="430"/>
      <c r="AK471" s="430"/>
      <c r="AL471" s="430"/>
      <c r="AM471" s="430"/>
      <c r="AN471" s="430"/>
      <c r="AO471" s="430"/>
      <c r="AP471" s="430"/>
      <c r="AQ471" s="430"/>
      <c r="AR471" s="430"/>
      <c r="AS471" s="430"/>
      <c r="AT471" s="430"/>
      <c r="AU471" s="430"/>
      <c r="AV471" s="430"/>
      <c r="AW471" s="430"/>
      <c r="AX471" s="430"/>
      <c r="AY471" s="430"/>
      <c r="AZ471" s="430"/>
      <c r="BA471" s="430"/>
      <c r="BB471" s="430"/>
      <c r="BC471" s="430"/>
      <c r="BD471" s="430"/>
      <c r="BE471" s="430"/>
    </row>
    <row r="472" spans="1:57" ht="15.75" customHeight="1">
      <c r="A472" s="430"/>
      <c r="B472" s="430"/>
      <c r="C472" s="430"/>
      <c r="D472" s="430"/>
      <c r="E472" s="430"/>
      <c r="F472" s="430"/>
      <c r="G472" s="430"/>
      <c r="H472" s="430"/>
      <c r="I472" s="430"/>
      <c r="J472" s="430"/>
      <c r="K472" s="430"/>
      <c r="L472" s="430"/>
      <c r="M472" s="430"/>
      <c r="N472" s="430"/>
      <c r="O472" s="430"/>
      <c r="P472" s="430"/>
      <c r="Q472" s="430"/>
      <c r="R472" s="430"/>
      <c r="S472" s="430"/>
      <c r="T472" s="430"/>
      <c r="U472" s="430"/>
      <c r="V472" s="430"/>
      <c r="W472" s="430"/>
      <c r="X472" s="430"/>
      <c r="Y472" s="430"/>
      <c r="Z472" s="430"/>
      <c r="AA472" s="430"/>
      <c r="AB472" s="430"/>
      <c r="AC472" s="430"/>
      <c r="AD472" s="430"/>
      <c r="AE472" s="430"/>
      <c r="AF472" s="430"/>
      <c r="AG472" s="430"/>
      <c r="AH472" s="430"/>
      <c r="AI472" s="430"/>
      <c r="AJ472" s="430"/>
      <c r="AK472" s="430"/>
      <c r="AL472" s="430"/>
      <c r="AM472" s="430"/>
      <c r="AN472" s="430"/>
      <c r="AO472" s="430"/>
      <c r="AP472" s="430"/>
      <c r="AQ472" s="430"/>
      <c r="AR472" s="430"/>
      <c r="AS472" s="430"/>
      <c r="AT472" s="430"/>
      <c r="AU472" s="430"/>
      <c r="AV472" s="430"/>
      <c r="AW472" s="430"/>
      <c r="AX472" s="430"/>
      <c r="AY472" s="430"/>
      <c r="AZ472" s="430"/>
      <c r="BA472" s="430"/>
      <c r="BB472" s="430"/>
      <c r="BC472" s="430"/>
      <c r="BD472" s="430"/>
      <c r="BE472" s="430"/>
    </row>
    <row r="473" spans="1:57" ht="15.75" customHeight="1">
      <c r="A473" s="430"/>
      <c r="B473" s="430"/>
      <c r="C473" s="430"/>
      <c r="D473" s="430"/>
      <c r="E473" s="430"/>
      <c r="F473" s="430"/>
      <c r="G473" s="430"/>
      <c r="H473" s="430"/>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0"/>
      <c r="AL473" s="430"/>
      <c r="AM473" s="430"/>
      <c r="AN473" s="430"/>
      <c r="AO473" s="430"/>
      <c r="AP473" s="430"/>
      <c r="AQ473" s="430"/>
      <c r="AR473" s="430"/>
      <c r="AS473" s="430"/>
      <c r="AT473" s="430"/>
      <c r="AU473" s="430"/>
      <c r="AV473" s="430"/>
      <c r="AW473" s="430"/>
      <c r="AX473" s="430"/>
      <c r="AY473" s="430"/>
      <c r="AZ473" s="430"/>
      <c r="BA473" s="430"/>
      <c r="BB473" s="430"/>
      <c r="BC473" s="430"/>
      <c r="BD473" s="430"/>
      <c r="BE473" s="430"/>
    </row>
    <row r="474" spans="1:57" ht="15.75" customHeight="1">
      <c r="A474" s="430"/>
      <c r="B474" s="430"/>
      <c r="C474" s="430"/>
      <c r="D474" s="430"/>
      <c r="E474" s="430"/>
      <c r="F474" s="430"/>
      <c r="G474" s="430"/>
      <c r="H474" s="430"/>
      <c r="I474" s="430"/>
      <c r="J474" s="430"/>
      <c r="K474" s="430"/>
      <c r="L474" s="430"/>
      <c r="M474" s="430"/>
      <c r="N474" s="430"/>
      <c r="O474" s="430"/>
      <c r="P474" s="430"/>
      <c r="Q474" s="430"/>
      <c r="R474" s="430"/>
      <c r="S474" s="430"/>
      <c r="T474" s="430"/>
      <c r="U474" s="430"/>
      <c r="V474" s="430"/>
      <c r="W474" s="430"/>
      <c r="X474" s="430"/>
      <c r="Y474" s="430"/>
      <c r="Z474" s="430"/>
      <c r="AA474" s="430"/>
      <c r="AB474" s="430"/>
      <c r="AC474" s="430"/>
      <c r="AD474" s="430"/>
      <c r="AE474" s="430"/>
      <c r="AF474" s="430"/>
      <c r="AG474" s="430"/>
      <c r="AH474" s="430"/>
      <c r="AI474" s="430"/>
      <c r="AJ474" s="430"/>
      <c r="AK474" s="430"/>
      <c r="AL474" s="430"/>
      <c r="AM474" s="430"/>
      <c r="AN474" s="430"/>
      <c r="AO474" s="430"/>
      <c r="AP474" s="430"/>
      <c r="AQ474" s="430"/>
      <c r="AR474" s="430"/>
      <c r="AS474" s="430"/>
      <c r="AT474" s="430"/>
      <c r="AU474" s="430"/>
      <c r="AV474" s="430"/>
      <c r="AW474" s="430"/>
      <c r="AX474" s="430"/>
      <c r="AY474" s="430"/>
      <c r="AZ474" s="430"/>
      <c r="BA474" s="430"/>
      <c r="BB474" s="430"/>
      <c r="BC474" s="430"/>
      <c r="BD474" s="430"/>
      <c r="BE474" s="430"/>
    </row>
    <row r="475" spans="1:57" ht="15.75" customHeight="1">
      <c r="A475" s="430"/>
      <c r="B475" s="430"/>
      <c r="C475" s="430"/>
      <c r="D475" s="430"/>
      <c r="E475" s="430"/>
      <c r="F475" s="430"/>
      <c r="G475" s="430"/>
      <c r="H475" s="430"/>
      <c r="I475" s="430"/>
      <c r="J475" s="430"/>
      <c r="K475" s="430"/>
      <c r="L475" s="430"/>
      <c r="M475" s="430"/>
      <c r="N475" s="430"/>
      <c r="O475" s="430"/>
      <c r="P475" s="430"/>
      <c r="Q475" s="430"/>
      <c r="R475" s="430"/>
      <c r="S475" s="430"/>
      <c r="T475" s="430"/>
      <c r="U475" s="430"/>
      <c r="V475" s="430"/>
      <c r="W475" s="430"/>
      <c r="X475" s="430"/>
      <c r="Y475" s="430"/>
      <c r="Z475" s="430"/>
      <c r="AA475" s="430"/>
      <c r="AB475" s="430"/>
      <c r="AC475" s="430"/>
      <c r="AD475" s="430"/>
      <c r="AE475" s="430"/>
      <c r="AF475" s="430"/>
      <c r="AG475" s="430"/>
      <c r="AH475" s="430"/>
      <c r="AI475" s="430"/>
      <c r="AJ475" s="430"/>
      <c r="AK475" s="430"/>
      <c r="AL475" s="430"/>
      <c r="AM475" s="430"/>
      <c r="AN475" s="430"/>
      <c r="AO475" s="430"/>
      <c r="AP475" s="430"/>
      <c r="AQ475" s="430"/>
      <c r="AR475" s="430"/>
      <c r="AS475" s="430"/>
      <c r="AT475" s="430"/>
      <c r="AU475" s="430"/>
      <c r="AV475" s="430"/>
      <c r="AW475" s="430"/>
      <c r="AX475" s="430"/>
      <c r="AY475" s="430"/>
      <c r="AZ475" s="430"/>
      <c r="BA475" s="430"/>
      <c r="BB475" s="430"/>
      <c r="BC475" s="430"/>
      <c r="BD475" s="430"/>
      <c r="BE475" s="430"/>
    </row>
    <row r="476" spans="1:57" ht="15.75" customHeight="1">
      <c r="A476" s="430"/>
      <c r="B476" s="430"/>
      <c r="C476" s="430"/>
      <c r="D476" s="430"/>
      <c r="E476" s="430"/>
      <c r="F476" s="430"/>
      <c r="G476" s="430"/>
      <c r="H476" s="430"/>
      <c r="I476" s="430"/>
      <c r="J476" s="430"/>
      <c r="K476" s="430"/>
      <c r="L476" s="430"/>
      <c r="M476" s="430"/>
      <c r="N476" s="430"/>
      <c r="O476" s="430"/>
      <c r="P476" s="430"/>
      <c r="Q476" s="430"/>
      <c r="R476" s="430"/>
      <c r="S476" s="430"/>
      <c r="T476" s="430"/>
      <c r="U476" s="430"/>
      <c r="V476" s="430"/>
      <c r="W476" s="430"/>
      <c r="X476" s="430"/>
      <c r="Y476" s="430"/>
      <c r="Z476" s="430"/>
      <c r="AA476" s="430"/>
      <c r="AB476" s="430"/>
      <c r="AC476" s="430"/>
      <c r="AD476" s="430"/>
      <c r="AE476" s="430"/>
      <c r="AF476" s="430"/>
      <c r="AG476" s="430"/>
      <c r="AH476" s="430"/>
      <c r="AI476" s="430"/>
      <c r="AJ476" s="430"/>
      <c r="AK476" s="430"/>
      <c r="AL476" s="430"/>
      <c r="AM476" s="430"/>
      <c r="AN476" s="430"/>
      <c r="AO476" s="430"/>
      <c r="AP476" s="430"/>
      <c r="AQ476" s="430"/>
      <c r="AR476" s="430"/>
      <c r="AS476" s="430"/>
      <c r="AT476" s="430"/>
      <c r="AU476" s="430"/>
      <c r="AV476" s="430"/>
      <c r="AW476" s="430"/>
      <c r="AX476" s="430"/>
      <c r="AY476" s="430"/>
      <c r="AZ476" s="430"/>
      <c r="BA476" s="430"/>
      <c r="BB476" s="430"/>
      <c r="BC476" s="430"/>
      <c r="BD476" s="430"/>
      <c r="BE476" s="430"/>
    </row>
    <row r="477" spans="1:57" ht="15.75" customHeight="1">
      <c r="A477" s="430"/>
      <c r="B477" s="430"/>
      <c r="C477" s="430"/>
      <c r="D477" s="430"/>
      <c r="E477" s="430"/>
      <c r="F477" s="430"/>
      <c r="G477" s="430"/>
      <c r="H477" s="430"/>
      <c r="I477" s="430"/>
      <c r="J477" s="430"/>
      <c r="K477" s="430"/>
      <c r="L477" s="430"/>
      <c r="M477" s="430"/>
      <c r="N477" s="430"/>
      <c r="O477" s="430"/>
      <c r="P477" s="430"/>
      <c r="Q477" s="430"/>
      <c r="R477" s="430"/>
      <c r="S477" s="430"/>
      <c r="T477" s="430"/>
      <c r="U477" s="430"/>
      <c r="V477" s="430"/>
      <c r="W477" s="430"/>
      <c r="X477" s="430"/>
      <c r="Y477" s="430"/>
      <c r="Z477" s="430"/>
      <c r="AA477" s="430"/>
      <c r="AB477" s="430"/>
      <c r="AC477" s="430"/>
      <c r="AD477" s="430"/>
      <c r="AE477" s="430"/>
      <c r="AF477" s="430"/>
      <c r="AG477" s="430"/>
      <c r="AH477" s="430"/>
      <c r="AI477" s="430"/>
      <c r="AJ477" s="430"/>
      <c r="AK477" s="430"/>
      <c r="AL477" s="430"/>
      <c r="AM477" s="430"/>
      <c r="AN477" s="430"/>
      <c r="AO477" s="430"/>
      <c r="AP477" s="430"/>
      <c r="AQ477" s="430"/>
      <c r="AR477" s="430"/>
      <c r="AS477" s="430"/>
      <c r="AT477" s="430"/>
      <c r="AU477" s="430"/>
      <c r="AV477" s="430"/>
      <c r="AW477" s="430"/>
      <c r="AX477" s="430"/>
      <c r="AY477" s="430"/>
      <c r="AZ477" s="430"/>
      <c r="BA477" s="430"/>
      <c r="BB477" s="430"/>
      <c r="BC477" s="430"/>
      <c r="BD477" s="430"/>
      <c r="BE477" s="430"/>
    </row>
    <row r="478" spans="1:57" ht="15.75" customHeight="1">
      <c r="A478" s="430"/>
      <c r="B478" s="430"/>
      <c r="C478" s="430"/>
      <c r="D478" s="430"/>
      <c r="E478" s="430"/>
      <c r="F478" s="430"/>
      <c r="G478" s="430"/>
      <c r="H478" s="430"/>
      <c r="I478" s="430"/>
      <c r="J478" s="430"/>
      <c r="K478" s="430"/>
      <c r="L478" s="430"/>
      <c r="M478" s="430"/>
      <c r="N478" s="430"/>
      <c r="O478" s="430"/>
      <c r="P478" s="430"/>
      <c r="Q478" s="430"/>
      <c r="R478" s="430"/>
      <c r="S478" s="430"/>
      <c r="T478" s="430"/>
      <c r="U478" s="430"/>
      <c r="V478" s="430"/>
      <c r="W478" s="430"/>
      <c r="X478" s="430"/>
      <c r="Y478" s="430"/>
      <c r="Z478" s="430"/>
      <c r="AA478" s="430"/>
      <c r="AB478" s="430"/>
      <c r="AC478" s="430"/>
      <c r="AD478" s="430"/>
      <c r="AE478" s="430"/>
      <c r="AF478" s="430"/>
      <c r="AG478" s="430"/>
      <c r="AH478" s="430"/>
      <c r="AI478" s="430"/>
      <c r="AJ478" s="430"/>
      <c r="AK478" s="430"/>
      <c r="AL478" s="430"/>
      <c r="AM478" s="430"/>
      <c r="AN478" s="430"/>
      <c r="AO478" s="430"/>
      <c r="AP478" s="430"/>
      <c r="AQ478" s="430"/>
      <c r="AR478" s="430"/>
      <c r="AS478" s="430"/>
      <c r="AT478" s="430"/>
      <c r="AU478" s="430"/>
      <c r="AV478" s="430"/>
      <c r="AW478" s="430"/>
      <c r="AX478" s="430"/>
      <c r="AY478" s="430"/>
      <c r="AZ478" s="430"/>
      <c r="BA478" s="430"/>
      <c r="BB478" s="430"/>
      <c r="BC478" s="430"/>
      <c r="BD478" s="430"/>
      <c r="BE478" s="430"/>
    </row>
    <row r="479" spans="1:57" ht="15.75" customHeight="1">
      <c r="A479" s="430"/>
      <c r="B479" s="430"/>
      <c r="C479" s="430"/>
      <c r="D479" s="430"/>
      <c r="E479" s="430"/>
      <c r="F479" s="430"/>
      <c r="G479" s="430"/>
      <c r="H479" s="430"/>
      <c r="I479" s="430"/>
      <c r="J479" s="430"/>
      <c r="K479" s="430"/>
      <c r="L479" s="430"/>
      <c r="M479" s="430"/>
      <c r="N479" s="430"/>
      <c r="O479" s="430"/>
      <c r="P479" s="430"/>
      <c r="Q479" s="430"/>
      <c r="R479" s="430"/>
      <c r="S479" s="430"/>
      <c r="T479" s="430"/>
      <c r="U479" s="430"/>
      <c r="V479" s="430"/>
      <c r="W479" s="430"/>
      <c r="X479" s="430"/>
      <c r="Y479" s="430"/>
      <c r="Z479" s="430"/>
      <c r="AA479" s="430"/>
      <c r="AB479" s="430"/>
      <c r="AC479" s="430"/>
      <c r="AD479" s="430"/>
      <c r="AE479" s="430"/>
      <c r="AF479" s="430"/>
      <c r="AG479" s="430"/>
      <c r="AH479" s="430"/>
      <c r="AI479" s="430"/>
      <c r="AJ479" s="430"/>
      <c r="AK479" s="430"/>
      <c r="AL479" s="430"/>
      <c r="AM479" s="430"/>
      <c r="AN479" s="430"/>
      <c r="AO479" s="430"/>
      <c r="AP479" s="430"/>
      <c r="AQ479" s="430"/>
      <c r="AR479" s="430"/>
      <c r="AS479" s="430"/>
      <c r="AT479" s="430"/>
      <c r="AU479" s="430"/>
      <c r="AV479" s="430"/>
      <c r="AW479" s="430"/>
      <c r="AX479" s="430"/>
      <c r="AY479" s="430"/>
      <c r="AZ479" s="430"/>
      <c r="BA479" s="430"/>
      <c r="BB479" s="430"/>
      <c r="BC479" s="430"/>
      <c r="BD479" s="430"/>
      <c r="BE479" s="430"/>
    </row>
    <row r="480" spans="1:57" ht="15.75" customHeight="1">
      <c r="A480" s="430"/>
      <c r="B480" s="430"/>
      <c r="C480" s="430"/>
      <c r="D480" s="430"/>
      <c r="E480" s="430"/>
      <c r="F480" s="430"/>
      <c r="G480" s="430"/>
      <c r="H480" s="430"/>
      <c r="I480" s="430"/>
      <c r="J480" s="430"/>
      <c r="K480" s="430"/>
      <c r="L480" s="430"/>
      <c r="M480" s="430"/>
      <c r="N480" s="430"/>
      <c r="O480" s="430"/>
      <c r="P480" s="430"/>
      <c r="Q480" s="430"/>
      <c r="R480" s="430"/>
      <c r="S480" s="430"/>
      <c r="T480" s="430"/>
      <c r="U480" s="430"/>
      <c r="V480" s="430"/>
      <c r="W480" s="430"/>
      <c r="X480" s="430"/>
      <c r="Y480" s="430"/>
      <c r="Z480" s="430"/>
      <c r="AA480" s="430"/>
      <c r="AB480" s="430"/>
      <c r="AC480" s="430"/>
      <c r="AD480" s="430"/>
      <c r="AE480" s="430"/>
      <c r="AF480" s="430"/>
      <c r="AG480" s="430"/>
      <c r="AH480" s="430"/>
      <c r="AI480" s="430"/>
      <c r="AJ480" s="430"/>
      <c r="AK480" s="430"/>
      <c r="AL480" s="430"/>
      <c r="AM480" s="430"/>
      <c r="AN480" s="430"/>
      <c r="AO480" s="430"/>
      <c r="AP480" s="430"/>
      <c r="AQ480" s="430"/>
      <c r="AR480" s="430"/>
      <c r="AS480" s="430"/>
      <c r="AT480" s="430"/>
      <c r="AU480" s="430"/>
      <c r="AV480" s="430"/>
      <c r="AW480" s="430"/>
      <c r="AX480" s="430"/>
      <c r="AY480" s="430"/>
      <c r="AZ480" s="430"/>
      <c r="BA480" s="430"/>
      <c r="BB480" s="430"/>
      <c r="BC480" s="430"/>
      <c r="BD480" s="430"/>
      <c r="BE480" s="430"/>
    </row>
    <row r="481" spans="1:57" ht="15.75" customHeight="1">
      <c r="A481" s="430"/>
      <c r="B481" s="430"/>
      <c r="C481" s="430"/>
      <c r="D481" s="430"/>
      <c r="E481" s="430"/>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0"/>
      <c r="AY481" s="430"/>
      <c r="AZ481" s="430"/>
      <c r="BA481" s="430"/>
      <c r="BB481" s="430"/>
      <c r="BC481" s="430"/>
      <c r="BD481" s="430"/>
      <c r="BE481" s="430"/>
    </row>
    <row r="482" spans="1:57" ht="15.75" customHeight="1">
      <c r="A482" s="430"/>
      <c r="B482" s="430"/>
      <c r="C482" s="430"/>
      <c r="D482" s="430"/>
      <c r="E482" s="430"/>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30"/>
      <c r="AY482" s="430"/>
      <c r="AZ482" s="430"/>
      <c r="BA482" s="430"/>
      <c r="BB482" s="430"/>
      <c r="BC482" s="430"/>
      <c r="BD482" s="430"/>
      <c r="BE482" s="430"/>
    </row>
    <row r="483" spans="1:57" ht="15.75" customHeight="1">
      <c r="A483" s="430"/>
      <c r="B483" s="430"/>
      <c r="C483" s="430"/>
      <c r="D483" s="430"/>
      <c r="E483" s="430"/>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30"/>
      <c r="AY483" s="430"/>
      <c r="AZ483" s="430"/>
      <c r="BA483" s="430"/>
      <c r="BB483" s="430"/>
      <c r="BC483" s="430"/>
      <c r="BD483" s="430"/>
      <c r="BE483" s="430"/>
    </row>
    <row r="484" spans="1:57" ht="15.75" customHeight="1">
      <c r="A484" s="430"/>
      <c r="B484" s="430"/>
      <c r="C484" s="430"/>
      <c r="D484" s="430"/>
      <c r="E484" s="430"/>
      <c r="F484" s="430"/>
      <c r="G484" s="430"/>
      <c r="H484" s="430"/>
      <c r="I484" s="430"/>
      <c r="J484" s="430"/>
      <c r="K484" s="430"/>
      <c r="L484" s="430"/>
      <c r="M484" s="430"/>
      <c r="N484" s="430"/>
      <c r="O484" s="430"/>
      <c r="P484" s="430"/>
      <c r="Q484" s="430"/>
      <c r="R484" s="430"/>
      <c r="S484" s="430"/>
      <c r="T484" s="430"/>
      <c r="U484" s="430"/>
      <c r="V484" s="430"/>
      <c r="W484" s="430"/>
      <c r="X484" s="430"/>
      <c r="Y484" s="430"/>
      <c r="Z484" s="430"/>
      <c r="AA484" s="430"/>
      <c r="AB484" s="430"/>
      <c r="AC484" s="430"/>
      <c r="AD484" s="430"/>
      <c r="AE484" s="430"/>
      <c r="AF484" s="430"/>
      <c r="AG484" s="430"/>
      <c r="AH484" s="430"/>
      <c r="AI484" s="430"/>
      <c r="AJ484" s="430"/>
      <c r="AK484" s="430"/>
      <c r="AL484" s="430"/>
      <c r="AM484" s="430"/>
      <c r="AN484" s="430"/>
      <c r="AO484" s="430"/>
      <c r="AP484" s="430"/>
      <c r="AQ484" s="430"/>
      <c r="AR484" s="430"/>
      <c r="AS484" s="430"/>
      <c r="AT484" s="430"/>
      <c r="AU484" s="430"/>
      <c r="AV484" s="430"/>
      <c r="AW484" s="430"/>
      <c r="AX484" s="430"/>
      <c r="AY484" s="430"/>
      <c r="AZ484" s="430"/>
      <c r="BA484" s="430"/>
      <c r="BB484" s="430"/>
      <c r="BC484" s="430"/>
      <c r="BD484" s="430"/>
      <c r="BE484" s="430"/>
    </row>
    <row r="485" spans="1:57" ht="15.75" customHeight="1">
      <c r="A485" s="430"/>
      <c r="B485" s="430"/>
      <c r="C485" s="430"/>
      <c r="D485" s="430"/>
      <c r="E485" s="430"/>
      <c r="F485" s="430"/>
      <c r="G485" s="430"/>
      <c r="H485" s="430"/>
      <c r="I485" s="430"/>
      <c r="J485" s="430"/>
      <c r="K485" s="430"/>
      <c r="L485" s="430"/>
      <c r="M485" s="430"/>
      <c r="N485" s="430"/>
      <c r="O485" s="430"/>
      <c r="P485" s="430"/>
      <c r="Q485" s="430"/>
      <c r="R485" s="430"/>
      <c r="S485" s="430"/>
      <c r="T485" s="430"/>
      <c r="U485" s="430"/>
      <c r="V485" s="430"/>
      <c r="W485" s="430"/>
      <c r="X485" s="430"/>
      <c r="Y485" s="430"/>
      <c r="Z485" s="430"/>
      <c r="AA485" s="430"/>
      <c r="AB485" s="430"/>
      <c r="AC485" s="430"/>
      <c r="AD485" s="430"/>
      <c r="AE485" s="430"/>
      <c r="AF485" s="430"/>
      <c r="AG485" s="430"/>
      <c r="AH485" s="430"/>
      <c r="AI485" s="430"/>
      <c r="AJ485" s="430"/>
      <c r="AK485" s="430"/>
      <c r="AL485" s="430"/>
      <c r="AM485" s="430"/>
      <c r="AN485" s="430"/>
      <c r="AO485" s="430"/>
      <c r="AP485" s="430"/>
      <c r="AQ485" s="430"/>
      <c r="AR485" s="430"/>
      <c r="AS485" s="430"/>
      <c r="AT485" s="430"/>
      <c r="AU485" s="430"/>
      <c r="AV485" s="430"/>
      <c r="AW485" s="430"/>
      <c r="AX485" s="430"/>
      <c r="AY485" s="430"/>
      <c r="AZ485" s="430"/>
      <c r="BA485" s="430"/>
      <c r="BB485" s="430"/>
      <c r="BC485" s="430"/>
      <c r="BD485" s="430"/>
      <c r="BE485" s="430"/>
    </row>
    <row r="486" spans="1:57" ht="15.75" customHeight="1">
      <c r="A486" s="430"/>
      <c r="B486" s="430"/>
      <c r="C486" s="430"/>
      <c r="D486" s="430"/>
      <c r="E486" s="430"/>
      <c r="F486" s="430"/>
      <c r="G486" s="430"/>
      <c r="H486" s="430"/>
      <c r="I486" s="430"/>
      <c r="J486" s="430"/>
      <c r="K486" s="430"/>
      <c r="L486" s="430"/>
      <c r="M486" s="430"/>
      <c r="N486" s="430"/>
      <c r="O486" s="430"/>
      <c r="P486" s="430"/>
      <c r="Q486" s="430"/>
      <c r="R486" s="430"/>
      <c r="S486" s="430"/>
      <c r="T486" s="430"/>
      <c r="U486" s="430"/>
      <c r="V486" s="430"/>
      <c r="W486" s="430"/>
      <c r="X486" s="430"/>
      <c r="Y486" s="430"/>
      <c r="Z486" s="430"/>
      <c r="AA486" s="430"/>
      <c r="AB486" s="430"/>
      <c r="AC486" s="430"/>
      <c r="AD486" s="430"/>
      <c r="AE486" s="430"/>
      <c r="AF486" s="430"/>
      <c r="AG486" s="430"/>
      <c r="AH486" s="430"/>
      <c r="AI486" s="430"/>
      <c r="AJ486" s="430"/>
      <c r="AK486" s="430"/>
      <c r="AL486" s="430"/>
      <c r="AM486" s="430"/>
      <c r="AN486" s="430"/>
      <c r="AO486" s="430"/>
      <c r="AP486" s="430"/>
      <c r="AQ486" s="430"/>
      <c r="AR486" s="430"/>
      <c r="AS486" s="430"/>
      <c r="AT486" s="430"/>
      <c r="AU486" s="430"/>
      <c r="AV486" s="430"/>
      <c r="AW486" s="430"/>
      <c r="AX486" s="430"/>
      <c r="AY486" s="430"/>
      <c r="AZ486" s="430"/>
      <c r="BA486" s="430"/>
      <c r="BB486" s="430"/>
      <c r="BC486" s="430"/>
      <c r="BD486" s="430"/>
      <c r="BE486" s="430"/>
    </row>
    <row r="487" spans="1:57" ht="15.75" customHeight="1">
      <c r="A487" s="430"/>
      <c r="B487" s="430"/>
      <c r="C487" s="430"/>
      <c r="D487" s="430"/>
      <c r="E487" s="430"/>
      <c r="F487" s="430"/>
      <c r="G487" s="430"/>
      <c r="H487" s="430"/>
      <c r="I487" s="430"/>
      <c r="J487" s="430"/>
      <c r="K487" s="430"/>
      <c r="L487" s="430"/>
      <c r="M487" s="430"/>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0"/>
      <c r="AJ487" s="430"/>
      <c r="AK487" s="430"/>
      <c r="AL487" s="430"/>
      <c r="AM487" s="430"/>
      <c r="AN487" s="430"/>
      <c r="AO487" s="430"/>
      <c r="AP487" s="430"/>
      <c r="AQ487" s="430"/>
      <c r="AR487" s="430"/>
      <c r="AS487" s="430"/>
      <c r="AT487" s="430"/>
      <c r="AU487" s="430"/>
      <c r="AV487" s="430"/>
      <c r="AW487" s="430"/>
      <c r="AX487" s="430"/>
      <c r="AY487" s="430"/>
      <c r="AZ487" s="430"/>
      <c r="BA487" s="430"/>
      <c r="BB487" s="430"/>
      <c r="BC487" s="430"/>
      <c r="BD487" s="430"/>
      <c r="BE487" s="430"/>
    </row>
    <row r="488" spans="1:57" ht="15.75" customHeight="1">
      <c r="A488" s="430"/>
      <c r="B488" s="430"/>
      <c r="C488" s="430"/>
      <c r="D488" s="430"/>
      <c r="E488" s="430"/>
      <c r="F488" s="430"/>
      <c r="G488" s="430"/>
      <c r="H488" s="430"/>
      <c r="I488" s="430"/>
      <c r="J488" s="430"/>
      <c r="K488" s="430"/>
      <c r="L488" s="430"/>
      <c r="M488" s="430"/>
      <c r="N488" s="430"/>
      <c r="O488" s="430"/>
      <c r="P488" s="430"/>
      <c r="Q488" s="430"/>
      <c r="R488" s="430"/>
      <c r="S488" s="430"/>
      <c r="T488" s="430"/>
      <c r="U488" s="430"/>
      <c r="V488" s="430"/>
      <c r="W488" s="430"/>
      <c r="X488" s="430"/>
      <c r="Y488" s="430"/>
      <c r="Z488" s="430"/>
      <c r="AA488" s="430"/>
      <c r="AB488" s="430"/>
      <c r="AC488" s="430"/>
      <c r="AD488" s="430"/>
      <c r="AE488" s="430"/>
      <c r="AF488" s="430"/>
      <c r="AG488" s="430"/>
      <c r="AH488" s="430"/>
      <c r="AI488" s="430"/>
      <c r="AJ488" s="430"/>
      <c r="AK488" s="430"/>
      <c r="AL488" s="430"/>
      <c r="AM488" s="430"/>
      <c r="AN488" s="430"/>
      <c r="AO488" s="430"/>
      <c r="AP488" s="430"/>
      <c r="AQ488" s="430"/>
      <c r="AR488" s="430"/>
      <c r="AS488" s="430"/>
      <c r="AT488" s="430"/>
      <c r="AU488" s="430"/>
      <c r="AV488" s="430"/>
      <c r="AW488" s="430"/>
      <c r="AX488" s="430"/>
      <c r="AY488" s="430"/>
      <c r="AZ488" s="430"/>
      <c r="BA488" s="430"/>
      <c r="BB488" s="430"/>
      <c r="BC488" s="430"/>
      <c r="BD488" s="430"/>
      <c r="BE488" s="430"/>
    </row>
    <row r="489" spans="1:57" ht="15.75" customHeight="1">
      <c r="A489" s="430"/>
      <c r="B489" s="430"/>
      <c r="C489" s="430"/>
      <c r="D489" s="430"/>
      <c r="E489" s="430"/>
      <c r="F489" s="430"/>
      <c r="G489" s="430"/>
      <c r="H489" s="430"/>
      <c r="I489" s="430"/>
      <c r="J489" s="430"/>
      <c r="K489" s="430"/>
      <c r="L489" s="430"/>
      <c r="M489" s="430"/>
      <c r="N489" s="430"/>
      <c r="O489" s="430"/>
      <c r="P489" s="430"/>
      <c r="Q489" s="430"/>
      <c r="R489" s="430"/>
      <c r="S489" s="430"/>
      <c r="T489" s="430"/>
      <c r="U489" s="430"/>
      <c r="V489" s="430"/>
      <c r="W489" s="430"/>
      <c r="X489" s="430"/>
      <c r="Y489" s="430"/>
      <c r="Z489" s="430"/>
      <c r="AA489" s="430"/>
      <c r="AB489" s="430"/>
      <c r="AC489" s="430"/>
      <c r="AD489" s="430"/>
      <c r="AE489" s="430"/>
      <c r="AF489" s="430"/>
      <c r="AG489" s="430"/>
      <c r="AH489" s="430"/>
      <c r="AI489" s="430"/>
      <c r="AJ489" s="430"/>
      <c r="AK489" s="430"/>
      <c r="AL489" s="430"/>
      <c r="AM489" s="430"/>
      <c r="AN489" s="430"/>
      <c r="AO489" s="430"/>
      <c r="AP489" s="430"/>
      <c r="AQ489" s="430"/>
      <c r="AR489" s="430"/>
      <c r="AS489" s="430"/>
      <c r="AT489" s="430"/>
      <c r="AU489" s="430"/>
      <c r="AV489" s="430"/>
      <c r="AW489" s="430"/>
      <c r="AX489" s="430"/>
      <c r="AY489" s="430"/>
      <c r="AZ489" s="430"/>
      <c r="BA489" s="430"/>
      <c r="BB489" s="430"/>
      <c r="BC489" s="430"/>
      <c r="BD489" s="430"/>
      <c r="BE489" s="430"/>
    </row>
    <row r="490" spans="1:57" ht="15.75" customHeight="1">
      <c r="A490" s="430"/>
      <c r="B490" s="430"/>
      <c r="C490" s="430"/>
      <c r="D490" s="430"/>
      <c r="E490" s="430"/>
      <c r="F490" s="430"/>
      <c r="G490" s="430"/>
      <c r="H490" s="430"/>
      <c r="I490" s="430"/>
      <c r="J490" s="430"/>
      <c r="K490" s="430"/>
      <c r="L490" s="430"/>
      <c r="M490" s="430"/>
      <c r="N490" s="430"/>
      <c r="O490" s="430"/>
      <c r="P490" s="430"/>
      <c r="Q490" s="430"/>
      <c r="R490" s="430"/>
      <c r="S490" s="430"/>
      <c r="T490" s="430"/>
      <c r="U490" s="430"/>
      <c r="V490" s="430"/>
      <c r="W490" s="430"/>
      <c r="X490" s="430"/>
      <c r="Y490" s="430"/>
      <c r="Z490" s="430"/>
      <c r="AA490" s="430"/>
      <c r="AB490" s="430"/>
      <c r="AC490" s="430"/>
      <c r="AD490" s="430"/>
      <c r="AE490" s="430"/>
      <c r="AF490" s="430"/>
      <c r="AG490" s="430"/>
      <c r="AH490" s="430"/>
      <c r="AI490" s="430"/>
      <c r="AJ490" s="430"/>
      <c r="AK490" s="430"/>
      <c r="AL490" s="430"/>
      <c r="AM490" s="430"/>
      <c r="AN490" s="430"/>
      <c r="AO490" s="430"/>
      <c r="AP490" s="430"/>
      <c r="AQ490" s="430"/>
      <c r="AR490" s="430"/>
      <c r="AS490" s="430"/>
      <c r="AT490" s="430"/>
      <c r="AU490" s="430"/>
      <c r="AV490" s="430"/>
      <c r="AW490" s="430"/>
      <c r="AX490" s="430"/>
      <c r="AY490" s="430"/>
      <c r="AZ490" s="430"/>
      <c r="BA490" s="430"/>
      <c r="BB490" s="430"/>
      <c r="BC490" s="430"/>
      <c r="BD490" s="430"/>
      <c r="BE490" s="430"/>
    </row>
    <row r="491" spans="1:57" ht="15.75" customHeight="1">
      <c r="A491" s="430"/>
      <c r="B491" s="430"/>
      <c r="C491" s="430"/>
      <c r="D491" s="430"/>
      <c r="E491" s="430"/>
      <c r="F491" s="430"/>
      <c r="G491" s="430"/>
      <c r="H491" s="430"/>
      <c r="I491" s="430"/>
      <c r="J491" s="430"/>
      <c r="K491" s="430"/>
      <c r="L491" s="430"/>
      <c r="M491" s="430"/>
      <c r="N491" s="430"/>
      <c r="O491" s="430"/>
      <c r="P491" s="430"/>
      <c r="Q491" s="430"/>
      <c r="R491" s="430"/>
      <c r="S491" s="430"/>
      <c r="T491" s="430"/>
      <c r="U491" s="430"/>
      <c r="V491" s="430"/>
      <c r="W491" s="430"/>
      <c r="X491" s="430"/>
      <c r="Y491" s="430"/>
      <c r="Z491" s="430"/>
      <c r="AA491" s="430"/>
      <c r="AB491" s="430"/>
      <c r="AC491" s="430"/>
      <c r="AD491" s="430"/>
      <c r="AE491" s="430"/>
      <c r="AF491" s="430"/>
      <c r="AG491" s="430"/>
      <c r="AH491" s="430"/>
      <c r="AI491" s="430"/>
      <c r="AJ491" s="430"/>
      <c r="AK491" s="430"/>
      <c r="AL491" s="430"/>
      <c r="AM491" s="430"/>
      <c r="AN491" s="430"/>
      <c r="AO491" s="430"/>
      <c r="AP491" s="430"/>
      <c r="AQ491" s="430"/>
      <c r="AR491" s="430"/>
      <c r="AS491" s="430"/>
      <c r="AT491" s="430"/>
      <c r="AU491" s="430"/>
      <c r="AV491" s="430"/>
      <c r="AW491" s="430"/>
      <c r="AX491" s="430"/>
      <c r="AY491" s="430"/>
      <c r="AZ491" s="430"/>
      <c r="BA491" s="430"/>
      <c r="BB491" s="430"/>
      <c r="BC491" s="430"/>
      <c r="BD491" s="430"/>
      <c r="BE491" s="430"/>
    </row>
    <row r="492" spans="1:57" ht="15.75" customHeight="1">
      <c r="A492" s="430"/>
      <c r="B492" s="430"/>
      <c r="C492" s="430"/>
      <c r="D492" s="430"/>
      <c r="E492" s="430"/>
      <c r="F492" s="430"/>
      <c r="G492" s="430"/>
      <c r="H492" s="430"/>
      <c r="I492" s="430"/>
      <c r="J492" s="430"/>
      <c r="K492" s="430"/>
      <c r="L492" s="430"/>
      <c r="M492" s="430"/>
      <c r="N492" s="430"/>
      <c r="O492" s="430"/>
      <c r="P492" s="430"/>
      <c r="Q492" s="430"/>
      <c r="R492" s="430"/>
      <c r="S492" s="430"/>
      <c r="T492" s="430"/>
      <c r="U492" s="430"/>
      <c r="V492" s="430"/>
      <c r="W492" s="430"/>
      <c r="X492" s="430"/>
      <c r="Y492" s="430"/>
      <c r="Z492" s="430"/>
      <c r="AA492" s="430"/>
      <c r="AB492" s="430"/>
      <c r="AC492" s="430"/>
      <c r="AD492" s="430"/>
      <c r="AE492" s="430"/>
      <c r="AF492" s="430"/>
      <c r="AG492" s="430"/>
      <c r="AH492" s="430"/>
      <c r="AI492" s="430"/>
      <c r="AJ492" s="430"/>
      <c r="AK492" s="430"/>
      <c r="AL492" s="430"/>
      <c r="AM492" s="430"/>
      <c r="AN492" s="430"/>
      <c r="AO492" s="430"/>
      <c r="AP492" s="430"/>
      <c r="AQ492" s="430"/>
      <c r="AR492" s="430"/>
      <c r="AS492" s="430"/>
      <c r="AT492" s="430"/>
      <c r="AU492" s="430"/>
      <c r="AV492" s="430"/>
      <c r="AW492" s="430"/>
      <c r="AX492" s="430"/>
      <c r="AY492" s="430"/>
      <c r="AZ492" s="430"/>
      <c r="BA492" s="430"/>
      <c r="BB492" s="430"/>
      <c r="BC492" s="430"/>
      <c r="BD492" s="430"/>
      <c r="BE492" s="430"/>
    </row>
    <row r="493" spans="1:57" ht="15.75" customHeight="1">
      <c r="A493" s="430"/>
      <c r="B493" s="430"/>
      <c r="C493" s="430"/>
      <c r="D493" s="430"/>
      <c r="E493" s="430"/>
      <c r="F493" s="430"/>
      <c r="G493" s="430"/>
      <c r="H493" s="430"/>
      <c r="I493" s="430"/>
      <c r="J493" s="430"/>
      <c r="K493" s="430"/>
      <c r="L493" s="430"/>
      <c r="M493" s="430"/>
      <c r="N493" s="430"/>
      <c r="O493" s="430"/>
      <c r="P493" s="430"/>
      <c r="Q493" s="430"/>
      <c r="R493" s="430"/>
      <c r="S493" s="430"/>
      <c r="T493" s="430"/>
      <c r="U493" s="430"/>
      <c r="V493" s="430"/>
      <c r="W493" s="430"/>
      <c r="X493" s="430"/>
      <c r="Y493" s="430"/>
      <c r="Z493" s="430"/>
      <c r="AA493" s="430"/>
      <c r="AB493" s="430"/>
      <c r="AC493" s="430"/>
      <c r="AD493" s="430"/>
      <c r="AE493" s="430"/>
      <c r="AF493" s="430"/>
      <c r="AG493" s="430"/>
      <c r="AH493" s="430"/>
      <c r="AI493" s="430"/>
      <c r="AJ493" s="430"/>
      <c r="AK493" s="430"/>
      <c r="AL493" s="430"/>
      <c r="AM493" s="430"/>
      <c r="AN493" s="430"/>
      <c r="AO493" s="430"/>
      <c r="AP493" s="430"/>
      <c r="AQ493" s="430"/>
      <c r="AR493" s="430"/>
      <c r="AS493" s="430"/>
      <c r="AT493" s="430"/>
      <c r="AU493" s="430"/>
      <c r="AV493" s="430"/>
      <c r="AW493" s="430"/>
      <c r="AX493" s="430"/>
      <c r="AY493" s="430"/>
      <c r="AZ493" s="430"/>
      <c r="BA493" s="430"/>
      <c r="BB493" s="430"/>
      <c r="BC493" s="430"/>
      <c r="BD493" s="430"/>
      <c r="BE493" s="430"/>
    </row>
    <row r="494" spans="1:57" ht="15.75" customHeight="1">
      <c r="A494" s="430"/>
      <c r="B494" s="430"/>
      <c r="C494" s="430"/>
      <c r="D494" s="430"/>
      <c r="E494" s="430"/>
      <c r="F494" s="430"/>
      <c r="G494" s="430"/>
      <c r="H494" s="430"/>
      <c r="I494" s="430"/>
      <c r="J494" s="430"/>
      <c r="K494" s="430"/>
      <c r="L494" s="430"/>
      <c r="M494" s="430"/>
      <c r="N494" s="430"/>
      <c r="O494" s="430"/>
      <c r="P494" s="430"/>
      <c r="Q494" s="430"/>
      <c r="R494" s="430"/>
      <c r="S494" s="430"/>
      <c r="T494" s="430"/>
      <c r="U494" s="430"/>
      <c r="V494" s="430"/>
      <c r="W494" s="430"/>
      <c r="X494" s="430"/>
      <c r="Y494" s="430"/>
      <c r="Z494" s="430"/>
      <c r="AA494" s="430"/>
      <c r="AB494" s="430"/>
      <c r="AC494" s="430"/>
      <c r="AD494" s="430"/>
      <c r="AE494" s="430"/>
      <c r="AF494" s="430"/>
      <c r="AG494" s="430"/>
      <c r="AH494" s="430"/>
      <c r="AI494" s="430"/>
      <c r="AJ494" s="430"/>
      <c r="AK494" s="430"/>
      <c r="AL494" s="430"/>
      <c r="AM494" s="430"/>
      <c r="AN494" s="430"/>
      <c r="AO494" s="430"/>
      <c r="AP494" s="430"/>
      <c r="AQ494" s="430"/>
      <c r="AR494" s="430"/>
      <c r="AS494" s="430"/>
      <c r="AT494" s="430"/>
      <c r="AU494" s="430"/>
      <c r="AV494" s="430"/>
      <c r="AW494" s="430"/>
      <c r="AX494" s="430"/>
      <c r="AY494" s="430"/>
      <c r="AZ494" s="430"/>
      <c r="BA494" s="430"/>
      <c r="BB494" s="430"/>
      <c r="BC494" s="430"/>
      <c r="BD494" s="430"/>
      <c r="BE494" s="430"/>
    </row>
    <row r="495" spans="1:57" ht="15.75" customHeight="1">
      <c r="A495" s="430"/>
      <c r="B495" s="430"/>
      <c r="C495" s="430"/>
      <c r="D495" s="430"/>
      <c r="E495" s="430"/>
      <c r="F495" s="430"/>
      <c r="G495" s="430"/>
      <c r="H495" s="430"/>
      <c r="I495" s="430"/>
      <c r="J495" s="430"/>
      <c r="K495" s="430"/>
      <c r="L495" s="430"/>
      <c r="M495" s="430"/>
      <c r="N495" s="430"/>
      <c r="O495" s="430"/>
      <c r="P495" s="430"/>
      <c r="Q495" s="430"/>
      <c r="R495" s="430"/>
      <c r="S495" s="430"/>
      <c r="T495" s="430"/>
      <c r="U495" s="430"/>
      <c r="V495" s="430"/>
      <c r="W495" s="430"/>
      <c r="X495" s="430"/>
      <c r="Y495" s="430"/>
      <c r="Z495" s="430"/>
      <c r="AA495" s="430"/>
      <c r="AB495" s="430"/>
      <c r="AC495" s="430"/>
      <c r="AD495" s="430"/>
      <c r="AE495" s="430"/>
      <c r="AF495" s="430"/>
      <c r="AG495" s="430"/>
      <c r="AH495" s="430"/>
      <c r="AI495" s="430"/>
      <c r="AJ495" s="430"/>
      <c r="AK495" s="430"/>
      <c r="AL495" s="430"/>
      <c r="AM495" s="430"/>
      <c r="AN495" s="430"/>
      <c r="AO495" s="430"/>
      <c r="AP495" s="430"/>
      <c r="AQ495" s="430"/>
      <c r="AR495" s="430"/>
      <c r="AS495" s="430"/>
      <c r="AT495" s="430"/>
      <c r="AU495" s="430"/>
      <c r="AV495" s="430"/>
      <c r="AW495" s="430"/>
      <c r="AX495" s="430"/>
      <c r="AY495" s="430"/>
      <c r="AZ495" s="430"/>
      <c r="BA495" s="430"/>
      <c r="BB495" s="430"/>
      <c r="BC495" s="430"/>
      <c r="BD495" s="430"/>
      <c r="BE495" s="430"/>
    </row>
    <row r="496" spans="1:57" ht="15.75" customHeight="1">
      <c r="A496" s="430"/>
      <c r="B496" s="430"/>
      <c r="C496" s="430"/>
      <c r="D496" s="430"/>
      <c r="E496" s="430"/>
      <c r="F496" s="430"/>
      <c r="G496" s="430"/>
      <c r="H496" s="430"/>
      <c r="I496" s="430"/>
      <c r="J496" s="430"/>
      <c r="K496" s="430"/>
      <c r="L496" s="430"/>
      <c r="M496" s="430"/>
      <c r="N496" s="430"/>
      <c r="O496" s="430"/>
      <c r="P496" s="430"/>
      <c r="Q496" s="430"/>
      <c r="R496" s="430"/>
      <c r="S496" s="430"/>
      <c r="T496" s="430"/>
      <c r="U496" s="430"/>
      <c r="V496" s="430"/>
      <c r="W496" s="430"/>
      <c r="X496" s="430"/>
      <c r="Y496" s="430"/>
      <c r="Z496" s="430"/>
      <c r="AA496" s="430"/>
      <c r="AB496" s="430"/>
      <c r="AC496" s="430"/>
      <c r="AD496" s="430"/>
      <c r="AE496" s="430"/>
      <c r="AF496" s="430"/>
      <c r="AG496" s="430"/>
      <c r="AH496" s="430"/>
      <c r="AI496" s="430"/>
      <c r="AJ496" s="430"/>
      <c r="AK496" s="430"/>
      <c r="AL496" s="430"/>
      <c r="AM496" s="430"/>
      <c r="AN496" s="430"/>
      <c r="AO496" s="430"/>
      <c r="AP496" s="430"/>
      <c r="AQ496" s="430"/>
      <c r="AR496" s="430"/>
      <c r="AS496" s="430"/>
      <c r="AT496" s="430"/>
      <c r="AU496" s="430"/>
      <c r="AV496" s="430"/>
      <c r="AW496" s="430"/>
      <c r="AX496" s="430"/>
      <c r="AY496" s="430"/>
      <c r="AZ496" s="430"/>
      <c r="BA496" s="430"/>
      <c r="BB496" s="430"/>
      <c r="BC496" s="430"/>
      <c r="BD496" s="430"/>
      <c r="BE496" s="430"/>
    </row>
    <row r="497" spans="1:57" ht="15.75" customHeight="1">
      <c r="A497" s="430"/>
      <c r="B497" s="430"/>
      <c r="C497" s="430"/>
      <c r="D497" s="430"/>
      <c r="E497" s="430"/>
      <c r="F497" s="430"/>
      <c r="G497" s="430"/>
      <c r="H497" s="430"/>
      <c r="I497" s="430"/>
      <c r="J497" s="430"/>
      <c r="K497" s="430"/>
      <c r="L497" s="430"/>
      <c r="M497" s="430"/>
      <c r="N497" s="430"/>
      <c r="O497" s="430"/>
      <c r="P497" s="430"/>
      <c r="Q497" s="430"/>
      <c r="R497" s="430"/>
      <c r="S497" s="430"/>
      <c r="T497" s="430"/>
      <c r="U497" s="430"/>
      <c r="V497" s="430"/>
      <c r="W497" s="430"/>
      <c r="X497" s="430"/>
      <c r="Y497" s="430"/>
      <c r="Z497" s="430"/>
      <c r="AA497" s="430"/>
      <c r="AB497" s="430"/>
      <c r="AC497" s="430"/>
      <c r="AD497" s="430"/>
      <c r="AE497" s="430"/>
      <c r="AF497" s="430"/>
      <c r="AG497" s="430"/>
      <c r="AH497" s="430"/>
      <c r="AI497" s="430"/>
      <c r="AJ497" s="430"/>
      <c r="AK497" s="430"/>
      <c r="AL497" s="430"/>
      <c r="AM497" s="430"/>
      <c r="AN497" s="430"/>
      <c r="AO497" s="430"/>
      <c r="AP497" s="430"/>
      <c r="AQ497" s="430"/>
      <c r="AR497" s="430"/>
      <c r="AS497" s="430"/>
      <c r="AT497" s="430"/>
      <c r="AU497" s="430"/>
      <c r="AV497" s="430"/>
      <c r="AW497" s="430"/>
      <c r="AX497" s="430"/>
      <c r="AY497" s="430"/>
      <c r="AZ497" s="430"/>
      <c r="BA497" s="430"/>
      <c r="BB497" s="430"/>
      <c r="BC497" s="430"/>
      <c r="BD497" s="430"/>
      <c r="BE497" s="430"/>
    </row>
    <row r="498" spans="1:57" ht="15.75" customHeight="1">
      <c r="A498" s="430"/>
      <c r="B498" s="430"/>
      <c r="C498" s="430"/>
      <c r="D498" s="430"/>
      <c r="E498" s="430"/>
      <c r="F498" s="430"/>
      <c r="G498" s="430"/>
      <c r="H498" s="430"/>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0"/>
      <c r="AJ498" s="430"/>
      <c r="AK498" s="430"/>
      <c r="AL498" s="430"/>
      <c r="AM498" s="430"/>
      <c r="AN498" s="430"/>
      <c r="AO498" s="430"/>
      <c r="AP498" s="430"/>
      <c r="AQ498" s="430"/>
      <c r="AR498" s="430"/>
      <c r="AS498" s="430"/>
      <c r="AT498" s="430"/>
      <c r="AU498" s="430"/>
      <c r="AV498" s="430"/>
      <c r="AW498" s="430"/>
      <c r="AX498" s="430"/>
      <c r="AY498" s="430"/>
      <c r="AZ498" s="430"/>
      <c r="BA498" s="430"/>
      <c r="BB498" s="430"/>
      <c r="BC498" s="430"/>
      <c r="BD498" s="430"/>
      <c r="BE498" s="430"/>
    </row>
    <row r="499" spans="1:57" ht="15.75" customHeight="1">
      <c r="A499" s="430"/>
      <c r="B499" s="430"/>
      <c r="C499" s="430"/>
      <c r="D499" s="430"/>
      <c r="E499" s="430"/>
      <c r="F499" s="430"/>
      <c r="G499" s="430"/>
      <c r="H499" s="430"/>
      <c r="I499" s="430"/>
      <c r="J499" s="430"/>
      <c r="K499" s="430"/>
      <c r="L499" s="430"/>
      <c r="M499" s="430"/>
      <c r="N499" s="430"/>
      <c r="O499" s="430"/>
      <c r="P499" s="430"/>
      <c r="Q499" s="430"/>
      <c r="R499" s="430"/>
      <c r="S499" s="430"/>
      <c r="T499" s="430"/>
      <c r="U499" s="430"/>
      <c r="V499" s="430"/>
      <c r="W499" s="430"/>
      <c r="X499" s="430"/>
      <c r="Y499" s="430"/>
      <c r="Z499" s="430"/>
      <c r="AA499" s="430"/>
      <c r="AB499" s="430"/>
      <c r="AC499" s="430"/>
      <c r="AD499" s="430"/>
      <c r="AE499" s="430"/>
      <c r="AF499" s="430"/>
      <c r="AG499" s="430"/>
      <c r="AH499" s="430"/>
      <c r="AI499" s="430"/>
      <c r="AJ499" s="430"/>
      <c r="AK499" s="430"/>
      <c r="AL499" s="430"/>
      <c r="AM499" s="430"/>
      <c r="AN499" s="430"/>
      <c r="AO499" s="430"/>
      <c r="AP499" s="430"/>
      <c r="AQ499" s="430"/>
      <c r="AR499" s="430"/>
      <c r="AS499" s="430"/>
      <c r="AT499" s="430"/>
      <c r="AU499" s="430"/>
      <c r="AV499" s="430"/>
      <c r="AW499" s="430"/>
      <c r="AX499" s="430"/>
      <c r="AY499" s="430"/>
      <c r="AZ499" s="430"/>
      <c r="BA499" s="430"/>
      <c r="BB499" s="430"/>
      <c r="BC499" s="430"/>
      <c r="BD499" s="430"/>
      <c r="BE499" s="430"/>
    </row>
    <row r="500" spans="1:57" ht="15.75" customHeight="1">
      <c r="A500" s="430"/>
      <c r="B500" s="430"/>
      <c r="C500" s="430"/>
      <c r="D500" s="430"/>
      <c r="E500" s="430"/>
      <c r="F500" s="430"/>
      <c r="G500" s="430"/>
      <c r="H500" s="430"/>
      <c r="I500" s="430"/>
      <c r="J500" s="430"/>
      <c r="K500" s="430"/>
      <c r="L500" s="430"/>
      <c r="M500" s="430"/>
      <c r="N500" s="430"/>
      <c r="O500" s="430"/>
      <c r="P500" s="430"/>
      <c r="Q500" s="430"/>
      <c r="R500" s="430"/>
      <c r="S500" s="430"/>
      <c r="T500" s="430"/>
      <c r="U500" s="430"/>
      <c r="V500" s="430"/>
      <c r="W500" s="430"/>
      <c r="X500" s="430"/>
      <c r="Y500" s="430"/>
      <c r="Z500" s="430"/>
      <c r="AA500" s="430"/>
      <c r="AB500" s="430"/>
      <c r="AC500" s="430"/>
      <c r="AD500" s="430"/>
      <c r="AE500" s="430"/>
      <c r="AF500" s="430"/>
      <c r="AG500" s="430"/>
      <c r="AH500" s="430"/>
      <c r="AI500" s="430"/>
      <c r="AJ500" s="430"/>
      <c r="AK500" s="430"/>
      <c r="AL500" s="430"/>
      <c r="AM500" s="430"/>
      <c r="AN500" s="430"/>
      <c r="AO500" s="430"/>
      <c r="AP500" s="430"/>
      <c r="AQ500" s="430"/>
      <c r="AR500" s="430"/>
      <c r="AS500" s="430"/>
      <c r="AT500" s="430"/>
      <c r="AU500" s="430"/>
      <c r="AV500" s="430"/>
      <c r="AW500" s="430"/>
      <c r="AX500" s="430"/>
      <c r="AY500" s="430"/>
      <c r="AZ500" s="430"/>
      <c r="BA500" s="430"/>
      <c r="BB500" s="430"/>
      <c r="BC500" s="430"/>
      <c r="BD500" s="430"/>
      <c r="BE500" s="430"/>
    </row>
    <row r="501" spans="1:57" ht="15.75" customHeight="1">
      <c r="A501" s="430"/>
      <c r="B501" s="430"/>
      <c r="C501" s="430"/>
      <c r="D501" s="430"/>
      <c r="E501" s="430"/>
      <c r="F501" s="430"/>
      <c r="G501" s="430"/>
      <c r="H501" s="430"/>
      <c r="I501" s="430"/>
      <c r="J501" s="430"/>
      <c r="K501" s="430"/>
      <c r="L501" s="430"/>
      <c r="M501" s="430"/>
      <c r="N501" s="430"/>
      <c r="O501" s="430"/>
      <c r="P501" s="430"/>
      <c r="Q501" s="430"/>
      <c r="R501" s="430"/>
      <c r="S501" s="430"/>
      <c r="T501" s="430"/>
      <c r="U501" s="430"/>
      <c r="V501" s="430"/>
      <c r="W501" s="430"/>
      <c r="X501" s="430"/>
      <c r="Y501" s="430"/>
      <c r="Z501" s="430"/>
      <c r="AA501" s="430"/>
      <c r="AB501" s="430"/>
      <c r="AC501" s="430"/>
      <c r="AD501" s="430"/>
      <c r="AE501" s="430"/>
      <c r="AF501" s="430"/>
      <c r="AG501" s="430"/>
      <c r="AH501" s="430"/>
      <c r="AI501" s="430"/>
      <c r="AJ501" s="430"/>
      <c r="AK501" s="430"/>
      <c r="AL501" s="430"/>
      <c r="AM501" s="430"/>
      <c r="AN501" s="430"/>
      <c r="AO501" s="430"/>
      <c r="AP501" s="430"/>
      <c r="AQ501" s="430"/>
      <c r="AR501" s="430"/>
      <c r="AS501" s="430"/>
      <c r="AT501" s="430"/>
      <c r="AU501" s="430"/>
      <c r="AV501" s="430"/>
      <c r="AW501" s="430"/>
      <c r="AX501" s="430"/>
      <c r="AY501" s="430"/>
      <c r="AZ501" s="430"/>
      <c r="BA501" s="430"/>
      <c r="BB501" s="430"/>
      <c r="BC501" s="430"/>
      <c r="BD501" s="430"/>
      <c r="BE501" s="430"/>
    </row>
    <row r="502" spans="1:57" ht="15.75" customHeight="1">
      <c r="A502" s="430"/>
      <c r="B502" s="430"/>
      <c r="C502" s="430"/>
      <c r="D502" s="430"/>
      <c r="E502" s="430"/>
      <c r="F502" s="430"/>
      <c r="G502" s="430"/>
      <c r="H502" s="430"/>
      <c r="I502" s="430"/>
      <c r="J502" s="430"/>
      <c r="K502" s="430"/>
      <c r="L502" s="430"/>
      <c r="M502" s="430"/>
      <c r="N502" s="430"/>
      <c r="O502" s="430"/>
      <c r="P502" s="430"/>
      <c r="Q502" s="430"/>
      <c r="R502" s="430"/>
      <c r="S502" s="430"/>
      <c r="T502" s="430"/>
      <c r="U502" s="430"/>
      <c r="V502" s="430"/>
      <c r="W502" s="430"/>
      <c r="X502" s="430"/>
      <c r="Y502" s="430"/>
      <c r="Z502" s="430"/>
      <c r="AA502" s="430"/>
      <c r="AB502" s="430"/>
      <c r="AC502" s="430"/>
      <c r="AD502" s="430"/>
      <c r="AE502" s="430"/>
      <c r="AF502" s="430"/>
      <c r="AG502" s="430"/>
      <c r="AH502" s="430"/>
      <c r="AI502" s="430"/>
      <c r="AJ502" s="430"/>
      <c r="AK502" s="430"/>
      <c r="AL502" s="430"/>
      <c r="AM502" s="430"/>
      <c r="AN502" s="430"/>
      <c r="AO502" s="430"/>
      <c r="AP502" s="430"/>
      <c r="AQ502" s="430"/>
      <c r="AR502" s="430"/>
      <c r="AS502" s="430"/>
      <c r="AT502" s="430"/>
      <c r="AU502" s="430"/>
      <c r="AV502" s="430"/>
      <c r="AW502" s="430"/>
      <c r="AX502" s="430"/>
      <c r="AY502" s="430"/>
      <c r="AZ502" s="430"/>
      <c r="BA502" s="430"/>
      <c r="BB502" s="430"/>
      <c r="BC502" s="430"/>
      <c r="BD502" s="430"/>
      <c r="BE502" s="430"/>
    </row>
    <row r="503" spans="1:57" ht="15.75" customHeight="1">
      <c r="A503" s="430"/>
      <c r="B503" s="430"/>
      <c r="C503" s="430"/>
      <c r="D503" s="430"/>
      <c r="E503" s="430"/>
      <c r="F503" s="430"/>
      <c r="G503" s="430"/>
      <c r="H503" s="430"/>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30"/>
      <c r="AE503" s="430"/>
      <c r="AF503" s="430"/>
      <c r="AG503" s="430"/>
      <c r="AH503" s="430"/>
      <c r="AI503" s="430"/>
      <c r="AJ503" s="430"/>
      <c r="AK503" s="430"/>
      <c r="AL503" s="430"/>
      <c r="AM503" s="430"/>
      <c r="AN503" s="430"/>
      <c r="AO503" s="430"/>
      <c r="AP503" s="430"/>
      <c r="AQ503" s="430"/>
      <c r="AR503" s="430"/>
      <c r="AS503" s="430"/>
      <c r="AT503" s="430"/>
      <c r="AU503" s="430"/>
      <c r="AV503" s="430"/>
      <c r="AW503" s="430"/>
      <c r="AX503" s="430"/>
      <c r="AY503" s="430"/>
      <c r="AZ503" s="430"/>
      <c r="BA503" s="430"/>
      <c r="BB503" s="430"/>
      <c r="BC503" s="430"/>
      <c r="BD503" s="430"/>
      <c r="BE503" s="430"/>
    </row>
    <row r="504" spans="1:57" ht="15.75" customHeight="1">
      <c r="A504" s="430"/>
      <c r="B504" s="430"/>
      <c r="C504" s="430"/>
      <c r="D504" s="430"/>
      <c r="E504" s="430"/>
      <c r="F504" s="430"/>
      <c r="G504" s="430"/>
      <c r="H504" s="430"/>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0"/>
      <c r="AK504" s="430"/>
      <c r="AL504" s="430"/>
      <c r="AM504" s="430"/>
      <c r="AN504" s="430"/>
      <c r="AO504" s="430"/>
      <c r="AP504" s="430"/>
      <c r="AQ504" s="430"/>
      <c r="AR504" s="430"/>
      <c r="AS504" s="430"/>
      <c r="AT504" s="430"/>
      <c r="AU504" s="430"/>
      <c r="AV504" s="430"/>
      <c r="AW504" s="430"/>
      <c r="AX504" s="430"/>
      <c r="AY504" s="430"/>
      <c r="AZ504" s="430"/>
      <c r="BA504" s="430"/>
      <c r="BB504" s="430"/>
      <c r="BC504" s="430"/>
      <c r="BD504" s="430"/>
      <c r="BE504" s="430"/>
    </row>
    <row r="505" spans="1:57" ht="15.75" customHeight="1">
      <c r="A505" s="430"/>
      <c r="B505" s="430"/>
      <c r="C505" s="430"/>
      <c r="D505" s="430"/>
      <c r="E505" s="430"/>
      <c r="F505" s="430"/>
      <c r="G505" s="430"/>
      <c r="H505" s="430"/>
      <c r="I505" s="430"/>
      <c r="J505" s="430"/>
      <c r="K505" s="430"/>
      <c r="L505" s="430"/>
      <c r="M505" s="430"/>
      <c r="N505" s="430"/>
      <c r="O505" s="430"/>
      <c r="P505" s="430"/>
      <c r="Q505" s="430"/>
      <c r="R505" s="430"/>
      <c r="S505" s="430"/>
      <c r="T505" s="430"/>
      <c r="U505" s="430"/>
      <c r="V505" s="430"/>
      <c r="W505" s="430"/>
      <c r="X505" s="430"/>
      <c r="Y505" s="430"/>
      <c r="Z505" s="430"/>
      <c r="AA505" s="430"/>
      <c r="AB505" s="430"/>
      <c r="AC505" s="430"/>
      <c r="AD505" s="430"/>
      <c r="AE505" s="430"/>
      <c r="AF505" s="430"/>
      <c r="AG505" s="430"/>
      <c r="AH505" s="430"/>
      <c r="AI505" s="430"/>
      <c r="AJ505" s="430"/>
      <c r="AK505" s="430"/>
      <c r="AL505" s="430"/>
      <c r="AM505" s="430"/>
      <c r="AN505" s="430"/>
      <c r="AO505" s="430"/>
      <c r="AP505" s="430"/>
      <c r="AQ505" s="430"/>
      <c r="AR505" s="430"/>
      <c r="AS505" s="430"/>
      <c r="AT505" s="430"/>
      <c r="AU505" s="430"/>
      <c r="AV505" s="430"/>
      <c r="AW505" s="430"/>
      <c r="AX505" s="430"/>
      <c r="AY505" s="430"/>
      <c r="AZ505" s="430"/>
      <c r="BA505" s="430"/>
      <c r="BB505" s="430"/>
      <c r="BC505" s="430"/>
      <c r="BD505" s="430"/>
      <c r="BE505" s="430"/>
    </row>
    <row r="506" spans="1:57" ht="15.75" customHeight="1">
      <c r="A506" s="430"/>
      <c r="B506" s="430"/>
      <c r="C506" s="430"/>
      <c r="D506" s="430"/>
      <c r="E506" s="430"/>
      <c r="F506" s="430"/>
      <c r="G506" s="430"/>
      <c r="H506" s="430"/>
      <c r="I506" s="430"/>
      <c r="J506" s="430"/>
      <c r="K506" s="430"/>
      <c r="L506" s="430"/>
      <c r="M506" s="430"/>
      <c r="N506" s="430"/>
      <c r="O506" s="430"/>
      <c r="P506" s="430"/>
      <c r="Q506" s="430"/>
      <c r="R506" s="430"/>
      <c r="S506" s="430"/>
      <c r="T506" s="430"/>
      <c r="U506" s="430"/>
      <c r="V506" s="430"/>
      <c r="W506" s="430"/>
      <c r="X506" s="430"/>
      <c r="Y506" s="430"/>
      <c r="Z506" s="430"/>
      <c r="AA506" s="430"/>
      <c r="AB506" s="430"/>
      <c r="AC506" s="430"/>
      <c r="AD506" s="430"/>
      <c r="AE506" s="430"/>
      <c r="AF506" s="430"/>
      <c r="AG506" s="430"/>
      <c r="AH506" s="430"/>
      <c r="AI506" s="430"/>
      <c r="AJ506" s="430"/>
      <c r="AK506" s="430"/>
      <c r="AL506" s="430"/>
      <c r="AM506" s="430"/>
      <c r="AN506" s="430"/>
      <c r="AO506" s="430"/>
      <c r="AP506" s="430"/>
      <c r="AQ506" s="430"/>
      <c r="AR506" s="430"/>
      <c r="AS506" s="430"/>
      <c r="AT506" s="430"/>
      <c r="AU506" s="430"/>
      <c r="AV506" s="430"/>
      <c r="AW506" s="430"/>
      <c r="AX506" s="430"/>
      <c r="AY506" s="430"/>
      <c r="AZ506" s="430"/>
      <c r="BA506" s="430"/>
      <c r="BB506" s="430"/>
      <c r="BC506" s="430"/>
      <c r="BD506" s="430"/>
      <c r="BE506" s="430"/>
    </row>
    <row r="507" spans="1:57" ht="15.75" customHeight="1">
      <c r="A507" s="430"/>
      <c r="B507" s="430"/>
      <c r="C507" s="430"/>
      <c r="D507" s="430"/>
      <c r="E507" s="430"/>
      <c r="F507" s="430"/>
      <c r="G507" s="430"/>
      <c r="H507" s="430"/>
      <c r="I507" s="430"/>
      <c r="J507" s="430"/>
      <c r="K507" s="430"/>
      <c r="L507" s="430"/>
      <c r="M507" s="430"/>
      <c r="N507" s="430"/>
      <c r="O507" s="430"/>
      <c r="P507" s="430"/>
      <c r="Q507" s="430"/>
      <c r="R507" s="430"/>
      <c r="S507" s="430"/>
      <c r="T507" s="430"/>
      <c r="U507" s="430"/>
      <c r="V507" s="430"/>
      <c r="W507" s="430"/>
      <c r="X507" s="430"/>
      <c r="Y507" s="430"/>
      <c r="Z507" s="430"/>
      <c r="AA507" s="430"/>
      <c r="AB507" s="430"/>
      <c r="AC507" s="430"/>
      <c r="AD507" s="430"/>
      <c r="AE507" s="430"/>
      <c r="AF507" s="430"/>
      <c r="AG507" s="430"/>
      <c r="AH507" s="430"/>
      <c r="AI507" s="430"/>
      <c r="AJ507" s="430"/>
      <c r="AK507" s="430"/>
      <c r="AL507" s="430"/>
      <c r="AM507" s="430"/>
      <c r="AN507" s="430"/>
      <c r="AO507" s="430"/>
      <c r="AP507" s="430"/>
      <c r="AQ507" s="430"/>
      <c r="AR507" s="430"/>
      <c r="AS507" s="430"/>
      <c r="AT507" s="430"/>
      <c r="AU507" s="430"/>
      <c r="AV507" s="430"/>
      <c r="AW507" s="430"/>
      <c r="AX507" s="430"/>
      <c r="AY507" s="430"/>
      <c r="AZ507" s="430"/>
      <c r="BA507" s="430"/>
      <c r="BB507" s="430"/>
      <c r="BC507" s="430"/>
      <c r="BD507" s="430"/>
      <c r="BE507" s="430"/>
    </row>
    <row r="508" spans="1:57" ht="15.75" customHeight="1">
      <c r="A508" s="430"/>
      <c r="B508" s="430"/>
      <c r="C508" s="430"/>
      <c r="D508" s="430"/>
      <c r="E508" s="430"/>
      <c r="F508" s="430"/>
      <c r="G508" s="430"/>
      <c r="H508" s="430"/>
      <c r="I508" s="430"/>
      <c r="J508" s="430"/>
      <c r="K508" s="430"/>
      <c r="L508" s="430"/>
      <c r="M508" s="430"/>
      <c r="N508" s="430"/>
      <c r="O508" s="430"/>
      <c r="P508" s="430"/>
      <c r="Q508" s="430"/>
      <c r="R508" s="430"/>
      <c r="S508" s="430"/>
      <c r="T508" s="430"/>
      <c r="U508" s="430"/>
      <c r="V508" s="430"/>
      <c r="W508" s="430"/>
      <c r="X508" s="430"/>
      <c r="Y508" s="430"/>
      <c r="Z508" s="430"/>
      <c r="AA508" s="430"/>
      <c r="AB508" s="430"/>
      <c r="AC508" s="430"/>
      <c r="AD508" s="430"/>
      <c r="AE508" s="430"/>
      <c r="AF508" s="430"/>
      <c r="AG508" s="430"/>
      <c r="AH508" s="430"/>
      <c r="AI508" s="430"/>
      <c r="AJ508" s="430"/>
      <c r="AK508" s="430"/>
      <c r="AL508" s="430"/>
      <c r="AM508" s="430"/>
      <c r="AN508" s="430"/>
      <c r="AO508" s="430"/>
      <c r="AP508" s="430"/>
      <c r="AQ508" s="430"/>
      <c r="AR508" s="430"/>
      <c r="AS508" s="430"/>
      <c r="AT508" s="430"/>
      <c r="AU508" s="430"/>
      <c r="AV508" s="430"/>
      <c r="AW508" s="430"/>
      <c r="AX508" s="430"/>
      <c r="AY508" s="430"/>
      <c r="AZ508" s="430"/>
      <c r="BA508" s="430"/>
      <c r="BB508" s="430"/>
      <c r="BC508" s="430"/>
      <c r="BD508" s="430"/>
      <c r="BE508" s="430"/>
    </row>
    <row r="509" spans="1:57" ht="15.75" customHeight="1">
      <c r="A509" s="430"/>
      <c r="B509" s="430"/>
      <c r="C509" s="430"/>
      <c r="D509" s="430"/>
      <c r="E509" s="430"/>
      <c r="F509" s="430"/>
      <c r="G509" s="430"/>
      <c r="H509" s="430"/>
      <c r="I509" s="430"/>
      <c r="J509" s="430"/>
      <c r="K509" s="430"/>
      <c r="L509" s="430"/>
      <c r="M509" s="430"/>
      <c r="N509" s="430"/>
      <c r="O509" s="430"/>
      <c r="P509" s="430"/>
      <c r="Q509" s="430"/>
      <c r="R509" s="430"/>
      <c r="S509" s="430"/>
      <c r="T509" s="430"/>
      <c r="U509" s="430"/>
      <c r="V509" s="430"/>
      <c r="W509" s="430"/>
      <c r="X509" s="430"/>
      <c r="Y509" s="430"/>
      <c r="Z509" s="430"/>
      <c r="AA509" s="430"/>
      <c r="AB509" s="430"/>
      <c r="AC509" s="430"/>
      <c r="AD509" s="430"/>
      <c r="AE509" s="430"/>
      <c r="AF509" s="430"/>
      <c r="AG509" s="430"/>
      <c r="AH509" s="430"/>
      <c r="AI509" s="430"/>
      <c r="AJ509" s="430"/>
      <c r="AK509" s="430"/>
      <c r="AL509" s="430"/>
      <c r="AM509" s="430"/>
      <c r="AN509" s="430"/>
      <c r="AO509" s="430"/>
      <c r="AP509" s="430"/>
      <c r="AQ509" s="430"/>
      <c r="AR509" s="430"/>
      <c r="AS509" s="430"/>
      <c r="AT509" s="430"/>
      <c r="AU509" s="430"/>
      <c r="AV509" s="430"/>
      <c r="AW509" s="430"/>
      <c r="AX509" s="430"/>
      <c r="AY509" s="430"/>
      <c r="AZ509" s="430"/>
      <c r="BA509" s="430"/>
      <c r="BB509" s="430"/>
      <c r="BC509" s="430"/>
      <c r="BD509" s="430"/>
      <c r="BE509" s="430"/>
    </row>
    <row r="510" spans="1:57" ht="15.75" customHeight="1">
      <c r="A510" s="430"/>
      <c r="B510" s="430"/>
      <c r="C510" s="430"/>
      <c r="D510" s="430"/>
      <c r="E510" s="430"/>
      <c r="F510" s="430"/>
      <c r="G510" s="430"/>
      <c r="H510" s="430"/>
      <c r="I510" s="430"/>
      <c r="J510" s="430"/>
      <c r="K510" s="430"/>
      <c r="L510" s="430"/>
      <c r="M510" s="430"/>
      <c r="N510" s="430"/>
      <c r="O510" s="430"/>
      <c r="P510" s="430"/>
      <c r="Q510" s="430"/>
      <c r="R510" s="430"/>
      <c r="S510" s="430"/>
      <c r="T510" s="430"/>
      <c r="U510" s="430"/>
      <c r="V510" s="430"/>
      <c r="W510" s="430"/>
      <c r="X510" s="430"/>
      <c r="Y510" s="430"/>
      <c r="Z510" s="430"/>
      <c r="AA510" s="430"/>
      <c r="AB510" s="430"/>
      <c r="AC510" s="430"/>
      <c r="AD510" s="430"/>
      <c r="AE510" s="430"/>
      <c r="AF510" s="430"/>
      <c r="AG510" s="430"/>
      <c r="AH510" s="430"/>
      <c r="AI510" s="430"/>
      <c r="AJ510" s="430"/>
      <c r="AK510" s="430"/>
      <c r="AL510" s="430"/>
      <c r="AM510" s="430"/>
      <c r="AN510" s="430"/>
      <c r="AO510" s="430"/>
      <c r="AP510" s="430"/>
      <c r="AQ510" s="430"/>
      <c r="AR510" s="430"/>
      <c r="AS510" s="430"/>
      <c r="AT510" s="430"/>
      <c r="AU510" s="430"/>
      <c r="AV510" s="430"/>
      <c r="AW510" s="430"/>
      <c r="AX510" s="430"/>
      <c r="AY510" s="430"/>
      <c r="AZ510" s="430"/>
      <c r="BA510" s="430"/>
      <c r="BB510" s="430"/>
      <c r="BC510" s="430"/>
      <c r="BD510" s="430"/>
      <c r="BE510" s="430"/>
    </row>
    <row r="511" spans="1:57" ht="15.75" customHeight="1">
      <c r="A511" s="430"/>
      <c r="B511" s="430"/>
      <c r="C511" s="430"/>
      <c r="D511" s="430"/>
      <c r="E511" s="430"/>
      <c r="F511" s="430"/>
      <c r="G511" s="430"/>
      <c r="H511" s="430"/>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0"/>
      <c r="AL511" s="430"/>
      <c r="AM511" s="430"/>
      <c r="AN511" s="430"/>
      <c r="AO511" s="430"/>
      <c r="AP511" s="430"/>
      <c r="AQ511" s="430"/>
      <c r="AR511" s="430"/>
      <c r="AS511" s="430"/>
      <c r="AT511" s="430"/>
      <c r="AU511" s="430"/>
      <c r="AV511" s="430"/>
      <c r="AW511" s="430"/>
      <c r="AX511" s="430"/>
      <c r="AY511" s="430"/>
      <c r="AZ511" s="430"/>
      <c r="BA511" s="430"/>
      <c r="BB511" s="430"/>
      <c r="BC511" s="430"/>
      <c r="BD511" s="430"/>
      <c r="BE511" s="430"/>
    </row>
    <row r="512" spans="1:57" ht="15.75" customHeight="1">
      <c r="A512" s="430"/>
      <c r="B512" s="430"/>
      <c r="C512" s="430"/>
      <c r="D512" s="430"/>
      <c r="E512" s="430"/>
      <c r="F512" s="430"/>
      <c r="G512" s="430"/>
      <c r="H512" s="430"/>
      <c r="I512" s="430"/>
      <c r="J512" s="430"/>
      <c r="K512" s="430"/>
      <c r="L512" s="430"/>
      <c r="M512" s="430"/>
      <c r="N512" s="430"/>
      <c r="O512" s="430"/>
      <c r="P512" s="430"/>
      <c r="Q512" s="430"/>
      <c r="R512" s="430"/>
      <c r="S512" s="430"/>
      <c r="T512" s="430"/>
      <c r="U512" s="430"/>
      <c r="V512" s="430"/>
      <c r="W512" s="430"/>
      <c r="X512" s="430"/>
      <c r="Y512" s="430"/>
      <c r="Z512" s="430"/>
      <c r="AA512" s="430"/>
      <c r="AB512" s="430"/>
      <c r="AC512" s="430"/>
      <c r="AD512" s="430"/>
      <c r="AE512" s="430"/>
      <c r="AF512" s="430"/>
      <c r="AG512" s="430"/>
      <c r="AH512" s="430"/>
      <c r="AI512" s="430"/>
      <c r="AJ512" s="430"/>
      <c r="AK512" s="430"/>
      <c r="AL512" s="430"/>
      <c r="AM512" s="430"/>
      <c r="AN512" s="430"/>
      <c r="AO512" s="430"/>
      <c r="AP512" s="430"/>
      <c r="AQ512" s="430"/>
      <c r="AR512" s="430"/>
      <c r="AS512" s="430"/>
      <c r="AT512" s="430"/>
      <c r="AU512" s="430"/>
      <c r="AV512" s="430"/>
      <c r="AW512" s="430"/>
      <c r="AX512" s="430"/>
      <c r="AY512" s="430"/>
      <c r="AZ512" s="430"/>
      <c r="BA512" s="430"/>
      <c r="BB512" s="430"/>
      <c r="BC512" s="430"/>
      <c r="BD512" s="430"/>
      <c r="BE512" s="430"/>
    </row>
    <row r="513" spans="1:57" ht="15.75" customHeight="1">
      <c r="A513" s="430"/>
      <c r="B513" s="430"/>
      <c r="C513" s="430"/>
      <c r="D513" s="430"/>
      <c r="E513" s="430"/>
      <c r="F513" s="430"/>
      <c r="G513" s="430"/>
      <c r="H513" s="430"/>
      <c r="I513" s="430"/>
      <c r="J513" s="430"/>
      <c r="K513" s="430"/>
      <c r="L513" s="430"/>
      <c r="M513" s="430"/>
      <c r="N513" s="430"/>
      <c r="O513" s="430"/>
      <c r="P513" s="430"/>
      <c r="Q513" s="430"/>
      <c r="R513" s="430"/>
      <c r="S513" s="430"/>
      <c r="T513" s="430"/>
      <c r="U513" s="430"/>
      <c r="V513" s="430"/>
      <c r="W513" s="430"/>
      <c r="X513" s="430"/>
      <c r="Y513" s="430"/>
      <c r="Z513" s="430"/>
      <c r="AA513" s="430"/>
      <c r="AB513" s="430"/>
      <c r="AC513" s="430"/>
      <c r="AD513" s="430"/>
      <c r="AE513" s="430"/>
      <c r="AF513" s="430"/>
      <c r="AG513" s="430"/>
      <c r="AH513" s="430"/>
      <c r="AI513" s="430"/>
      <c r="AJ513" s="430"/>
      <c r="AK513" s="430"/>
      <c r="AL513" s="430"/>
      <c r="AM513" s="430"/>
      <c r="AN513" s="430"/>
      <c r="AO513" s="430"/>
      <c r="AP513" s="430"/>
      <c r="AQ513" s="430"/>
      <c r="AR513" s="430"/>
      <c r="AS513" s="430"/>
      <c r="AT513" s="430"/>
      <c r="AU513" s="430"/>
      <c r="AV513" s="430"/>
      <c r="AW513" s="430"/>
      <c r="AX513" s="430"/>
      <c r="AY513" s="430"/>
      <c r="AZ513" s="430"/>
      <c r="BA513" s="430"/>
      <c r="BB513" s="430"/>
      <c r="BC513" s="430"/>
      <c r="BD513" s="430"/>
      <c r="BE513" s="430"/>
    </row>
    <row r="514" spans="1:57" ht="15.75" customHeight="1">
      <c r="A514" s="430"/>
      <c r="B514" s="430"/>
      <c r="C514" s="430"/>
      <c r="D514" s="430"/>
      <c r="E514" s="430"/>
      <c r="F514" s="430"/>
      <c r="G514" s="430"/>
      <c r="H514" s="430"/>
      <c r="I514" s="430"/>
      <c r="J514" s="430"/>
      <c r="K514" s="430"/>
      <c r="L514" s="430"/>
      <c r="M514" s="430"/>
      <c r="N514" s="430"/>
      <c r="O514" s="430"/>
      <c r="P514" s="430"/>
      <c r="Q514" s="430"/>
      <c r="R514" s="430"/>
      <c r="S514" s="430"/>
      <c r="T514" s="430"/>
      <c r="U514" s="430"/>
      <c r="V514" s="430"/>
      <c r="W514" s="430"/>
      <c r="X514" s="430"/>
      <c r="Y514" s="430"/>
      <c r="Z514" s="430"/>
      <c r="AA514" s="430"/>
      <c r="AB514" s="430"/>
      <c r="AC514" s="430"/>
      <c r="AD514" s="430"/>
      <c r="AE514" s="430"/>
      <c r="AF514" s="430"/>
      <c r="AG514" s="430"/>
      <c r="AH514" s="430"/>
      <c r="AI514" s="430"/>
      <c r="AJ514" s="430"/>
      <c r="AK514" s="430"/>
      <c r="AL514" s="430"/>
      <c r="AM514" s="430"/>
      <c r="AN514" s="430"/>
      <c r="AO514" s="430"/>
      <c r="AP514" s="430"/>
      <c r="AQ514" s="430"/>
      <c r="AR514" s="430"/>
      <c r="AS514" s="430"/>
      <c r="AT514" s="430"/>
      <c r="AU514" s="430"/>
      <c r="AV514" s="430"/>
      <c r="AW514" s="430"/>
      <c r="AX514" s="430"/>
      <c r="AY514" s="430"/>
      <c r="AZ514" s="430"/>
      <c r="BA514" s="430"/>
      <c r="BB514" s="430"/>
      <c r="BC514" s="430"/>
      <c r="BD514" s="430"/>
      <c r="BE514" s="430"/>
    </row>
    <row r="515" spans="1:57" ht="15.75" customHeight="1">
      <c r="A515" s="430"/>
      <c r="B515" s="430"/>
      <c r="C515" s="430"/>
      <c r="D515" s="430"/>
      <c r="E515" s="430"/>
      <c r="F515" s="430"/>
      <c r="G515" s="430"/>
      <c r="H515" s="430"/>
      <c r="I515" s="430"/>
      <c r="J515" s="430"/>
      <c r="K515" s="430"/>
      <c r="L515" s="430"/>
      <c r="M515" s="430"/>
      <c r="N515" s="430"/>
      <c r="O515" s="430"/>
      <c r="P515" s="430"/>
      <c r="Q515" s="430"/>
      <c r="R515" s="430"/>
      <c r="S515" s="430"/>
      <c r="T515" s="430"/>
      <c r="U515" s="430"/>
      <c r="V515" s="430"/>
      <c r="W515" s="430"/>
      <c r="X515" s="430"/>
      <c r="Y515" s="430"/>
      <c r="Z515" s="430"/>
      <c r="AA515" s="430"/>
      <c r="AB515" s="430"/>
      <c r="AC515" s="430"/>
      <c r="AD515" s="430"/>
      <c r="AE515" s="430"/>
      <c r="AF515" s="430"/>
      <c r="AG515" s="430"/>
      <c r="AH515" s="430"/>
      <c r="AI515" s="430"/>
      <c r="AJ515" s="430"/>
      <c r="AK515" s="430"/>
      <c r="AL515" s="430"/>
      <c r="AM515" s="430"/>
      <c r="AN515" s="430"/>
      <c r="AO515" s="430"/>
      <c r="AP515" s="430"/>
      <c r="AQ515" s="430"/>
      <c r="AR515" s="430"/>
      <c r="AS515" s="430"/>
      <c r="AT515" s="430"/>
      <c r="AU515" s="430"/>
      <c r="AV515" s="430"/>
      <c r="AW515" s="430"/>
      <c r="AX515" s="430"/>
      <c r="AY515" s="430"/>
      <c r="AZ515" s="430"/>
      <c r="BA515" s="430"/>
      <c r="BB515" s="430"/>
      <c r="BC515" s="430"/>
      <c r="BD515" s="430"/>
      <c r="BE515" s="430"/>
    </row>
    <row r="516" spans="1:57" ht="15.75" customHeight="1">
      <c r="A516" s="430"/>
      <c r="B516" s="430"/>
      <c r="C516" s="430"/>
      <c r="D516" s="430"/>
      <c r="E516" s="430"/>
      <c r="F516" s="430"/>
      <c r="G516" s="430"/>
      <c r="H516" s="430"/>
      <c r="I516" s="430"/>
      <c r="J516" s="430"/>
      <c r="K516" s="430"/>
      <c r="L516" s="430"/>
      <c r="M516" s="430"/>
      <c r="N516" s="430"/>
      <c r="O516" s="430"/>
      <c r="P516" s="430"/>
      <c r="Q516" s="430"/>
      <c r="R516" s="430"/>
      <c r="S516" s="430"/>
      <c r="T516" s="430"/>
      <c r="U516" s="430"/>
      <c r="V516" s="430"/>
      <c r="W516" s="430"/>
      <c r="X516" s="430"/>
      <c r="Y516" s="430"/>
      <c r="Z516" s="430"/>
      <c r="AA516" s="430"/>
      <c r="AB516" s="430"/>
      <c r="AC516" s="430"/>
      <c r="AD516" s="430"/>
      <c r="AE516" s="430"/>
      <c r="AF516" s="430"/>
      <c r="AG516" s="430"/>
      <c r="AH516" s="430"/>
      <c r="AI516" s="430"/>
      <c r="AJ516" s="430"/>
      <c r="AK516" s="430"/>
      <c r="AL516" s="430"/>
      <c r="AM516" s="430"/>
      <c r="AN516" s="430"/>
      <c r="AO516" s="430"/>
      <c r="AP516" s="430"/>
      <c r="AQ516" s="430"/>
      <c r="AR516" s="430"/>
      <c r="AS516" s="430"/>
      <c r="AT516" s="430"/>
      <c r="AU516" s="430"/>
      <c r="AV516" s="430"/>
      <c r="AW516" s="430"/>
      <c r="AX516" s="430"/>
      <c r="AY516" s="430"/>
      <c r="AZ516" s="430"/>
      <c r="BA516" s="430"/>
      <c r="BB516" s="430"/>
      <c r="BC516" s="430"/>
      <c r="BD516" s="430"/>
      <c r="BE516" s="430"/>
    </row>
    <row r="517" spans="1:57" ht="15.75" customHeight="1">
      <c r="A517" s="430"/>
      <c r="B517" s="430"/>
      <c r="C517" s="430"/>
      <c r="D517" s="430"/>
      <c r="E517" s="430"/>
      <c r="F517" s="430"/>
      <c r="G517" s="430"/>
      <c r="H517" s="430"/>
      <c r="I517" s="430"/>
      <c r="J517" s="430"/>
      <c r="K517" s="430"/>
      <c r="L517" s="430"/>
      <c r="M517" s="430"/>
      <c r="N517" s="430"/>
      <c r="O517" s="430"/>
      <c r="P517" s="430"/>
      <c r="Q517" s="430"/>
      <c r="R517" s="430"/>
      <c r="S517" s="430"/>
      <c r="T517" s="430"/>
      <c r="U517" s="430"/>
      <c r="V517" s="430"/>
      <c r="W517" s="430"/>
      <c r="X517" s="430"/>
      <c r="Y517" s="430"/>
      <c r="Z517" s="430"/>
      <c r="AA517" s="430"/>
      <c r="AB517" s="430"/>
      <c r="AC517" s="430"/>
      <c r="AD517" s="430"/>
      <c r="AE517" s="430"/>
      <c r="AF517" s="430"/>
      <c r="AG517" s="430"/>
      <c r="AH517" s="430"/>
      <c r="AI517" s="430"/>
      <c r="AJ517" s="430"/>
      <c r="AK517" s="430"/>
      <c r="AL517" s="430"/>
      <c r="AM517" s="430"/>
      <c r="AN517" s="430"/>
      <c r="AO517" s="430"/>
      <c r="AP517" s="430"/>
      <c r="AQ517" s="430"/>
      <c r="AR517" s="430"/>
      <c r="AS517" s="430"/>
      <c r="AT517" s="430"/>
      <c r="AU517" s="430"/>
      <c r="AV517" s="430"/>
      <c r="AW517" s="430"/>
      <c r="AX517" s="430"/>
      <c r="AY517" s="430"/>
      <c r="AZ517" s="430"/>
      <c r="BA517" s="430"/>
      <c r="BB517" s="430"/>
      <c r="BC517" s="430"/>
      <c r="BD517" s="430"/>
      <c r="BE517" s="430"/>
    </row>
    <row r="518" spans="1:57" ht="15.75" customHeight="1">
      <c r="A518" s="430"/>
      <c r="B518" s="430"/>
      <c r="C518" s="430"/>
      <c r="D518" s="430"/>
      <c r="E518" s="430"/>
      <c r="F518" s="430"/>
      <c r="G518" s="430"/>
      <c r="H518" s="430"/>
      <c r="I518" s="430"/>
      <c r="J518" s="430"/>
      <c r="K518" s="430"/>
      <c r="L518" s="430"/>
      <c r="M518" s="430"/>
      <c r="N518" s="430"/>
      <c r="O518" s="430"/>
      <c r="P518" s="430"/>
      <c r="Q518" s="430"/>
      <c r="R518" s="430"/>
      <c r="S518" s="430"/>
      <c r="T518" s="430"/>
      <c r="U518" s="430"/>
      <c r="V518" s="430"/>
      <c r="W518" s="430"/>
      <c r="X518" s="430"/>
      <c r="Y518" s="430"/>
      <c r="Z518" s="430"/>
      <c r="AA518" s="430"/>
      <c r="AB518" s="430"/>
      <c r="AC518" s="430"/>
      <c r="AD518" s="430"/>
      <c r="AE518" s="430"/>
      <c r="AF518" s="430"/>
      <c r="AG518" s="430"/>
      <c r="AH518" s="430"/>
      <c r="AI518" s="430"/>
      <c r="AJ518" s="430"/>
      <c r="AK518" s="430"/>
      <c r="AL518" s="430"/>
      <c r="AM518" s="430"/>
      <c r="AN518" s="430"/>
      <c r="AO518" s="430"/>
      <c r="AP518" s="430"/>
      <c r="AQ518" s="430"/>
      <c r="AR518" s="430"/>
      <c r="AS518" s="430"/>
      <c r="AT518" s="430"/>
      <c r="AU518" s="430"/>
      <c r="AV518" s="430"/>
      <c r="AW518" s="430"/>
      <c r="AX518" s="430"/>
      <c r="AY518" s="430"/>
      <c r="AZ518" s="430"/>
      <c r="BA518" s="430"/>
      <c r="BB518" s="430"/>
      <c r="BC518" s="430"/>
      <c r="BD518" s="430"/>
      <c r="BE518" s="430"/>
    </row>
    <row r="519" spans="1:57" ht="15.75" customHeight="1">
      <c r="A519" s="430"/>
      <c r="B519" s="430"/>
      <c r="C519" s="430"/>
      <c r="D519" s="430"/>
      <c r="E519" s="430"/>
      <c r="F519" s="430"/>
      <c r="G519" s="430"/>
      <c r="H519" s="430"/>
      <c r="I519" s="430"/>
      <c r="J519" s="430"/>
      <c r="K519" s="430"/>
      <c r="L519" s="430"/>
      <c r="M519" s="430"/>
      <c r="N519" s="430"/>
      <c r="O519" s="430"/>
      <c r="P519" s="430"/>
      <c r="Q519" s="430"/>
      <c r="R519" s="430"/>
      <c r="S519" s="430"/>
      <c r="T519" s="430"/>
      <c r="U519" s="430"/>
      <c r="V519" s="430"/>
      <c r="W519" s="430"/>
      <c r="X519" s="430"/>
      <c r="Y519" s="430"/>
      <c r="Z519" s="430"/>
      <c r="AA519" s="430"/>
      <c r="AB519" s="430"/>
      <c r="AC519" s="430"/>
      <c r="AD519" s="430"/>
      <c r="AE519" s="430"/>
      <c r="AF519" s="430"/>
      <c r="AG519" s="430"/>
      <c r="AH519" s="430"/>
      <c r="AI519" s="430"/>
      <c r="AJ519" s="430"/>
      <c r="AK519" s="430"/>
      <c r="AL519" s="430"/>
      <c r="AM519" s="430"/>
      <c r="AN519" s="430"/>
      <c r="AO519" s="430"/>
      <c r="AP519" s="430"/>
      <c r="AQ519" s="430"/>
      <c r="AR519" s="430"/>
      <c r="AS519" s="430"/>
      <c r="AT519" s="430"/>
      <c r="AU519" s="430"/>
      <c r="AV519" s="430"/>
      <c r="AW519" s="430"/>
      <c r="AX519" s="430"/>
      <c r="AY519" s="430"/>
      <c r="AZ519" s="430"/>
      <c r="BA519" s="430"/>
      <c r="BB519" s="430"/>
      <c r="BC519" s="430"/>
      <c r="BD519" s="430"/>
      <c r="BE519" s="430"/>
    </row>
    <row r="520" spans="1:57" ht="15.75" customHeight="1">
      <c r="A520" s="430"/>
      <c r="B520" s="430"/>
      <c r="C520" s="430"/>
      <c r="D520" s="430"/>
      <c r="E520" s="430"/>
      <c r="F520" s="430"/>
      <c r="G520" s="430"/>
      <c r="H520" s="430"/>
      <c r="I520" s="430"/>
      <c r="J520" s="430"/>
      <c r="K520" s="430"/>
      <c r="L520" s="430"/>
      <c r="M520" s="430"/>
      <c r="N520" s="430"/>
      <c r="O520" s="430"/>
      <c r="P520" s="430"/>
      <c r="Q520" s="430"/>
      <c r="R520" s="430"/>
      <c r="S520" s="430"/>
      <c r="T520" s="430"/>
      <c r="U520" s="430"/>
      <c r="V520" s="430"/>
      <c r="W520" s="430"/>
      <c r="X520" s="430"/>
      <c r="Y520" s="430"/>
      <c r="Z520" s="430"/>
      <c r="AA520" s="430"/>
      <c r="AB520" s="430"/>
      <c r="AC520" s="430"/>
      <c r="AD520" s="430"/>
      <c r="AE520" s="430"/>
      <c r="AF520" s="430"/>
      <c r="AG520" s="430"/>
      <c r="AH520" s="430"/>
      <c r="AI520" s="430"/>
      <c r="AJ520" s="430"/>
      <c r="AK520" s="430"/>
      <c r="AL520" s="430"/>
      <c r="AM520" s="430"/>
      <c r="AN520" s="430"/>
      <c r="AO520" s="430"/>
      <c r="AP520" s="430"/>
      <c r="AQ520" s="430"/>
      <c r="AR520" s="430"/>
      <c r="AS520" s="430"/>
      <c r="AT520" s="430"/>
      <c r="AU520" s="430"/>
      <c r="AV520" s="430"/>
      <c r="AW520" s="430"/>
      <c r="AX520" s="430"/>
      <c r="AY520" s="430"/>
      <c r="AZ520" s="430"/>
      <c r="BA520" s="430"/>
      <c r="BB520" s="430"/>
      <c r="BC520" s="430"/>
      <c r="BD520" s="430"/>
      <c r="BE520" s="430"/>
    </row>
    <row r="521" spans="1:57" ht="15.75" customHeight="1">
      <c r="A521" s="430"/>
      <c r="B521" s="430"/>
      <c r="C521" s="430"/>
      <c r="D521" s="430"/>
      <c r="E521" s="430"/>
      <c r="F521" s="430"/>
      <c r="G521" s="430"/>
      <c r="H521" s="430"/>
      <c r="I521" s="430"/>
      <c r="J521" s="430"/>
      <c r="K521" s="430"/>
      <c r="L521" s="430"/>
      <c r="M521" s="430"/>
      <c r="N521" s="430"/>
      <c r="O521" s="430"/>
      <c r="P521" s="430"/>
      <c r="Q521" s="430"/>
      <c r="R521" s="430"/>
      <c r="S521" s="430"/>
      <c r="T521" s="430"/>
      <c r="U521" s="430"/>
      <c r="V521" s="430"/>
      <c r="W521" s="430"/>
      <c r="X521" s="430"/>
      <c r="Y521" s="430"/>
      <c r="Z521" s="430"/>
      <c r="AA521" s="430"/>
      <c r="AB521" s="430"/>
      <c r="AC521" s="430"/>
      <c r="AD521" s="430"/>
      <c r="AE521" s="430"/>
      <c r="AF521" s="430"/>
      <c r="AG521" s="430"/>
      <c r="AH521" s="430"/>
      <c r="AI521" s="430"/>
      <c r="AJ521" s="430"/>
      <c r="AK521" s="430"/>
      <c r="AL521" s="430"/>
      <c r="AM521" s="430"/>
      <c r="AN521" s="430"/>
      <c r="AO521" s="430"/>
      <c r="AP521" s="430"/>
      <c r="AQ521" s="430"/>
      <c r="AR521" s="430"/>
      <c r="AS521" s="430"/>
      <c r="AT521" s="430"/>
      <c r="AU521" s="430"/>
      <c r="AV521" s="430"/>
      <c r="AW521" s="430"/>
      <c r="AX521" s="430"/>
      <c r="AY521" s="430"/>
      <c r="AZ521" s="430"/>
      <c r="BA521" s="430"/>
      <c r="BB521" s="430"/>
      <c r="BC521" s="430"/>
      <c r="BD521" s="430"/>
      <c r="BE521" s="430"/>
    </row>
    <row r="522" spans="1:57" ht="15.75" customHeight="1">
      <c r="A522" s="430"/>
      <c r="B522" s="430"/>
      <c r="C522" s="430"/>
      <c r="D522" s="430"/>
      <c r="E522" s="430"/>
      <c r="F522" s="430"/>
      <c r="G522" s="430"/>
      <c r="H522" s="430"/>
      <c r="I522" s="430"/>
      <c r="J522" s="430"/>
      <c r="K522" s="430"/>
      <c r="L522" s="430"/>
      <c r="M522" s="430"/>
      <c r="N522" s="430"/>
      <c r="O522" s="430"/>
      <c r="P522" s="430"/>
      <c r="Q522" s="430"/>
      <c r="R522" s="430"/>
      <c r="S522" s="430"/>
      <c r="T522" s="430"/>
      <c r="U522" s="430"/>
      <c r="V522" s="430"/>
      <c r="W522" s="430"/>
      <c r="X522" s="430"/>
      <c r="Y522" s="430"/>
      <c r="Z522" s="430"/>
      <c r="AA522" s="430"/>
      <c r="AB522" s="430"/>
      <c r="AC522" s="430"/>
      <c r="AD522" s="430"/>
      <c r="AE522" s="430"/>
      <c r="AF522" s="430"/>
      <c r="AG522" s="430"/>
      <c r="AH522" s="430"/>
      <c r="AI522" s="430"/>
      <c r="AJ522" s="430"/>
      <c r="AK522" s="430"/>
      <c r="AL522" s="430"/>
      <c r="AM522" s="430"/>
      <c r="AN522" s="430"/>
      <c r="AO522" s="430"/>
      <c r="AP522" s="430"/>
      <c r="AQ522" s="430"/>
      <c r="AR522" s="430"/>
      <c r="AS522" s="430"/>
      <c r="AT522" s="430"/>
      <c r="AU522" s="430"/>
      <c r="AV522" s="430"/>
      <c r="AW522" s="430"/>
      <c r="AX522" s="430"/>
      <c r="AY522" s="430"/>
      <c r="AZ522" s="430"/>
      <c r="BA522" s="430"/>
      <c r="BB522" s="430"/>
      <c r="BC522" s="430"/>
      <c r="BD522" s="430"/>
      <c r="BE522" s="430"/>
    </row>
    <row r="523" spans="1:57" ht="15.75" customHeight="1">
      <c r="A523" s="430"/>
      <c r="B523" s="430"/>
      <c r="C523" s="430"/>
      <c r="D523" s="430"/>
      <c r="E523" s="430"/>
      <c r="F523" s="430"/>
      <c r="G523" s="430"/>
      <c r="H523" s="430"/>
      <c r="I523" s="430"/>
      <c r="J523" s="430"/>
      <c r="K523" s="430"/>
      <c r="L523" s="430"/>
      <c r="M523" s="430"/>
      <c r="N523" s="430"/>
      <c r="O523" s="430"/>
      <c r="P523" s="430"/>
      <c r="Q523" s="430"/>
      <c r="R523" s="430"/>
      <c r="S523" s="430"/>
      <c r="T523" s="430"/>
      <c r="U523" s="430"/>
      <c r="V523" s="430"/>
      <c r="W523" s="430"/>
      <c r="X523" s="430"/>
      <c r="Y523" s="430"/>
      <c r="Z523" s="430"/>
      <c r="AA523" s="430"/>
      <c r="AB523" s="430"/>
      <c r="AC523" s="430"/>
      <c r="AD523" s="430"/>
      <c r="AE523" s="430"/>
      <c r="AF523" s="430"/>
      <c r="AG523" s="430"/>
      <c r="AH523" s="430"/>
      <c r="AI523" s="430"/>
      <c r="AJ523" s="430"/>
      <c r="AK523" s="430"/>
      <c r="AL523" s="430"/>
      <c r="AM523" s="430"/>
      <c r="AN523" s="430"/>
      <c r="AO523" s="430"/>
      <c r="AP523" s="430"/>
      <c r="AQ523" s="430"/>
      <c r="AR523" s="430"/>
      <c r="AS523" s="430"/>
      <c r="AT523" s="430"/>
      <c r="AU523" s="430"/>
      <c r="AV523" s="430"/>
      <c r="AW523" s="430"/>
      <c r="AX523" s="430"/>
      <c r="AY523" s="430"/>
      <c r="AZ523" s="430"/>
      <c r="BA523" s="430"/>
      <c r="BB523" s="430"/>
      <c r="BC523" s="430"/>
      <c r="BD523" s="430"/>
      <c r="BE523" s="430"/>
    </row>
    <row r="524" spans="1:57" ht="15.75" customHeight="1">
      <c r="A524" s="430"/>
      <c r="B524" s="430"/>
      <c r="C524" s="430"/>
      <c r="D524" s="430"/>
      <c r="E524" s="430"/>
      <c r="F524" s="430"/>
      <c r="G524" s="430"/>
      <c r="H524" s="430"/>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0"/>
      <c r="AK524" s="430"/>
      <c r="AL524" s="430"/>
      <c r="AM524" s="430"/>
      <c r="AN524" s="430"/>
      <c r="AO524" s="430"/>
      <c r="AP524" s="430"/>
      <c r="AQ524" s="430"/>
      <c r="AR524" s="430"/>
      <c r="AS524" s="430"/>
      <c r="AT524" s="430"/>
      <c r="AU524" s="430"/>
      <c r="AV524" s="430"/>
      <c r="AW524" s="430"/>
      <c r="AX524" s="430"/>
      <c r="AY524" s="430"/>
      <c r="AZ524" s="430"/>
      <c r="BA524" s="430"/>
      <c r="BB524" s="430"/>
      <c r="BC524" s="430"/>
      <c r="BD524" s="430"/>
      <c r="BE524" s="430"/>
    </row>
    <row r="525" spans="1:57" ht="15.75" customHeight="1">
      <c r="A525" s="430"/>
      <c r="B525" s="430"/>
      <c r="C525" s="430"/>
      <c r="D525" s="430"/>
      <c r="E525" s="430"/>
      <c r="F525" s="430"/>
      <c r="G525" s="430"/>
      <c r="H525" s="430"/>
      <c r="I525" s="430"/>
      <c r="J525" s="430"/>
      <c r="K525" s="430"/>
      <c r="L525" s="430"/>
      <c r="M525" s="430"/>
      <c r="N525" s="430"/>
      <c r="O525" s="430"/>
      <c r="P525" s="430"/>
      <c r="Q525" s="430"/>
      <c r="R525" s="430"/>
      <c r="S525" s="430"/>
      <c r="T525" s="430"/>
      <c r="U525" s="430"/>
      <c r="V525" s="430"/>
      <c r="W525" s="430"/>
      <c r="X525" s="430"/>
      <c r="Y525" s="430"/>
      <c r="Z525" s="430"/>
      <c r="AA525" s="430"/>
      <c r="AB525" s="430"/>
      <c r="AC525" s="430"/>
      <c r="AD525" s="430"/>
      <c r="AE525" s="430"/>
      <c r="AF525" s="430"/>
      <c r="AG525" s="430"/>
      <c r="AH525" s="430"/>
      <c r="AI525" s="430"/>
      <c r="AJ525" s="430"/>
      <c r="AK525" s="430"/>
      <c r="AL525" s="430"/>
      <c r="AM525" s="430"/>
      <c r="AN525" s="430"/>
      <c r="AO525" s="430"/>
      <c r="AP525" s="430"/>
      <c r="AQ525" s="430"/>
      <c r="AR525" s="430"/>
      <c r="AS525" s="430"/>
      <c r="AT525" s="430"/>
      <c r="AU525" s="430"/>
      <c r="AV525" s="430"/>
      <c r="AW525" s="430"/>
      <c r="AX525" s="430"/>
      <c r="AY525" s="430"/>
      <c r="AZ525" s="430"/>
      <c r="BA525" s="430"/>
      <c r="BB525" s="430"/>
      <c r="BC525" s="430"/>
      <c r="BD525" s="430"/>
      <c r="BE525" s="430"/>
    </row>
    <row r="526" spans="1:57" ht="15.75" customHeight="1">
      <c r="A526" s="430"/>
      <c r="B526" s="430"/>
      <c r="C526" s="430"/>
      <c r="D526" s="430"/>
      <c r="E526" s="430"/>
      <c r="F526" s="430"/>
      <c r="G526" s="430"/>
      <c r="H526" s="430"/>
      <c r="I526" s="430"/>
      <c r="J526" s="430"/>
      <c r="K526" s="430"/>
      <c r="L526" s="430"/>
      <c r="M526" s="430"/>
      <c r="N526" s="430"/>
      <c r="O526" s="430"/>
      <c r="P526" s="430"/>
      <c r="Q526" s="430"/>
      <c r="R526" s="430"/>
      <c r="S526" s="430"/>
      <c r="T526" s="430"/>
      <c r="U526" s="430"/>
      <c r="V526" s="430"/>
      <c r="W526" s="430"/>
      <c r="X526" s="430"/>
      <c r="Y526" s="430"/>
      <c r="Z526" s="430"/>
      <c r="AA526" s="430"/>
      <c r="AB526" s="430"/>
      <c r="AC526" s="430"/>
      <c r="AD526" s="430"/>
      <c r="AE526" s="430"/>
      <c r="AF526" s="430"/>
      <c r="AG526" s="430"/>
      <c r="AH526" s="430"/>
      <c r="AI526" s="430"/>
      <c r="AJ526" s="430"/>
      <c r="AK526" s="430"/>
      <c r="AL526" s="430"/>
      <c r="AM526" s="430"/>
      <c r="AN526" s="430"/>
      <c r="AO526" s="430"/>
      <c r="AP526" s="430"/>
      <c r="AQ526" s="430"/>
      <c r="AR526" s="430"/>
      <c r="AS526" s="430"/>
      <c r="AT526" s="430"/>
      <c r="AU526" s="430"/>
      <c r="AV526" s="430"/>
      <c r="AW526" s="430"/>
      <c r="AX526" s="430"/>
      <c r="AY526" s="430"/>
      <c r="AZ526" s="430"/>
      <c r="BA526" s="430"/>
      <c r="BB526" s="430"/>
      <c r="BC526" s="430"/>
      <c r="BD526" s="430"/>
      <c r="BE526" s="430"/>
    </row>
    <row r="527" spans="1:57" ht="15.75" customHeight="1">
      <c r="A527" s="430"/>
      <c r="B527" s="430"/>
      <c r="C527" s="430"/>
      <c r="D527" s="430"/>
      <c r="E527" s="430"/>
      <c r="F527" s="430"/>
      <c r="G527" s="430"/>
      <c r="H527" s="430"/>
      <c r="I527" s="430"/>
      <c r="J527" s="430"/>
      <c r="K527" s="430"/>
      <c r="L527" s="430"/>
      <c r="M527" s="430"/>
      <c r="N527" s="430"/>
      <c r="O527" s="430"/>
      <c r="P527" s="430"/>
      <c r="Q527" s="430"/>
      <c r="R527" s="430"/>
      <c r="S527" s="430"/>
      <c r="T527" s="430"/>
      <c r="U527" s="430"/>
      <c r="V527" s="430"/>
      <c r="W527" s="430"/>
      <c r="X527" s="430"/>
      <c r="Y527" s="430"/>
      <c r="Z527" s="430"/>
      <c r="AA527" s="430"/>
      <c r="AB527" s="430"/>
      <c r="AC527" s="430"/>
      <c r="AD527" s="430"/>
      <c r="AE527" s="430"/>
      <c r="AF527" s="430"/>
      <c r="AG527" s="430"/>
      <c r="AH527" s="430"/>
      <c r="AI527" s="430"/>
      <c r="AJ527" s="430"/>
      <c r="AK527" s="430"/>
      <c r="AL527" s="430"/>
      <c r="AM527" s="430"/>
      <c r="AN527" s="430"/>
      <c r="AO527" s="430"/>
      <c r="AP527" s="430"/>
      <c r="AQ527" s="430"/>
      <c r="AR527" s="430"/>
      <c r="AS527" s="430"/>
      <c r="AT527" s="430"/>
      <c r="AU527" s="430"/>
      <c r="AV527" s="430"/>
      <c r="AW527" s="430"/>
      <c r="AX527" s="430"/>
      <c r="AY527" s="430"/>
      <c r="AZ527" s="430"/>
      <c r="BA527" s="430"/>
      <c r="BB527" s="430"/>
      <c r="BC527" s="430"/>
      <c r="BD527" s="430"/>
      <c r="BE527" s="430"/>
    </row>
    <row r="528" spans="1:57" ht="15.75" customHeight="1">
      <c r="A528" s="430"/>
      <c r="B528" s="430"/>
      <c r="C528" s="430"/>
      <c r="D528" s="430"/>
      <c r="E528" s="430"/>
      <c r="F528" s="430"/>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430"/>
      <c r="AN528" s="430"/>
      <c r="AO528" s="430"/>
      <c r="AP528" s="430"/>
      <c r="AQ528" s="430"/>
      <c r="AR528" s="430"/>
      <c r="AS528" s="430"/>
      <c r="AT528" s="430"/>
      <c r="AU528" s="430"/>
      <c r="AV528" s="430"/>
      <c r="AW528" s="430"/>
      <c r="AX528" s="430"/>
      <c r="AY528" s="430"/>
      <c r="AZ528" s="430"/>
      <c r="BA528" s="430"/>
      <c r="BB528" s="430"/>
      <c r="BC528" s="430"/>
      <c r="BD528" s="430"/>
      <c r="BE528" s="430"/>
    </row>
    <row r="529" spans="1:57" ht="15.75" customHeight="1">
      <c r="A529" s="430"/>
      <c r="B529" s="430"/>
      <c r="C529" s="430"/>
      <c r="D529" s="430"/>
      <c r="E529" s="430"/>
      <c r="F529" s="430"/>
      <c r="G529" s="430"/>
      <c r="H529" s="430"/>
      <c r="I529" s="430"/>
      <c r="J529" s="430"/>
      <c r="K529" s="430"/>
      <c r="L529" s="430"/>
      <c r="M529" s="430"/>
      <c r="N529" s="430"/>
      <c r="O529" s="430"/>
      <c r="P529" s="430"/>
      <c r="Q529" s="430"/>
      <c r="R529" s="430"/>
      <c r="S529" s="430"/>
      <c r="T529" s="430"/>
      <c r="U529" s="430"/>
      <c r="V529" s="430"/>
      <c r="W529" s="430"/>
      <c r="X529" s="430"/>
      <c r="Y529" s="430"/>
      <c r="Z529" s="430"/>
      <c r="AA529" s="430"/>
      <c r="AB529" s="430"/>
      <c r="AC529" s="430"/>
      <c r="AD529" s="430"/>
      <c r="AE529" s="430"/>
      <c r="AF529" s="430"/>
      <c r="AG529" s="430"/>
      <c r="AH529" s="430"/>
      <c r="AI529" s="430"/>
      <c r="AJ529" s="430"/>
      <c r="AK529" s="430"/>
      <c r="AL529" s="430"/>
      <c r="AM529" s="430"/>
      <c r="AN529" s="430"/>
      <c r="AO529" s="430"/>
      <c r="AP529" s="430"/>
      <c r="AQ529" s="430"/>
      <c r="AR529" s="430"/>
      <c r="AS529" s="430"/>
      <c r="AT529" s="430"/>
      <c r="AU529" s="430"/>
      <c r="AV529" s="430"/>
      <c r="AW529" s="430"/>
      <c r="AX529" s="430"/>
      <c r="AY529" s="430"/>
      <c r="AZ529" s="430"/>
      <c r="BA529" s="430"/>
      <c r="BB529" s="430"/>
      <c r="BC529" s="430"/>
      <c r="BD529" s="430"/>
      <c r="BE529" s="430"/>
    </row>
    <row r="530" spans="1:57" ht="15.75" customHeight="1">
      <c r="A530" s="430"/>
      <c r="B530" s="430"/>
      <c r="C530" s="430"/>
      <c r="D530" s="430"/>
      <c r="E530" s="430"/>
      <c r="F530" s="430"/>
      <c r="G530" s="430"/>
      <c r="H530" s="430"/>
      <c r="I530" s="430"/>
      <c r="J530" s="430"/>
      <c r="K530" s="430"/>
      <c r="L530" s="430"/>
      <c r="M530" s="430"/>
      <c r="N530" s="430"/>
      <c r="O530" s="430"/>
      <c r="P530" s="430"/>
      <c r="Q530" s="430"/>
      <c r="R530" s="430"/>
      <c r="S530" s="430"/>
      <c r="T530" s="430"/>
      <c r="U530" s="430"/>
      <c r="V530" s="430"/>
      <c r="W530" s="430"/>
      <c r="X530" s="430"/>
      <c r="Y530" s="430"/>
      <c r="Z530" s="430"/>
      <c r="AA530" s="430"/>
      <c r="AB530" s="430"/>
      <c r="AC530" s="430"/>
      <c r="AD530" s="430"/>
      <c r="AE530" s="430"/>
      <c r="AF530" s="430"/>
      <c r="AG530" s="430"/>
      <c r="AH530" s="430"/>
      <c r="AI530" s="430"/>
      <c r="AJ530" s="430"/>
      <c r="AK530" s="430"/>
      <c r="AL530" s="430"/>
      <c r="AM530" s="430"/>
      <c r="AN530" s="430"/>
      <c r="AO530" s="430"/>
      <c r="AP530" s="430"/>
      <c r="AQ530" s="430"/>
      <c r="AR530" s="430"/>
      <c r="AS530" s="430"/>
      <c r="AT530" s="430"/>
      <c r="AU530" s="430"/>
      <c r="AV530" s="430"/>
      <c r="AW530" s="430"/>
      <c r="AX530" s="430"/>
      <c r="AY530" s="430"/>
      <c r="AZ530" s="430"/>
      <c r="BA530" s="430"/>
      <c r="BB530" s="430"/>
      <c r="BC530" s="430"/>
      <c r="BD530" s="430"/>
      <c r="BE530" s="430"/>
    </row>
    <row r="531" spans="1:57" ht="15.75" customHeight="1">
      <c r="A531" s="430"/>
      <c r="B531" s="430"/>
      <c r="C531" s="430"/>
      <c r="D531" s="430"/>
      <c r="E531" s="430"/>
      <c r="F531" s="430"/>
      <c r="G531" s="430"/>
      <c r="H531" s="430"/>
      <c r="I531" s="430"/>
      <c r="J531" s="430"/>
      <c r="K531" s="430"/>
      <c r="L531" s="430"/>
      <c r="M531" s="430"/>
      <c r="N531" s="430"/>
      <c r="O531" s="430"/>
      <c r="P531" s="430"/>
      <c r="Q531" s="430"/>
      <c r="R531" s="430"/>
      <c r="S531" s="430"/>
      <c r="T531" s="430"/>
      <c r="U531" s="430"/>
      <c r="V531" s="430"/>
      <c r="W531" s="430"/>
      <c r="X531" s="430"/>
      <c r="Y531" s="430"/>
      <c r="Z531" s="430"/>
      <c r="AA531" s="430"/>
      <c r="AB531" s="430"/>
      <c r="AC531" s="430"/>
      <c r="AD531" s="430"/>
      <c r="AE531" s="430"/>
      <c r="AF531" s="430"/>
      <c r="AG531" s="430"/>
      <c r="AH531" s="430"/>
      <c r="AI531" s="430"/>
      <c r="AJ531" s="430"/>
      <c r="AK531" s="430"/>
      <c r="AL531" s="430"/>
      <c r="AM531" s="430"/>
      <c r="AN531" s="430"/>
      <c r="AO531" s="430"/>
      <c r="AP531" s="430"/>
      <c r="AQ531" s="430"/>
      <c r="AR531" s="430"/>
      <c r="AS531" s="430"/>
      <c r="AT531" s="430"/>
      <c r="AU531" s="430"/>
      <c r="AV531" s="430"/>
      <c r="AW531" s="430"/>
      <c r="AX531" s="430"/>
      <c r="AY531" s="430"/>
      <c r="AZ531" s="430"/>
      <c r="BA531" s="430"/>
      <c r="BB531" s="430"/>
      <c r="BC531" s="430"/>
      <c r="BD531" s="430"/>
      <c r="BE531" s="430"/>
    </row>
    <row r="532" spans="1:57" ht="15.75" customHeight="1">
      <c r="A532" s="430"/>
      <c r="B532" s="430"/>
      <c r="C532" s="430"/>
      <c r="D532" s="430"/>
      <c r="E532" s="430"/>
      <c r="F532" s="430"/>
      <c r="G532" s="430"/>
      <c r="H532" s="430"/>
      <c r="I532" s="430"/>
      <c r="J532" s="430"/>
      <c r="K532" s="430"/>
      <c r="L532" s="430"/>
      <c r="M532" s="430"/>
      <c r="N532" s="430"/>
      <c r="O532" s="430"/>
      <c r="P532" s="430"/>
      <c r="Q532" s="430"/>
      <c r="R532" s="430"/>
      <c r="S532" s="430"/>
      <c r="T532" s="430"/>
      <c r="U532" s="430"/>
      <c r="V532" s="430"/>
      <c r="W532" s="430"/>
      <c r="X532" s="430"/>
      <c r="Y532" s="430"/>
      <c r="Z532" s="430"/>
      <c r="AA532" s="430"/>
      <c r="AB532" s="430"/>
      <c r="AC532" s="430"/>
      <c r="AD532" s="430"/>
      <c r="AE532" s="430"/>
      <c r="AF532" s="430"/>
      <c r="AG532" s="430"/>
      <c r="AH532" s="430"/>
      <c r="AI532" s="430"/>
      <c r="AJ532" s="430"/>
      <c r="AK532" s="430"/>
      <c r="AL532" s="430"/>
      <c r="AM532" s="430"/>
      <c r="AN532" s="430"/>
      <c r="AO532" s="430"/>
      <c r="AP532" s="430"/>
      <c r="AQ532" s="430"/>
      <c r="AR532" s="430"/>
      <c r="AS532" s="430"/>
      <c r="AT532" s="430"/>
      <c r="AU532" s="430"/>
      <c r="AV532" s="430"/>
      <c r="AW532" s="430"/>
      <c r="AX532" s="430"/>
      <c r="AY532" s="430"/>
      <c r="AZ532" s="430"/>
      <c r="BA532" s="430"/>
      <c r="BB532" s="430"/>
      <c r="BC532" s="430"/>
      <c r="BD532" s="430"/>
      <c r="BE532" s="430"/>
    </row>
    <row r="533" spans="1:57" ht="15.75" customHeight="1">
      <c r="A533" s="430"/>
      <c r="B533" s="430"/>
      <c r="C533" s="430"/>
      <c r="D533" s="430"/>
      <c r="E533" s="430"/>
      <c r="F533" s="430"/>
      <c r="G533" s="430"/>
      <c r="H533" s="430"/>
      <c r="I533" s="430"/>
      <c r="J533" s="430"/>
      <c r="K533" s="430"/>
      <c r="L533" s="430"/>
      <c r="M533" s="430"/>
      <c r="N533" s="430"/>
      <c r="O533" s="430"/>
      <c r="P533" s="430"/>
      <c r="Q533" s="430"/>
      <c r="R533" s="430"/>
      <c r="S533" s="430"/>
      <c r="T533" s="430"/>
      <c r="U533" s="430"/>
      <c r="V533" s="430"/>
      <c r="W533" s="430"/>
      <c r="X533" s="430"/>
      <c r="Y533" s="430"/>
      <c r="Z533" s="430"/>
      <c r="AA533" s="430"/>
      <c r="AB533" s="430"/>
      <c r="AC533" s="430"/>
      <c r="AD533" s="430"/>
      <c r="AE533" s="430"/>
      <c r="AF533" s="430"/>
      <c r="AG533" s="430"/>
      <c r="AH533" s="430"/>
      <c r="AI533" s="430"/>
      <c r="AJ533" s="430"/>
      <c r="AK533" s="430"/>
      <c r="AL533" s="430"/>
      <c r="AM533" s="430"/>
      <c r="AN533" s="430"/>
      <c r="AO533" s="430"/>
      <c r="AP533" s="430"/>
      <c r="AQ533" s="430"/>
      <c r="AR533" s="430"/>
      <c r="AS533" s="430"/>
      <c r="AT533" s="430"/>
      <c r="AU533" s="430"/>
      <c r="AV533" s="430"/>
      <c r="AW533" s="430"/>
      <c r="AX533" s="430"/>
      <c r="AY533" s="430"/>
      <c r="AZ533" s="430"/>
      <c r="BA533" s="430"/>
      <c r="BB533" s="430"/>
      <c r="BC533" s="430"/>
      <c r="BD533" s="430"/>
      <c r="BE533" s="430"/>
    </row>
    <row r="534" spans="1:57" ht="15.75" customHeight="1">
      <c r="A534" s="430"/>
      <c r="B534" s="430"/>
      <c r="C534" s="430"/>
      <c r="D534" s="430"/>
      <c r="E534" s="430"/>
      <c r="F534" s="430"/>
      <c r="G534" s="430"/>
      <c r="H534" s="430"/>
      <c r="I534" s="430"/>
      <c r="J534" s="430"/>
      <c r="K534" s="430"/>
      <c r="L534" s="430"/>
      <c r="M534" s="430"/>
      <c r="N534" s="430"/>
      <c r="O534" s="430"/>
      <c r="P534" s="430"/>
      <c r="Q534" s="430"/>
      <c r="R534" s="430"/>
      <c r="S534" s="430"/>
      <c r="T534" s="430"/>
      <c r="U534" s="430"/>
      <c r="V534" s="430"/>
      <c r="W534" s="430"/>
      <c r="X534" s="430"/>
      <c r="Y534" s="430"/>
      <c r="Z534" s="430"/>
      <c r="AA534" s="430"/>
      <c r="AB534" s="430"/>
      <c r="AC534" s="430"/>
      <c r="AD534" s="430"/>
      <c r="AE534" s="430"/>
      <c r="AF534" s="430"/>
      <c r="AG534" s="430"/>
      <c r="AH534" s="430"/>
      <c r="AI534" s="430"/>
      <c r="AJ534" s="430"/>
      <c r="AK534" s="430"/>
      <c r="AL534" s="430"/>
      <c r="AM534" s="430"/>
      <c r="AN534" s="430"/>
      <c r="AO534" s="430"/>
      <c r="AP534" s="430"/>
      <c r="AQ534" s="430"/>
      <c r="AR534" s="430"/>
      <c r="AS534" s="430"/>
      <c r="AT534" s="430"/>
      <c r="AU534" s="430"/>
      <c r="AV534" s="430"/>
      <c r="AW534" s="430"/>
      <c r="AX534" s="430"/>
      <c r="AY534" s="430"/>
      <c r="AZ534" s="430"/>
      <c r="BA534" s="430"/>
      <c r="BB534" s="430"/>
      <c r="BC534" s="430"/>
      <c r="BD534" s="430"/>
      <c r="BE534" s="430"/>
    </row>
    <row r="535" spans="1:57" ht="15.75" customHeight="1">
      <c r="A535" s="430"/>
      <c r="B535" s="430"/>
      <c r="C535" s="430"/>
      <c r="D535" s="430"/>
      <c r="E535" s="430"/>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0"/>
      <c r="AY535" s="430"/>
      <c r="AZ535" s="430"/>
      <c r="BA535" s="430"/>
      <c r="BB535" s="430"/>
      <c r="BC535" s="430"/>
      <c r="BD535" s="430"/>
      <c r="BE535" s="430"/>
    </row>
    <row r="536" spans="1:57" ht="15.75" customHeight="1">
      <c r="A536" s="430"/>
      <c r="B536" s="430"/>
      <c r="C536" s="430"/>
      <c r="D536" s="430"/>
      <c r="E536" s="430"/>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30"/>
      <c r="AY536" s="430"/>
      <c r="AZ536" s="430"/>
      <c r="BA536" s="430"/>
      <c r="BB536" s="430"/>
      <c r="BC536" s="430"/>
      <c r="BD536" s="430"/>
      <c r="BE536" s="430"/>
    </row>
    <row r="537" spans="1:57" ht="15.75" customHeight="1">
      <c r="A537" s="430"/>
      <c r="B537" s="430"/>
      <c r="C537" s="430"/>
      <c r="D537" s="430"/>
      <c r="E537" s="430"/>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30"/>
      <c r="AY537" s="430"/>
      <c r="AZ537" s="430"/>
      <c r="BA537" s="430"/>
      <c r="BB537" s="430"/>
      <c r="BC537" s="430"/>
      <c r="BD537" s="430"/>
      <c r="BE537" s="430"/>
    </row>
    <row r="538" spans="1:57" ht="15.75" customHeight="1">
      <c r="A538" s="430"/>
      <c r="B538" s="430"/>
      <c r="C538" s="430"/>
      <c r="D538" s="430"/>
      <c r="E538" s="430"/>
      <c r="F538" s="430"/>
      <c r="G538" s="430"/>
      <c r="H538" s="430"/>
      <c r="I538" s="430"/>
      <c r="J538" s="430"/>
      <c r="K538" s="430"/>
      <c r="L538" s="430"/>
      <c r="M538" s="430"/>
      <c r="N538" s="430"/>
      <c r="O538" s="430"/>
      <c r="P538" s="430"/>
      <c r="Q538" s="430"/>
      <c r="R538" s="430"/>
      <c r="S538" s="430"/>
      <c r="T538" s="430"/>
      <c r="U538" s="430"/>
      <c r="V538" s="430"/>
      <c r="W538" s="430"/>
      <c r="X538" s="430"/>
      <c r="Y538" s="430"/>
      <c r="Z538" s="430"/>
      <c r="AA538" s="430"/>
      <c r="AB538" s="430"/>
      <c r="AC538" s="430"/>
      <c r="AD538" s="430"/>
      <c r="AE538" s="430"/>
      <c r="AF538" s="430"/>
      <c r="AG538" s="430"/>
      <c r="AH538" s="430"/>
      <c r="AI538" s="430"/>
      <c r="AJ538" s="430"/>
      <c r="AK538" s="430"/>
      <c r="AL538" s="430"/>
      <c r="AM538" s="430"/>
      <c r="AN538" s="430"/>
      <c r="AO538" s="430"/>
      <c r="AP538" s="430"/>
      <c r="AQ538" s="430"/>
      <c r="AR538" s="430"/>
      <c r="AS538" s="430"/>
      <c r="AT538" s="430"/>
      <c r="AU538" s="430"/>
      <c r="AV538" s="430"/>
      <c r="AW538" s="430"/>
      <c r="AX538" s="430"/>
      <c r="AY538" s="430"/>
      <c r="AZ538" s="430"/>
      <c r="BA538" s="430"/>
      <c r="BB538" s="430"/>
      <c r="BC538" s="430"/>
      <c r="BD538" s="430"/>
      <c r="BE538" s="430"/>
    </row>
    <row r="539" spans="1:57" ht="15.75" customHeight="1">
      <c r="A539" s="430"/>
      <c r="B539" s="430"/>
      <c r="C539" s="430"/>
      <c r="D539" s="430"/>
      <c r="E539" s="430"/>
      <c r="F539" s="430"/>
      <c r="G539" s="430"/>
      <c r="H539" s="430"/>
      <c r="I539" s="430"/>
      <c r="J539" s="430"/>
      <c r="K539" s="430"/>
      <c r="L539" s="430"/>
      <c r="M539" s="430"/>
      <c r="N539" s="430"/>
      <c r="O539" s="430"/>
      <c r="P539" s="430"/>
      <c r="Q539" s="430"/>
      <c r="R539" s="430"/>
      <c r="S539" s="430"/>
      <c r="T539" s="430"/>
      <c r="U539" s="430"/>
      <c r="V539" s="430"/>
      <c r="W539" s="430"/>
      <c r="X539" s="430"/>
      <c r="Y539" s="430"/>
      <c r="Z539" s="430"/>
      <c r="AA539" s="430"/>
      <c r="AB539" s="430"/>
      <c r="AC539" s="430"/>
      <c r="AD539" s="430"/>
      <c r="AE539" s="430"/>
      <c r="AF539" s="430"/>
      <c r="AG539" s="430"/>
      <c r="AH539" s="430"/>
      <c r="AI539" s="430"/>
      <c r="AJ539" s="430"/>
      <c r="AK539" s="430"/>
      <c r="AL539" s="430"/>
      <c r="AM539" s="430"/>
      <c r="AN539" s="430"/>
      <c r="AO539" s="430"/>
      <c r="AP539" s="430"/>
      <c r="AQ539" s="430"/>
      <c r="AR539" s="430"/>
      <c r="AS539" s="430"/>
      <c r="AT539" s="430"/>
      <c r="AU539" s="430"/>
      <c r="AV539" s="430"/>
      <c r="AW539" s="430"/>
      <c r="AX539" s="430"/>
      <c r="AY539" s="430"/>
      <c r="AZ539" s="430"/>
      <c r="BA539" s="430"/>
      <c r="BB539" s="430"/>
      <c r="BC539" s="430"/>
      <c r="BD539" s="430"/>
      <c r="BE539" s="430"/>
    </row>
    <row r="540" spans="1:57" ht="15.75" customHeight="1">
      <c r="A540" s="430"/>
      <c r="B540" s="430"/>
      <c r="C540" s="430"/>
      <c r="D540" s="430"/>
      <c r="E540" s="430"/>
      <c r="F540" s="430"/>
      <c r="G540" s="430"/>
      <c r="H540" s="430"/>
      <c r="I540" s="430"/>
      <c r="J540" s="430"/>
      <c r="K540" s="430"/>
      <c r="L540" s="430"/>
      <c r="M540" s="430"/>
      <c r="N540" s="430"/>
      <c r="O540" s="430"/>
      <c r="P540" s="430"/>
      <c r="Q540" s="430"/>
      <c r="R540" s="430"/>
      <c r="S540" s="430"/>
      <c r="T540" s="430"/>
      <c r="U540" s="430"/>
      <c r="V540" s="430"/>
      <c r="W540" s="430"/>
      <c r="X540" s="430"/>
      <c r="Y540" s="430"/>
      <c r="Z540" s="430"/>
      <c r="AA540" s="430"/>
      <c r="AB540" s="430"/>
      <c r="AC540" s="430"/>
      <c r="AD540" s="430"/>
      <c r="AE540" s="430"/>
      <c r="AF540" s="430"/>
      <c r="AG540" s="430"/>
      <c r="AH540" s="430"/>
      <c r="AI540" s="430"/>
      <c r="AJ540" s="430"/>
      <c r="AK540" s="430"/>
      <c r="AL540" s="430"/>
      <c r="AM540" s="430"/>
      <c r="AN540" s="430"/>
      <c r="AO540" s="430"/>
      <c r="AP540" s="430"/>
      <c r="AQ540" s="430"/>
      <c r="AR540" s="430"/>
      <c r="AS540" s="430"/>
      <c r="AT540" s="430"/>
      <c r="AU540" s="430"/>
      <c r="AV540" s="430"/>
      <c r="AW540" s="430"/>
      <c r="AX540" s="430"/>
      <c r="AY540" s="430"/>
      <c r="AZ540" s="430"/>
      <c r="BA540" s="430"/>
      <c r="BB540" s="430"/>
      <c r="BC540" s="430"/>
      <c r="BD540" s="430"/>
      <c r="BE540" s="430"/>
    </row>
    <row r="541" spans="1:57" ht="15.75" customHeight="1">
      <c r="A541" s="430"/>
      <c r="B541" s="430"/>
      <c r="C541" s="430"/>
      <c r="D541" s="430"/>
      <c r="E541" s="430"/>
      <c r="F541" s="430"/>
      <c r="G541" s="430"/>
      <c r="H541" s="430"/>
      <c r="I541" s="430"/>
      <c r="J541" s="430"/>
      <c r="K541" s="430"/>
      <c r="L541" s="430"/>
      <c r="M541" s="430"/>
      <c r="N541" s="430"/>
      <c r="O541" s="430"/>
      <c r="P541" s="430"/>
      <c r="Q541" s="430"/>
      <c r="R541" s="430"/>
      <c r="S541" s="430"/>
      <c r="T541" s="430"/>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row>
    <row r="542" spans="1:57" ht="15.75" customHeight="1">
      <c r="A542" s="430"/>
      <c r="B542" s="430"/>
      <c r="C542" s="430"/>
      <c r="D542" s="430"/>
      <c r="E542" s="430"/>
      <c r="F542" s="430"/>
      <c r="G542" s="430"/>
      <c r="H542" s="430"/>
      <c r="I542" s="430"/>
      <c r="J542" s="430"/>
      <c r="K542" s="430"/>
      <c r="L542" s="430"/>
      <c r="M542" s="430"/>
      <c r="N542" s="430"/>
      <c r="O542" s="430"/>
      <c r="P542" s="430"/>
      <c r="Q542" s="430"/>
      <c r="R542" s="430"/>
      <c r="S542" s="430"/>
      <c r="T542" s="430"/>
      <c r="U542" s="430"/>
      <c r="V542" s="430"/>
      <c r="W542" s="430"/>
      <c r="X542" s="430"/>
      <c r="Y542" s="430"/>
      <c r="Z542" s="430"/>
      <c r="AA542" s="430"/>
      <c r="AB542" s="430"/>
      <c r="AC542" s="430"/>
      <c r="AD542" s="430"/>
      <c r="AE542" s="430"/>
      <c r="AF542" s="430"/>
      <c r="AG542" s="430"/>
      <c r="AH542" s="430"/>
      <c r="AI542" s="430"/>
      <c r="AJ542" s="430"/>
      <c r="AK542" s="430"/>
      <c r="AL542" s="430"/>
      <c r="AM542" s="430"/>
      <c r="AN542" s="430"/>
      <c r="AO542" s="430"/>
      <c r="AP542" s="430"/>
      <c r="AQ542" s="430"/>
      <c r="AR542" s="430"/>
      <c r="AS542" s="430"/>
      <c r="AT542" s="430"/>
      <c r="AU542" s="430"/>
      <c r="AV542" s="430"/>
      <c r="AW542" s="430"/>
      <c r="AX542" s="430"/>
      <c r="AY542" s="430"/>
      <c r="AZ542" s="430"/>
      <c r="BA542" s="430"/>
      <c r="BB542" s="430"/>
      <c r="BC542" s="430"/>
      <c r="BD542" s="430"/>
      <c r="BE542" s="430"/>
    </row>
    <row r="543" spans="1:57" ht="15.75" customHeight="1">
      <c r="A543" s="430"/>
      <c r="B543" s="430"/>
      <c r="C543" s="430"/>
      <c r="D543" s="430"/>
      <c r="E543" s="430"/>
      <c r="F543" s="430"/>
      <c r="G543" s="430"/>
      <c r="H543" s="430"/>
      <c r="I543" s="430"/>
      <c r="J543" s="430"/>
      <c r="K543" s="430"/>
      <c r="L543" s="430"/>
      <c r="M543" s="430"/>
      <c r="N543" s="430"/>
      <c r="O543" s="430"/>
      <c r="P543" s="430"/>
      <c r="Q543" s="430"/>
      <c r="R543" s="430"/>
      <c r="S543" s="430"/>
      <c r="T543" s="430"/>
      <c r="U543" s="430"/>
      <c r="V543" s="430"/>
      <c r="W543" s="430"/>
      <c r="X543" s="430"/>
      <c r="Y543" s="430"/>
      <c r="Z543" s="430"/>
      <c r="AA543" s="430"/>
      <c r="AB543" s="430"/>
      <c r="AC543" s="430"/>
      <c r="AD543" s="430"/>
      <c r="AE543" s="430"/>
      <c r="AF543" s="430"/>
      <c r="AG543" s="430"/>
      <c r="AH543" s="430"/>
      <c r="AI543" s="430"/>
      <c r="AJ543" s="430"/>
      <c r="AK543" s="430"/>
      <c r="AL543" s="430"/>
      <c r="AM543" s="430"/>
      <c r="AN543" s="430"/>
      <c r="AO543" s="430"/>
      <c r="AP543" s="430"/>
      <c r="AQ543" s="430"/>
      <c r="AR543" s="430"/>
      <c r="AS543" s="430"/>
      <c r="AT543" s="430"/>
      <c r="AU543" s="430"/>
      <c r="AV543" s="430"/>
      <c r="AW543" s="430"/>
      <c r="AX543" s="430"/>
      <c r="AY543" s="430"/>
      <c r="AZ543" s="430"/>
      <c r="BA543" s="430"/>
      <c r="BB543" s="430"/>
      <c r="BC543" s="430"/>
      <c r="BD543" s="430"/>
      <c r="BE543" s="430"/>
    </row>
    <row r="544" spans="1:57" ht="15.75" customHeight="1">
      <c r="A544" s="430"/>
      <c r="B544" s="430"/>
      <c r="C544" s="430"/>
      <c r="D544" s="430"/>
      <c r="E544" s="430"/>
      <c r="F544" s="430"/>
      <c r="G544" s="430"/>
      <c r="H544" s="430"/>
      <c r="I544" s="430"/>
      <c r="J544" s="430"/>
      <c r="K544" s="430"/>
      <c r="L544" s="430"/>
      <c r="M544" s="430"/>
      <c r="N544" s="430"/>
      <c r="O544" s="430"/>
      <c r="P544" s="430"/>
      <c r="Q544" s="430"/>
      <c r="R544" s="430"/>
      <c r="S544" s="430"/>
      <c r="T544" s="430"/>
      <c r="U544" s="430"/>
      <c r="V544" s="430"/>
      <c r="W544" s="430"/>
      <c r="X544" s="430"/>
      <c r="Y544" s="430"/>
      <c r="Z544" s="430"/>
      <c r="AA544" s="430"/>
      <c r="AB544" s="430"/>
      <c r="AC544" s="430"/>
      <c r="AD544" s="430"/>
      <c r="AE544" s="430"/>
      <c r="AF544" s="430"/>
      <c r="AG544" s="430"/>
      <c r="AH544" s="430"/>
      <c r="AI544" s="430"/>
      <c r="AJ544" s="430"/>
      <c r="AK544" s="430"/>
      <c r="AL544" s="430"/>
      <c r="AM544" s="430"/>
      <c r="AN544" s="430"/>
      <c r="AO544" s="430"/>
      <c r="AP544" s="430"/>
      <c r="AQ544" s="430"/>
      <c r="AR544" s="430"/>
      <c r="AS544" s="430"/>
      <c r="AT544" s="430"/>
      <c r="AU544" s="430"/>
      <c r="AV544" s="430"/>
      <c r="AW544" s="430"/>
      <c r="AX544" s="430"/>
      <c r="AY544" s="430"/>
      <c r="AZ544" s="430"/>
      <c r="BA544" s="430"/>
      <c r="BB544" s="430"/>
      <c r="BC544" s="430"/>
      <c r="BD544" s="430"/>
      <c r="BE544" s="430"/>
    </row>
    <row r="545" spans="1:57" ht="15.75" customHeight="1">
      <c r="A545" s="430"/>
      <c r="B545" s="430"/>
      <c r="C545" s="430"/>
      <c r="D545" s="430"/>
      <c r="E545" s="430"/>
      <c r="F545" s="430"/>
      <c r="G545" s="430"/>
      <c r="H545" s="430"/>
      <c r="I545" s="430"/>
      <c r="J545" s="430"/>
      <c r="K545" s="430"/>
      <c r="L545" s="430"/>
      <c r="M545" s="430"/>
      <c r="N545" s="430"/>
      <c r="O545" s="430"/>
      <c r="P545" s="430"/>
      <c r="Q545" s="430"/>
      <c r="R545" s="430"/>
      <c r="S545" s="430"/>
      <c r="T545" s="430"/>
      <c r="U545" s="430"/>
      <c r="V545" s="430"/>
      <c r="W545" s="430"/>
      <c r="X545" s="430"/>
      <c r="Y545" s="430"/>
      <c r="Z545" s="430"/>
      <c r="AA545" s="430"/>
      <c r="AB545" s="430"/>
      <c r="AC545" s="430"/>
      <c r="AD545" s="430"/>
      <c r="AE545" s="430"/>
      <c r="AF545" s="430"/>
      <c r="AG545" s="430"/>
      <c r="AH545" s="430"/>
      <c r="AI545" s="430"/>
      <c r="AJ545" s="430"/>
      <c r="AK545" s="430"/>
      <c r="AL545" s="430"/>
      <c r="AM545" s="430"/>
      <c r="AN545" s="430"/>
      <c r="AO545" s="430"/>
      <c r="AP545" s="430"/>
      <c r="AQ545" s="430"/>
      <c r="AR545" s="430"/>
      <c r="AS545" s="430"/>
      <c r="AT545" s="430"/>
      <c r="AU545" s="430"/>
      <c r="AV545" s="430"/>
      <c r="AW545" s="430"/>
      <c r="AX545" s="430"/>
      <c r="AY545" s="430"/>
      <c r="AZ545" s="430"/>
      <c r="BA545" s="430"/>
      <c r="BB545" s="430"/>
      <c r="BC545" s="430"/>
      <c r="BD545" s="430"/>
      <c r="BE545" s="430"/>
    </row>
    <row r="546" spans="1:57" ht="15.75" customHeight="1">
      <c r="A546" s="430"/>
      <c r="B546" s="430"/>
      <c r="C546" s="430"/>
      <c r="D546" s="430"/>
      <c r="E546" s="430"/>
      <c r="F546" s="430"/>
      <c r="G546" s="430"/>
      <c r="H546" s="430"/>
      <c r="I546" s="430"/>
      <c r="J546" s="430"/>
      <c r="K546" s="430"/>
      <c r="L546" s="430"/>
      <c r="M546" s="430"/>
      <c r="N546" s="430"/>
      <c r="O546" s="430"/>
      <c r="P546" s="430"/>
      <c r="Q546" s="430"/>
      <c r="R546" s="430"/>
      <c r="S546" s="430"/>
      <c r="T546" s="430"/>
      <c r="U546" s="430"/>
      <c r="V546" s="430"/>
      <c r="W546" s="430"/>
      <c r="X546" s="430"/>
      <c r="Y546" s="430"/>
      <c r="Z546" s="430"/>
      <c r="AA546" s="430"/>
      <c r="AB546" s="430"/>
      <c r="AC546" s="430"/>
      <c r="AD546" s="430"/>
      <c r="AE546" s="430"/>
      <c r="AF546" s="430"/>
      <c r="AG546" s="430"/>
      <c r="AH546" s="430"/>
      <c r="AI546" s="430"/>
      <c r="AJ546" s="430"/>
      <c r="AK546" s="430"/>
      <c r="AL546" s="430"/>
      <c r="AM546" s="430"/>
      <c r="AN546" s="430"/>
      <c r="AO546" s="430"/>
      <c r="AP546" s="430"/>
      <c r="AQ546" s="430"/>
      <c r="AR546" s="430"/>
      <c r="AS546" s="430"/>
      <c r="AT546" s="430"/>
      <c r="AU546" s="430"/>
      <c r="AV546" s="430"/>
      <c r="AW546" s="430"/>
      <c r="AX546" s="430"/>
      <c r="AY546" s="430"/>
      <c r="AZ546" s="430"/>
      <c r="BA546" s="430"/>
      <c r="BB546" s="430"/>
      <c r="BC546" s="430"/>
      <c r="BD546" s="430"/>
      <c r="BE546" s="430"/>
    </row>
    <row r="547" spans="1:57" ht="15.75" customHeight="1">
      <c r="A547" s="430"/>
      <c r="B547" s="430"/>
      <c r="C547" s="430"/>
      <c r="D547" s="430"/>
      <c r="E547" s="430"/>
      <c r="F547" s="430"/>
      <c r="G547" s="430"/>
      <c r="H547" s="430"/>
      <c r="I547" s="430"/>
      <c r="J547" s="430"/>
      <c r="K547" s="430"/>
      <c r="L547" s="430"/>
      <c r="M547" s="430"/>
      <c r="N547" s="430"/>
      <c r="O547" s="430"/>
      <c r="P547" s="430"/>
      <c r="Q547" s="430"/>
      <c r="R547" s="430"/>
      <c r="S547" s="430"/>
      <c r="T547" s="430"/>
      <c r="U547" s="430"/>
      <c r="V547" s="430"/>
      <c r="W547" s="430"/>
      <c r="X547" s="430"/>
      <c r="Y547" s="430"/>
      <c r="Z547" s="430"/>
      <c r="AA547" s="430"/>
      <c r="AB547" s="430"/>
      <c r="AC547" s="430"/>
      <c r="AD547" s="430"/>
      <c r="AE547" s="430"/>
      <c r="AF547" s="430"/>
      <c r="AG547" s="430"/>
      <c r="AH547" s="430"/>
      <c r="AI547" s="430"/>
      <c r="AJ547" s="430"/>
      <c r="AK547" s="430"/>
      <c r="AL547" s="430"/>
      <c r="AM547" s="430"/>
      <c r="AN547" s="430"/>
      <c r="AO547" s="430"/>
      <c r="AP547" s="430"/>
      <c r="AQ547" s="430"/>
      <c r="AR547" s="430"/>
      <c r="AS547" s="430"/>
      <c r="AT547" s="430"/>
      <c r="AU547" s="430"/>
      <c r="AV547" s="430"/>
      <c r="AW547" s="430"/>
      <c r="AX547" s="430"/>
      <c r="AY547" s="430"/>
      <c r="AZ547" s="430"/>
      <c r="BA547" s="430"/>
      <c r="BB547" s="430"/>
      <c r="BC547" s="430"/>
      <c r="BD547" s="430"/>
      <c r="BE547" s="430"/>
    </row>
    <row r="548" spans="1:57" ht="15.75" customHeight="1">
      <c r="A548" s="430"/>
      <c r="B548" s="430"/>
      <c r="C548" s="430"/>
      <c r="D548" s="430"/>
      <c r="E548" s="430"/>
      <c r="F548" s="430"/>
      <c r="G548" s="430"/>
      <c r="H548" s="430"/>
      <c r="I548" s="430"/>
      <c r="J548" s="430"/>
      <c r="K548" s="430"/>
      <c r="L548" s="430"/>
      <c r="M548" s="430"/>
      <c r="N548" s="430"/>
      <c r="O548" s="430"/>
      <c r="P548" s="430"/>
      <c r="Q548" s="430"/>
      <c r="R548" s="430"/>
      <c r="S548" s="430"/>
      <c r="T548" s="430"/>
      <c r="U548" s="430"/>
      <c r="V548" s="430"/>
      <c r="W548" s="430"/>
      <c r="X548" s="430"/>
      <c r="Y548" s="430"/>
      <c r="Z548" s="430"/>
      <c r="AA548" s="430"/>
      <c r="AB548" s="430"/>
      <c r="AC548" s="430"/>
      <c r="AD548" s="430"/>
      <c r="AE548" s="430"/>
      <c r="AF548" s="430"/>
      <c r="AG548" s="430"/>
      <c r="AH548" s="430"/>
      <c r="AI548" s="430"/>
      <c r="AJ548" s="430"/>
      <c r="AK548" s="430"/>
      <c r="AL548" s="430"/>
      <c r="AM548" s="430"/>
      <c r="AN548" s="430"/>
      <c r="AO548" s="430"/>
      <c r="AP548" s="430"/>
      <c r="AQ548" s="430"/>
      <c r="AR548" s="430"/>
      <c r="AS548" s="430"/>
      <c r="AT548" s="430"/>
      <c r="AU548" s="430"/>
      <c r="AV548" s="430"/>
      <c r="AW548" s="430"/>
      <c r="AX548" s="430"/>
      <c r="AY548" s="430"/>
      <c r="AZ548" s="430"/>
      <c r="BA548" s="430"/>
      <c r="BB548" s="430"/>
      <c r="BC548" s="430"/>
      <c r="BD548" s="430"/>
      <c r="BE548" s="430"/>
    </row>
    <row r="549" spans="1:57" ht="15.75" customHeight="1">
      <c r="A549" s="430"/>
      <c r="B549" s="430"/>
      <c r="C549" s="430"/>
      <c r="D549" s="430"/>
      <c r="E549" s="430"/>
      <c r="F549" s="430"/>
      <c r="G549" s="430"/>
      <c r="H549" s="430"/>
      <c r="I549" s="430"/>
      <c r="J549" s="430"/>
      <c r="K549" s="430"/>
      <c r="L549" s="430"/>
      <c r="M549" s="430"/>
      <c r="N549" s="430"/>
      <c r="O549" s="430"/>
      <c r="P549" s="430"/>
      <c r="Q549" s="430"/>
      <c r="R549" s="430"/>
      <c r="S549" s="430"/>
      <c r="T549" s="430"/>
      <c r="U549" s="430"/>
      <c r="V549" s="430"/>
      <c r="W549" s="430"/>
      <c r="X549" s="430"/>
      <c r="Y549" s="430"/>
      <c r="Z549" s="430"/>
      <c r="AA549" s="430"/>
      <c r="AB549" s="430"/>
      <c r="AC549" s="430"/>
      <c r="AD549" s="430"/>
      <c r="AE549" s="430"/>
      <c r="AF549" s="430"/>
      <c r="AG549" s="430"/>
      <c r="AH549" s="430"/>
      <c r="AI549" s="430"/>
      <c r="AJ549" s="430"/>
      <c r="AK549" s="430"/>
      <c r="AL549" s="430"/>
      <c r="AM549" s="430"/>
      <c r="AN549" s="430"/>
      <c r="AO549" s="430"/>
      <c r="AP549" s="430"/>
      <c r="AQ549" s="430"/>
      <c r="AR549" s="430"/>
      <c r="AS549" s="430"/>
      <c r="AT549" s="430"/>
      <c r="AU549" s="430"/>
      <c r="AV549" s="430"/>
      <c r="AW549" s="430"/>
      <c r="AX549" s="430"/>
      <c r="AY549" s="430"/>
      <c r="AZ549" s="430"/>
      <c r="BA549" s="430"/>
      <c r="BB549" s="430"/>
      <c r="BC549" s="430"/>
      <c r="BD549" s="430"/>
      <c r="BE549" s="430"/>
    </row>
    <row r="550" spans="1:57" ht="15.75" customHeight="1">
      <c r="A550" s="430"/>
      <c r="B550" s="430"/>
      <c r="C550" s="430"/>
      <c r="D550" s="430"/>
      <c r="E550" s="430"/>
      <c r="F550" s="430"/>
      <c r="G550" s="430"/>
      <c r="H550" s="430"/>
      <c r="I550" s="430"/>
      <c r="J550" s="430"/>
      <c r="K550" s="430"/>
      <c r="L550" s="430"/>
      <c r="M550" s="430"/>
      <c r="N550" s="430"/>
      <c r="O550" s="430"/>
      <c r="P550" s="430"/>
      <c r="Q550" s="430"/>
      <c r="R550" s="430"/>
      <c r="S550" s="430"/>
      <c r="T550" s="430"/>
      <c r="U550" s="430"/>
      <c r="V550" s="430"/>
      <c r="W550" s="430"/>
      <c r="X550" s="430"/>
      <c r="Y550" s="430"/>
      <c r="Z550" s="430"/>
      <c r="AA550" s="430"/>
      <c r="AB550" s="430"/>
      <c r="AC550" s="430"/>
      <c r="AD550" s="430"/>
      <c r="AE550" s="430"/>
      <c r="AF550" s="430"/>
      <c r="AG550" s="430"/>
      <c r="AH550" s="430"/>
      <c r="AI550" s="430"/>
      <c r="AJ550" s="430"/>
      <c r="AK550" s="430"/>
      <c r="AL550" s="430"/>
      <c r="AM550" s="430"/>
      <c r="AN550" s="430"/>
      <c r="AO550" s="430"/>
      <c r="AP550" s="430"/>
      <c r="AQ550" s="430"/>
      <c r="AR550" s="430"/>
      <c r="AS550" s="430"/>
      <c r="AT550" s="430"/>
      <c r="AU550" s="430"/>
      <c r="AV550" s="430"/>
      <c r="AW550" s="430"/>
      <c r="AX550" s="430"/>
      <c r="AY550" s="430"/>
      <c r="AZ550" s="430"/>
      <c r="BA550" s="430"/>
      <c r="BB550" s="430"/>
      <c r="BC550" s="430"/>
      <c r="BD550" s="430"/>
      <c r="BE550" s="430"/>
    </row>
    <row r="551" spans="1:57" ht="15.75" customHeight="1">
      <c r="A551" s="430"/>
      <c r="B551" s="430"/>
      <c r="C551" s="430"/>
      <c r="D551" s="430"/>
      <c r="E551" s="430"/>
      <c r="F551" s="430"/>
      <c r="G551" s="430"/>
      <c r="H551" s="430"/>
      <c r="I551" s="430"/>
      <c r="J551" s="430"/>
      <c r="K551" s="430"/>
      <c r="L551" s="430"/>
      <c r="M551" s="430"/>
      <c r="N551" s="430"/>
      <c r="O551" s="430"/>
      <c r="P551" s="430"/>
      <c r="Q551" s="430"/>
      <c r="R551" s="430"/>
      <c r="S551" s="430"/>
      <c r="T551" s="430"/>
      <c r="U551" s="430"/>
      <c r="V551" s="430"/>
      <c r="W551" s="430"/>
      <c r="X551" s="430"/>
      <c r="Y551" s="430"/>
      <c r="Z551" s="430"/>
      <c r="AA551" s="430"/>
      <c r="AB551" s="430"/>
      <c r="AC551" s="430"/>
      <c r="AD551" s="430"/>
      <c r="AE551" s="430"/>
      <c r="AF551" s="430"/>
      <c r="AG551" s="430"/>
      <c r="AH551" s="430"/>
      <c r="AI551" s="430"/>
      <c r="AJ551" s="430"/>
      <c r="AK551" s="430"/>
      <c r="AL551" s="430"/>
      <c r="AM551" s="430"/>
      <c r="AN551" s="430"/>
      <c r="AO551" s="430"/>
      <c r="AP551" s="430"/>
      <c r="AQ551" s="430"/>
      <c r="AR551" s="430"/>
      <c r="AS551" s="430"/>
      <c r="AT551" s="430"/>
      <c r="AU551" s="430"/>
      <c r="AV551" s="430"/>
      <c r="AW551" s="430"/>
      <c r="AX551" s="430"/>
      <c r="AY551" s="430"/>
      <c r="AZ551" s="430"/>
      <c r="BA551" s="430"/>
      <c r="BB551" s="430"/>
      <c r="BC551" s="430"/>
      <c r="BD551" s="430"/>
      <c r="BE551" s="430"/>
    </row>
    <row r="552" spans="1:57" ht="15.75" customHeight="1">
      <c r="A552" s="430"/>
      <c r="B552" s="430"/>
      <c r="C552" s="430"/>
      <c r="D552" s="430"/>
      <c r="E552" s="430"/>
      <c r="F552" s="430"/>
      <c r="G552" s="430"/>
      <c r="H552" s="430"/>
      <c r="I552" s="430"/>
      <c r="J552" s="430"/>
      <c r="K552" s="430"/>
      <c r="L552" s="430"/>
      <c r="M552" s="430"/>
      <c r="N552" s="430"/>
      <c r="O552" s="430"/>
      <c r="P552" s="430"/>
      <c r="Q552" s="430"/>
      <c r="R552" s="430"/>
      <c r="S552" s="430"/>
      <c r="T552" s="430"/>
      <c r="U552" s="430"/>
      <c r="V552" s="430"/>
      <c r="W552" s="430"/>
      <c r="X552" s="430"/>
      <c r="Y552" s="430"/>
      <c r="Z552" s="430"/>
      <c r="AA552" s="430"/>
      <c r="AB552" s="430"/>
      <c r="AC552" s="430"/>
      <c r="AD552" s="430"/>
      <c r="AE552" s="430"/>
      <c r="AF552" s="430"/>
      <c r="AG552" s="430"/>
      <c r="AH552" s="430"/>
      <c r="AI552" s="430"/>
      <c r="AJ552" s="430"/>
      <c r="AK552" s="430"/>
      <c r="AL552" s="430"/>
      <c r="AM552" s="430"/>
      <c r="AN552" s="430"/>
      <c r="AO552" s="430"/>
      <c r="AP552" s="430"/>
      <c r="AQ552" s="430"/>
      <c r="AR552" s="430"/>
      <c r="AS552" s="430"/>
      <c r="AT552" s="430"/>
      <c r="AU552" s="430"/>
      <c r="AV552" s="430"/>
      <c r="AW552" s="430"/>
      <c r="AX552" s="430"/>
      <c r="AY552" s="430"/>
      <c r="AZ552" s="430"/>
      <c r="BA552" s="430"/>
      <c r="BB552" s="430"/>
      <c r="BC552" s="430"/>
      <c r="BD552" s="430"/>
      <c r="BE552" s="430"/>
    </row>
    <row r="553" spans="1:57" ht="15.75" customHeight="1">
      <c r="A553" s="430"/>
      <c r="B553" s="430"/>
      <c r="C553" s="430"/>
      <c r="D553" s="430"/>
      <c r="E553" s="430"/>
      <c r="F553" s="430"/>
      <c r="G553" s="430"/>
      <c r="H553" s="430"/>
      <c r="I553" s="430"/>
      <c r="J553" s="430"/>
      <c r="K553" s="430"/>
      <c r="L553" s="430"/>
      <c r="M553" s="430"/>
      <c r="N553" s="430"/>
      <c r="O553" s="430"/>
      <c r="P553" s="430"/>
      <c r="Q553" s="430"/>
      <c r="R553" s="430"/>
      <c r="S553" s="430"/>
      <c r="T553" s="430"/>
      <c r="U553" s="430"/>
      <c r="V553" s="430"/>
      <c r="W553" s="430"/>
      <c r="X553" s="430"/>
      <c r="Y553" s="430"/>
      <c r="Z553" s="430"/>
      <c r="AA553" s="430"/>
      <c r="AB553" s="430"/>
      <c r="AC553" s="430"/>
      <c r="AD553" s="430"/>
      <c r="AE553" s="430"/>
      <c r="AF553" s="430"/>
      <c r="AG553" s="430"/>
      <c r="AH553" s="430"/>
      <c r="AI553" s="430"/>
      <c r="AJ553" s="430"/>
      <c r="AK553" s="430"/>
      <c r="AL553" s="430"/>
      <c r="AM553" s="430"/>
      <c r="AN553" s="430"/>
      <c r="AO553" s="430"/>
      <c r="AP553" s="430"/>
      <c r="AQ553" s="430"/>
      <c r="AR553" s="430"/>
      <c r="AS553" s="430"/>
      <c r="AT553" s="430"/>
      <c r="AU553" s="430"/>
      <c r="AV553" s="430"/>
      <c r="AW553" s="430"/>
      <c r="AX553" s="430"/>
      <c r="AY553" s="430"/>
      <c r="AZ553" s="430"/>
      <c r="BA553" s="430"/>
      <c r="BB553" s="430"/>
      <c r="BC553" s="430"/>
      <c r="BD553" s="430"/>
      <c r="BE553" s="430"/>
    </row>
    <row r="554" spans="1:57" ht="15.75" customHeight="1">
      <c r="A554" s="430"/>
      <c r="B554" s="430"/>
      <c r="C554" s="430"/>
      <c r="D554" s="430"/>
      <c r="E554" s="430"/>
      <c r="F554" s="430"/>
      <c r="G554" s="430"/>
      <c r="H554" s="430"/>
      <c r="I554" s="430"/>
      <c r="J554" s="430"/>
      <c r="K554" s="430"/>
      <c r="L554" s="430"/>
      <c r="M554" s="430"/>
      <c r="N554" s="430"/>
      <c r="O554" s="430"/>
      <c r="P554" s="430"/>
      <c r="Q554" s="430"/>
      <c r="R554" s="430"/>
      <c r="S554" s="430"/>
      <c r="T554" s="430"/>
      <c r="U554" s="430"/>
      <c r="V554" s="430"/>
      <c r="W554" s="430"/>
      <c r="X554" s="430"/>
      <c r="Y554" s="430"/>
      <c r="Z554" s="430"/>
      <c r="AA554" s="430"/>
      <c r="AB554" s="430"/>
      <c r="AC554" s="430"/>
      <c r="AD554" s="430"/>
      <c r="AE554" s="430"/>
      <c r="AF554" s="430"/>
      <c r="AG554" s="430"/>
      <c r="AH554" s="430"/>
      <c r="AI554" s="430"/>
      <c r="AJ554" s="430"/>
      <c r="AK554" s="430"/>
      <c r="AL554" s="430"/>
      <c r="AM554" s="430"/>
      <c r="AN554" s="430"/>
      <c r="AO554" s="430"/>
      <c r="AP554" s="430"/>
      <c r="AQ554" s="430"/>
      <c r="AR554" s="430"/>
      <c r="AS554" s="430"/>
      <c r="AT554" s="430"/>
      <c r="AU554" s="430"/>
      <c r="AV554" s="430"/>
      <c r="AW554" s="430"/>
      <c r="AX554" s="430"/>
      <c r="AY554" s="430"/>
      <c r="AZ554" s="430"/>
      <c r="BA554" s="430"/>
      <c r="BB554" s="430"/>
      <c r="BC554" s="430"/>
      <c r="BD554" s="430"/>
      <c r="BE554" s="430"/>
    </row>
    <row r="555" spans="1:57" ht="15.75" customHeight="1">
      <c r="A555" s="430"/>
      <c r="B555" s="430"/>
      <c r="C555" s="430"/>
      <c r="D555" s="430"/>
      <c r="E555" s="430"/>
      <c r="F555" s="430"/>
      <c r="G555" s="430"/>
      <c r="H555" s="430"/>
      <c r="I555" s="430"/>
      <c r="J555" s="430"/>
      <c r="K555" s="430"/>
      <c r="L555" s="430"/>
      <c r="M555" s="430"/>
      <c r="N555" s="430"/>
      <c r="O555" s="430"/>
      <c r="P555" s="430"/>
      <c r="Q555" s="430"/>
      <c r="R555" s="430"/>
      <c r="S555" s="430"/>
      <c r="T555" s="430"/>
      <c r="U555" s="430"/>
      <c r="V555" s="430"/>
      <c r="W555" s="430"/>
      <c r="X555" s="430"/>
      <c r="Y555" s="430"/>
      <c r="Z555" s="430"/>
      <c r="AA555" s="430"/>
      <c r="AB555" s="430"/>
      <c r="AC555" s="430"/>
      <c r="AD555" s="430"/>
      <c r="AE555" s="430"/>
      <c r="AF555" s="430"/>
      <c r="AG555" s="430"/>
      <c r="AH555" s="430"/>
      <c r="AI555" s="430"/>
      <c r="AJ555" s="430"/>
      <c r="AK555" s="430"/>
      <c r="AL555" s="430"/>
      <c r="AM555" s="430"/>
      <c r="AN555" s="430"/>
      <c r="AO555" s="430"/>
      <c r="AP555" s="430"/>
      <c r="AQ555" s="430"/>
      <c r="AR555" s="430"/>
      <c r="AS555" s="430"/>
      <c r="AT555" s="430"/>
      <c r="AU555" s="430"/>
      <c r="AV555" s="430"/>
      <c r="AW555" s="430"/>
      <c r="AX555" s="430"/>
      <c r="AY555" s="430"/>
      <c r="AZ555" s="430"/>
      <c r="BA555" s="430"/>
      <c r="BB555" s="430"/>
      <c r="BC555" s="430"/>
      <c r="BD555" s="430"/>
      <c r="BE555" s="430"/>
    </row>
    <row r="556" spans="1:57" ht="15.75" customHeight="1">
      <c r="A556" s="430"/>
      <c r="B556" s="430"/>
      <c r="C556" s="430"/>
      <c r="D556" s="430"/>
      <c r="E556" s="430"/>
      <c r="F556" s="430"/>
      <c r="G556" s="430"/>
      <c r="H556" s="430"/>
      <c r="I556" s="430"/>
      <c r="J556" s="430"/>
      <c r="K556" s="430"/>
      <c r="L556" s="430"/>
      <c r="M556" s="430"/>
      <c r="N556" s="430"/>
      <c r="O556" s="430"/>
      <c r="P556" s="430"/>
      <c r="Q556" s="430"/>
      <c r="R556" s="430"/>
      <c r="S556" s="430"/>
      <c r="T556" s="430"/>
      <c r="U556" s="430"/>
      <c r="V556" s="430"/>
      <c r="W556" s="430"/>
      <c r="X556" s="430"/>
      <c r="Y556" s="430"/>
      <c r="Z556" s="430"/>
      <c r="AA556" s="430"/>
      <c r="AB556" s="430"/>
      <c r="AC556" s="430"/>
      <c r="AD556" s="430"/>
      <c r="AE556" s="430"/>
      <c r="AF556" s="430"/>
      <c r="AG556" s="430"/>
      <c r="AH556" s="430"/>
      <c r="AI556" s="430"/>
      <c r="AJ556" s="430"/>
      <c r="AK556" s="430"/>
      <c r="AL556" s="430"/>
      <c r="AM556" s="430"/>
      <c r="AN556" s="430"/>
      <c r="AO556" s="430"/>
      <c r="AP556" s="430"/>
      <c r="AQ556" s="430"/>
      <c r="AR556" s="430"/>
      <c r="AS556" s="430"/>
      <c r="AT556" s="430"/>
      <c r="AU556" s="430"/>
      <c r="AV556" s="430"/>
      <c r="AW556" s="430"/>
      <c r="AX556" s="430"/>
      <c r="AY556" s="430"/>
      <c r="AZ556" s="430"/>
      <c r="BA556" s="430"/>
      <c r="BB556" s="430"/>
      <c r="BC556" s="430"/>
      <c r="BD556" s="430"/>
      <c r="BE556" s="430"/>
    </row>
    <row r="557" spans="1:57" ht="15.75" customHeight="1">
      <c r="A557" s="430"/>
      <c r="B557" s="430"/>
      <c r="C557" s="430"/>
      <c r="D557" s="430"/>
      <c r="E557" s="430"/>
      <c r="F557" s="430"/>
      <c r="G557" s="430"/>
      <c r="H557" s="430"/>
      <c r="I557" s="430"/>
      <c r="J557" s="430"/>
      <c r="K557" s="430"/>
      <c r="L557" s="430"/>
      <c r="M557" s="430"/>
      <c r="N557" s="430"/>
      <c r="O557" s="430"/>
      <c r="P557" s="430"/>
      <c r="Q557" s="430"/>
      <c r="R557" s="430"/>
      <c r="S557" s="430"/>
      <c r="T557" s="430"/>
      <c r="U557" s="430"/>
      <c r="V557" s="430"/>
      <c r="W557" s="430"/>
      <c r="X557" s="430"/>
      <c r="Y557" s="430"/>
      <c r="Z557" s="430"/>
      <c r="AA557" s="430"/>
      <c r="AB557" s="430"/>
      <c r="AC557" s="430"/>
      <c r="AD557" s="430"/>
      <c r="AE557" s="430"/>
      <c r="AF557" s="430"/>
      <c r="AG557" s="430"/>
      <c r="AH557" s="430"/>
      <c r="AI557" s="430"/>
      <c r="AJ557" s="430"/>
      <c r="AK557" s="430"/>
      <c r="AL557" s="430"/>
      <c r="AM557" s="430"/>
      <c r="AN557" s="430"/>
      <c r="AO557" s="430"/>
      <c r="AP557" s="430"/>
      <c r="AQ557" s="430"/>
      <c r="AR557" s="430"/>
      <c r="AS557" s="430"/>
      <c r="AT557" s="430"/>
      <c r="AU557" s="430"/>
      <c r="AV557" s="430"/>
      <c r="AW557" s="430"/>
      <c r="AX557" s="430"/>
      <c r="AY557" s="430"/>
      <c r="AZ557" s="430"/>
      <c r="BA557" s="430"/>
      <c r="BB557" s="430"/>
      <c r="BC557" s="430"/>
      <c r="BD557" s="430"/>
      <c r="BE557" s="430"/>
    </row>
    <row r="558" spans="1:57" ht="15.75" customHeight="1">
      <c r="A558" s="430"/>
      <c r="B558" s="430"/>
      <c r="C558" s="430"/>
      <c r="D558" s="430"/>
      <c r="E558" s="430"/>
      <c r="F558" s="430"/>
      <c r="G558" s="430"/>
      <c r="H558" s="430"/>
      <c r="I558" s="430"/>
      <c r="J558" s="430"/>
      <c r="K558" s="430"/>
      <c r="L558" s="430"/>
      <c r="M558" s="430"/>
      <c r="N558" s="430"/>
      <c r="O558" s="430"/>
      <c r="P558" s="430"/>
      <c r="Q558" s="430"/>
      <c r="R558" s="430"/>
      <c r="S558" s="430"/>
      <c r="T558" s="430"/>
      <c r="U558" s="430"/>
      <c r="V558" s="430"/>
      <c r="W558" s="430"/>
      <c r="X558" s="430"/>
      <c r="Y558" s="430"/>
      <c r="Z558" s="430"/>
      <c r="AA558" s="430"/>
      <c r="AB558" s="430"/>
      <c r="AC558" s="430"/>
      <c r="AD558" s="430"/>
      <c r="AE558" s="430"/>
      <c r="AF558" s="430"/>
      <c r="AG558" s="430"/>
      <c r="AH558" s="430"/>
      <c r="AI558" s="430"/>
      <c r="AJ558" s="430"/>
      <c r="AK558" s="430"/>
      <c r="AL558" s="430"/>
      <c r="AM558" s="430"/>
      <c r="AN558" s="430"/>
      <c r="AO558" s="430"/>
      <c r="AP558" s="430"/>
      <c r="AQ558" s="430"/>
      <c r="AR558" s="430"/>
      <c r="AS558" s="430"/>
      <c r="AT558" s="430"/>
      <c r="AU558" s="430"/>
      <c r="AV558" s="430"/>
      <c r="AW558" s="430"/>
      <c r="AX558" s="430"/>
      <c r="AY558" s="430"/>
      <c r="AZ558" s="430"/>
      <c r="BA558" s="430"/>
      <c r="BB558" s="430"/>
      <c r="BC558" s="430"/>
      <c r="BD558" s="430"/>
      <c r="BE558" s="430"/>
    </row>
    <row r="559" spans="1:57" ht="15.75" customHeight="1">
      <c r="A559" s="430"/>
      <c r="B559" s="430"/>
      <c r="C559" s="430"/>
      <c r="D559" s="430"/>
      <c r="E559" s="430"/>
      <c r="F559" s="430"/>
      <c r="G559" s="430"/>
      <c r="H559" s="430"/>
      <c r="I559" s="430"/>
      <c r="J559" s="430"/>
      <c r="K559" s="430"/>
      <c r="L559" s="430"/>
      <c r="M559" s="430"/>
      <c r="N559" s="430"/>
      <c r="O559" s="430"/>
      <c r="P559" s="430"/>
      <c r="Q559" s="430"/>
      <c r="R559" s="430"/>
      <c r="S559" s="430"/>
      <c r="T559" s="430"/>
      <c r="U559" s="430"/>
      <c r="V559" s="430"/>
      <c r="W559" s="430"/>
      <c r="X559" s="430"/>
      <c r="Y559" s="430"/>
      <c r="Z559" s="430"/>
      <c r="AA559" s="430"/>
      <c r="AB559" s="430"/>
      <c r="AC559" s="430"/>
      <c r="AD559" s="430"/>
      <c r="AE559" s="430"/>
      <c r="AF559" s="430"/>
      <c r="AG559" s="430"/>
      <c r="AH559" s="430"/>
      <c r="AI559" s="430"/>
      <c r="AJ559" s="430"/>
      <c r="AK559" s="430"/>
      <c r="AL559" s="430"/>
      <c r="AM559" s="430"/>
      <c r="AN559" s="430"/>
      <c r="AO559" s="430"/>
      <c r="AP559" s="430"/>
      <c r="AQ559" s="430"/>
      <c r="AR559" s="430"/>
      <c r="AS559" s="430"/>
      <c r="AT559" s="430"/>
      <c r="AU559" s="430"/>
      <c r="AV559" s="430"/>
      <c r="AW559" s="430"/>
      <c r="AX559" s="430"/>
      <c r="AY559" s="430"/>
      <c r="AZ559" s="430"/>
      <c r="BA559" s="430"/>
      <c r="BB559" s="430"/>
      <c r="BC559" s="430"/>
      <c r="BD559" s="430"/>
      <c r="BE559" s="430"/>
    </row>
    <row r="560" spans="1:57" ht="15.75" customHeight="1">
      <c r="A560" s="430"/>
      <c r="B560" s="430"/>
      <c r="C560" s="430"/>
      <c r="D560" s="430"/>
      <c r="E560" s="430"/>
      <c r="F560" s="430"/>
      <c r="G560" s="430"/>
      <c r="H560" s="430"/>
      <c r="I560" s="430"/>
      <c r="J560" s="430"/>
      <c r="K560" s="430"/>
      <c r="L560" s="430"/>
      <c r="M560" s="430"/>
      <c r="N560" s="430"/>
      <c r="O560" s="430"/>
      <c r="P560" s="430"/>
      <c r="Q560" s="430"/>
      <c r="R560" s="430"/>
      <c r="S560" s="430"/>
      <c r="T560" s="430"/>
      <c r="U560" s="430"/>
      <c r="V560" s="430"/>
      <c r="W560" s="430"/>
      <c r="X560" s="430"/>
      <c r="Y560" s="430"/>
      <c r="Z560" s="430"/>
      <c r="AA560" s="430"/>
      <c r="AB560" s="430"/>
      <c r="AC560" s="430"/>
      <c r="AD560" s="430"/>
      <c r="AE560" s="430"/>
      <c r="AF560" s="430"/>
      <c r="AG560" s="430"/>
      <c r="AH560" s="430"/>
      <c r="AI560" s="430"/>
      <c r="AJ560" s="430"/>
      <c r="AK560" s="430"/>
      <c r="AL560" s="430"/>
      <c r="AM560" s="430"/>
      <c r="AN560" s="430"/>
      <c r="AO560" s="430"/>
      <c r="AP560" s="430"/>
      <c r="AQ560" s="430"/>
      <c r="AR560" s="430"/>
      <c r="AS560" s="430"/>
      <c r="AT560" s="430"/>
      <c r="AU560" s="430"/>
      <c r="AV560" s="430"/>
      <c r="AW560" s="430"/>
      <c r="AX560" s="430"/>
      <c r="AY560" s="430"/>
      <c r="AZ560" s="430"/>
      <c r="BA560" s="430"/>
      <c r="BB560" s="430"/>
      <c r="BC560" s="430"/>
      <c r="BD560" s="430"/>
      <c r="BE560" s="430"/>
    </row>
    <row r="561" spans="1:57" ht="15.75" customHeight="1">
      <c r="A561" s="430"/>
      <c r="B561" s="430"/>
      <c r="C561" s="430"/>
      <c r="D561" s="430"/>
      <c r="E561" s="430"/>
      <c r="F561" s="430"/>
      <c r="G561" s="430"/>
      <c r="H561" s="430"/>
      <c r="I561" s="430"/>
      <c r="J561" s="430"/>
      <c r="K561" s="430"/>
      <c r="L561" s="430"/>
      <c r="M561" s="430"/>
      <c r="N561" s="430"/>
      <c r="O561" s="430"/>
      <c r="P561" s="430"/>
      <c r="Q561" s="430"/>
      <c r="R561" s="430"/>
      <c r="S561" s="430"/>
      <c r="T561" s="430"/>
      <c r="U561" s="430"/>
      <c r="V561" s="430"/>
      <c r="W561" s="430"/>
      <c r="X561" s="430"/>
      <c r="Y561" s="430"/>
      <c r="Z561" s="430"/>
      <c r="AA561" s="430"/>
      <c r="AB561" s="430"/>
      <c r="AC561" s="430"/>
      <c r="AD561" s="430"/>
      <c r="AE561" s="430"/>
      <c r="AF561" s="430"/>
      <c r="AG561" s="430"/>
      <c r="AH561" s="430"/>
      <c r="AI561" s="430"/>
      <c r="AJ561" s="430"/>
      <c r="AK561" s="430"/>
      <c r="AL561" s="430"/>
      <c r="AM561" s="430"/>
      <c r="AN561" s="430"/>
      <c r="AO561" s="430"/>
      <c r="AP561" s="430"/>
      <c r="AQ561" s="430"/>
      <c r="AR561" s="430"/>
      <c r="AS561" s="430"/>
      <c r="AT561" s="430"/>
      <c r="AU561" s="430"/>
      <c r="AV561" s="430"/>
      <c r="AW561" s="430"/>
      <c r="AX561" s="430"/>
      <c r="AY561" s="430"/>
      <c r="AZ561" s="430"/>
      <c r="BA561" s="430"/>
      <c r="BB561" s="430"/>
      <c r="BC561" s="430"/>
      <c r="BD561" s="430"/>
      <c r="BE561" s="430"/>
    </row>
    <row r="562" spans="1:57" ht="15.75" customHeight="1">
      <c r="A562" s="430"/>
      <c r="B562" s="430"/>
      <c r="C562" s="430"/>
      <c r="D562" s="430"/>
      <c r="E562" s="430"/>
      <c r="F562" s="430"/>
      <c r="G562" s="430"/>
      <c r="H562" s="430"/>
      <c r="I562" s="430"/>
      <c r="J562" s="430"/>
      <c r="K562" s="430"/>
      <c r="L562" s="430"/>
      <c r="M562" s="430"/>
      <c r="N562" s="430"/>
      <c r="O562" s="430"/>
      <c r="P562" s="430"/>
      <c r="Q562" s="430"/>
      <c r="R562" s="430"/>
      <c r="S562" s="430"/>
      <c r="T562" s="430"/>
      <c r="U562" s="430"/>
      <c r="V562" s="430"/>
      <c r="W562" s="430"/>
      <c r="X562" s="430"/>
      <c r="Y562" s="430"/>
      <c r="Z562" s="430"/>
      <c r="AA562" s="430"/>
      <c r="AB562" s="430"/>
      <c r="AC562" s="430"/>
      <c r="AD562" s="430"/>
      <c r="AE562" s="430"/>
      <c r="AF562" s="430"/>
      <c r="AG562" s="430"/>
      <c r="AH562" s="430"/>
      <c r="AI562" s="430"/>
      <c r="AJ562" s="430"/>
      <c r="AK562" s="430"/>
      <c r="AL562" s="430"/>
      <c r="AM562" s="430"/>
      <c r="AN562" s="430"/>
      <c r="AO562" s="430"/>
      <c r="AP562" s="430"/>
      <c r="AQ562" s="430"/>
      <c r="AR562" s="430"/>
      <c r="AS562" s="430"/>
      <c r="AT562" s="430"/>
      <c r="AU562" s="430"/>
      <c r="AV562" s="430"/>
      <c r="AW562" s="430"/>
      <c r="AX562" s="430"/>
      <c r="AY562" s="430"/>
      <c r="AZ562" s="430"/>
      <c r="BA562" s="430"/>
      <c r="BB562" s="430"/>
      <c r="BC562" s="430"/>
      <c r="BD562" s="430"/>
      <c r="BE562" s="430"/>
    </row>
    <row r="563" spans="1:57" ht="15.75" customHeight="1">
      <c r="A563" s="430"/>
      <c r="B563" s="430"/>
      <c r="C563" s="430"/>
      <c r="D563" s="430"/>
      <c r="E563" s="430"/>
      <c r="F563" s="430"/>
      <c r="G563" s="430"/>
      <c r="H563" s="430"/>
      <c r="I563" s="430"/>
      <c r="J563" s="430"/>
      <c r="K563" s="430"/>
      <c r="L563" s="430"/>
      <c r="M563" s="430"/>
      <c r="N563" s="430"/>
      <c r="O563" s="430"/>
      <c r="P563" s="430"/>
      <c r="Q563" s="430"/>
      <c r="R563" s="430"/>
      <c r="S563" s="430"/>
      <c r="T563" s="430"/>
      <c r="U563" s="430"/>
      <c r="V563" s="430"/>
      <c r="W563" s="430"/>
      <c r="X563" s="430"/>
      <c r="Y563" s="430"/>
      <c r="Z563" s="430"/>
      <c r="AA563" s="430"/>
      <c r="AB563" s="430"/>
      <c r="AC563" s="430"/>
      <c r="AD563" s="430"/>
      <c r="AE563" s="430"/>
      <c r="AF563" s="430"/>
      <c r="AG563" s="430"/>
      <c r="AH563" s="430"/>
      <c r="AI563" s="430"/>
      <c r="AJ563" s="430"/>
      <c r="AK563" s="430"/>
      <c r="AL563" s="430"/>
      <c r="AM563" s="430"/>
      <c r="AN563" s="430"/>
      <c r="AO563" s="430"/>
      <c r="AP563" s="430"/>
      <c r="AQ563" s="430"/>
      <c r="AR563" s="430"/>
      <c r="AS563" s="430"/>
      <c r="AT563" s="430"/>
      <c r="AU563" s="430"/>
      <c r="AV563" s="430"/>
      <c r="AW563" s="430"/>
      <c r="AX563" s="430"/>
      <c r="AY563" s="430"/>
      <c r="AZ563" s="430"/>
      <c r="BA563" s="430"/>
      <c r="BB563" s="430"/>
      <c r="BC563" s="430"/>
      <c r="BD563" s="430"/>
      <c r="BE563" s="430"/>
    </row>
    <row r="564" spans="1:57" ht="15.75" customHeight="1">
      <c r="A564" s="430"/>
      <c r="B564" s="430"/>
      <c r="C564" s="430"/>
      <c r="D564" s="430"/>
      <c r="E564" s="430"/>
      <c r="F564" s="430"/>
      <c r="G564" s="430"/>
      <c r="H564" s="430"/>
      <c r="I564" s="430"/>
      <c r="J564" s="430"/>
      <c r="K564" s="430"/>
      <c r="L564" s="430"/>
      <c r="M564" s="430"/>
      <c r="N564" s="430"/>
      <c r="O564" s="430"/>
      <c r="P564" s="430"/>
      <c r="Q564" s="430"/>
      <c r="R564" s="430"/>
      <c r="S564" s="430"/>
      <c r="T564" s="430"/>
      <c r="U564" s="430"/>
      <c r="V564" s="430"/>
      <c r="W564" s="430"/>
      <c r="X564" s="430"/>
      <c r="Y564" s="430"/>
      <c r="Z564" s="430"/>
      <c r="AA564" s="430"/>
      <c r="AB564" s="430"/>
      <c r="AC564" s="430"/>
      <c r="AD564" s="430"/>
      <c r="AE564" s="430"/>
      <c r="AF564" s="430"/>
      <c r="AG564" s="430"/>
      <c r="AH564" s="430"/>
      <c r="AI564" s="430"/>
      <c r="AJ564" s="430"/>
      <c r="AK564" s="430"/>
      <c r="AL564" s="430"/>
      <c r="AM564" s="430"/>
      <c r="AN564" s="430"/>
      <c r="AO564" s="430"/>
      <c r="AP564" s="430"/>
      <c r="AQ564" s="430"/>
      <c r="AR564" s="430"/>
      <c r="AS564" s="430"/>
      <c r="AT564" s="430"/>
      <c r="AU564" s="430"/>
      <c r="AV564" s="430"/>
      <c r="AW564" s="430"/>
      <c r="AX564" s="430"/>
      <c r="AY564" s="430"/>
      <c r="AZ564" s="430"/>
      <c r="BA564" s="430"/>
      <c r="BB564" s="430"/>
      <c r="BC564" s="430"/>
      <c r="BD564" s="430"/>
      <c r="BE564" s="430"/>
    </row>
    <row r="565" spans="1:57" ht="15.75" customHeight="1">
      <c r="A565" s="430"/>
      <c r="B565" s="430"/>
      <c r="C565" s="430"/>
      <c r="D565" s="430"/>
      <c r="E565" s="430"/>
      <c r="F565" s="430"/>
      <c r="G565" s="430"/>
      <c r="H565" s="430"/>
      <c r="I565" s="430"/>
      <c r="J565" s="430"/>
      <c r="K565" s="430"/>
      <c r="L565" s="430"/>
      <c r="M565" s="430"/>
      <c r="N565" s="430"/>
      <c r="O565" s="430"/>
      <c r="P565" s="430"/>
      <c r="Q565" s="430"/>
      <c r="R565" s="430"/>
      <c r="S565" s="430"/>
      <c r="T565" s="430"/>
      <c r="U565" s="430"/>
      <c r="V565" s="430"/>
      <c r="W565" s="430"/>
      <c r="X565" s="430"/>
      <c r="Y565" s="430"/>
      <c r="Z565" s="430"/>
      <c r="AA565" s="430"/>
      <c r="AB565" s="430"/>
      <c r="AC565" s="430"/>
      <c r="AD565" s="430"/>
      <c r="AE565" s="430"/>
      <c r="AF565" s="430"/>
      <c r="AG565" s="430"/>
      <c r="AH565" s="430"/>
      <c r="AI565" s="430"/>
      <c r="AJ565" s="430"/>
      <c r="AK565" s="430"/>
      <c r="AL565" s="430"/>
      <c r="AM565" s="430"/>
      <c r="AN565" s="430"/>
      <c r="AO565" s="430"/>
      <c r="AP565" s="430"/>
      <c r="AQ565" s="430"/>
      <c r="AR565" s="430"/>
      <c r="AS565" s="430"/>
      <c r="AT565" s="430"/>
      <c r="AU565" s="430"/>
      <c r="AV565" s="430"/>
      <c r="AW565" s="430"/>
      <c r="AX565" s="430"/>
      <c r="AY565" s="430"/>
      <c r="AZ565" s="430"/>
      <c r="BA565" s="430"/>
      <c r="BB565" s="430"/>
      <c r="BC565" s="430"/>
      <c r="BD565" s="430"/>
      <c r="BE565" s="430"/>
    </row>
    <row r="566" spans="1:57" ht="15.75" customHeight="1">
      <c r="A566" s="430"/>
      <c r="B566" s="430"/>
      <c r="C566" s="430"/>
      <c r="D566" s="430"/>
      <c r="E566" s="430"/>
      <c r="F566" s="430"/>
      <c r="G566" s="430"/>
      <c r="H566" s="430"/>
      <c r="I566" s="430"/>
      <c r="J566" s="430"/>
      <c r="K566" s="430"/>
      <c r="L566" s="430"/>
      <c r="M566" s="430"/>
      <c r="N566" s="430"/>
      <c r="O566" s="430"/>
      <c r="P566" s="430"/>
      <c r="Q566" s="430"/>
      <c r="R566" s="430"/>
      <c r="S566" s="430"/>
      <c r="T566" s="430"/>
      <c r="U566" s="430"/>
      <c r="V566" s="430"/>
      <c r="W566" s="430"/>
      <c r="X566" s="430"/>
      <c r="Y566" s="430"/>
      <c r="Z566" s="430"/>
      <c r="AA566" s="430"/>
      <c r="AB566" s="430"/>
      <c r="AC566" s="430"/>
      <c r="AD566" s="430"/>
      <c r="AE566" s="430"/>
      <c r="AF566" s="430"/>
      <c r="AG566" s="430"/>
      <c r="AH566" s="430"/>
      <c r="AI566" s="430"/>
      <c r="AJ566" s="430"/>
      <c r="AK566" s="430"/>
      <c r="AL566" s="430"/>
      <c r="AM566" s="430"/>
      <c r="AN566" s="430"/>
      <c r="AO566" s="430"/>
      <c r="AP566" s="430"/>
      <c r="AQ566" s="430"/>
      <c r="AR566" s="430"/>
      <c r="AS566" s="430"/>
      <c r="AT566" s="430"/>
      <c r="AU566" s="430"/>
      <c r="AV566" s="430"/>
      <c r="AW566" s="430"/>
      <c r="AX566" s="430"/>
      <c r="AY566" s="430"/>
      <c r="AZ566" s="430"/>
      <c r="BA566" s="430"/>
      <c r="BB566" s="430"/>
      <c r="BC566" s="430"/>
      <c r="BD566" s="430"/>
      <c r="BE566" s="430"/>
    </row>
    <row r="567" spans="1:57" ht="15.75" customHeight="1">
      <c r="A567" s="430"/>
      <c r="B567" s="430"/>
      <c r="C567" s="430"/>
      <c r="D567" s="430"/>
      <c r="E567" s="430"/>
      <c r="F567" s="430"/>
      <c r="G567" s="430"/>
      <c r="H567" s="430"/>
      <c r="I567" s="430"/>
      <c r="J567" s="430"/>
      <c r="K567" s="430"/>
      <c r="L567" s="430"/>
      <c r="M567" s="430"/>
      <c r="N567" s="430"/>
      <c r="O567" s="430"/>
      <c r="P567" s="430"/>
      <c r="Q567" s="430"/>
      <c r="R567" s="430"/>
      <c r="S567" s="430"/>
      <c r="T567" s="430"/>
      <c r="U567" s="430"/>
      <c r="V567" s="430"/>
      <c r="W567" s="430"/>
      <c r="X567" s="430"/>
      <c r="Y567" s="430"/>
      <c r="Z567" s="430"/>
      <c r="AA567" s="430"/>
      <c r="AB567" s="430"/>
      <c r="AC567" s="430"/>
      <c r="AD567" s="430"/>
      <c r="AE567" s="430"/>
      <c r="AF567" s="430"/>
      <c r="AG567" s="430"/>
      <c r="AH567" s="430"/>
      <c r="AI567" s="430"/>
      <c r="AJ567" s="430"/>
      <c r="AK567" s="430"/>
      <c r="AL567" s="430"/>
      <c r="AM567" s="430"/>
      <c r="AN567" s="430"/>
      <c r="AO567" s="430"/>
      <c r="AP567" s="430"/>
      <c r="AQ567" s="430"/>
      <c r="AR567" s="430"/>
      <c r="AS567" s="430"/>
      <c r="AT567" s="430"/>
      <c r="AU567" s="430"/>
      <c r="AV567" s="430"/>
      <c r="AW567" s="430"/>
      <c r="AX567" s="430"/>
      <c r="AY567" s="430"/>
      <c r="AZ567" s="430"/>
      <c r="BA567" s="430"/>
      <c r="BB567" s="430"/>
      <c r="BC567" s="430"/>
      <c r="BD567" s="430"/>
      <c r="BE567" s="430"/>
    </row>
    <row r="568" spans="1:57" ht="15.75" customHeight="1">
      <c r="A568" s="430"/>
      <c r="B568" s="430"/>
      <c r="C568" s="430"/>
      <c r="D568" s="430"/>
      <c r="E568" s="430"/>
      <c r="F568" s="430"/>
      <c r="G568" s="430"/>
      <c r="H568" s="430"/>
      <c r="I568" s="430"/>
      <c r="J568" s="430"/>
      <c r="K568" s="430"/>
      <c r="L568" s="430"/>
      <c r="M568" s="430"/>
      <c r="N568" s="430"/>
      <c r="O568" s="430"/>
      <c r="P568" s="430"/>
      <c r="Q568" s="430"/>
      <c r="R568" s="430"/>
      <c r="S568" s="430"/>
      <c r="T568" s="430"/>
      <c r="U568" s="430"/>
      <c r="V568" s="430"/>
      <c r="W568" s="430"/>
      <c r="X568" s="430"/>
      <c r="Y568" s="430"/>
      <c r="Z568" s="430"/>
      <c r="AA568" s="430"/>
      <c r="AB568" s="430"/>
      <c r="AC568" s="430"/>
      <c r="AD568" s="430"/>
      <c r="AE568" s="430"/>
      <c r="AF568" s="430"/>
      <c r="AG568" s="430"/>
      <c r="AH568" s="430"/>
      <c r="AI568" s="430"/>
      <c r="AJ568" s="430"/>
      <c r="AK568" s="430"/>
      <c r="AL568" s="430"/>
      <c r="AM568" s="430"/>
      <c r="AN568" s="430"/>
      <c r="AO568" s="430"/>
      <c r="AP568" s="430"/>
      <c r="AQ568" s="430"/>
      <c r="AR568" s="430"/>
      <c r="AS568" s="430"/>
      <c r="AT568" s="430"/>
      <c r="AU568" s="430"/>
      <c r="AV568" s="430"/>
      <c r="AW568" s="430"/>
      <c r="AX568" s="430"/>
      <c r="AY568" s="430"/>
      <c r="AZ568" s="430"/>
      <c r="BA568" s="430"/>
      <c r="BB568" s="430"/>
      <c r="BC568" s="430"/>
      <c r="BD568" s="430"/>
      <c r="BE568" s="430"/>
    </row>
    <row r="569" spans="1:57" ht="15.75" customHeight="1">
      <c r="A569" s="430"/>
      <c r="B569" s="430"/>
      <c r="C569" s="430"/>
      <c r="D569" s="430"/>
      <c r="E569" s="430"/>
      <c r="F569" s="430"/>
      <c r="G569" s="430"/>
      <c r="H569" s="430"/>
      <c r="I569" s="430"/>
      <c r="J569" s="430"/>
      <c r="K569" s="430"/>
      <c r="L569" s="430"/>
      <c r="M569" s="430"/>
      <c r="N569" s="430"/>
      <c r="O569" s="430"/>
      <c r="P569" s="430"/>
      <c r="Q569" s="430"/>
      <c r="R569" s="430"/>
      <c r="S569" s="430"/>
      <c r="T569" s="430"/>
      <c r="U569" s="430"/>
      <c r="V569" s="430"/>
      <c r="W569" s="430"/>
      <c r="X569" s="430"/>
      <c r="Y569" s="430"/>
      <c r="Z569" s="430"/>
      <c r="AA569" s="430"/>
      <c r="AB569" s="430"/>
      <c r="AC569" s="430"/>
      <c r="AD569" s="430"/>
      <c r="AE569" s="430"/>
      <c r="AF569" s="430"/>
      <c r="AG569" s="430"/>
      <c r="AH569" s="430"/>
      <c r="AI569" s="430"/>
      <c r="AJ569" s="430"/>
      <c r="AK569" s="430"/>
      <c r="AL569" s="430"/>
      <c r="AM569" s="430"/>
      <c r="AN569" s="430"/>
      <c r="AO569" s="430"/>
      <c r="AP569" s="430"/>
      <c r="AQ569" s="430"/>
      <c r="AR569" s="430"/>
      <c r="AS569" s="430"/>
      <c r="AT569" s="430"/>
      <c r="AU569" s="430"/>
      <c r="AV569" s="430"/>
      <c r="AW569" s="430"/>
      <c r="AX569" s="430"/>
      <c r="AY569" s="430"/>
      <c r="AZ569" s="430"/>
      <c r="BA569" s="430"/>
      <c r="BB569" s="430"/>
      <c r="BC569" s="430"/>
      <c r="BD569" s="430"/>
      <c r="BE569" s="430"/>
    </row>
    <row r="570" spans="1:57" ht="15.75" customHeight="1">
      <c r="A570" s="430"/>
      <c r="B570" s="430"/>
      <c r="C570" s="430"/>
      <c r="D570" s="430"/>
      <c r="E570" s="430"/>
      <c r="F570" s="430"/>
      <c r="G570" s="430"/>
      <c r="H570" s="430"/>
      <c r="I570" s="430"/>
      <c r="J570" s="430"/>
      <c r="K570" s="430"/>
      <c r="L570" s="430"/>
      <c r="M570" s="430"/>
      <c r="N570" s="430"/>
      <c r="O570" s="430"/>
      <c r="P570" s="430"/>
      <c r="Q570" s="430"/>
      <c r="R570" s="430"/>
      <c r="S570" s="430"/>
      <c r="T570" s="430"/>
      <c r="U570" s="430"/>
      <c r="V570" s="430"/>
      <c r="W570" s="430"/>
      <c r="X570" s="430"/>
      <c r="Y570" s="430"/>
      <c r="Z570" s="430"/>
      <c r="AA570" s="430"/>
      <c r="AB570" s="430"/>
      <c r="AC570" s="430"/>
      <c r="AD570" s="430"/>
      <c r="AE570" s="430"/>
      <c r="AF570" s="430"/>
      <c r="AG570" s="430"/>
      <c r="AH570" s="430"/>
      <c r="AI570" s="430"/>
      <c r="AJ570" s="430"/>
      <c r="AK570" s="430"/>
      <c r="AL570" s="430"/>
      <c r="AM570" s="430"/>
      <c r="AN570" s="430"/>
      <c r="AO570" s="430"/>
      <c r="AP570" s="430"/>
      <c r="AQ570" s="430"/>
      <c r="AR570" s="430"/>
      <c r="AS570" s="430"/>
      <c r="AT570" s="430"/>
      <c r="AU570" s="430"/>
      <c r="AV570" s="430"/>
      <c r="AW570" s="430"/>
      <c r="AX570" s="430"/>
      <c r="AY570" s="430"/>
      <c r="AZ570" s="430"/>
      <c r="BA570" s="430"/>
      <c r="BB570" s="430"/>
      <c r="BC570" s="430"/>
      <c r="BD570" s="430"/>
      <c r="BE570" s="430"/>
    </row>
    <row r="571" spans="1:57" ht="15.75" customHeight="1">
      <c r="A571" s="430"/>
      <c r="B571" s="430"/>
      <c r="C571" s="430"/>
      <c r="D571" s="430"/>
      <c r="E571" s="430"/>
      <c r="F571" s="430"/>
      <c r="G571" s="430"/>
      <c r="H571" s="430"/>
      <c r="I571" s="430"/>
      <c r="J571" s="430"/>
      <c r="K571" s="430"/>
      <c r="L571" s="430"/>
      <c r="M571" s="430"/>
      <c r="N571" s="430"/>
      <c r="O571" s="430"/>
      <c r="P571" s="430"/>
      <c r="Q571" s="430"/>
      <c r="R571" s="430"/>
      <c r="S571" s="430"/>
      <c r="T571" s="430"/>
      <c r="U571" s="430"/>
      <c r="V571" s="430"/>
      <c r="W571" s="430"/>
      <c r="X571" s="430"/>
      <c r="Y571" s="430"/>
      <c r="Z571" s="430"/>
      <c r="AA571" s="430"/>
      <c r="AB571" s="430"/>
      <c r="AC571" s="430"/>
      <c r="AD571" s="430"/>
      <c r="AE571" s="430"/>
      <c r="AF571" s="430"/>
      <c r="AG571" s="430"/>
      <c r="AH571" s="430"/>
      <c r="AI571" s="430"/>
      <c r="AJ571" s="430"/>
      <c r="AK571" s="430"/>
      <c r="AL571" s="430"/>
      <c r="AM571" s="430"/>
      <c r="AN571" s="430"/>
      <c r="AO571" s="430"/>
      <c r="AP571" s="430"/>
      <c r="AQ571" s="430"/>
      <c r="AR571" s="430"/>
      <c r="AS571" s="430"/>
      <c r="AT571" s="430"/>
      <c r="AU571" s="430"/>
      <c r="AV571" s="430"/>
      <c r="AW571" s="430"/>
      <c r="AX571" s="430"/>
      <c r="AY571" s="430"/>
      <c r="AZ571" s="430"/>
      <c r="BA571" s="430"/>
      <c r="BB571" s="430"/>
      <c r="BC571" s="430"/>
      <c r="BD571" s="430"/>
      <c r="BE571" s="430"/>
    </row>
    <row r="572" spans="1:57" ht="15.75" customHeight="1">
      <c r="A572" s="430"/>
      <c r="B572" s="430"/>
      <c r="C572" s="430"/>
      <c r="D572" s="430"/>
      <c r="E572" s="430"/>
      <c r="F572" s="430"/>
      <c r="G572" s="430"/>
      <c r="H572" s="430"/>
      <c r="I572" s="430"/>
      <c r="J572" s="430"/>
      <c r="K572" s="430"/>
      <c r="L572" s="430"/>
      <c r="M572" s="430"/>
      <c r="N572" s="430"/>
      <c r="O572" s="430"/>
      <c r="P572" s="430"/>
      <c r="Q572" s="430"/>
      <c r="R572" s="430"/>
      <c r="S572" s="430"/>
      <c r="T572" s="430"/>
      <c r="U572" s="430"/>
      <c r="V572" s="430"/>
      <c r="W572" s="430"/>
      <c r="X572" s="430"/>
      <c r="Y572" s="430"/>
      <c r="Z572" s="430"/>
      <c r="AA572" s="430"/>
      <c r="AB572" s="430"/>
      <c r="AC572" s="430"/>
      <c r="AD572" s="430"/>
      <c r="AE572" s="430"/>
      <c r="AF572" s="430"/>
      <c r="AG572" s="430"/>
      <c r="AH572" s="430"/>
      <c r="AI572" s="430"/>
      <c r="AJ572" s="430"/>
      <c r="AK572" s="430"/>
      <c r="AL572" s="430"/>
      <c r="AM572" s="430"/>
      <c r="AN572" s="430"/>
      <c r="AO572" s="430"/>
      <c r="AP572" s="430"/>
      <c r="AQ572" s="430"/>
      <c r="AR572" s="430"/>
      <c r="AS572" s="430"/>
      <c r="AT572" s="430"/>
      <c r="AU572" s="430"/>
      <c r="AV572" s="430"/>
      <c r="AW572" s="430"/>
      <c r="AX572" s="430"/>
      <c r="AY572" s="430"/>
      <c r="AZ572" s="430"/>
      <c r="BA572" s="430"/>
      <c r="BB572" s="430"/>
      <c r="BC572" s="430"/>
      <c r="BD572" s="430"/>
      <c r="BE572" s="430"/>
    </row>
    <row r="573" spans="1:57" ht="15.75" customHeight="1">
      <c r="A573" s="430"/>
      <c r="B573" s="430"/>
      <c r="C573" s="430"/>
      <c r="D573" s="430"/>
      <c r="E573" s="430"/>
      <c r="F573" s="430"/>
      <c r="G573" s="430"/>
      <c r="H573" s="430"/>
      <c r="I573" s="430"/>
      <c r="J573" s="430"/>
      <c r="K573" s="430"/>
      <c r="L573" s="430"/>
      <c r="M573" s="430"/>
      <c r="N573" s="430"/>
      <c r="O573" s="430"/>
      <c r="P573" s="430"/>
      <c r="Q573" s="430"/>
      <c r="R573" s="430"/>
      <c r="S573" s="430"/>
      <c r="T573" s="430"/>
      <c r="U573" s="430"/>
      <c r="V573" s="430"/>
      <c r="W573" s="430"/>
      <c r="X573" s="430"/>
      <c r="Y573" s="430"/>
      <c r="Z573" s="430"/>
      <c r="AA573" s="430"/>
      <c r="AB573" s="430"/>
      <c r="AC573" s="430"/>
      <c r="AD573" s="430"/>
      <c r="AE573" s="430"/>
      <c r="AF573" s="430"/>
      <c r="AG573" s="430"/>
      <c r="AH573" s="430"/>
      <c r="AI573" s="430"/>
      <c r="AJ573" s="430"/>
      <c r="AK573" s="430"/>
      <c r="AL573" s="430"/>
      <c r="AM573" s="430"/>
      <c r="AN573" s="430"/>
      <c r="AO573" s="430"/>
      <c r="AP573" s="430"/>
      <c r="AQ573" s="430"/>
      <c r="AR573" s="430"/>
      <c r="AS573" s="430"/>
      <c r="AT573" s="430"/>
      <c r="AU573" s="430"/>
      <c r="AV573" s="430"/>
      <c r="AW573" s="430"/>
      <c r="AX573" s="430"/>
      <c r="AY573" s="430"/>
      <c r="AZ573" s="430"/>
      <c r="BA573" s="430"/>
      <c r="BB573" s="430"/>
      <c r="BC573" s="430"/>
      <c r="BD573" s="430"/>
      <c r="BE573" s="430"/>
    </row>
    <row r="574" spans="1:57" ht="15.75" customHeight="1">
      <c r="A574" s="430"/>
      <c r="B574" s="430"/>
      <c r="C574" s="430"/>
      <c r="D574" s="430"/>
      <c r="E574" s="430"/>
      <c r="F574" s="430"/>
      <c r="G574" s="430"/>
      <c r="H574" s="430"/>
      <c r="I574" s="430"/>
      <c r="J574" s="430"/>
      <c r="K574" s="430"/>
      <c r="L574" s="430"/>
      <c r="M574" s="430"/>
      <c r="N574" s="430"/>
      <c r="O574" s="430"/>
      <c r="P574" s="430"/>
      <c r="Q574" s="430"/>
      <c r="R574" s="430"/>
      <c r="S574" s="430"/>
      <c r="T574" s="430"/>
      <c r="U574" s="430"/>
      <c r="V574" s="430"/>
      <c r="W574" s="430"/>
      <c r="X574" s="430"/>
      <c r="Y574" s="430"/>
      <c r="Z574" s="430"/>
      <c r="AA574" s="430"/>
      <c r="AB574" s="430"/>
      <c r="AC574" s="430"/>
      <c r="AD574" s="430"/>
      <c r="AE574" s="430"/>
      <c r="AF574" s="430"/>
      <c r="AG574" s="430"/>
      <c r="AH574" s="430"/>
      <c r="AI574" s="430"/>
      <c r="AJ574" s="430"/>
      <c r="AK574" s="430"/>
      <c r="AL574" s="430"/>
      <c r="AM574" s="430"/>
      <c r="AN574" s="430"/>
      <c r="AO574" s="430"/>
      <c r="AP574" s="430"/>
      <c r="AQ574" s="430"/>
      <c r="AR574" s="430"/>
      <c r="AS574" s="430"/>
      <c r="AT574" s="430"/>
      <c r="AU574" s="430"/>
      <c r="AV574" s="430"/>
      <c r="AW574" s="430"/>
      <c r="AX574" s="430"/>
      <c r="AY574" s="430"/>
      <c r="AZ574" s="430"/>
      <c r="BA574" s="430"/>
      <c r="BB574" s="430"/>
      <c r="BC574" s="430"/>
      <c r="BD574" s="430"/>
      <c r="BE574" s="430"/>
    </row>
    <row r="575" spans="1:57" ht="15.75" customHeight="1">
      <c r="A575" s="430"/>
      <c r="B575" s="430"/>
      <c r="C575" s="430"/>
      <c r="D575" s="430"/>
      <c r="E575" s="430"/>
      <c r="F575" s="430"/>
      <c r="G575" s="430"/>
      <c r="H575" s="430"/>
      <c r="I575" s="430"/>
      <c r="J575" s="430"/>
      <c r="K575" s="430"/>
      <c r="L575" s="430"/>
      <c r="M575" s="430"/>
      <c r="N575" s="430"/>
      <c r="O575" s="430"/>
      <c r="P575" s="430"/>
      <c r="Q575" s="430"/>
      <c r="R575" s="430"/>
      <c r="S575" s="430"/>
      <c r="T575" s="430"/>
      <c r="U575" s="430"/>
      <c r="V575" s="430"/>
      <c r="W575" s="430"/>
      <c r="X575" s="430"/>
      <c r="Y575" s="430"/>
      <c r="Z575" s="430"/>
      <c r="AA575" s="430"/>
      <c r="AB575" s="430"/>
      <c r="AC575" s="430"/>
      <c r="AD575" s="430"/>
      <c r="AE575" s="430"/>
      <c r="AF575" s="430"/>
      <c r="AG575" s="430"/>
      <c r="AH575" s="430"/>
      <c r="AI575" s="430"/>
      <c r="AJ575" s="430"/>
      <c r="AK575" s="430"/>
      <c r="AL575" s="430"/>
      <c r="AM575" s="430"/>
      <c r="AN575" s="430"/>
      <c r="AO575" s="430"/>
      <c r="AP575" s="430"/>
      <c r="AQ575" s="430"/>
      <c r="AR575" s="430"/>
      <c r="AS575" s="430"/>
      <c r="AT575" s="430"/>
      <c r="AU575" s="430"/>
      <c r="AV575" s="430"/>
      <c r="AW575" s="430"/>
      <c r="AX575" s="430"/>
      <c r="AY575" s="430"/>
      <c r="AZ575" s="430"/>
      <c r="BA575" s="430"/>
      <c r="BB575" s="430"/>
      <c r="BC575" s="430"/>
      <c r="BD575" s="430"/>
      <c r="BE575" s="430"/>
    </row>
    <row r="576" spans="1:57" ht="15.75" customHeight="1">
      <c r="A576" s="430"/>
      <c r="B576" s="430"/>
      <c r="C576" s="430"/>
      <c r="D576" s="430"/>
      <c r="E576" s="430"/>
      <c r="F576" s="430"/>
      <c r="G576" s="430"/>
      <c r="H576" s="430"/>
      <c r="I576" s="430"/>
      <c r="J576" s="430"/>
      <c r="K576" s="430"/>
      <c r="L576" s="430"/>
      <c r="M576" s="430"/>
      <c r="N576" s="430"/>
      <c r="O576" s="430"/>
      <c r="P576" s="430"/>
      <c r="Q576" s="430"/>
      <c r="R576" s="430"/>
      <c r="S576" s="430"/>
      <c r="T576" s="430"/>
      <c r="U576" s="430"/>
      <c r="V576" s="430"/>
      <c r="W576" s="430"/>
      <c r="X576" s="430"/>
      <c r="Y576" s="430"/>
      <c r="Z576" s="430"/>
      <c r="AA576" s="430"/>
      <c r="AB576" s="430"/>
      <c r="AC576" s="430"/>
      <c r="AD576" s="430"/>
      <c r="AE576" s="430"/>
      <c r="AF576" s="430"/>
      <c r="AG576" s="430"/>
      <c r="AH576" s="430"/>
      <c r="AI576" s="430"/>
      <c r="AJ576" s="430"/>
      <c r="AK576" s="430"/>
      <c r="AL576" s="430"/>
      <c r="AM576" s="430"/>
      <c r="AN576" s="430"/>
      <c r="AO576" s="430"/>
      <c r="AP576" s="430"/>
      <c r="AQ576" s="430"/>
      <c r="AR576" s="430"/>
      <c r="AS576" s="430"/>
      <c r="AT576" s="430"/>
      <c r="AU576" s="430"/>
      <c r="AV576" s="430"/>
      <c r="AW576" s="430"/>
      <c r="AX576" s="430"/>
      <c r="AY576" s="430"/>
      <c r="AZ576" s="430"/>
      <c r="BA576" s="430"/>
      <c r="BB576" s="430"/>
      <c r="BC576" s="430"/>
      <c r="BD576" s="430"/>
      <c r="BE576" s="430"/>
    </row>
    <row r="577" spans="1:57" ht="15.75" customHeight="1">
      <c r="A577" s="430"/>
      <c r="B577" s="430"/>
      <c r="C577" s="430"/>
      <c r="D577" s="430"/>
      <c r="E577" s="430"/>
      <c r="F577" s="430"/>
      <c r="G577" s="430"/>
      <c r="H577" s="430"/>
      <c r="I577" s="430"/>
      <c r="J577" s="430"/>
      <c r="K577" s="430"/>
      <c r="L577" s="430"/>
      <c r="M577" s="430"/>
      <c r="N577" s="430"/>
      <c r="O577" s="430"/>
      <c r="P577" s="430"/>
      <c r="Q577" s="430"/>
      <c r="R577" s="430"/>
      <c r="S577" s="430"/>
      <c r="T577" s="430"/>
      <c r="U577" s="430"/>
      <c r="V577" s="430"/>
      <c r="W577" s="430"/>
      <c r="X577" s="430"/>
      <c r="Y577" s="430"/>
      <c r="Z577" s="430"/>
      <c r="AA577" s="430"/>
      <c r="AB577" s="430"/>
      <c r="AC577" s="430"/>
      <c r="AD577" s="430"/>
      <c r="AE577" s="430"/>
      <c r="AF577" s="430"/>
      <c r="AG577" s="430"/>
      <c r="AH577" s="430"/>
      <c r="AI577" s="430"/>
      <c r="AJ577" s="430"/>
      <c r="AK577" s="430"/>
      <c r="AL577" s="430"/>
      <c r="AM577" s="430"/>
      <c r="AN577" s="430"/>
      <c r="AO577" s="430"/>
      <c r="AP577" s="430"/>
      <c r="AQ577" s="430"/>
      <c r="AR577" s="430"/>
      <c r="AS577" s="430"/>
      <c r="AT577" s="430"/>
      <c r="AU577" s="430"/>
      <c r="AV577" s="430"/>
      <c r="AW577" s="430"/>
      <c r="AX577" s="430"/>
      <c r="AY577" s="430"/>
      <c r="AZ577" s="430"/>
      <c r="BA577" s="430"/>
      <c r="BB577" s="430"/>
      <c r="BC577" s="430"/>
      <c r="BD577" s="430"/>
      <c r="BE577" s="430"/>
    </row>
    <row r="578" spans="1:57" ht="15.75" customHeight="1">
      <c r="A578" s="430"/>
      <c r="B578" s="430"/>
      <c r="C578" s="430"/>
      <c r="D578" s="430"/>
      <c r="E578" s="430"/>
      <c r="F578" s="430"/>
      <c r="G578" s="430"/>
      <c r="H578" s="430"/>
      <c r="I578" s="430"/>
      <c r="J578" s="430"/>
      <c r="K578" s="430"/>
      <c r="L578" s="430"/>
      <c r="M578" s="430"/>
      <c r="N578" s="430"/>
      <c r="O578" s="430"/>
      <c r="P578" s="430"/>
      <c r="Q578" s="430"/>
      <c r="R578" s="430"/>
      <c r="S578" s="430"/>
      <c r="T578" s="430"/>
      <c r="U578" s="430"/>
      <c r="V578" s="430"/>
      <c r="W578" s="430"/>
      <c r="X578" s="430"/>
      <c r="Y578" s="430"/>
      <c r="Z578" s="430"/>
      <c r="AA578" s="430"/>
      <c r="AB578" s="430"/>
      <c r="AC578" s="430"/>
      <c r="AD578" s="430"/>
      <c r="AE578" s="430"/>
      <c r="AF578" s="430"/>
      <c r="AG578" s="430"/>
      <c r="AH578" s="430"/>
      <c r="AI578" s="430"/>
      <c r="AJ578" s="430"/>
      <c r="AK578" s="430"/>
      <c r="AL578" s="430"/>
      <c r="AM578" s="430"/>
      <c r="AN578" s="430"/>
      <c r="AO578" s="430"/>
      <c r="AP578" s="430"/>
      <c r="AQ578" s="430"/>
      <c r="AR578" s="430"/>
      <c r="AS578" s="430"/>
      <c r="AT578" s="430"/>
      <c r="AU578" s="430"/>
      <c r="AV578" s="430"/>
      <c r="AW578" s="430"/>
      <c r="AX578" s="430"/>
      <c r="AY578" s="430"/>
      <c r="AZ578" s="430"/>
      <c r="BA578" s="430"/>
      <c r="BB578" s="430"/>
      <c r="BC578" s="430"/>
      <c r="BD578" s="430"/>
      <c r="BE578" s="430"/>
    </row>
    <row r="579" spans="1:57" ht="15.75" customHeight="1">
      <c r="A579" s="430"/>
      <c r="B579" s="430"/>
      <c r="C579" s="430"/>
      <c r="D579" s="430"/>
      <c r="E579" s="430"/>
      <c r="F579" s="430"/>
      <c r="G579" s="430"/>
      <c r="H579" s="430"/>
      <c r="I579" s="430"/>
      <c r="J579" s="430"/>
      <c r="K579" s="430"/>
      <c r="L579" s="430"/>
      <c r="M579" s="430"/>
      <c r="N579" s="430"/>
      <c r="O579" s="430"/>
      <c r="P579" s="430"/>
      <c r="Q579" s="430"/>
      <c r="R579" s="430"/>
      <c r="S579" s="430"/>
      <c r="T579" s="430"/>
      <c r="U579" s="430"/>
      <c r="V579" s="430"/>
      <c r="W579" s="430"/>
      <c r="X579" s="430"/>
      <c r="Y579" s="430"/>
      <c r="Z579" s="430"/>
      <c r="AA579" s="430"/>
      <c r="AB579" s="430"/>
      <c r="AC579" s="430"/>
      <c r="AD579" s="430"/>
      <c r="AE579" s="430"/>
      <c r="AF579" s="430"/>
      <c r="AG579" s="430"/>
      <c r="AH579" s="430"/>
      <c r="AI579" s="430"/>
      <c r="AJ579" s="430"/>
      <c r="AK579" s="430"/>
      <c r="AL579" s="430"/>
      <c r="AM579" s="430"/>
      <c r="AN579" s="430"/>
      <c r="AO579" s="430"/>
      <c r="AP579" s="430"/>
      <c r="AQ579" s="430"/>
      <c r="AR579" s="430"/>
      <c r="AS579" s="430"/>
      <c r="AT579" s="430"/>
      <c r="AU579" s="430"/>
      <c r="AV579" s="430"/>
      <c r="AW579" s="430"/>
      <c r="AX579" s="430"/>
      <c r="AY579" s="430"/>
      <c r="AZ579" s="430"/>
      <c r="BA579" s="430"/>
      <c r="BB579" s="430"/>
      <c r="BC579" s="430"/>
      <c r="BD579" s="430"/>
      <c r="BE579" s="430"/>
    </row>
    <row r="580" spans="1:57" ht="15.75" customHeight="1">
      <c r="A580" s="430"/>
      <c r="B580" s="430"/>
      <c r="C580" s="430"/>
      <c r="D580" s="430"/>
      <c r="E580" s="430"/>
      <c r="F580" s="430"/>
      <c r="G580" s="430"/>
      <c r="H580" s="430"/>
      <c r="I580" s="430"/>
      <c r="J580" s="430"/>
      <c r="K580" s="430"/>
      <c r="L580" s="430"/>
      <c r="M580" s="430"/>
      <c r="N580" s="430"/>
      <c r="O580" s="430"/>
      <c r="P580" s="430"/>
      <c r="Q580" s="430"/>
      <c r="R580" s="430"/>
      <c r="S580" s="430"/>
      <c r="T580" s="430"/>
      <c r="U580" s="430"/>
      <c r="V580" s="430"/>
      <c r="W580" s="430"/>
      <c r="X580" s="430"/>
      <c r="Y580" s="430"/>
      <c r="Z580" s="430"/>
      <c r="AA580" s="430"/>
      <c r="AB580" s="430"/>
      <c r="AC580" s="430"/>
      <c r="AD580" s="430"/>
      <c r="AE580" s="430"/>
      <c r="AF580" s="430"/>
      <c r="AG580" s="430"/>
      <c r="AH580" s="430"/>
      <c r="AI580" s="430"/>
      <c r="AJ580" s="430"/>
      <c r="AK580" s="430"/>
      <c r="AL580" s="430"/>
      <c r="AM580" s="430"/>
      <c r="AN580" s="430"/>
      <c r="AO580" s="430"/>
      <c r="AP580" s="430"/>
      <c r="AQ580" s="430"/>
      <c r="AR580" s="430"/>
      <c r="AS580" s="430"/>
      <c r="AT580" s="430"/>
      <c r="AU580" s="430"/>
      <c r="AV580" s="430"/>
      <c r="AW580" s="430"/>
      <c r="AX580" s="430"/>
      <c r="AY580" s="430"/>
      <c r="AZ580" s="430"/>
      <c r="BA580" s="430"/>
      <c r="BB580" s="430"/>
      <c r="BC580" s="430"/>
      <c r="BD580" s="430"/>
      <c r="BE580" s="430"/>
    </row>
    <row r="581" spans="1:57" ht="15.75" customHeight="1">
      <c r="A581" s="430"/>
      <c r="B581" s="430"/>
      <c r="C581" s="430"/>
      <c r="D581" s="430"/>
      <c r="E581" s="430"/>
      <c r="F581" s="430"/>
      <c r="G581" s="430"/>
      <c r="H581" s="430"/>
      <c r="I581" s="430"/>
      <c r="J581" s="430"/>
      <c r="K581" s="430"/>
      <c r="L581" s="430"/>
      <c r="M581" s="430"/>
      <c r="N581" s="430"/>
      <c r="O581" s="430"/>
      <c r="P581" s="430"/>
      <c r="Q581" s="430"/>
      <c r="R581" s="430"/>
      <c r="S581" s="430"/>
      <c r="T581" s="430"/>
      <c r="U581" s="430"/>
      <c r="V581" s="430"/>
      <c r="W581" s="430"/>
      <c r="X581" s="430"/>
      <c r="Y581" s="430"/>
      <c r="Z581" s="430"/>
      <c r="AA581" s="430"/>
      <c r="AB581" s="430"/>
      <c r="AC581" s="430"/>
      <c r="AD581" s="430"/>
      <c r="AE581" s="430"/>
      <c r="AF581" s="430"/>
      <c r="AG581" s="430"/>
      <c r="AH581" s="430"/>
      <c r="AI581" s="430"/>
      <c r="AJ581" s="430"/>
      <c r="AK581" s="430"/>
      <c r="AL581" s="430"/>
      <c r="AM581" s="430"/>
      <c r="AN581" s="430"/>
      <c r="AO581" s="430"/>
      <c r="AP581" s="430"/>
      <c r="AQ581" s="430"/>
      <c r="AR581" s="430"/>
      <c r="AS581" s="430"/>
      <c r="AT581" s="430"/>
      <c r="AU581" s="430"/>
      <c r="AV581" s="430"/>
      <c r="AW581" s="430"/>
      <c r="AX581" s="430"/>
      <c r="AY581" s="430"/>
      <c r="AZ581" s="430"/>
      <c r="BA581" s="430"/>
      <c r="BB581" s="430"/>
      <c r="BC581" s="430"/>
      <c r="BD581" s="430"/>
      <c r="BE581" s="430"/>
    </row>
    <row r="582" spans="1:57" ht="15.75" customHeight="1">
      <c r="A582" s="430"/>
      <c r="B582" s="430"/>
      <c r="C582" s="430"/>
      <c r="D582" s="430"/>
      <c r="E582" s="430"/>
      <c r="F582" s="430"/>
      <c r="G582" s="430"/>
      <c r="H582" s="430"/>
      <c r="I582" s="430"/>
      <c r="J582" s="430"/>
      <c r="K582" s="430"/>
      <c r="L582" s="430"/>
      <c r="M582" s="430"/>
      <c r="N582" s="430"/>
      <c r="O582" s="430"/>
      <c r="P582" s="430"/>
      <c r="Q582" s="430"/>
      <c r="R582" s="430"/>
      <c r="S582" s="430"/>
      <c r="T582" s="430"/>
      <c r="U582" s="430"/>
      <c r="V582" s="430"/>
      <c r="W582" s="430"/>
      <c r="X582" s="430"/>
      <c r="Y582" s="430"/>
      <c r="Z582" s="430"/>
      <c r="AA582" s="430"/>
      <c r="AB582" s="430"/>
      <c r="AC582" s="430"/>
      <c r="AD582" s="430"/>
      <c r="AE582" s="430"/>
      <c r="AF582" s="430"/>
      <c r="AG582" s="430"/>
      <c r="AH582" s="430"/>
      <c r="AI582" s="430"/>
      <c r="AJ582" s="430"/>
      <c r="AK582" s="430"/>
      <c r="AL582" s="430"/>
      <c r="AM582" s="430"/>
      <c r="AN582" s="430"/>
      <c r="AO582" s="430"/>
      <c r="AP582" s="430"/>
      <c r="AQ582" s="430"/>
      <c r="AR582" s="430"/>
      <c r="AS582" s="430"/>
      <c r="AT582" s="430"/>
      <c r="AU582" s="430"/>
      <c r="AV582" s="430"/>
      <c r="AW582" s="430"/>
      <c r="AX582" s="430"/>
      <c r="AY582" s="430"/>
      <c r="AZ582" s="430"/>
      <c r="BA582" s="430"/>
      <c r="BB582" s="430"/>
      <c r="BC582" s="430"/>
      <c r="BD582" s="430"/>
      <c r="BE582" s="430"/>
    </row>
    <row r="583" spans="1:57" ht="15.75" customHeight="1">
      <c r="A583" s="430"/>
      <c r="B583" s="430"/>
      <c r="C583" s="430"/>
      <c r="D583" s="430"/>
      <c r="E583" s="430"/>
      <c r="F583" s="430"/>
      <c r="G583" s="430"/>
      <c r="H583" s="430"/>
      <c r="I583" s="430"/>
      <c r="J583" s="430"/>
      <c r="K583" s="430"/>
      <c r="L583" s="430"/>
      <c r="M583" s="430"/>
      <c r="N583" s="430"/>
      <c r="O583" s="430"/>
      <c r="P583" s="430"/>
      <c r="Q583" s="430"/>
      <c r="R583" s="430"/>
      <c r="S583" s="430"/>
      <c r="T583" s="430"/>
      <c r="U583" s="430"/>
      <c r="V583" s="430"/>
      <c r="W583" s="430"/>
      <c r="X583" s="430"/>
      <c r="Y583" s="430"/>
      <c r="Z583" s="430"/>
      <c r="AA583" s="430"/>
      <c r="AB583" s="430"/>
      <c r="AC583" s="430"/>
      <c r="AD583" s="430"/>
      <c r="AE583" s="430"/>
      <c r="AF583" s="430"/>
      <c r="AG583" s="430"/>
      <c r="AH583" s="430"/>
      <c r="AI583" s="430"/>
      <c r="AJ583" s="430"/>
      <c r="AK583" s="430"/>
      <c r="AL583" s="430"/>
      <c r="AM583" s="430"/>
      <c r="AN583" s="430"/>
      <c r="AO583" s="430"/>
      <c r="AP583" s="430"/>
      <c r="AQ583" s="430"/>
      <c r="AR583" s="430"/>
      <c r="AS583" s="430"/>
      <c r="AT583" s="430"/>
      <c r="AU583" s="430"/>
      <c r="AV583" s="430"/>
      <c r="AW583" s="430"/>
      <c r="AX583" s="430"/>
      <c r="AY583" s="430"/>
      <c r="AZ583" s="430"/>
      <c r="BA583" s="430"/>
      <c r="BB583" s="430"/>
      <c r="BC583" s="430"/>
      <c r="BD583" s="430"/>
      <c r="BE583" s="430"/>
    </row>
    <row r="584" spans="1:57" ht="15.75" customHeight="1">
      <c r="A584" s="430"/>
      <c r="B584" s="430"/>
      <c r="C584" s="430"/>
      <c r="D584" s="430"/>
      <c r="E584" s="430"/>
      <c r="F584" s="430"/>
      <c r="G584" s="430"/>
      <c r="H584" s="430"/>
      <c r="I584" s="430"/>
      <c r="J584" s="430"/>
      <c r="K584" s="430"/>
      <c r="L584" s="430"/>
      <c r="M584" s="430"/>
      <c r="N584" s="430"/>
      <c r="O584" s="430"/>
      <c r="P584" s="430"/>
      <c r="Q584" s="430"/>
      <c r="R584" s="430"/>
      <c r="S584" s="430"/>
      <c r="T584" s="430"/>
      <c r="U584" s="430"/>
      <c r="V584" s="430"/>
      <c r="W584" s="430"/>
      <c r="X584" s="430"/>
      <c r="Y584" s="430"/>
      <c r="Z584" s="430"/>
      <c r="AA584" s="430"/>
      <c r="AB584" s="430"/>
      <c r="AC584" s="430"/>
      <c r="AD584" s="430"/>
      <c r="AE584" s="430"/>
      <c r="AF584" s="430"/>
      <c r="AG584" s="430"/>
      <c r="AH584" s="430"/>
      <c r="AI584" s="430"/>
      <c r="AJ584" s="430"/>
      <c r="AK584" s="430"/>
      <c r="AL584" s="430"/>
      <c r="AM584" s="430"/>
      <c r="AN584" s="430"/>
      <c r="AO584" s="430"/>
      <c r="AP584" s="430"/>
      <c r="AQ584" s="430"/>
      <c r="AR584" s="430"/>
      <c r="AS584" s="430"/>
      <c r="AT584" s="430"/>
      <c r="AU584" s="430"/>
      <c r="AV584" s="430"/>
      <c r="AW584" s="430"/>
      <c r="AX584" s="430"/>
      <c r="AY584" s="430"/>
      <c r="AZ584" s="430"/>
      <c r="BA584" s="430"/>
      <c r="BB584" s="430"/>
      <c r="BC584" s="430"/>
      <c r="BD584" s="430"/>
      <c r="BE584" s="430"/>
    </row>
    <row r="585" spans="1:57" ht="15.75" customHeight="1">
      <c r="A585" s="430"/>
      <c r="B585" s="430"/>
      <c r="C585" s="430"/>
      <c r="D585" s="430"/>
      <c r="E585" s="430"/>
      <c r="F585" s="430"/>
      <c r="G585" s="430"/>
      <c r="H585" s="430"/>
      <c r="I585" s="430"/>
      <c r="J585" s="430"/>
      <c r="K585" s="430"/>
      <c r="L585" s="430"/>
      <c r="M585" s="430"/>
      <c r="N585" s="430"/>
      <c r="O585" s="430"/>
      <c r="P585" s="430"/>
      <c r="Q585" s="430"/>
      <c r="R585" s="430"/>
      <c r="S585" s="430"/>
      <c r="T585" s="430"/>
      <c r="U585" s="430"/>
      <c r="V585" s="430"/>
      <c r="W585" s="430"/>
      <c r="X585" s="430"/>
      <c r="Y585" s="430"/>
      <c r="Z585" s="430"/>
      <c r="AA585" s="430"/>
      <c r="AB585" s="430"/>
      <c r="AC585" s="430"/>
      <c r="AD585" s="430"/>
      <c r="AE585" s="430"/>
      <c r="AF585" s="430"/>
      <c r="AG585" s="430"/>
      <c r="AH585" s="430"/>
      <c r="AI585" s="430"/>
      <c r="AJ585" s="430"/>
      <c r="AK585" s="430"/>
      <c r="AL585" s="430"/>
      <c r="AM585" s="430"/>
      <c r="AN585" s="430"/>
      <c r="AO585" s="430"/>
      <c r="AP585" s="430"/>
      <c r="AQ585" s="430"/>
      <c r="AR585" s="430"/>
      <c r="AS585" s="430"/>
      <c r="AT585" s="430"/>
      <c r="AU585" s="430"/>
      <c r="AV585" s="430"/>
      <c r="AW585" s="430"/>
      <c r="AX585" s="430"/>
      <c r="AY585" s="430"/>
      <c r="AZ585" s="430"/>
      <c r="BA585" s="430"/>
      <c r="BB585" s="430"/>
      <c r="BC585" s="430"/>
      <c r="BD585" s="430"/>
      <c r="BE585" s="430"/>
    </row>
    <row r="586" spans="1:57" ht="15.75" customHeight="1">
      <c r="A586" s="430"/>
      <c r="B586" s="430"/>
      <c r="C586" s="430"/>
      <c r="D586" s="430"/>
      <c r="E586" s="430"/>
      <c r="F586" s="430"/>
      <c r="G586" s="430"/>
      <c r="H586" s="430"/>
      <c r="I586" s="430"/>
      <c r="J586" s="430"/>
      <c r="K586" s="430"/>
      <c r="L586" s="430"/>
      <c r="M586" s="430"/>
      <c r="N586" s="430"/>
      <c r="O586" s="430"/>
      <c r="P586" s="430"/>
      <c r="Q586" s="430"/>
      <c r="R586" s="430"/>
      <c r="S586" s="430"/>
      <c r="T586" s="430"/>
      <c r="U586" s="430"/>
      <c r="V586" s="430"/>
      <c r="W586" s="430"/>
      <c r="X586" s="430"/>
      <c r="Y586" s="430"/>
      <c r="Z586" s="430"/>
      <c r="AA586" s="430"/>
      <c r="AB586" s="430"/>
      <c r="AC586" s="430"/>
      <c r="AD586" s="430"/>
      <c r="AE586" s="430"/>
      <c r="AF586" s="430"/>
      <c r="AG586" s="430"/>
      <c r="AH586" s="430"/>
      <c r="AI586" s="430"/>
      <c r="AJ586" s="430"/>
      <c r="AK586" s="430"/>
      <c r="AL586" s="430"/>
      <c r="AM586" s="430"/>
      <c r="AN586" s="430"/>
      <c r="AO586" s="430"/>
      <c r="AP586" s="430"/>
      <c r="AQ586" s="430"/>
      <c r="AR586" s="430"/>
      <c r="AS586" s="430"/>
      <c r="AT586" s="430"/>
      <c r="AU586" s="430"/>
      <c r="AV586" s="430"/>
      <c r="AW586" s="430"/>
      <c r="AX586" s="430"/>
      <c r="AY586" s="430"/>
      <c r="AZ586" s="430"/>
      <c r="BA586" s="430"/>
      <c r="BB586" s="430"/>
      <c r="BC586" s="430"/>
      <c r="BD586" s="430"/>
      <c r="BE586" s="430"/>
    </row>
    <row r="587" spans="1:57" ht="15.75" customHeight="1">
      <c r="A587" s="430"/>
      <c r="B587" s="430"/>
      <c r="C587" s="430"/>
      <c r="D587" s="430"/>
      <c r="E587" s="430"/>
      <c r="F587" s="430"/>
      <c r="G587" s="430"/>
      <c r="H587" s="430"/>
      <c r="I587" s="430"/>
      <c r="J587" s="430"/>
      <c r="K587" s="430"/>
      <c r="L587" s="430"/>
      <c r="M587" s="430"/>
      <c r="N587" s="430"/>
      <c r="O587" s="430"/>
      <c r="P587" s="430"/>
      <c r="Q587" s="430"/>
      <c r="R587" s="430"/>
      <c r="S587" s="430"/>
      <c r="T587" s="430"/>
      <c r="U587" s="430"/>
      <c r="V587" s="430"/>
      <c r="W587" s="430"/>
      <c r="X587" s="430"/>
      <c r="Y587" s="430"/>
      <c r="Z587" s="430"/>
      <c r="AA587" s="430"/>
      <c r="AB587" s="430"/>
      <c r="AC587" s="430"/>
      <c r="AD587" s="430"/>
      <c r="AE587" s="430"/>
      <c r="AF587" s="430"/>
      <c r="AG587" s="430"/>
      <c r="AH587" s="430"/>
      <c r="AI587" s="430"/>
      <c r="AJ587" s="430"/>
      <c r="AK587" s="430"/>
      <c r="AL587" s="430"/>
      <c r="AM587" s="430"/>
      <c r="AN587" s="430"/>
      <c r="AO587" s="430"/>
      <c r="AP587" s="430"/>
      <c r="AQ587" s="430"/>
      <c r="AR587" s="430"/>
      <c r="AS587" s="430"/>
      <c r="AT587" s="430"/>
      <c r="AU587" s="430"/>
      <c r="AV587" s="430"/>
      <c r="AW587" s="430"/>
      <c r="AX587" s="430"/>
      <c r="AY587" s="430"/>
      <c r="AZ587" s="430"/>
      <c r="BA587" s="430"/>
      <c r="BB587" s="430"/>
      <c r="BC587" s="430"/>
      <c r="BD587" s="430"/>
      <c r="BE587" s="430"/>
    </row>
    <row r="588" spans="1:57" ht="15.75" customHeight="1">
      <c r="A588" s="430"/>
      <c r="B588" s="430"/>
      <c r="C588" s="430"/>
      <c r="D588" s="430"/>
      <c r="E588" s="430"/>
      <c r="F588" s="430"/>
      <c r="G588" s="430"/>
      <c r="H588" s="430"/>
      <c r="I588" s="430"/>
      <c r="J588" s="430"/>
      <c r="K588" s="430"/>
      <c r="L588" s="430"/>
      <c r="M588" s="430"/>
      <c r="N588" s="430"/>
      <c r="O588" s="430"/>
      <c r="P588" s="430"/>
      <c r="Q588" s="430"/>
      <c r="R588" s="430"/>
      <c r="S588" s="430"/>
      <c r="T588" s="430"/>
      <c r="U588" s="430"/>
      <c r="V588" s="430"/>
      <c r="W588" s="430"/>
      <c r="X588" s="430"/>
      <c r="Y588" s="430"/>
      <c r="Z588" s="430"/>
      <c r="AA588" s="430"/>
      <c r="AB588" s="430"/>
      <c r="AC588" s="430"/>
      <c r="AD588" s="430"/>
      <c r="AE588" s="430"/>
      <c r="AF588" s="430"/>
      <c r="AG588" s="430"/>
      <c r="AH588" s="430"/>
      <c r="AI588" s="430"/>
      <c r="AJ588" s="430"/>
      <c r="AK588" s="430"/>
      <c r="AL588" s="430"/>
      <c r="AM588" s="430"/>
      <c r="AN588" s="430"/>
      <c r="AO588" s="430"/>
      <c r="AP588" s="430"/>
      <c r="AQ588" s="430"/>
      <c r="AR588" s="430"/>
      <c r="AS588" s="430"/>
      <c r="AT588" s="430"/>
      <c r="AU588" s="430"/>
      <c r="AV588" s="430"/>
      <c r="AW588" s="430"/>
      <c r="AX588" s="430"/>
      <c r="AY588" s="430"/>
      <c r="AZ588" s="430"/>
      <c r="BA588" s="430"/>
      <c r="BB588" s="430"/>
      <c r="BC588" s="430"/>
      <c r="BD588" s="430"/>
      <c r="BE588" s="430"/>
    </row>
    <row r="589" spans="1:57" ht="15.75" customHeight="1">
      <c r="A589" s="430"/>
      <c r="B589" s="430"/>
      <c r="C589" s="430"/>
      <c r="D589" s="430"/>
      <c r="E589" s="430"/>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0"/>
      <c r="AY589" s="430"/>
      <c r="AZ589" s="430"/>
      <c r="BA589" s="430"/>
      <c r="BB589" s="430"/>
      <c r="BC589" s="430"/>
      <c r="BD589" s="430"/>
      <c r="BE589" s="430"/>
    </row>
    <row r="590" spans="1:57" ht="15.75" customHeight="1">
      <c r="A590" s="430"/>
      <c r="B590" s="430"/>
      <c r="C590" s="430"/>
      <c r="D590" s="430"/>
      <c r="E590" s="430"/>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30"/>
      <c r="AY590" s="430"/>
      <c r="AZ590" s="430"/>
      <c r="BA590" s="430"/>
      <c r="BB590" s="430"/>
      <c r="BC590" s="430"/>
      <c r="BD590" s="430"/>
      <c r="BE590" s="430"/>
    </row>
    <row r="591" spans="1:57" ht="15.75" customHeight="1">
      <c r="A591" s="430"/>
      <c r="B591" s="430"/>
      <c r="C591" s="430"/>
      <c r="D591" s="430"/>
      <c r="E591" s="430"/>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30"/>
      <c r="AY591" s="430"/>
      <c r="AZ591" s="430"/>
      <c r="BA591" s="430"/>
      <c r="BB591" s="430"/>
      <c r="BC591" s="430"/>
      <c r="BD591" s="430"/>
      <c r="BE591" s="430"/>
    </row>
    <row r="592" spans="1:57" ht="15.75" customHeight="1">
      <c r="A592" s="430"/>
      <c r="B592" s="430"/>
      <c r="C592" s="430"/>
      <c r="D592" s="430"/>
      <c r="E592" s="430"/>
      <c r="F592" s="430"/>
      <c r="G592" s="430"/>
      <c r="H592" s="430"/>
      <c r="I592" s="430"/>
      <c r="J592" s="430"/>
      <c r="K592" s="430"/>
      <c r="L592" s="430"/>
      <c r="M592" s="430"/>
      <c r="N592" s="430"/>
      <c r="O592" s="430"/>
      <c r="P592" s="430"/>
      <c r="Q592" s="430"/>
      <c r="R592" s="430"/>
      <c r="S592" s="430"/>
      <c r="T592" s="430"/>
      <c r="U592" s="430"/>
      <c r="V592" s="430"/>
      <c r="W592" s="430"/>
      <c r="X592" s="430"/>
      <c r="Y592" s="430"/>
      <c r="Z592" s="430"/>
      <c r="AA592" s="430"/>
      <c r="AB592" s="430"/>
      <c r="AC592" s="430"/>
      <c r="AD592" s="430"/>
      <c r="AE592" s="430"/>
      <c r="AF592" s="430"/>
      <c r="AG592" s="430"/>
      <c r="AH592" s="430"/>
      <c r="AI592" s="430"/>
      <c r="AJ592" s="430"/>
      <c r="AK592" s="430"/>
      <c r="AL592" s="430"/>
      <c r="AM592" s="430"/>
      <c r="AN592" s="430"/>
      <c r="AO592" s="430"/>
      <c r="AP592" s="430"/>
      <c r="AQ592" s="430"/>
      <c r="AR592" s="430"/>
      <c r="AS592" s="430"/>
      <c r="AT592" s="430"/>
      <c r="AU592" s="430"/>
      <c r="AV592" s="430"/>
      <c r="AW592" s="430"/>
      <c r="AX592" s="430"/>
      <c r="AY592" s="430"/>
      <c r="AZ592" s="430"/>
      <c r="BA592" s="430"/>
      <c r="BB592" s="430"/>
      <c r="BC592" s="430"/>
      <c r="BD592" s="430"/>
      <c r="BE592" s="430"/>
    </row>
    <row r="593" spans="1:57" ht="15.75" customHeight="1">
      <c r="A593" s="430"/>
      <c r="B593" s="430"/>
      <c r="C593" s="430"/>
      <c r="D593" s="430"/>
      <c r="E593" s="430"/>
      <c r="F593" s="430"/>
      <c r="G593" s="430"/>
      <c r="H593" s="430"/>
      <c r="I593" s="430"/>
      <c r="J593" s="430"/>
      <c r="K593" s="430"/>
      <c r="L593" s="430"/>
      <c r="M593" s="430"/>
      <c r="N593" s="430"/>
      <c r="O593" s="430"/>
      <c r="P593" s="430"/>
      <c r="Q593" s="430"/>
      <c r="R593" s="430"/>
      <c r="S593" s="430"/>
      <c r="T593" s="430"/>
      <c r="U593" s="430"/>
      <c r="V593" s="430"/>
      <c r="W593" s="430"/>
      <c r="X593" s="430"/>
      <c r="Y593" s="430"/>
      <c r="Z593" s="430"/>
      <c r="AA593" s="430"/>
      <c r="AB593" s="430"/>
      <c r="AC593" s="430"/>
      <c r="AD593" s="430"/>
      <c r="AE593" s="430"/>
      <c r="AF593" s="430"/>
      <c r="AG593" s="430"/>
      <c r="AH593" s="430"/>
      <c r="AI593" s="430"/>
      <c r="AJ593" s="430"/>
      <c r="AK593" s="430"/>
      <c r="AL593" s="430"/>
      <c r="AM593" s="430"/>
      <c r="AN593" s="430"/>
      <c r="AO593" s="430"/>
      <c r="AP593" s="430"/>
      <c r="AQ593" s="430"/>
      <c r="AR593" s="430"/>
      <c r="AS593" s="430"/>
      <c r="AT593" s="430"/>
      <c r="AU593" s="430"/>
      <c r="AV593" s="430"/>
      <c r="AW593" s="430"/>
      <c r="AX593" s="430"/>
      <c r="AY593" s="430"/>
      <c r="AZ593" s="430"/>
      <c r="BA593" s="430"/>
      <c r="BB593" s="430"/>
      <c r="BC593" s="430"/>
      <c r="BD593" s="430"/>
      <c r="BE593" s="430"/>
    </row>
    <row r="594" spans="1:57" ht="15.75" customHeight="1">
      <c r="A594" s="430"/>
      <c r="B594" s="430"/>
      <c r="C594" s="430"/>
      <c r="D594" s="430"/>
      <c r="E594" s="430"/>
      <c r="F594" s="430"/>
      <c r="G594" s="430"/>
      <c r="H594" s="430"/>
      <c r="I594" s="430"/>
      <c r="J594" s="430"/>
      <c r="K594" s="430"/>
      <c r="L594" s="430"/>
      <c r="M594" s="430"/>
      <c r="N594" s="430"/>
      <c r="O594" s="430"/>
      <c r="P594" s="430"/>
      <c r="Q594" s="430"/>
      <c r="R594" s="430"/>
      <c r="S594" s="430"/>
      <c r="T594" s="430"/>
      <c r="U594" s="430"/>
      <c r="V594" s="430"/>
      <c r="W594" s="430"/>
      <c r="X594" s="430"/>
      <c r="Y594" s="430"/>
      <c r="Z594" s="430"/>
      <c r="AA594" s="430"/>
      <c r="AB594" s="430"/>
      <c r="AC594" s="430"/>
      <c r="AD594" s="430"/>
      <c r="AE594" s="430"/>
      <c r="AF594" s="430"/>
      <c r="AG594" s="430"/>
      <c r="AH594" s="430"/>
      <c r="AI594" s="430"/>
      <c r="AJ594" s="430"/>
      <c r="AK594" s="430"/>
      <c r="AL594" s="430"/>
      <c r="AM594" s="430"/>
      <c r="AN594" s="430"/>
      <c r="AO594" s="430"/>
      <c r="AP594" s="430"/>
      <c r="AQ594" s="430"/>
      <c r="AR594" s="430"/>
      <c r="AS594" s="430"/>
      <c r="AT594" s="430"/>
      <c r="AU594" s="430"/>
      <c r="AV594" s="430"/>
      <c r="AW594" s="430"/>
      <c r="AX594" s="430"/>
      <c r="AY594" s="430"/>
      <c r="AZ594" s="430"/>
      <c r="BA594" s="430"/>
      <c r="BB594" s="430"/>
      <c r="BC594" s="430"/>
      <c r="BD594" s="430"/>
      <c r="BE594" s="430"/>
    </row>
    <row r="595" spans="1:57" ht="15.75" customHeight="1">
      <c r="A595" s="430"/>
      <c r="B595" s="430"/>
      <c r="C595" s="430"/>
      <c r="D595" s="430"/>
      <c r="E595" s="430"/>
      <c r="F595" s="430"/>
      <c r="G595" s="430"/>
      <c r="H595" s="430"/>
      <c r="I595" s="430"/>
      <c r="J595" s="430"/>
      <c r="K595" s="430"/>
      <c r="L595" s="430"/>
      <c r="M595" s="430"/>
      <c r="N595" s="430"/>
      <c r="O595" s="430"/>
      <c r="P595" s="430"/>
      <c r="Q595" s="430"/>
      <c r="R595" s="430"/>
      <c r="S595" s="430"/>
      <c r="T595" s="430"/>
      <c r="U595" s="430"/>
      <c r="V595" s="430"/>
      <c r="W595" s="430"/>
      <c r="X595" s="430"/>
      <c r="Y595" s="430"/>
      <c r="Z595" s="430"/>
      <c r="AA595" s="430"/>
      <c r="AB595" s="430"/>
      <c r="AC595" s="430"/>
      <c r="AD595" s="430"/>
      <c r="AE595" s="430"/>
      <c r="AF595" s="430"/>
      <c r="AG595" s="430"/>
      <c r="AH595" s="430"/>
      <c r="AI595" s="430"/>
      <c r="AJ595" s="430"/>
      <c r="AK595" s="430"/>
      <c r="AL595" s="430"/>
      <c r="AM595" s="430"/>
      <c r="AN595" s="430"/>
      <c r="AO595" s="430"/>
      <c r="AP595" s="430"/>
      <c r="AQ595" s="430"/>
      <c r="AR595" s="430"/>
      <c r="AS595" s="430"/>
      <c r="AT595" s="430"/>
      <c r="AU595" s="430"/>
      <c r="AV595" s="430"/>
      <c r="AW595" s="430"/>
      <c r="AX595" s="430"/>
      <c r="AY595" s="430"/>
      <c r="AZ595" s="430"/>
      <c r="BA595" s="430"/>
      <c r="BB595" s="430"/>
      <c r="BC595" s="430"/>
      <c r="BD595" s="430"/>
      <c r="BE595" s="430"/>
    </row>
    <row r="596" spans="1:57" ht="15.75" customHeight="1">
      <c r="A596" s="430"/>
      <c r="B596" s="430"/>
      <c r="C596" s="430"/>
      <c r="D596" s="430"/>
      <c r="E596" s="430"/>
      <c r="F596" s="430"/>
      <c r="G596" s="430"/>
      <c r="H596" s="430"/>
      <c r="I596" s="430"/>
      <c r="J596" s="430"/>
      <c r="K596" s="430"/>
      <c r="L596" s="430"/>
      <c r="M596" s="430"/>
      <c r="N596" s="430"/>
      <c r="O596" s="430"/>
      <c r="P596" s="430"/>
      <c r="Q596" s="430"/>
      <c r="R596" s="430"/>
      <c r="S596" s="430"/>
      <c r="T596" s="430"/>
      <c r="U596" s="430"/>
      <c r="V596" s="430"/>
      <c r="W596" s="430"/>
      <c r="X596" s="430"/>
      <c r="Y596" s="430"/>
      <c r="Z596" s="430"/>
      <c r="AA596" s="430"/>
      <c r="AB596" s="430"/>
      <c r="AC596" s="430"/>
      <c r="AD596" s="430"/>
      <c r="AE596" s="430"/>
      <c r="AF596" s="430"/>
      <c r="AG596" s="430"/>
      <c r="AH596" s="430"/>
      <c r="AI596" s="430"/>
      <c r="AJ596" s="430"/>
      <c r="AK596" s="430"/>
      <c r="AL596" s="430"/>
      <c r="AM596" s="430"/>
      <c r="AN596" s="430"/>
      <c r="AO596" s="430"/>
      <c r="AP596" s="430"/>
      <c r="AQ596" s="430"/>
      <c r="AR596" s="430"/>
      <c r="AS596" s="430"/>
      <c r="AT596" s="430"/>
      <c r="AU596" s="430"/>
      <c r="AV596" s="430"/>
      <c r="AW596" s="430"/>
      <c r="AX596" s="430"/>
      <c r="AY596" s="430"/>
      <c r="AZ596" s="430"/>
      <c r="BA596" s="430"/>
      <c r="BB596" s="430"/>
      <c r="BC596" s="430"/>
      <c r="BD596" s="430"/>
      <c r="BE596" s="430"/>
    </row>
    <row r="597" spans="1:57" ht="15.75" customHeight="1">
      <c r="A597" s="430"/>
      <c r="B597" s="430"/>
      <c r="C597" s="430"/>
      <c r="D597" s="430"/>
      <c r="E597" s="430"/>
      <c r="F597" s="430"/>
      <c r="G597" s="430"/>
      <c r="H597" s="430"/>
      <c r="I597" s="430"/>
      <c r="J597" s="430"/>
      <c r="K597" s="430"/>
      <c r="L597" s="430"/>
      <c r="M597" s="430"/>
      <c r="N597" s="430"/>
      <c r="O597" s="430"/>
      <c r="P597" s="430"/>
      <c r="Q597" s="430"/>
      <c r="R597" s="430"/>
      <c r="S597" s="430"/>
      <c r="T597" s="430"/>
      <c r="U597" s="430"/>
      <c r="V597" s="430"/>
      <c r="W597" s="430"/>
      <c r="X597" s="430"/>
      <c r="Y597" s="430"/>
      <c r="Z597" s="430"/>
      <c r="AA597" s="430"/>
      <c r="AB597" s="430"/>
      <c r="AC597" s="430"/>
      <c r="AD597" s="430"/>
      <c r="AE597" s="430"/>
      <c r="AF597" s="430"/>
      <c r="AG597" s="430"/>
      <c r="AH597" s="430"/>
      <c r="AI597" s="430"/>
      <c r="AJ597" s="430"/>
      <c r="AK597" s="430"/>
      <c r="AL597" s="430"/>
      <c r="AM597" s="430"/>
      <c r="AN597" s="430"/>
      <c r="AO597" s="430"/>
      <c r="AP597" s="430"/>
      <c r="AQ597" s="430"/>
      <c r="AR597" s="430"/>
      <c r="AS597" s="430"/>
      <c r="AT597" s="430"/>
      <c r="AU597" s="430"/>
      <c r="AV597" s="430"/>
      <c r="AW597" s="430"/>
      <c r="AX597" s="430"/>
      <c r="AY597" s="430"/>
      <c r="AZ597" s="430"/>
      <c r="BA597" s="430"/>
      <c r="BB597" s="430"/>
      <c r="BC597" s="430"/>
      <c r="BD597" s="430"/>
      <c r="BE597" s="430"/>
    </row>
    <row r="598" spans="1:57" ht="15.75" customHeight="1">
      <c r="A598" s="430"/>
      <c r="B598" s="430"/>
      <c r="C598" s="430"/>
      <c r="D598" s="430"/>
      <c r="E598" s="430"/>
      <c r="F598" s="430"/>
      <c r="G598" s="430"/>
      <c r="H598" s="430"/>
      <c r="I598" s="430"/>
      <c r="J598" s="430"/>
      <c r="K598" s="430"/>
      <c r="L598" s="430"/>
      <c r="M598" s="430"/>
      <c r="N598" s="430"/>
      <c r="O598" s="430"/>
      <c r="P598" s="430"/>
      <c r="Q598" s="430"/>
      <c r="R598" s="430"/>
      <c r="S598" s="430"/>
      <c r="T598" s="430"/>
      <c r="U598" s="430"/>
      <c r="V598" s="430"/>
      <c r="W598" s="430"/>
      <c r="X598" s="430"/>
      <c r="Y598" s="430"/>
      <c r="Z598" s="430"/>
      <c r="AA598" s="430"/>
      <c r="AB598" s="430"/>
      <c r="AC598" s="430"/>
      <c r="AD598" s="430"/>
      <c r="AE598" s="430"/>
      <c r="AF598" s="430"/>
      <c r="AG598" s="430"/>
      <c r="AH598" s="430"/>
      <c r="AI598" s="430"/>
      <c r="AJ598" s="430"/>
      <c r="AK598" s="430"/>
      <c r="AL598" s="430"/>
      <c r="AM598" s="430"/>
      <c r="AN598" s="430"/>
      <c r="AO598" s="430"/>
      <c r="AP598" s="430"/>
      <c r="AQ598" s="430"/>
      <c r="AR598" s="430"/>
      <c r="AS598" s="430"/>
      <c r="AT598" s="430"/>
      <c r="AU598" s="430"/>
      <c r="AV598" s="430"/>
      <c r="AW598" s="430"/>
      <c r="AX598" s="430"/>
      <c r="AY598" s="430"/>
      <c r="AZ598" s="430"/>
      <c r="BA598" s="430"/>
      <c r="BB598" s="430"/>
      <c r="BC598" s="430"/>
      <c r="BD598" s="430"/>
      <c r="BE598" s="430"/>
    </row>
    <row r="599" spans="1:57" ht="15.75" customHeight="1">
      <c r="A599" s="430"/>
      <c r="B599" s="430"/>
      <c r="C599" s="430"/>
      <c r="D599" s="430"/>
      <c r="E599" s="430"/>
      <c r="F599" s="430"/>
      <c r="G599" s="430"/>
      <c r="H599" s="430"/>
      <c r="I599" s="430"/>
      <c r="J599" s="430"/>
      <c r="K599" s="430"/>
      <c r="L599" s="430"/>
      <c r="M599" s="430"/>
      <c r="N599" s="430"/>
      <c r="O599" s="430"/>
      <c r="P599" s="430"/>
      <c r="Q599" s="430"/>
      <c r="R599" s="430"/>
      <c r="S599" s="430"/>
      <c r="T599" s="430"/>
      <c r="U599" s="430"/>
      <c r="V599" s="430"/>
      <c r="W599" s="430"/>
      <c r="X599" s="430"/>
      <c r="Y599" s="430"/>
      <c r="Z599" s="430"/>
      <c r="AA599" s="430"/>
      <c r="AB599" s="430"/>
      <c r="AC599" s="430"/>
      <c r="AD599" s="430"/>
      <c r="AE599" s="430"/>
      <c r="AF599" s="430"/>
      <c r="AG599" s="430"/>
      <c r="AH599" s="430"/>
      <c r="AI599" s="430"/>
      <c r="AJ599" s="430"/>
      <c r="AK599" s="430"/>
      <c r="AL599" s="430"/>
      <c r="AM599" s="430"/>
      <c r="AN599" s="430"/>
      <c r="AO599" s="430"/>
      <c r="AP599" s="430"/>
      <c r="AQ599" s="430"/>
      <c r="AR599" s="430"/>
      <c r="AS599" s="430"/>
      <c r="AT599" s="430"/>
      <c r="AU599" s="430"/>
      <c r="AV599" s="430"/>
      <c r="AW599" s="430"/>
      <c r="AX599" s="430"/>
      <c r="AY599" s="430"/>
      <c r="AZ599" s="430"/>
      <c r="BA599" s="430"/>
      <c r="BB599" s="430"/>
      <c r="BC599" s="430"/>
      <c r="BD599" s="430"/>
      <c r="BE599" s="430"/>
    </row>
    <row r="600" spans="1:57" ht="15.75" customHeight="1">
      <c r="A600" s="430"/>
      <c r="B600" s="430"/>
      <c r="C600" s="430"/>
      <c r="D600" s="430"/>
      <c r="E600" s="430"/>
      <c r="F600" s="430"/>
      <c r="G600" s="430"/>
      <c r="H600" s="430"/>
      <c r="I600" s="430"/>
      <c r="J600" s="430"/>
      <c r="K600" s="430"/>
      <c r="L600" s="430"/>
      <c r="M600" s="430"/>
      <c r="N600" s="430"/>
      <c r="O600" s="430"/>
      <c r="P600" s="430"/>
      <c r="Q600" s="430"/>
      <c r="R600" s="430"/>
      <c r="S600" s="430"/>
      <c r="T600" s="430"/>
      <c r="U600" s="430"/>
      <c r="V600" s="430"/>
      <c r="W600" s="430"/>
      <c r="X600" s="430"/>
      <c r="Y600" s="430"/>
      <c r="Z600" s="430"/>
      <c r="AA600" s="430"/>
      <c r="AB600" s="430"/>
      <c r="AC600" s="430"/>
      <c r="AD600" s="430"/>
      <c r="AE600" s="430"/>
      <c r="AF600" s="430"/>
      <c r="AG600" s="430"/>
      <c r="AH600" s="430"/>
      <c r="AI600" s="430"/>
      <c r="AJ600" s="430"/>
      <c r="AK600" s="430"/>
      <c r="AL600" s="430"/>
      <c r="AM600" s="430"/>
      <c r="AN600" s="430"/>
      <c r="AO600" s="430"/>
      <c r="AP600" s="430"/>
      <c r="AQ600" s="430"/>
      <c r="AR600" s="430"/>
      <c r="AS600" s="430"/>
      <c r="AT600" s="430"/>
      <c r="AU600" s="430"/>
      <c r="AV600" s="430"/>
      <c r="AW600" s="430"/>
      <c r="AX600" s="430"/>
      <c r="AY600" s="430"/>
      <c r="AZ600" s="430"/>
      <c r="BA600" s="430"/>
      <c r="BB600" s="430"/>
      <c r="BC600" s="430"/>
      <c r="BD600" s="430"/>
      <c r="BE600" s="430"/>
    </row>
    <row r="601" spans="1:57" ht="15.75" customHeight="1">
      <c r="A601" s="430"/>
      <c r="B601" s="430"/>
      <c r="C601" s="430"/>
      <c r="D601" s="430"/>
      <c r="E601" s="430"/>
      <c r="F601" s="430"/>
      <c r="G601" s="430"/>
      <c r="H601" s="430"/>
      <c r="I601" s="430"/>
      <c r="J601" s="430"/>
      <c r="K601" s="430"/>
      <c r="L601" s="430"/>
      <c r="M601" s="430"/>
      <c r="N601" s="430"/>
      <c r="O601" s="430"/>
      <c r="P601" s="430"/>
      <c r="Q601" s="430"/>
      <c r="R601" s="430"/>
      <c r="S601" s="430"/>
      <c r="T601" s="430"/>
      <c r="U601" s="430"/>
      <c r="V601" s="430"/>
      <c r="W601" s="430"/>
      <c r="X601" s="430"/>
      <c r="Y601" s="430"/>
      <c r="Z601" s="430"/>
      <c r="AA601" s="430"/>
      <c r="AB601" s="430"/>
      <c r="AC601" s="430"/>
      <c r="AD601" s="430"/>
      <c r="AE601" s="430"/>
      <c r="AF601" s="430"/>
      <c r="AG601" s="430"/>
      <c r="AH601" s="430"/>
      <c r="AI601" s="430"/>
      <c r="AJ601" s="430"/>
      <c r="AK601" s="430"/>
      <c r="AL601" s="430"/>
      <c r="AM601" s="430"/>
      <c r="AN601" s="430"/>
      <c r="AO601" s="430"/>
      <c r="AP601" s="430"/>
      <c r="AQ601" s="430"/>
      <c r="AR601" s="430"/>
      <c r="AS601" s="430"/>
      <c r="AT601" s="430"/>
      <c r="AU601" s="430"/>
      <c r="AV601" s="430"/>
      <c r="AW601" s="430"/>
      <c r="AX601" s="430"/>
      <c r="AY601" s="430"/>
      <c r="AZ601" s="430"/>
      <c r="BA601" s="430"/>
      <c r="BB601" s="430"/>
      <c r="BC601" s="430"/>
      <c r="BD601" s="430"/>
      <c r="BE601" s="430"/>
    </row>
    <row r="602" spans="1:57" ht="15.75" customHeight="1">
      <c r="A602" s="430"/>
      <c r="B602" s="430"/>
      <c r="C602" s="430"/>
      <c r="D602" s="430"/>
      <c r="E602" s="430"/>
      <c r="F602" s="430"/>
      <c r="G602" s="430"/>
      <c r="H602" s="430"/>
      <c r="I602" s="430"/>
      <c r="J602" s="430"/>
      <c r="K602" s="430"/>
      <c r="L602" s="430"/>
      <c r="M602" s="430"/>
      <c r="N602" s="430"/>
      <c r="O602" s="430"/>
      <c r="P602" s="430"/>
      <c r="Q602" s="430"/>
      <c r="R602" s="430"/>
      <c r="S602" s="430"/>
      <c r="T602" s="430"/>
      <c r="U602" s="430"/>
      <c r="V602" s="430"/>
      <c r="W602" s="430"/>
      <c r="X602" s="430"/>
      <c r="Y602" s="430"/>
      <c r="Z602" s="430"/>
      <c r="AA602" s="430"/>
      <c r="AB602" s="430"/>
      <c r="AC602" s="430"/>
      <c r="AD602" s="430"/>
      <c r="AE602" s="430"/>
      <c r="AF602" s="430"/>
      <c r="AG602" s="430"/>
      <c r="AH602" s="430"/>
      <c r="AI602" s="430"/>
      <c r="AJ602" s="430"/>
      <c r="AK602" s="430"/>
      <c r="AL602" s="430"/>
      <c r="AM602" s="430"/>
      <c r="AN602" s="430"/>
      <c r="AO602" s="430"/>
      <c r="AP602" s="430"/>
      <c r="AQ602" s="430"/>
      <c r="AR602" s="430"/>
      <c r="AS602" s="430"/>
      <c r="AT602" s="430"/>
      <c r="AU602" s="430"/>
      <c r="AV602" s="430"/>
      <c r="AW602" s="430"/>
      <c r="AX602" s="430"/>
      <c r="AY602" s="430"/>
      <c r="AZ602" s="430"/>
      <c r="BA602" s="430"/>
      <c r="BB602" s="430"/>
      <c r="BC602" s="430"/>
      <c r="BD602" s="430"/>
      <c r="BE602" s="430"/>
    </row>
    <row r="603" spans="1:57" ht="15.75" customHeight="1">
      <c r="A603" s="430"/>
      <c r="B603" s="430"/>
      <c r="C603" s="430"/>
      <c r="D603" s="430"/>
      <c r="E603" s="430"/>
      <c r="F603" s="430"/>
      <c r="G603" s="430"/>
      <c r="H603" s="430"/>
      <c r="I603" s="430"/>
      <c r="J603" s="430"/>
      <c r="K603" s="430"/>
      <c r="L603" s="430"/>
      <c r="M603" s="430"/>
      <c r="N603" s="430"/>
      <c r="O603" s="430"/>
      <c r="P603" s="430"/>
      <c r="Q603" s="430"/>
      <c r="R603" s="430"/>
      <c r="S603" s="430"/>
      <c r="T603" s="430"/>
      <c r="U603" s="430"/>
      <c r="V603" s="430"/>
      <c r="W603" s="430"/>
      <c r="X603" s="430"/>
      <c r="Y603" s="430"/>
      <c r="Z603" s="430"/>
      <c r="AA603" s="430"/>
      <c r="AB603" s="430"/>
      <c r="AC603" s="430"/>
      <c r="AD603" s="430"/>
      <c r="AE603" s="430"/>
      <c r="AF603" s="430"/>
      <c r="AG603" s="430"/>
      <c r="AH603" s="430"/>
      <c r="AI603" s="430"/>
      <c r="AJ603" s="430"/>
      <c r="AK603" s="430"/>
      <c r="AL603" s="430"/>
      <c r="AM603" s="430"/>
      <c r="AN603" s="430"/>
      <c r="AO603" s="430"/>
      <c r="AP603" s="430"/>
      <c r="AQ603" s="430"/>
      <c r="AR603" s="430"/>
      <c r="AS603" s="430"/>
      <c r="AT603" s="430"/>
      <c r="AU603" s="430"/>
      <c r="AV603" s="430"/>
      <c r="AW603" s="430"/>
      <c r="AX603" s="430"/>
      <c r="AY603" s="430"/>
      <c r="AZ603" s="430"/>
      <c r="BA603" s="430"/>
      <c r="BB603" s="430"/>
      <c r="BC603" s="430"/>
      <c r="BD603" s="430"/>
      <c r="BE603" s="430"/>
    </row>
    <row r="604" spans="1:57" ht="15.75" customHeight="1">
      <c r="A604" s="430"/>
      <c r="B604" s="430"/>
      <c r="C604" s="430"/>
      <c r="D604" s="430"/>
      <c r="E604" s="430"/>
      <c r="F604" s="430"/>
      <c r="G604" s="430"/>
      <c r="H604" s="430"/>
      <c r="I604" s="430"/>
      <c r="J604" s="430"/>
      <c r="K604" s="430"/>
      <c r="L604" s="430"/>
      <c r="M604" s="430"/>
      <c r="N604" s="430"/>
      <c r="O604" s="430"/>
      <c r="P604" s="430"/>
      <c r="Q604" s="430"/>
      <c r="R604" s="430"/>
      <c r="S604" s="430"/>
      <c r="T604" s="430"/>
      <c r="U604" s="430"/>
      <c r="V604" s="430"/>
      <c r="W604" s="430"/>
      <c r="X604" s="430"/>
      <c r="Y604" s="430"/>
      <c r="Z604" s="430"/>
      <c r="AA604" s="430"/>
      <c r="AB604" s="430"/>
      <c r="AC604" s="430"/>
      <c r="AD604" s="430"/>
      <c r="AE604" s="430"/>
      <c r="AF604" s="430"/>
      <c r="AG604" s="430"/>
      <c r="AH604" s="430"/>
      <c r="AI604" s="430"/>
      <c r="AJ604" s="430"/>
      <c r="AK604" s="430"/>
      <c r="AL604" s="430"/>
      <c r="AM604" s="430"/>
      <c r="AN604" s="430"/>
      <c r="AO604" s="430"/>
      <c r="AP604" s="430"/>
      <c r="AQ604" s="430"/>
      <c r="AR604" s="430"/>
      <c r="AS604" s="430"/>
      <c r="AT604" s="430"/>
      <c r="AU604" s="430"/>
      <c r="AV604" s="430"/>
      <c r="AW604" s="430"/>
      <c r="AX604" s="430"/>
      <c r="AY604" s="430"/>
      <c r="AZ604" s="430"/>
      <c r="BA604" s="430"/>
      <c r="BB604" s="430"/>
      <c r="BC604" s="430"/>
      <c r="BD604" s="430"/>
      <c r="BE604" s="430"/>
    </row>
    <row r="605" spans="1:57" ht="15.75" customHeight="1">
      <c r="A605" s="430"/>
      <c r="B605" s="430"/>
      <c r="C605" s="430"/>
      <c r="D605" s="430"/>
      <c r="E605" s="430"/>
      <c r="F605" s="430"/>
      <c r="G605" s="430"/>
      <c r="H605" s="430"/>
      <c r="I605" s="430"/>
      <c r="J605" s="430"/>
      <c r="K605" s="430"/>
      <c r="L605" s="430"/>
      <c r="M605" s="430"/>
      <c r="N605" s="430"/>
      <c r="O605" s="430"/>
      <c r="P605" s="430"/>
      <c r="Q605" s="430"/>
      <c r="R605" s="430"/>
      <c r="S605" s="430"/>
      <c r="T605" s="430"/>
      <c r="U605" s="430"/>
      <c r="V605" s="430"/>
      <c r="W605" s="430"/>
      <c r="X605" s="430"/>
      <c r="Y605" s="430"/>
      <c r="Z605" s="430"/>
      <c r="AA605" s="430"/>
      <c r="AB605" s="430"/>
      <c r="AC605" s="430"/>
      <c r="AD605" s="430"/>
      <c r="AE605" s="430"/>
      <c r="AF605" s="430"/>
      <c r="AG605" s="430"/>
      <c r="AH605" s="430"/>
      <c r="AI605" s="430"/>
      <c r="AJ605" s="430"/>
      <c r="AK605" s="430"/>
      <c r="AL605" s="430"/>
      <c r="AM605" s="430"/>
      <c r="AN605" s="430"/>
      <c r="AO605" s="430"/>
      <c r="AP605" s="430"/>
      <c r="AQ605" s="430"/>
      <c r="AR605" s="430"/>
      <c r="AS605" s="430"/>
      <c r="AT605" s="430"/>
      <c r="AU605" s="430"/>
      <c r="AV605" s="430"/>
      <c r="AW605" s="430"/>
      <c r="AX605" s="430"/>
      <c r="AY605" s="430"/>
      <c r="AZ605" s="430"/>
      <c r="BA605" s="430"/>
      <c r="BB605" s="430"/>
      <c r="BC605" s="430"/>
      <c r="BD605" s="430"/>
      <c r="BE605" s="430"/>
    </row>
    <row r="606" spans="1:57" ht="15.75" customHeight="1">
      <c r="A606" s="430"/>
      <c r="B606" s="430"/>
      <c r="C606" s="430"/>
      <c r="D606" s="430"/>
      <c r="E606" s="430"/>
      <c r="F606" s="430"/>
      <c r="G606" s="430"/>
      <c r="H606" s="430"/>
      <c r="I606" s="430"/>
      <c r="J606" s="430"/>
      <c r="K606" s="430"/>
      <c r="L606" s="430"/>
      <c r="M606" s="430"/>
      <c r="N606" s="430"/>
      <c r="O606" s="430"/>
      <c r="P606" s="430"/>
      <c r="Q606" s="430"/>
      <c r="R606" s="430"/>
      <c r="S606" s="430"/>
      <c r="T606" s="430"/>
      <c r="U606" s="430"/>
      <c r="V606" s="430"/>
      <c r="W606" s="430"/>
      <c r="X606" s="430"/>
      <c r="Y606" s="430"/>
      <c r="Z606" s="430"/>
      <c r="AA606" s="430"/>
      <c r="AB606" s="430"/>
      <c r="AC606" s="430"/>
      <c r="AD606" s="430"/>
      <c r="AE606" s="430"/>
      <c r="AF606" s="430"/>
      <c r="AG606" s="430"/>
      <c r="AH606" s="430"/>
      <c r="AI606" s="430"/>
      <c r="AJ606" s="430"/>
      <c r="AK606" s="430"/>
      <c r="AL606" s="430"/>
      <c r="AM606" s="430"/>
      <c r="AN606" s="430"/>
      <c r="AO606" s="430"/>
      <c r="AP606" s="430"/>
      <c r="AQ606" s="430"/>
      <c r="AR606" s="430"/>
      <c r="AS606" s="430"/>
      <c r="AT606" s="430"/>
      <c r="AU606" s="430"/>
      <c r="AV606" s="430"/>
      <c r="AW606" s="430"/>
      <c r="AX606" s="430"/>
      <c r="AY606" s="430"/>
      <c r="AZ606" s="430"/>
      <c r="BA606" s="430"/>
      <c r="BB606" s="430"/>
      <c r="BC606" s="430"/>
      <c r="BD606" s="430"/>
      <c r="BE606" s="430"/>
    </row>
    <row r="607" spans="1:57" ht="15.75" customHeight="1">
      <c r="A607" s="430"/>
      <c r="B607" s="430"/>
      <c r="C607" s="430"/>
      <c r="D607" s="430"/>
      <c r="E607" s="430"/>
      <c r="F607" s="430"/>
      <c r="G607" s="430"/>
      <c r="H607" s="430"/>
      <c r="I607" s="430"/>
      <c r="J607" s="430"/>
      <c r="K607" s="430"/>
      <c r="L607" s="430"/>
      <c r="M607" s="430"/>
      <c r="N607" s="430"/>
      <c r="O607" s="430"/>
      <c r="P607" s="430"/>
      <c r="Q607" s="430"/>
      <c r="R607" s="430"/>
      <c r="S607" s="430"/>
      <c r="T607" s="430"/>
      <c r="U607" s="430"/>
      <c r="V607" s="430"/>
      <c r="W607" s="430"/>
      <c r="X607" s="430"/>
      <c r="Y607" s="430"/>
      <c r="Z607" s="430"/>
      <c r="AA607" s="430"/>
      <c r="AB607" s="430"/>
      <c r="AC607" s="430"/>
      <c r="AD607" s="430"/>
      <c r="AE607" s="430"/>
      <c r="AF607" s="430"/>
      <c r="AG607" s="430"/>
      <c r="AH607" s="430"/>
      <c r="AI607" s="430"/>
      <c r="AJ607" s="430"/>
      <c r="AK607" s="430"/>
      <c r="AL607" s="430"/>
      <c r="AM607" s="430"/>
      <c r="AN607" s="430"/>
      <c r="AO607" s="430"/>
      <c r="AP607" s="430"/>
      <c r="AQ607" s="430"/>
      <c r="AR607" s="430"/>
      <c r="AS607" s="430"/>
      <c r="AT607" s="430"/>
      <c r="AU607" s="430"/>
      <c r="AV607" s="430"/>
      <c r="AW607" s="430"/>
      <c r="AX607" s="430"/>
      <c r="AY607" s="430"/>
      <c r="AZ607" s="430"/>
      <c r="BA607" s="430"/>
      <c r="BB607" s="430"/>
      <c r="BC607" s="430"/>
      <c r="BD607" s="430"/>
      <c r="BE607" s="430"/>
    </row>
    <row r="608" spans="1:57" ht="15.75" customHeight="1">
      <c r="A608" s="430"/>
      <c r="B608" s="430"/>
      <c r="C608" s="430"/>
      <c r="D608" s="430"/>
      <c r="E608" s="430"/>
      <c r="F608" s="430"/>
      <c r="G608" s="430"/>
      <c r="H608" s="430"/>
      <c r="I608" s="430"/>
      <c r="J608" s="430"/>
      <c r="K608" s="430"/>
      <c r="L608" s="430"/>
      <c r="M608" s="430"/>
      <c r="N608" s="430"/>
      <c r="O608" s="430"/>
      <c r="P608" s="430"/>
      <c r="Q608" s="430"/>
      <c r="R608" s="430"/>
      <c r="S608" s="430"/>
      <c r="T608" s="430"/>
      <c r="U608" s="430"/>
      <c r="V608" s="430"/>
      <c r="W608" s="430"/>
      <c r="X608" s="430"/>
      <c r="Y608" s="430"/>
      <c r="Z608" s="430"/>
      <c r="AA608" s="430"/>
      <c r="AB608" s="430"/>
      <c r="AC608" s="430"/>
      <c r="AD608" s="430"/>
      <c r="AE608" s="430"/>
      <c r="AF608" s="430"/>
      <c r="AG608" s="430"/>
      <c r="AH608" s="430"/>
      <c r="AI608" s="430"/>
      <c r="AJ608" s="430"/>
      <c r="AK608" s="430"/>
      <c r="AL608" s="430"/>
      <c r="AM608" s="430"/>
      <c r="AN608" s="430"/>
      <c r="AO608" s="430"/>
      <c r="AP608" s="430"/>
      <c r="AQ608" s="430"/>
      <c r="AR608" s="430"/>
      <c r="AS608" s="430"/>
      <c r="AT608" s="430"/>
      <c r="AU608" s="430"/>
      <c r="AV608" s="430"/>
      <c r="AW608" s="430"/>
      <c r="AX608" s="430"/>
      <c r="AY608" s="430"/>
      <c r="AZ608" s="430"/>
      <c r="BA608" s="430"/>
      <c r="BB608" s="430"/>
      <c r="BC608" s="430"/>
      <c r="BD608" s="430"/>
      <c r="BE608" s="430"/>
    </row>
    <row r="609" spans="1:57" ht="15.75" customHeight="1">
      <c r="A609" s="430"/>
      <c r="B609" s="430"/>
      <c r="C609" s="430"/>
      <c r="D609" s="430"/>
      <c r="E609" s="430"/>
      <c r="F609" s="430"/>
      <c r="G609" s="430"/>
      <c r="H609" s="430"/>
      <c r="I609" s="430"/>
      <c r="J609" s="430"/>
      <c r="K609" s="430"/>
      <c r="L609" s="430"/>
      <c r="M609" s="430"/>
      <c r="N609" s="430"/>
      <c r="O609" s="430"/>
      <c r="P609" s="430"/>
      <c r="Q609" s="430"/>
      <c r="R609" s="430"/>
      <c r="S609" s="430"/>
      <c r="T609" s="430"/>
      <c r="U609" s="430"/>
      <c r="V609" s="430"/>
      <c r="W609" s="430"/>
      <c r="X609" s="430"/>
      <c r="Y609" s="430"/>
      <c r="Z609" s="430"/>
      <c r="AA609" s="430"/>
      <c r="AB609" s="430"/>
      <c r="AC609" s="430"/>
      <c r="AD609" s="430"/>
      <c r="AE609" s="430"/>
      <c r="AF609" s="430"/>
      <c r="AG609" s="430"/>
      <c r="AH609" s="430"/>
      <c r="AI609" s="430"/>
      <c r="AJ609" s="430"/>
      <c r="AK609" s="430"/>
      <c r="AL609" s="430"/>
      <c r="AM609" s="430"/>
      <c r="AN609" s="430"/>
      <c r="AO609" s="430"/>
      <c r="AP609" s="430"/>
      <c r="AQ609" s="430"/>
      <c r="AR609" s="430"/>
      <c r="AS609" s="430"/>
      <c r="AT609" s="430"/>
      <c r="AU609" s="430"/>
      <c r="AV609" s="430"/>
      <c r="AW609" s="430"/>
      <c r="AX609" s="430"/>
      <c r="AY609" s="430"/>
      <c r="AZ609" s="430"/>
      <c r="BA609" s="430"/>
      <c r="BB609" s="430"/>
      <c r="BC609" s="430"/>
      <c r="BD609" s="430"/>
      <c r="BE609" s="430"/>
    </row>
    <row r="610" spans="1:57" ht="15.75" customHeight="1">
      <c r="A610" s="430"/>
      <c r="B610" s="430"/>
      <c r="C610" s="430"/>
      <c r="D610" s="430"/>
      <c r="E610" s="430"/>
      <c r="F610" s="430"/>
      <c r="G610" s="430"/>
      <c r="H610" s="430"/>
      <c r="I610" s="430"/>
      <c r="J610" s="430"/>
      <c r="K610" s="430"/>
      <c r="L610" s="430"/>
      <c r="M610" s="430"/>
      <c r="N610" s="430"/>
      <c r="O610" s="430"/>
      <c r="P610" s="430"/>
      <c r="Q610" s="430"/>
      <c r="R610" s="430"/>
      <c r="S610" s="430"/>
      <c r="T610" s="430"/>
      <c r="U610" s="430"/>
      <c r="V610" s="430"/>
      <c r="W610" s="430"/>
      <c r="X610" s="430"/>
      <c r="Y610" s="430"/>
      <c r="Z610" s="430"/>
      <c r="AA610" s="430"/>
      <c r="AB610" s="430"/>
      <c r="AC610" s="430"/>
      <c r="AD610" s="430"/>
      <c r="AE610" s="430"/>
      <c r="AF610" s="430"/>
      <c r="AG610" s="430"/>
      <c r="AH610" s="430"/>
      <c r="AI610" s="430"/>
      <c r="AJ610" s="430"/>
      <c r="AK610" s="430"/>
      <c r="AL610" s="430"/>
      <c r="AM610" s="430"/>
      <c r="AN610" s="430"/>
      <c r="AO610" s="430"/>
      <c r="AP610" s="430"/>
      <c r="AQ610" s="430"/>
      <c r="AR610" s="430"/>
      <c r="AS610" s="430"/>
      <c r="AT610" s="430"/>
      <c r="AU610" s="430"/>
      <c r="AV610" s="430"/>
      <c r="AW610" s="430"/>
      <c r="AX610" s="430"/>
      <c r="AY610" s="430"/>
      <c r="AZ610" s="430"/>
      <c r="BA610" s="430"/>
      <c r="BB610" s="430"/>
      <c r="BC610" s="430"/>
      <c r="BD610" s="430"/>
      <c r="BE610" s="430"/>
    </row>
    <row r="611" spans="1:57" ht="15.75" customHeight="1">
      <c r="A611" s="430"/>
      <c r="B611" s="430"/>
      <c r="C611" s="430"/>
      <c r="D611" s="430"/>
      <c r="E611" s="430"/>
      <c r="F611" s="430"/>
      <c r="G611" s="430"/>
      <c r="H611" s="430"/>
      <c r="I611" s="430"/>
      <c r="J611" s="430"/>
      <c r="K611" s="430"/>
      <c r="L611" s="430"/>
      <c r="M611" s="430"/>
      <c r="N611" s="430"/>
      <c r="O611" s="430"/>
      <c r="P611" s="430"/>
      <c r="Q611" s="430"/>
      <c r="R611" s="430"/>
      <c r="S611" s="430"/>
      <c r="T611" s="430"/>
      <c r="U611" s="430"/>
      <c r="V611" s="430"/>
      <c r="W611" s="430"/>
      <c r="X611" s="430"/>
      <c r="Y611" s="430"/>
      <c r="Z611" s="430"/>
      <c r="AA611" s="430"/>
      <c r="AB611" s="430"/>
      <c r="AC611" s="430"/>
      <c r="AD611" s="430"/>
      <c r="AE611" s="430"/>
      <c r="AF611" s="430"/>
      <c r="AG611" s="430"/>
      <c r="AH611" s="430"/>
      <c r="AI611" s="430"/>
      <c r="AJ611" s="430"/>
      <c r="AK611" s="430"/>
      <c r="AL611" s="430"/>
      <c r="AM611" s="430"/>
      <c r="AN611" s="430"/>
      <c r="AO611" s="430"/>
      <c r="AP611" s="430"/>
      <c r="AQ611" s="430"/>
      <c r="AR611" s="430"/>
      <c r="AS611" s="430"/>
      <c r="AT611" s="430"/>
      <c r="AU611" s="430"/>
      <c r="AV611" s="430"/>
      <c r="AW611" s="430"/>
      <c r="AX611" s="430"/>
      <c r="AY611" s="430"/>
      <c r="AZ611" s="430"/>
      <c r="BA611" s="430"/>
      <c r="BB611" s="430"/>
      <c r="BC611" s="430"/>
      <c r="BD611" s="430"/>
      <c r="BE611" s="430"/>
    </row>
    <row r="612" spans="1:57" ht="15.75" customHeight="1">
      <c r="A612" s="430"/>
      <c r="B612" s="430"/>
      <c r="C612" s="430"/>
      <c r="D612" s="430"/>
      <c r="E612" s="430"/>
      <c r="F612" s="430"/>
      <c r="G612" s="430"/>
      <c r="H612" s="430"/>
      <c r="I612" s="430"/>
      <c r="J612" s="430"/>
      <c r="K612" s="430"/>
      <c r="L612" s="430"/>
      <c r="M612" s="430"/>
      <c r="N612" s="430"/>
      <c r="O612" s="430"/>
      <c r="P612" s="430"/>
      <c r="Q612" s="430"/>
      <c r="R612" s="430"/>
      <c r="S612" s="430"/>
      <c r="T612" s="430"/>
      <c r="U612" s="430"/>
      <c r="V612" s="430"/>
      <c r="W612" s="430"/>
      <c r="X612" s="430"/>
      <c r="Y612" s="430"/>
      <c r="Z612" s="430"/>
      <c r="AA612" s="430"/>
      <c r="AB612" s="430"/>
      <c r="AC612" s="430"/>
      <c r="AD612" s="430"/>
      <c r="AE612" s="430"/>
      <c r="AF612" s="430"/>
      <c r="AG612" s="430"/>
      <c r="AH612" s="430"/>
      <c r="AI612" s="430"/>
      <c r="AJ612" s="430"/>
      <c r="AK612" s="430"/>
      <c r="AL612" s="430"/>
      <c r="AM612" s="430"/>
      <c r="AN612" s="430"/>
      <c r="AO612" s="430"/>
      <c r="AP612" s="430"/>
      <c r="AQ612" s="430"/>
      <c r="AR612" s="430"/>
      <c r="AS612" s="430"/>
      <c r="AT612" s="430"/>
      <c r="AU612" s="430"/>
      <c r="AV612" s="430"/>
      <c r="AW612" s="430"/>
      <c r="AX612" s="430"/>
      <c r="AY612" s="430"/>
      <c r="AZ612" s="430"/>
      <c r="BA612" s="430"/>
      <c r="BB612" s="430"/>
      <c r="BC612" s="430"/>
      <c r="BD612" s="430"/>
      <c r="BE612" s="430"/>
    </row>
    <row r="613" spans="1:57" ht="15.75" customHeight="1">
      <c r="A613" s="430"/>
      <c r="B613" s="430"/>
      <c r="C613" s="430"/>
      <c r="D613" s="430"/>
      <c r="E613" s="430"/>
      <c r="F613" s="430"/>
      <c r="G613" s="430"/>
      <c r="H613" s="430"/>
      <c r="I613" s="430"/>
      <c r="J613" s="430"/>
      <c r="K613" s="430"/>
      <c r="L613" s="430"/>
      <c r="M613" s="430"/>
      <c r="N613" s="430"/>
      <c r="O613" s="430"/>
      <c r="P613" s="430"/>
      <c r="Q613" s="430"/>
      <c r="R613" s="430"/>
      <c r="S613" s="430"/>
      <c r="T613" s="430"/>
      <c r="U613" s="430"/>
      <c r="V613" s="430"/>
      <c r="W613" s="430"/>
      <c r="X613" s="430"/>
      <c r="Y613" s="430"/>
      <c r="Z613" s="430"/>
      <c r="AA613" s="430"/>
      <c r="AB613" s="430"/>
      <c r="AC613" s="430"/>
      <c r="AD613" s="430"/>
      <c r="AE613" s="430"/>
      <c r="AF613" s="430"/>
      <c r="AG613" s="430"/>
      <c r="AH613" s="430"/>
      <c r="AI613" s="430"/>
      <c r="AJ613" s="430"/>
      <c r="AK613" s="430"/>
      <c r="AL613" s="430"/>
      <c r="AM613" s="430"/>
      <c r="AN613" s="430"/>
      <c r="AO613" s="430"/>
      <c r="AP613" s="430"/>
      <c r="AQ613" s="430"/>
      <c r="AR613" s="430"/>
      <c r="AS613" s="430"/>
      <c r="AT613" s="430"/>
      <c r="AU613" s="430"/>
      <c r="AV613" s="430"/>
      <c r="AW613" s="430"/>
      <c r="AX613" s="430"/>
      <c r="AY613" s="430"/>
      <c r="AZ613" s="430"/>
      <c r="BA613" s="430"/>
      <c r="BB613" s="430"/>
      <c r="BC613" s="430"/>
      <c r="BD613" s="430"/>
      <c r="BE613" s="430"/>
    </row>
    <row r="614" spans="1:57" ht="15.75" customHeight="1">
      <c r="A614" s="430"/>
      <c r="B614" s="430"/>
      <c r="C614" s="430"/>
      <c r="D614" s="430"/>
      <c r="E614" s="430"/>
      <c r="F614" s="430"/>
      <c r="G614" s="430"/>
      <c r="H614" s="430"/>
      <c r="I614" s="430"/>
      <c r="J614" s="430"/>
      <c r="K614" s="430"/>
      <c r="L614" s="430"/>
      <c r="M614" s="430"/>
      <c r="N614" s="430"/>
      <c r="O614" s="430"/>
      <c r="P614" s="430"/>
      <c r="Q614" s="430"/>
      <c r="R614" s="430"/>
      <c r="S614" s="430"/>
      <c r="T614" s="430"/>
      <c r="U614" s="430"/>
      <c r="V614" s="430"/>
      <c r="W614" s="430"/>
      <c r="X614" s="430"/>
      <c r="Y614" s="430"/>
      <c r="Z614" s="430"/>
      <c r="AA614" s="430"/>
      <c r="AB614" s="430"/>
      <c r="AC614" s="430"/>
      <c r="AD614" s="430"/>
      <c r="AE614" s="430"/>
      <c r="AF614" s="430"/>
      <c r="AG614" s="430"/>
      <c r="AH614" s="430"/>
      <c r="AI614" s="430"/>
      <c r="AJ614" s="430"/>
      <c r="AK614" s="430"/>
      <c r="AL614" s="430"/>
      <c r="AM614" s="430"/>
      <c r="AN614" s="430"/>
      <c r="AO614" s="430"/>
      <c r="AP614" s="430"/>
      <c r="AQ614" s="430"/>
      <c r="AR614" s="430"/>
      <c r="AS614" s="430"/>
      <c r="AT614" s="430"/>
      <c r="AU614" s="430"/>
      <c r="AV614" s="430"/>
      <c r="AW614" s="430"/>
      <c r="AX614" s="430"/>
      <c r="AY614" s="430"/>
      <c r="AZ614" s="430"/>
      <c r="BA614" s="430"/>
      <c r="BB614" s="430"/>
      <c r="BC614" s="430"/>
      <c r="BD614" s="430"/>
      <c r="BE614" s="430"/>
    </row>
    <row r="615" spans="1:57" ht="15.75" customHeight="1">
      <c r="A615" s="430"/>
      <c r="B615" s="430"/>
      <c r="C615" s="430"/>
      <c r="D615" s="430"/>
      <c r="E615" s="430"/>
      <c r="F615" s="430"/>
      <c r="G615" s="430"/>
      <c r="H615" s="430"/>
      <c r="I615" s="430"/>
      <c r="J615" s="430"/>
      <c r="K615" s="430"/>
      <c r="L615" s="430"/>
      <c r="M615" s="430"/>
      <c r="N615" s="430"/>
      <c r="O615" s="430"/>
      <c r="P615" s="430"/>
      <c r="Q615" s="430"/>
      <c r="R615" s="430"/>
      <c r="S615" s="430"/>
      <c r="T615" s="430"/>
      <c r="U615" s="430"/>
      <c r="V615" s="430"/>
      <c r="W615" s="430"/>
      <c r="X615" s="430"/>
      <c r="Y615" s="430"/>
      <c r="Z615" s="430"/>
      <c r="AA615" s="430"/>
      <c r="AB615" s="430"/>
      <c r="AC615" s="430"/>
      <c r="AD615" s="430"/>
      <c r="AE615" s="430"/>
      <c r="AF615" s="430"/>
      <c r="AG615" s="430"/>
      <c r="AH615" s="430"/>
      <c r="AI615" s="430"/>
      <c r="AJ615" s="430"/>
      <c r="AK615" s="430"/>
      <c r="AL615" s="430"/>
      <c r="AM615" s="430"/>
      <c r="AN615" s="430"/>
      <c r="AO615" s="430"/>
      <c r="AP615" s="430"/>
      <c r="AQ615" s="430"/>
      <c r="AR615" s="430"/>
      <c r="AS615" s="430"/>
      <c r="AT615" s="430"/>
      <c r="AU615" s="430"/>
      <c r="AV615" s="430"/>
      <c r="AW615" s="430"/>
      <c r="AX615" s="430"/>
      <c r="AY615" s="430"/>
      <c r="AZ615" s="430"/>
      <c r="BA615" s="430"/>
      <c r="BB615" s="430"/>
      <c r="BC615" s="430"/>
      <c r="BD615" s="430"/>
      <c r="BE615" s="430"/>
    </row>
    <row r="616" spans="1:57" ht="15.75" customHeight="1">
      <c r="A616" s="430"/>
      <c r="B616" s="430"/>
      <c r="C616" s="430"/>
      <c r="D616" s="430"/>
      <c r="E616" s="430"/>
      <c r="F616" s="430"/>
      <c r="G616" s="430"/>
      <c r="H616" s="430"/>
      <c r="I616" s="430"/>
      <c r="J616" s="430"/>
      <c r="K616" s="430"/>
      <c r="L616" s="430"/>
      <c r="M616" s="430"/>
      <c r="N616" s="430"/>
      <c r="O616" s="430"/>
      <c r="P616" s="430"/>
      <c r="Q616" s="430"/>
      <c r="R616" s="430"/>
      <c r="S616" s="430"/>
      <c r="T616" s="430"/>
      <c r="U616" s="430"/>
      <c r="V616" s="430"/>
      <c r="W616" s="430"/>
      <c r="X616" s="430"/>
      <c r="Y616" s="430"/>
      <c r="Z616" s="430"/>
      <c r="AA616" s="430"/>
      <c r="AB616" s="430"/>
      <c r="AC616" s="430"/>
      <c r="AD616" s="430"/>
      <c r="AE616" s="430"/>
      <c r="AF616" s="430"/>
      <c r="AG616" s="430"/>
      <c r="AH616" s="430"/>
      <c r="AI616" s="430"/>
      <c r="AJ616" s="430"/>
      <c r="AK616" s="430"/>
      <c r="AL616" s="430"/>
      <c r="AM616" s="430"/>
      <c r="AN616" s="430"/>
      <c r="AO616" s="430"/>
      <c r="AP616" s="430"/>
      <c r="AQ616" s="430"/>
      <c r="AR616" s="430"/>
      <c r="AS616" s="430"/>
      <c r="AT616" s="430"/>
      <c r="AU616" s="430"/>
      <c r="AV616" s="430"/>
      <c r="AW616" s="430"/>
      <c r="AX616" s="430"/>
      <c r="AY616" s="430"/>
      <c r="AZ616" s="430"/>
      <c r="BA616" s="430"/>
      <c r="BB616" s="430"/>
      <c r="BC616" s="430"/>
      <c r="BD616" s="430"/>
      <c r="BE616" s="430"/>
    </row>
    <row r="617" spans="1:57" ht="15.75" customHeight="1">
      <c r="A617" s="430"/>
      <c r="B617" s="430"/>
      <c r="C617" s="430"/>
      <c r="D617" s="430"/>
      <c r="E617" s="430"/>
      <c r="F617" s="430"/>
      <c r="G617" s="430"/>
      <c r="H617" s="430"/>
      <c r="I617" s="430"/>
      <c r="J617" s="430"/>
      <c r="K617" s="430"/>
      <c r="L617" s="430"/>
      <c r="M617" s="430"/>
      <c r="N617" s="430"/>
      <c r="O617" s="430"/>
      <c r="P617" s="430"/>
      <c r="Q617" s="430"/>
      <c r="R617" s="430"/>
      <c r="S617" s="430"/>
      <c r="T617" s="430"/>
      <c r="U617" s="430"/>
      <c r="V617" s="430"/>
      <c r="W617" s="430"/>
      <c r="X617" s="430"/>
      <c r="Y617" s="430"/>
      <c r="Z617" s="430"/>
      <c r="AA617" s="430"/>
      <c r="AB617" s="430"/>
      <c r="AC617" s="430"/>
      <c r="AD617" s="430"/>
      <c r="AE617" s="430"/>
      <c r="AF617" s="430"/>
      <c r="AG617" s="430"/>
      <c r="AH617" s="430"/>
      <c r="AI617" s="430"/>
      <c r="AJ617" s="430"/>
      <c r="AK617" s="430"/>
      <c r="AL617" s="430"/>
      <c r="AM617" s="430"/>
      <c r="AN617" s="430"/>
      <c r="AO617" s="430"/>
      <c r="AP617" s="430"/>
      <c r="AQ617" s="430"/>
      <c r="AR617" s="430"/>
      <c r="AS617" s="430"/>
      <c r="AT617" s="430"/>
      <c r="AU617" s="430"/>
      <c r="AV617" s="430"/>
      <c r="AW617" s="430"/>
      <c r="AX617" s="430"/>
      <c r="AY617" s="430"/>
      <c r="AZ617" s="430"/>
      <c r="BA617" s="430"/>
      <c r="BB617" s="430"/>
      <c r="BC617" s="430"/>
      <c r="BD617" s="430"/>
      <c r="BE617" s="430"/>
    </row>
    <row r="618" spans="1:57" ht="15.75" customHeight="1">
      <c r="A618" s="430"/>
      <c r="B618" s="430"/>
      <c r="C618" s="430"/>
      <c r="D618" s="430"/>
      <c r="E618" s="430"/>
      <c r="F618" s="430"/>
      <c r="G618" s="430"/>
      <c r="H618" s="430"/>
      <c r="I618" s="430"/>
      <c r="J618" s="430"/>
      <c r="K618" s="430"/>
      <c r="L618" s="430"/>
      <c r="M618" s="430"/>
      <c r="N618" s="430"/>
      <c r="O618" s="430"/>
      <c r="P618" s="430"/>
      <c r="Q618" s="430"/>
      <c r="R618" s="430"/>
      <c r="S618" s="430"/>
      <c r="T618" s="430"/>
      <c r="U618" s="430"/>
      <c r="V618" s="430"/>
      <c r="W618" s="430"/>
      <c r="X618" s="430"/>
      <c r="Y618" s="430"/>
      <c r="Z618" s="430"/>
      <c r="AA618" s="430"/>
      <c r="AB618" s="430"/>
      <c r="AC618" s="430"/>
      <c r="AD618" s="430"/>
      <c r="AE618" s="430"/>
      <c r="AF618" s="430"/>
      <c r="AG618" s="430"/>
      <c r="AH618" s="430"/>
      <c r="AI618" s="430"/>
      <c r="AJ618" s="430"/>
      <c r="AK618" s="430"/>
      <c r="AL618" s="430"/>
      <c r="AM618" s="430"/>
      <c r="AN618" s="430"/>
      <c r="AO618" s="430"/>
      <c r="AP618" s="430"/>
      <c r="AQ618" s="430"/>
      <c r="AR618" s="430"/>
      <c r="AS618" s="430"/>
      <c r="AT618" s="430"/>
      <c r="AU618" s="430"/>
      <c r="AV618" s="430"/>
      <c r="AW618" s="430"/>
      <c r="AX618" s="430"/>
      <c r="AY618" s="430"/>
      <c r="AZ618" s="430"/>
      <c r="BA618" s="430"/>
      <c r="BB618" s="430"/>
      <c r="BC618" s="430"/>
      <c r="BD618" s="430"/>
      <c r="BE618" s="430"/>
    </row>
    <row r="619" spans="1:57" ht="15.75" customHeight="1">
      <c r="A619" s="430"/>
      <c r="B619" s="430"/>
      <c r="C619" s="430"/>
      <c r="D619" s="430"/>
      <c r="E619" s="430"/>
      <c r="F619" s="430"/>
      <c r="G619" s="430"/>
      <c r="H619" s="430"/>
      <c r="I619" s="430"/>
      <c r="J619" s="430"/>
      <c r="K619" s="430"/>
      <c r="L619" s="430"/>
      <c r="M619" s="430"/>
      <c r="N619" s="430"/>
      <c r="O619" s="430"/>
      <c r="P619" s="430"/>
      <c r="Q619" s="430"/>
      <c r="R619" s="430"/>
      <c r="S619" s="430"/>
      <c r="T619" s="430"/>
      <c r="U619" s="430"/>
      <c r="V619" s="430"/>
      <c r="W619" s="430"/>
      <c r="X619" s="430"/>
      <c r="Y619" s="430"/>
      <c r="Z619" s="430"/>
      <c r="AA619" s="430"/>
      <c r="AB619" s="430"/>
      <c r="AC619" s="430"/>
      <c r="AD619" s="430"/>
      <c r="AE619" s="430"/>
      <c r="AF619" s="430"/>
      <c r="AG619" s="430"/>
      <c r="AH619" s="430"/>
      <c r="AI619" s="430"/>
      <c r="AJ619" s="430"/>
      <c r="AK619" s="430"/>
      <c r="AL619" s="430"/>
      <c r="AM619" s="430"/>
      <c r="AN619" s="430"/>
      <c r="AO619" s="430"/>
      <c r="AP619" s="430"/>
      <c r="AQ619" s="430"/>
      <c r="AR619" s="430"/>
      <c r="AS619" s="430"/>
      <c r="AT619" s="430"/>
      <c r="AU619" s="430"/>
      <c r="AV619" s="430"/>
      <c r="AW619" s="430"/>
      <c r="AX619" s="430"/>
      <c r="AY619" s="430"/>
      <c r="AZ619" s="430"/>
      <c r="BA619" s="430"/>
      <c r="BB619" s="430"/>
      <c r="BC619" s="430"/>
      <c r="BD619" s="430"/>
      <c r="BE619" s="430"/>
    </row>
    <row r="620" spans="1:57" ht="15.75" customHeight="1">
      <c r="A620" s="430"/>
      <c r="B620" s="430"/>
      <c r="C620" s="430"/>
      <c r="D620" s="430"/>
      <c r="E620" s="430"/>
      <c r="F620" s="430"/>
      <c r="G620" s="430"/>
      <c r="H620" s="430"/>
      <c r="I620" s="430"/>
      <c r="J620" s="430"/>
      <c r="K620" s="430"/>
      <c r="L620" s="430"/>
      <c r="M620" s="430"/>
      <c r="N620" s="430"/>
      <c r="O620" s="430"/>
      <c r="P620" s="430"/>
      <c r="Q620" s="430"/>
      <c r="R620" s="430"/>
      <c r="S620" s="430"/>
      <c r="T620" s="430"/>
      <c r="U620" s="430"/>
      <c r="V620" s="430"/>
      <c r="W620" s="430"/>
      <c r="X620" s="430"/>
      <c r="Y620" s="430"/>
      <c r="Z620" s="430"/>
      <c r="AA620" s="430"/>
      <c r="AB620" s="430"/>
      <c r="AC620" s="430"/>
      <c r="AD620" s="430"/>
      <c r="AE620" s="430"/>
      <c r="AF620" s="430"/>
      <c r="AG620" s="430"/>
      <c r="AH620" s="430"/>
      <c r="AI620" s="430"/>
      <c r="AJ620" s="430"/>
      <c r="AK620" s="430"/>
      <c r="AL620" s="430"/>
      <c r="AM620" s="430"/>
      <c r="AN620" s="430"/>
      <c r="AO620" s="430"/>
      <c r="AP620" s="430"/>
      <c r="AQ620" s="430"/>
      <c r="AR620" s="430"/>
      <c r="AS620" s="430"/>
      <c r="AT620" s="430"/>
      <c r="AU620" s="430"/>
      <c r="AV620" s="430"/>
      <c r="AW620" s="430"/>
      <c r="AX620" s="430"/>
      <c r="AY620" s="430"/>
      <c r="AZ620" s="430"/>
      <c r="BA620" s="430"/>
      <c r="BB620" s="430"/>
      <c r="BC620" s="430"/>
      <c r="BD620" s="430"/>
      <c r="BE620" s="430"/>
    </row>
    <row r="621" spans="1:57" ht="15.75" customHeight="1">
      <c r="A621" s="430"/>
      <c r="B621" s="430"/>
      <c r="C621" s="430"/>
      <c r="D621" s="430"/>
      <c r="E621" s="430"/>
      <c r="F621" s="430"/>
      <c r="G621" s="430"/>
      <c r="H621" s="430"/>
      <c r="I621" s="430"/>
      <c r="J621" s="430"/>
      <c r="K621" s="430"/>
      <c r="L621" s="430"/>
      <c r="M621" s="430"/>
      <c r="N621" s="430"/>
      <c r="O621" s="430"/>
      <c r="P621" s="430"/>
      <c r="Q621" s="430"/>
      <c r="R621" s="430"/>
      <c r="S621" s="430"/>
      <c r="T621" s="430"/>
      <c r="U621" s="430"/>
      <c r="V621" s="430"/>
      <c r="W621" s="430"/>
      <c r="X621" s="430"/>
      <c r="Y621" s="430"/>
      <c r="Z621" s="430"/>
      <c r="AA621" s="430"/>
      <c r="AB621" s="430"/>
      <c r="AC621" s="430"/>
      <c r="AD621" s="430"/>
      <c r="AE621" s="430"/>
      <c r="AF621" s="430"/>
      <c r="AG621" s="430"/>
      <c r="AH621" s="430"/>
      <c r="AI621" s="430"/>
      <c r="AJ621" s="430"/>
      <c r="AK621" s="430"/>
      <c r="AL621" s="430"/>
      <c r="AM621" s="430"/>
      <c r="AN621" s="430"/>
      <c r="AO621" s="430"/>
      <c r="AP621" s="430"/>
      <c r="AQ621" s="430"/>
      <c r="AR621" s="430"/>
      <c r="AS621" s="430"/>
      <c r="AT621" s="430"/>
      <c r="AU621" s="430"/>
      <c r="AV621" s="430"/>
      <c r="AW621" s="430"/>
      <c r="AX621" s="430"/>
      <c r="AY621" s="430"/>
      <c r="AZ621" s="430"/>
      <c r="BA621" s="430"/>
      <c r="BB621" s="430"/>
      <c r="BC621" s="430"/>
      <c r="BD621" s="430"/>
      <c r="BE621" s="430"/>
    </row>
    <row r="622" spans="1:57" ht="15.75" customHeight="1">
      <c r="A622" s="430"/>
      <c r="B622" s="430"/>
      <c r="C622" s="430"/>
      <c r="D622" s="430"/>
      <c r="E622" s="430"/>
      <c r="F622" s="430"/>
      <c r="G622" s="430"/>
      <c r="H622" s="430"/>
      <c r="I622" s="430"/>
      <c r="J622" s="430"/>
      <c r="K622" s="430"/>
      <c r="L622" s="430"/>
      <c r="M622" s="430"/>
      <c r="N622" s="430"/>
      <c r="O622" s="430"/>
      <c r="P622" s="430"/>
      <c r="Q622" s="430"/>
      <c r="R622" s="430"/>
      <c r="S622" s="430"/>
      <c r="T622" s="430"/>
      <c r="U622" s="430"/>
      <c r="V622" s="430"/>
      <c r="W622" s="430"/>
      <c r="X622" s="430"/>
      <c r="Y622" s="430"/>
      <c r="Z622" s="430"/>
      <c r="AA622" s="430"/>
      <c r="AB622" s="430"/>
      <c r="AC622" s="430"/>
      <c r="AD622" s="430"/>
      <c r="AE622" s="430"/>
      <c r="AF622" s="430"/>
      <c r="AG622" s="430"/>
      <c r="AH622" s="430"/>
      <c r="AI622" s="430"/>
      <c r="AJ622" s="430"/>
      <c r="AK622" s="430"/>
      <c r="AL622" s="430"/>
      <c r="AM622" s="430"/>
      <c r="AN622" s="430"/>
      <c r="AO622" s="430"/>
      <c r="AP622" s="430"/>
      <c r="AQ622" s="430"/>
      <c r="AR622" s="430"/>
      <c r="AS622" s="430"/>
      <c r="AT622" s="430"/>
      <c r="AU622" s="430"/>
      <c r="AV622" s="430"/>
      <c r="AW622" s="430"/>
      <c r="AX622" s="430"/>
      <c r="AY622" s="430"/>
      <c r="AZ622" s="430"/>
      <c r="BA622" s="430"/>
      <c r="BB622" s="430"/>
      <c r="BC622" s="430"/>
      <c r="BD622" s="430"/>
      <c r="BE622" s="430"/>
    </row>
    <row r="623" spans="1:57" ht="15.75" customHeight="1">
      <c r="A623" s="430"/>
      <c r="B623" s="430"/>
      <c r="C623" s="430"/>
      <c r="D623" s="430"/>
      <c r="E623" s="430"/>
      <c r="F623" s="430"/>
      <c r="G623" s="430"/>
      <c r="H623" s="430"/>
      <c r="I623" s="430"/>
      <c r="J623" s="430"/>
      <c r="K623" s="430"/>
      <c r="L623" s="430"/>
      <c r="M623" s="430"/>
      <c r="N623" s="430"/>
      <c r="O623" s="430"/>
      <c r="P623" s="430"/>
      <c r="Q623" s="430"/>
      <c r="R623" s="430"/>
      <c r="S623" s="430"/>
      <c r="T623" s="430"/>
      <c r="U623" s="430"/>
      <c r="V623" s="430"/>
      <c r="W623" s="430"/>
      <c r="X623" s="430"/>
      <c r="Y623" s="430"/>
      <c r="Z623" s="430"/>
      <c r="AA623" s="430"/>
      <c r="AB623" s="430"/>
      <c r="AC623" s="430"/>
      <c r="AD623" s="430"/>
      <c r="AE623" s="430"/>
      <c r="AF623" s="430"/>
      <c r="AG623" s="430"/>
      <c r="AH623" s="430"/>
      <c r="AI623" s="430"/>
      <c r="AJ623" s="430"/>
      <c r="AK623" s="430"/>
      <c r="AL623" s="430"/>
      <c r="AM623" s="430"/>
      <c r="AN623" s="430"/>
      <c r="AO623" s="430"/>
      <c r="AP623" s="430"/>
      <c r="AQ623" s="430"/>
      <c r="AR623" s="430"/>
      <c r="AS623" s="430"/>
      <c r="AT623" s="430"/>
      <c r="AU623" s="430"/>
      <c r="AV623" s="430"/>
      <c r="AW623" s="430"/>
      <c r="AX623" s="430"/>
      <c r="AY623" s="430"/>
      <c r="AZ623" s="430"/>
      <c r="BA623" s="430"/>
      <c r="BB623" s="430"/>
      <c r="BC623" s="430"/>
      <c r="BD623" s="430"/>
      <c r="BE623" s="430"/>
    </row>
    <row r="624" spans="1:57" ht="15.75" customHeight="1">
      <c r="A624" s="430"/>
      <c r="B624" s="430"/>
      <c r="C624" s="430"/>
      <c r="D624" s="430"/>
      <c r="E624" s="430"/>
      <c r="F624" s="430"/>
      <c r="G624" s="430"/>
      <c r="H624" s="430"/>
      <c r="I624" s="430"/>
      <c r="J624" s="430"/>
      <c r="K624" s="430"/>
      <c r="L624" s="430"/>
      <c r="M624" s="430"/>
      <c r="N624" s="430"/>
      <c r="O624" s="430"/>
      <c r="P624" s="430"/>
      <c r="Q624" s="430"/>
      <c r="R624" s="430"/>
      <c r="S624" s="430"/>
      <c r="T624" s="430"/>
      <c r="U624" s="430"/>
      <c r="V624" s="430"/>
      <c r="W624" s="430"/>
      <c r="X624" s="430"/>
      <c r="Y624" s="430"/>
      <c r="Z624" s="430"/>
      <c r="AA624" s="430"/>
      <c r="AB624" s="430"/>
      <c r="AC624" s="430"/>
      <c r="AD624" s="430"/>
      <c r="AE624" s="430"/>
      <c r="AF624" s="430"/>
      <c r="AG624" s="430"/>
      <c r="AH624" s="430"/>
      <c r="AI624" s="430"/>
      <c r="AJ624" s="430"/>
      <c r="AK624" s="430"/>
      <c r="AL624" s="430"/>
      <c r="AM624" s="430"/>
      <c r="AN624" s="430"/>
      <c r="AO624" s="430"/>
      <c r="AP624" s="430"/>
      <c r="AQ624" s="430"/>
      <c r="AR624" s="430"/>
      <c r="AS624" s="430"/>
      <c r="AT624" s="430"/>
      <c r="AU624" s="430"/>
      <c r="AV624" s="430"/>
      <c r="AW624" s="430"/>
      <c r="AX624" s="430"/>
      <c r="AY624" s="430"/>
      <c r="AZ624" s="430"/>
      <c r="BA624" s="430"/>
      <c r="BB624" s="430"/>
      <c r="BC624" s="430"/>
      <c r="BD624" s="430"/>
      <c r="BE624" s="430"/>
    </row>
    <row r="625" spans="1:57" ht="15.75" customHeight="1">
      <c r="A625" s="430"/>
      <c r="B625" s="430"/>
      <c r="C625" s="430"/>
      <c r="D625" s="430"/>
      <c r="E625" s="430"/>
      <c r="F625" s="430"/>
      <c r="G625" s="430"/>
      <c r="H625" s="430"/>
      <c r="I625" s="430"/>
      <c r="J625" s="430"/>
      <c r="K625" s="430"/>
      <c r="L625" s="430"/>
      <c r="M625" s="430"/>
      <c r="N625" s="430"/>
      <c r="O625" s="430"/>
      <c r="P625" s="430"/>
      <c r="Q625" s="430"/>
      <c r="R625" s="430"/>
      <c r="S625" s="430"/>
      <c r="T625" s="430"/>
      <c r="U625" s="430"/>
      <c r="V625" s="430"/>
      <c r="W625" s="430"/>
      <c r="X625" s="430"/>
      <c r="Y625" s="430"/>
      <c r="Z625" s="430"/>
      <c r="AA625" s="430"/>
      <c r="AB625" s="430"/>
      <c r="AC625" s="430"/>
      <c r="AD625" s="430"/>
      <c r="AE625" s="430"/>
      <c r="AF625" s="430"/>
      <c r="AG625" s="430"/>
      <c r="AH625" s="430"/>
      <c r="AI625" s="430"/>
      <c r="AJ625" s="430"/>
      <c r="AK625" s="430"/>
      <c r="AL625" s="430"/>
      <c r="AM625" s="430"/>
      <c r="AN625" s="430"/>
      <c r="AO625" s="430"/>
      <c r="AP625" s="430"/>
      <c r="AQ625" s="430"/>
      <c r="AR625" s="430"/>
      <c r="AS625" s="430"/>
      <c r="AT625" s="430"/>
      <c r="AU625" s="430"/>
      <c r="AV625" s="430"/>
      <c r="AW625" s="430"/>
      <c r="AX625" s="430"/>
      <c r="AY625" s="430"/>
      <c r="AZ625" s="430"/>
      <c r="BA625" s="430"/>
      <c r="BB625" s="430"/>
      <c r="BC625" s="430"/>
      <c r="BD625" s="430"/>
      <c r="BE625" s="430"/>
    </row>
    <row r="626" spans="1:57" ht="15.75" customHeight="1">
      <c r="A626" s="430"/>
      <c r="B626" s="430"/>
      <c r="C626" s="430"/>
      <c r="D626" s="430"/>
      <c r="E626" s="430"/>
      <c r="F626" s="430"/>
      <c r="G626" s="430"/>
      <c r="H626" s="430"/>
      <c r="I626" s="430"/>
      <c r="J626" s="430"/>
      <c r="K626" s="430"/>
      <c r="L626" s="430"/>
      <c r="M626" s="430"/>
      <c r="N626" s="430"/>
      <c r="O626" s="430"/>
      <c r="P626" s="430"/>
      <c r="Q626" s="430"/>
      <c r="R626" s="430"/>
      <c r="S626" s="430"/>
      <c r="T626" s="430"/>
      <c r="U626" s="430"/>
      <c r="V626" s="430"/>
      <c r="W626" s="430"/>
      <c r="X626" s="430"/>
      <c r="Y626" s="430"/>
      <c r="Z626" s="430"/>
      <c r="AA626" s="430"/>
      <c r="AB626" s="430"/>
      <c r="AC626" s="430"/>
      <c r="AD626" s="430"/>
      <c r="AE626" s="430"/>
      <c r="AF626" s="430"/>
      <c r="AG626" s="430"/>
      <c r="AH626" s="430"/>
      <c r="AI626" s="430"/>
      <c r="AJ626" s="430"/>
      <c r="AK626" s="430"/>
      <c r="AL626" s="430"/>
      <c r="AM626" s="430"/>
      <c r="AN626" s="430"/>
      <c r="AO626" s="430"/>
      <c r="AP626" s="430"/>
      <c r="AQ626" s="430"/>
      <c r="AR626" s="430"/>
      <c r="AS626" s="430"/>
      <c r="AT626" s="430"/>
      <c r="AU626" s="430"/>
      <c r="AV626" s="430"/>
      <c r="AW626" s="430"/>
      <c r="AX626" s="430"/>
      <c r="AY626" s="430"/>
      <c r="AZ626" s="430"/>
      <c r="BA626" s="430"/>
      <c r="BB626" s="430"/>
      <c r="BC626" s="430"/>
      <c r="BD626" s="430"/>
      <c r="BE626" s="430"/>
    </row>
    <row r="627" spans="1:57" ht="15.75" customHeight="1">
      <c r="A627" s="430"/>
      <c r="B627" s="430"/>
      <c r="C627" s="430"/>
      <c r="D627" s="430"/>
      <c r="E627" s="430"/>
      <c r="F627" s="430"/>
      <c r="G627" s="430"/>
      <c r="H627" s="430"/>
      <c r="I627" s="430"/>
      <c r="J627" s="430"/>
      <c r="K627" s="430"/>
      <c r="L627" s="430"/>
      <c r="M627" s="430"/>
      <c r="N627" s="430"/>
      <c r="O627" s="430"/>
      <c r="P627" s="430"/>
      <c r="Q627" s="430"/>
      <c r="R627" s="430"/>
      <c r="S627" s="430"/>
      <c r="T627" s="430"/>
      <c r="U627" s="430"/>
      <c r="V627" s="430"/>
      <c r="W627" s="430"/>
      <c r="X627" s="430"/>
      <c r="Y627" s="430"/>
      <c r="Z627" s="430"/>
      <c r="AA627" s="430"/>
      <c r="AB627" s="430"/>
      <c r="AC627" s="430"/>
      <c r="AD627" s="430"/>
      <c r="AE627" s="430"/>
      <c r="AF627" s="430"/>
      <c r="AG627" s="430"/>
      <c r="AH627" s="430"/>
      <c r="AI627" s="430"/>
      <c r="AJ627" s="430"/>
      <c r="AK627" s="430"/>
      <c r="AL627" s="430"/>
      <c r="AM627" s="430"/>
      <c r="AN627" s="430"/>
      <c r="AO627" s="430"/>
      <c r="AP627" s="430"/>
      <c r="AQ627" s="430"/>
      <c r="AR627" s="430"/>
      <c r="AS627" s="430"/>
      <c r="AT627" s="430"/>
      <c r="AU627" s="430"/>
      <c r="AV627" s="430"/>
      <c r="AW627" s="430"/>
      <c r="AX627" s="430"/>
      <c r="AY627" s="430"/>
      <c r="AZ627" s="430"/>
      <c r="BA627" s="430"/>
      <c r="BB627" s="430"/>
      <c r="BC627" s="430"/>
      <c r="BD627" s="430"/>
      <c r="BE627" s="430"/>
    </row>
    <row r="628" spans="1:57" ht="15.75" customHeight="1">
      <c r="A628" s="430"/>
      <c r="B628" s="430"/>
      <c r="C628" s="430"/>
      <c r="D628" s="430"/>
      <c r="E628" s="430"/>
      <c r="F628" s="430"/>
      <c r="G628" s="430"/>
      <c r="H628" s="430"/>
      <c r="I628" s="430"/>
      <c r="J628" s="430"/>
      <c r="K628" s="430"/>
      <c r="L628" s="430"/>
      <c r="M628" s="430"/>
      <c r="N628" s="430"/>
      <c r="O628" s="430"/>
      <c r="P628" s="430"/>
      <c r="Q628" s="430"/>
      <c r="R628" s="430"/>
      <c r="S628" s="430"/>
      <c r="T628" s="430"/>
      <c r="U628" s="430"/>
      <c r="V628" s="430"/>
      <c r="W628" s="430"/>
      <c r="X628" s="430"/>
      <c r="Y628" s="430"/>
      <c r="Z628" s="430"/>
      <c r="AA628" s="430"/>
      <c r="AB628" s="430"/>
      <c r="AC628" s="430"/>
      <c r="AD628" s="430"/>
      <c r="AE628" s="430"/>
      <c r="AF628" s="430"/>
      <c r="AG628" s="430"/>
      <c r="AH628" s="430"/>
      <c r="AI628" s="430"/>
      <c r="AJ628" s="430"/>
      <c r="AK628" s="430"/>
      <c r="AL628" s="430"/>
      <c r="AM628" s="430"/>
      <c r="AN628" s="430"/>
      <c r="AO628" s="430"/>
      <c r="AP628" s="430"/>
      <c r="AQ628" s="430"/>
      <c r="AR628" s="430"/>
      <c r="AS628" s="430"/>
      <c r="AT628" s="430"/>
      <c r="AU628" s="430"/>
      <c r="AV628" s="430"/>
      <c r="AW628" s="430"/>
      <c r="AX628" s="430"/>
      <c r="AY628" s="430"/>
      <c r="AZ628" s="430"/>
      <c r="BA628" s="430"/>
      <c r="BB628" s="430"/>
      <c r="BC628" s="430"/>
      <c r="BD628" s="430"/>
      <c r="BE628" s="430"/>
    </row>
    <row r="629" spans="1:57" ht="15.75" customHeight="1">
      <c r="A629" s="430"/>
      <c r="B629" s="430"/>
      <c r="C629" s="430"/>
      <c r="D629" s="430"/>
      <c r="E629" s="430"/>
      <c r="F629" s="430"/>
      <c r="G629" s="430"/>
      <c r="H629" s="430"/>
      <c r="I629" s="430"/>
      <c r="J629" s="430"/>
      <c r="K629" s="430"/>
      <c r="L629" s="430"/>
      <c r="M629" s="430"/>
      <c r="N629" s="430"/>
      <c r="O629" s="430"/>
      <c r="P629" s="430"/>
      <c r="Q629" s="430"/>
      <c r="R629" s="430"/>
      <c r="S629" s="430"/>
      <c r="T629" s="430"/>
      <c r="U629" s="430"/>
      <c r="V629" s="430"/>
      <c r="W629" s="430"/>
      <c r="X629" s="430"/>
      <c r="Y629" s="430"/>
      <c r="Z629" s="430"/>
      <c r="AA629" s="430"/>
      <c r="AB629" s="430"/>
      <c r="AC629" s="430"/>
      <c r="AD629" s="430"/>
      <c r="AE629" s="430"/>
      <c r="AF629" s="430"/>
      <c r="AG629" s="430"/>
      <c r="AH629" s="430"/>
      <c r="AI629" s="430"/>
      <c r="AJ629" s="430"/>
      <c r="AK629" s="430"/>
      <c r="AL629" s="430"/>
      <c r="AM629" s="430"/>
      <c r="AN629" s="430"/>
      <c r="AO629" s="430"/>
      <c r="AP629" s="430"/>
      <c r="AQ629" s="430"/>
      <c r="AR629" s="430"/>
      <c r="AS629" s="430"/>
      <c r="AT629" s="430"/>
      <c r="AU629" s="430"/>
      <c r="AV629" s="430"/>
      <c r="AW629" s="430"/>
      <c r="AX629" s="430"/>
      <c r="AY629" s="430"/>
      <c r="AZ629" s="430"/>
      <c r="BA629" s="430"/>
      <c r="BB629" s="430"/>
      <c r="BC629" s="430"/>
      <c r="BD629" s="430"/>
      <c r="BE629" s="430"/>
    </row>
    <row r="630" spans="1:57" ht="15.75" customHeight="1">
      <c r="A630" s="430"/>
      <c r="B630" s="430"/>
      <c r="C630" s="430"/>
      <c r="D630" s="430"/>
      <c r="E630" s="430"/>
      <c r="F630" s="430"/>
      <c r="G630" s="430"/>
      <c r="H630" s="430"/>
      <c r="I630" s="430"/>
      <c r="J630" s="430"/>
      <c r="K630" s="430"/>
      <c r="L630" s="430"/>
      <c r="M630" s="430"/>
      <c r="N630" s="430"/>
      <c r="O630" s="430"/>
      <c r="P630" s="430"/>
      <c r="Q630" s="430"/>
      <c r="R630" s="430"/>
      <c r="S630" s="430"/>
      <c r="T630" s="430"/>
      <c r="U630" s="430"/>
      <c r="V630" s="430"/>
      <c r="W630" s="430"/>
      <c r="X630" s="430"/>
      <c r="Y630" s="430"/>
      <c r="Z630" s="430"/>
      <c r="AA630" s="430"/>
      <c r="AB630" s="430"/>
      <c r="AC630" s="430"/>
      <c r="AD630" s="430"/>
      <c r="AE630" s="430"/>
      <c r="AF630" s="430"/>
      <c r="AG630" s="430"/>
      <c r="AH630" s="430"/>
      <c r="AI630" s="430"/>
      <c r="AJ630" s="430"/>
      <c r="AK630" s="430"/>
      <c r="AL630" s="430"/>
      <c r="AM630" s="430"/>
      <c r="AN630" s="430"/>
      <c r="AO630" s="430"/>
      <c r="AP630" s="430"/>
      <c r="AQ630" s="430"/>
      <c r="AR630" s="430"/>
      <c r="AS630" s="430"/>
      <c r="AT630" s="430"/>
      <c r="AU630" s="430"/>
      <c r="AV630" s="430"/>
      <c r="AW630" s="430"/>
      <c r="AX630" s="430"/>
      <c r="AY630" s="430"/>
      <c r="AZ630" s="430"/>
      <c r="BA630" s="430"/>
      <c r="BB630" s="430"/>
      <c r="BC630" s="430"/>
      <c r="BD630" s="430"/>
      <c r="BE630" s="430"/>
    </row>
    <row r="631" spans="1:57" ht="15.75" customHeight="1">
      <c r="A631" s="430"/>
      <c r="B631" s="430"/>
      <c r="C631" s="430"/>
      <c r="D631" s="430"/>
      <c r="E631" s="430"/>
      <c r="F631" s="430"/>
      <c r="G631" s="430"/>
      <c r="H631" s="430"/>
      <c r="I631" s="430"/>
      <c r="J631" s="430"/>
      <c r="K631" s="430"/>
      <c r="L631" s="430"/>
      <c r="M631" s="430"/>
      <c r="N631" s="430"/>
      <c r="O631" s="430"/>
      <c r="P631" s="430"/>
      <c r="Q631" s="430"/>
      <c r="R631" s="430"/>
      <c r="S631" s="430"/>
      <c r="T631" s="430"/>
      <c r="U631" s="430"/>
      <c r="V631" s="430"/>
      <c r="W631" s="430"/>
      <c r="X631" s="430"/>
      <c r="Y631" s="430"/>
      <c r="Z631" s="430"/>
      <c r="AA631" s="430"/>
      <c r="AB631" s="430"/>
      <c r="AC631" s="430"/>
      <c r="AD631" s="430"/>
      <c r="AE631" s="430"/>
      <c r="AF631" s="430"/>
      <c r="AG631" s="430"/>
      <c r="AH631" s="430"/>
      <c r="AI631" s="430"/>
      <c r="AJ631" s="430"/>
      <c r="AK631" s="430"/>
      <c r="AL631" s="430"/>
      <c r="AM631" s="430"/>
      <c r="AN631" s="430"/>
      <c r="AO631" s="430"/>
      <c r="AP631" s="430"/>
      <c r="AQ631" s="430"/>
      <c r="AR631" s="430"/>
      <c r="AS631" s="430"/>
      <c r="AT631" s="430"/>
      <c r="AU631" s="430"/>
      <c r="AV631" s="430"/>
      <c r="AW631" s="430"/>
      <c r="AX631" s="430"/>
      <c r="AY631" s="430"/>
      <c r="AZ631" s="430"/>
      <c r="BA631" s="430"/>
      <c r="BB631" s="430"/>
      <c r="BC631" s="430"/>
      <c r="BD631" s="430"/>
      <c r="BE631" s="430"/>
    </row>
    <row r="632" spans="1:57" ht="15.75" customHeight="1">
      <c r="A632" s="430"/>
      <c r="B632" s="430"/>
      <c r="C632" s="430"/>
      <c r="D632" s="430"/>
      <c r="E632" s="430"/>
      <c r="F632" s="430"/>
      <c r="G632" s="430"/>
      <c r="H632" s="430"/>
      <c r="I632" s="430"/>
      <c r="J632" s="430"/>
      <c r="K632" s="430"/>
      <c r="L632" s="430"/>
      <c r="M632" s="430"/>
      <c r="N632" s="430"/>
      <c r="O632" s="430"/>
      <c r="P632" s="430"/>
      <c r="Q632" s="430"/>
      <c r="R632" s="430"/>
      <c r="S632" s="430"/>
      <c r="T632" s="430"/>
      <c r="U632" s="430"/>
      <c r="V632" s="430"/>
      <c r="W632" s="430"/>
      <c r="X632" s="430"/>
      <c r="Y632" s="430"/>
      <c r="Z632" s="430"/>
      <c r="AA632" s="430"/>
      <c r="AB632" s="430"/>
      <c r="AC632" s="430"/>
      <c r="AD632" s="430"/>
      <c r="AE632" s="430"/>
      <c r="AF632" s="430"/>
      <c r="AG632" s="430"/>
      <c r="AH632" s="430"/>
      <c r="AI632" s="430"/>
      <c r="AJ632" s="430"/>
      <c r="AK632" s="430"/>
      <c r="AL632" s="430"/>
      <c r="AM632" s="430"/>
      <c r="AN632" s="430"/>
      <c r="AO632" s="430"/>
      <c r="AP632" s="430"/>
      <c r="AQ632" s="430"/>
      <c r="AR632" s="430"/>
      <c r="AS632" s="430"/>
      <c r="AT632" s="430"/>
      <c r="AU632" s="430"/>
      <c r="AV632" s="430"/>
      <c r="AW632" s="430"/>
      <c r="AX632" s="430"/>
      <c r="AY632" s="430"/>
      <c r="AZ632" s="430"/>
      <c r="BA632" s="430"/>
      <c r="BB632" s="430"/>
      <c r="BC632" s="430"/>
      <c r="BD632" s="430"/>
      <c r="BE632" s="430"/>
    </row>
    <row r="633" spans="1:57" ht="15.75" customHeight="1">
      <c r="A633" s="430"/>
      <c r="B633" s="430"/>
      <c r="C633" s="430"/>
      <c r="D633" s="430"/>
      <c r="E633" s="430"/>
      <c r="F633" s="430"/>
      <c r="G633" s="430"/>
      <c r="H633" s="430"/>
      <c r="I633" s="430"/>
      <c r="J633" s="430"/>
      <c r="K633" s="430"/>
      <c r="L633" s="430"/>
      <c r="M633" s="430"/>
      <c r="N633" s="430"/>
      <c r="O633" s="430"/>
      <c r="P633" s="430"/>
      <c r="Q633" s="430"/>
      <c r="R633" s="430"/>
      <c r="S633" s="430"/>
      <c r="T633" s="430"/>
      <c r="U633" s="430"/>
      <c r="V633" s="430"/>
      <c r="W633" s="430"/>
      <c r="X633" s="430"/>
      <c r="Y633" s="430"/>
      <c r="Z633" s="430"/>
      <c r="AA633" s="430"/>
      <c r="AB633" s="430"/>
      <c r="AC633" s="430"/>
      <c r="AD633" s="430"/>
      <c r="AE633" s="430"/>
      <c r="AF633" s="430"/>
      <c r="AG633" s="430"/>
      <c r="AH633" s="430"/>
      <c r="AI633" s="430"/>
      <c r="AJ633" s="430"/>
      <c r="AK633" s="430"/>
      <c r="AL633" s="430"/>
      <c r="AM633" s="430"/>
      <c r="AN633" s="430"/>
      <c r="AO633" s="430"/>
      <c r="AP633" s="430"/>
      <c r="AQ633" s="430"/>
      <c r="AR633" s="430"/>
      <c r="AS633" s="430"/>
      <c r="AT633" s="430"/>
      <c r="AU633" s="430"/>
      <c r="AV633" s="430"/>
      <c r="AW633" s="430"/>
      <c r="AX633" s="430"/>
      <c r="AY633" s="430"/>
      <c r="AZ633" s="430"/>
      <c r="BA633" s="430"/>
      <c r="BB633" s="430"/>
      <c r="BC633" s="430"/>
      <c r="BD633" s="430"/>
      <c r="BE633" s="430"/>
    </row>
    <row r="634" spans="1:57" ht="15.75" customHeight="1">
      <c r="A634" s="430"/>
      <c r="B634" s="430"/>
      <c r="C634" s="430"/>
      <c r="D634" s="430"/>
      <c r="E634" s="430"/>
      <c r="F634" s="430"/>
      <c r="G634" s="430"/>
      <c r="H634" s="430"/>
      <c r="I634" s="430"/>
      <c r="J634" s="430"/>
      <c r="K634" s="430"/>
      <c r="L634" s="430"/>
      <c r="M634" s="430"/>
      <c r="N634" s="430"/>
      <c r="O634" s="430"/>
      <c r="P634" s="430"/>
      <c r="Q634" s="430"/>
      <c r="R634" s="430"/>
      <c r="S634" s="430"/>
      <c r="T634" s="430"/>
      <c r="U634" s="430"/>
      <c r="V634" s="430"/>
      <c r="W634" s="430"/>
      <c r="X634" s="430"/>
      <c r="Y634" s="430"/>
      <c r="Z634" s="430"/>
      <c r="AA634" s="430"/>
      <c r="AB634" s="430"/>
      <c r="AC634" s="430"/>
      <c r="AD634" s="430"/>
      <c r="AE634" s="430"/>
      <c r="AF634" s="430"/>
      <c r="AG634" s="430"/>
      <c r="AH634" s="430"/>
      <c r="AI634" s="430"/>
      <c r="AJ634" s="430"/>
      <c r="AK634" s="430"/>
      <c r="AL634" s="430"/>
      <c r="AM634" s="430"/>
      <c r="AN634" s="430"/>
      <c r="AO634" s="430"/>
      <c r="AP634" s="430"/>
      <c r="AQ634" s="430"/>
      <c r="AR634" s="430"/>
      <c r="AS634" s="430"/>
      <c r="AT634" s="430"/>
      <c r="AU634" s="430"/>
      <c r="AV634" s="430"/>
      <c r="AW634" s="430"/>
      <c r="AX634" s="430"/>
      <c r="AY634" s="430"/>
      <c r="AZ634" s="430"/>
      <c r="BA634" s="430"/>
      <c r="BB634" s="430"/>
      <c r="BC634" s="430"/>
      <c r="BD634" s="430"/>
      <c r="BE634" s="430"/>
    </row>
    <row r="635" spans="1:57" ht="15.75" customHeight="1">
      <c r="A635" s="430"/>
      <c r="B635" s="430"/>
      <c r="C635" s="430"/>
      <c r="D635" s="430"/>
      <c r="E635" s="430"/>
      <c r="F635" s="430"/>
      <c r="G635" s="430"/>
      <c r="H635" s="430"/>
      <c r="I635" s="430"/>
      <c r="J635" s="430"/>
      <c r="K635" s="430"/>
      <c r="L635" s="430"/>
      <c r="M635" s="430"/>
      <c r="N635" s="430"/>
      <c r="O635" s="430"/>
      <c r="P635" s="430"/>
      <c r="Q635" s="430"/>
      <c r="R635" s="430"/>
      <c r="S635" s="430"/>
      <c r="T635" s="430"/>
      <c r="U635" s="430"/>
      <c r="V635" s="430"/>
      <c r="W635" s="430"/>
      <c r="X635" s="430"/>
      <c r="Y635" s="430"/>
      <c r="Z635" s="430"/>
      <c r="AA635" s="430"/>
      <c r="AB635" s="430"/>
      <c r="AC635" s="430"/>
      <c r="AD635" s="430"/>
      <c r="AE635" s="430"/>
      <c r="AF635" s="430"/>
      <c r="AG635" s="430"/>
      <c r="AH635" s="430"/>
      <c r="AI635" s="430"/>
      <c r="AJ635" s="430"/>
      <c r="AK635" s="430"/>
      <c r="AL635" s="430"/>
      <c r="AM635" s="430"/>
      <c r="AN635" s="430"/>
      <c r="AO635" s="430"/>
      <c r="AP635" s="430"/>
      <c r="AQ635" s="430"/>
      <c r="AR635" s="430"/>
      <c r="AS635" s="430"/>
      <c r="AT635" s="430"/>
      <c r="AU635" s="430"/>
      <c r="AV635" s="430"/>
      <c r="AW635" s="430"/>
      <c r="AX635" s="430"/>
      <c r="AY635" s="430"/>
      <c r="AZ635" s="430"/>
      <c r="BA635" s="430"/>
      <c r="BB635" s="430"/>
      <c r="BC635" s="430"/>
      <c r="BD635" s="430"/>
      <c r="BE635" s="430"/>
    </row>
    <row r="636" spans="1:57" ht="15.75" customHeight="1">
      <c r="A636" s="430"/>
      <c r="B636" s="430"/>
      <c r="C636" s="430"/>
      <c r="D636" s="430"/>
      <c r="E636" s="430"/>
      <c r="F636" s="430"/>
      <c r="G636" s="430"/>
      <c r="H636" s="430"/>
      <c r="I636" s="430"/>
      <c r="J636" s="430"/>
      <c r="K636" s="430"/>
      <c r="L636" s="430"/>
      <c r="M636" s="430"/>
      <c r="N636" s="430"/>
      <c r="O636" s="430"/>
      <c r="P636" s="430"/>
      <c r="Q636" s="430"/>
      <c r="R636" s="430"/>
      <c r="S636" s="430"/>
      <c r="T636" s="430"/>
      <c r="U636" s="430"/>
      <c r="V636" s="430"/>
      <c r="W636" s="430"/>
      <c r="X636" s="430"/>
      <c r="Y636" s="430"/>
      <c r="Z636" s="430"/>
      <c r="AA636" s="430"/>
      <c r="AB636" s="430"/>
      <c r="AC636" s="430"/>
      <c r="AD636" s="430"/>
      <c r="AE636" s="430"/>
      <c r="AF636" s="430"/>
      <c r="AG636" s="430"/>
      <c r="AH636" s="430"/>
      <c r="AI636" s="430"/>
      <c r="AJ636" s="430"/>
      <c r="AK636" s="430"/>
      <c r="AL636" s="430"/>
      <c r="AM636" s="430"/>
      <c r="AN636" s="430"/>
      <c r="AO636" s="430"/>
      <c r="AP636" s="430"/>
      <c r="AQ636" s="430"/>
      <c r="AR636" s="430"/>
      <c r="AS636" s="430"/>
      <c r="AT636" s="430"/>
      <c r="AU636" s="430"/>
      <c r="AV636" s="430"/>
      <c r="AW636" s="430"/>
      <c r="AX636" s="430"/>
      <c r="AY636" s="430"/>
      <c r="AZ636" s="430"/>
      <c r="BA636" s="430"/>
      <c r="BB636" s="430"/>
      <c r="BC636" s="430"/>
      <c r="BD636" s="430"/>
      <c r="BE636" s="430"/>
    </row>
    <row r="637" spans="1:57" ht="15.75" customHeight="1">
      <c r="A637" s="430"/>
      <c r="B637" s="430"/>
      <c r="C637" s="430"/>
      <c r="D637" s="430"/>
      <c r="E637" s="430"/>
      <c r="F637" s="430"/>
      <c r="G637" s="430"/>
      <c r="H637" s="430"/>
      <c r="I637" s="430"/>
      <c r="J637" s="430"/>
      <c r="K637" s="430"/>
      <c r="L637" s="430"/>
      <c r="M637" s="430"/>
      <c r="N637" s="430"/>
      <c r="O637" s="430"/>
      <c r="P637" s="430"/>
      <c r="Q637" s="430"/>
      <c r="R637" s="430"/>
      <c r="S637" s="430"/>
      <c r="T637" s="430"/>
      <c r="U637" s="430"/>
      <c r="V637" s="430"/>
      <c r="W637" s="430"/>
      <c r="X637" s="430"/>
      <c r="Y637" s="430"/>
      <c r="Z637" s="430"/>
      <c r="AA637" s="430"/>
      <c r="AB637" s="430"/>
      <c r="AC637" s="430"/>
      <c r="AD637" s="430"/>
      <c r="AE637" s="430"/>
      <c r="AF637" s="430"/>
      <c r="AG637" s="430"/>
      <c r="AH637" s="430"/>
      <c r="AI637" s="430"/>
      <c r="AJ637" s="430"/>
      <c r="AK637" s="430"/>
      <c r="AL637" s="430"/>
      <c r="AM637" s="430"/>
      <c r="AN637" s="430"/>
      <c r="AO637" s="430"/>
      <c r="AP637" s="430"/>
      <c r="AQ637" s="430"/>
      <c r="AR637" s="430"/>
      <c r="AS637" s="430"/>
      <c r="AT637" s="430"/>
      <c r="AU637" s="430"/>
      <c r="AV637" s="430"/>
      <c r="AW637" s="430"/>
      <c r="AX637" s="430"/>
      <c r="AY637" s="430"/>
      <c r="AZ637" s="430"/>
      <c r="BA637" s="430"/>
      <c r="BB637" s="430"/>
      <c r="BC637" s="430"/>
      <c r="BD637" s="430"/>
      <c r="BE637" s="430"/>
    </row>
    <row r="638" spans="1:57" ht="15.75" customHeight="1">
      <c r="A638" s="430"/>
      <c r="B638" s="430"/>
      <c r="C638" s="430"/>
      <c r="D638" s="430"/>
      <c r="E638" s="430"/>
      <c r="F638" s="430"/>
      <c r="G638" s="430"/>
      <c r="H638" s="430"/>
      <c r="I638" s="430"/>
      <c r="J638" s="430"/>
      <c r="K638" s="430"/>
      <c r="L638" s="430"/>
      <c r="M638" s="430"/>
      <c r="N638" s="430"/>
      <c r="O638" s="430"/>
      <c r="P638" s="430"/>
      <c r="Q638" s="430"/>
      <c r="R638" s="430"/>
      <c r="S638" s="430"/>
      <c r="T638" s="430"/>
      <c r="U638" s="430"/>
      <c r="V638" s="430"/>
      <c r="W638" s="430"/>
      <c r="X638" s="430"/>
      <c r="Y638" s="430"/>
      <c r="Z638" s="430"/>
      <c r="AA638" s="430"/>
      <c r="AB638" s="430"/>
      <c r="AC638" s="430"/>
      <c r="AD638" s="430"/>
      <c r="AE638" s="430"/>
      <c r="AF638" s="430"/>
      <c r="AG638" s="430"/>
      <c r="AH638" s="430"/>
      <c r="AI638" s="430"/>
      <c r="AJ638" s="430"/>
      <c r="AK638" s="430"/>
      <c r="AL638" s="430"/>
      <c r="AM638" s="430"/>
      <c r="AN638" s="430"/>
      <c r="AO638" s="430"/>
      <c r="AP638" s="430"/>
      <c r="AQ638" s="430"/>
      <c r="AR638" s="430"/>
      <c r="AS638" s="430"/>
      <c r="AT638" s="430"/>
      <c r="AU638" s="430"/>
      <c r="AV638" s="430"/>
      <c r="AW638" s="430"/>
      <c r="AX638" s="430"/>
      <c r="AY638" s="430"/>
      <c r="AZ638" s="430"/>
      <c r="BA638" s="430"/>
      <c r="BB638" s="430"/>
      <c r="BC638" s="430"/>
      <c r="BD638" s="430"/>
      <c r="BE638" s="430"/>
    </row>
    <row r="639" spans="1:57" ht="15.75" customHeight="1">
      <c r="A639" s="430"/>
      <c r="B639" s="430"/>
      <c r="C639" s="430"/>
      <c r="D639" s="430"/>
      <c r="E639" s="430"/>
      <c r="F639" s="430"/>
      <c r="G639" s="430"/>
      <c r="H639" s="430"/>
      <c r="I639" s="430"/>
      <c r="J639" s="430"/>
      <c r="K639" s="430"/>
      <c r="L639" s="430"/>
      <c r="M639" s="430"/>
      <c r="N639" s="430"/>
      <c r="O639" s="430"/>
      <c r="P639" s="430"/>
      <c r="Q639" s="430"/>
      <c r="R639" s="430"/>
      <c r="S639" s="430"/>
      <c r="T639" s="430"/>
      <c r="U639" s="430"/>
      <c r="V639" s="430"/>
      <c r="W639" s="430"/>
      <c r="X639" s="430"/>
      <c r="Y639" s="430"/>
      <c r="Z639" s="430"/>
      <c r="AA639" s="430"/>
      <c r="AB639" s="430"/>
      <c r="AC639" s="430"/>
      <c r="AD639" s="430"/>
      <c r="AE639" s="430"/>
      <c r="AF639" s="430"/>
      <c r="AG639" s="430"/>
      <c r="AH639" s="430"/>
      <c r="AI639" s="430"/>
      <c r="AJ639" s="430"/>
      <c r="AK639" s="430"/>
      <c r="AL639" s="430"/>
      <c r="AM639" s="430"/>
      <c r="AN639" s="430"/>
      <c r="AO639" s="430"/>
      <c r="AP639" s="430"/>
      <c r="AQ639" s="430"/>
      <c r="AR639" s="430"/>
      <c r="AS639" s="430"/>
      <c r="AT639" s="430"/>
      <c r="AU639" s="430"/>
      <c r="AV639" s="430"/>
      <c r="AW639" s="430"/>
      <c r="AX639" s="430"/>
      <c r="AY639" s="430"/>
      <c r="AZ639" s="430"/>
      <c r="BA639" s="430"/>
      <c r="BB639" s="430"/>
      <c r="BC639" s="430"/>
      <c r="BD639" s="430"/>
      <c r="BE639" s="430"/>
    </row>
    <row r="640" spans="1:57" ht="15.75" customHeight="1">
      <c r="A640" s="430"/>
      <c r="B640" s="430"/>
      <c r="C640" s="430"/>
      <c r="D640" s="430"/>
      <c r="E640" s="430"/>
      <c r="F640" s="430"/>
      <c r="G640" s="430"/>
      <c r="H640" s="430"/>
      <c r="I640" s="430"/>
      <c r="J640" s="430"/>
      <c r="K640" s="430"/>
      <c r="L640" s="430"/>
      <c r="M640" s="430"/>
      <c r="N640" s="430"/>
      <c r="O640" s="430"/>
      <c r="P640" s="430"/>
      <c r="Q640" s="430"/>
      <c r="R640" s="430"/>
      <c r="S640" s="430"/>
      <c r="T640" s="430"/>
      <c r="U640" s="430"/>
      <c r="V640" s="430"/>
      <c r="W640" s="430"/>
      <c r="X640" s="430"/>
      <c r="Y640" s="430"/>
      <c r="Z640" s="430"/>
      <c r="AA640" s="430"/>
      <c r="AB640" s="430"/>
      <c r="AC640" s="430"/>
      <c r="AD640" s="430"/>
      <c r="AE640" s="430"/>
      <c r="AF640" s="430"/>
      <c r="AG640" s="430"/>
      <c r="AH640" s="430"/>
      <c r="AI640" s="430"/>
      <c r="AJ640" s="430"/>
      <c r="AK640" s="430"/>
      <c r="AL640" s="430"/>
      <c r="AM640" s="430"/>
      <c r="AN640" s="430"/>
      <c r="AO640" s="430"/>
      <c r="AP640" s="430"/>
      <c r="AQ640" s="430"/>
      <c r="AR640" s="430"/>
      <c r="AS640" s="430"/>
      <c r="AT640" s="430"/>
      <c r="AU640" s="430"/>
      <c r="AV640" s="430"/>
      <c r="AW640" s="430"/>
      <c r="AX640" s="430"/>
      <c r="AY640" s="430"/>
      <c r="AZ640" s="430"/>
      <c r="BA640" s="430"/>
      <c r="BB640" s="430"/>
      <c r="BC640" s="430"/>
      <c r="BD640" s="430"/>
      <c r="BE640" s="430"/>
    </row>
    <row r="641" spans="1:57" ht="15.75" customHeight="1">
      <c r="A641" s="430"/>
      <c r="B641" s="430"/>
      <c r="C641" s="430"/>
      <c r="D641" s="430"/>
      <c r="E641" s="430"/>
      <c r="F641" s="430"/>
      <c r="G641" s="430"/>
      <c r="H641" s="430"/>
      <c r="I641" s="430"/>
      <c r="J641" s="430"/>
      <c r="K641" s="430"/>
      <c r="L641" s="430"/>
      <c r="M641" s="430"/>
      <c r="N641" s="430"/>
      <c r="O641" s="430"/>
      <c r="P641" s="430"/>
      <c r="Q641" s="430"/>
      <c r="R641" s="430"/>
      <c r="S641" s="430"/>
      <c r="T641" s="430"/>
      <c r="U641" s="430"/>
      <c r="V641" s="430"/>
      <c r="W641" s="430"/>
      <c r="X641" s="430"/>
      <c r="Y641" s="430"/>
      <c r="Z641" s="430"/>
      <c r="AA641" s="430"/>
      <c r="AB641" s="430"/>
      <c r="AC641" s="430"/>
      <c r="AD641" s="430"/>
      <c r="AE641" s="430"/>
      <c r="AF641" s="430"/>
      <c r="AG641" s="430"/>
      <c r="AH641" s="430"/>
      <c r="AI641" s="430"/>
      <c r="AJ641" s="430"/>
      <c r="AK641" s="430"/>
      <c r="AL641" s="430"/>
      <c r="AM641" s="430"/>
      <c r="AN641" s="430"/>
      <c r="AO641" s="430"/>
      <c r="AP641" s="430"/>
      <c r="AQ641" s="430"/>
      <c r="AR641" s="430"/>
      <c r="AS641" s="430"/>
      <c r="AT641" s="430"/>
      <c r="AU641" s="430"/>
      <c r="AV641" s="430"/>
      <c r="AW641" s="430"/>
      <c r="AX641" s="430"/>
      <c r="AY641" s="430"/>
      <c r="AZ641" s="430"/>
      <c r="BA641" s="430"/>
      <c r="BB641" s="430"/>
      <c r="BC641" s="430"/>
      <c r="BD641" s="430"/>
      <c r="BE641" s="430"/>
    </row>
    <row r="642" spans="1:57" ht="15.75" customHeight="1">
      <c r="A642" s="430"/>
      <c r="B642" s="430"/>
      <c r="C642" s="430"/>
      <c r="D642" s="430"/>
      <c r="E642" s="430"/>
      <c r="F642" s="430"/>
      <c r="G642" s="430"/>
      <c r="H642" s="430"/>
      <c r="I642" s="430"/>
      <c r="J642" s="430"/>
      <c r="K642" s="430"/>
      <c r="L642" s="430"/>
      <c r="M642" s="430"/>
      <c r="N642" s="430"/>
      <c r="O642" s="430"/>
      <c r="P642" s="430"/>
      <c r="Q642" s="430"/>
      <c r="R642" s="430"/>
      <c r="S642" s="430"/>
      <c r="T642" s="430"/>
      <c r="U642" s="430"/>
      <c r="V642" s="430"/>
      <c r="W642" s="430"/>
      <c r="X642" s="430"/>
      <c r="Y642" s="430"/>
      <c r="Z642" s="430"/>
      <c r="AA642" s="430"/>
      <c r="AB642" s="430"/>
      <c r="AC642" s="430"/>
      <c r="AD642" s="430"/>
      <c r="AE642" s="430"/>
      <c r="AF642" s="430"/>
      <c r="AG642" s="430"/>
      <c r="AH642" s="430"/>
      <c r="AI642" s="430"/>
      <c r="AJ642" s="430"/>
      <c r="AK642" s="430"/>
      <c r="AL642" s="430"/>
      <c r="AM642" s="430"/>
      <c r="AN642" s="430"/>
      <c r="AO642" s="430"/>
      <c r="AP642" s="430"/>
      <c r="AQ642" s="430"/>
      <c r="AR642" s="430"/>
      <c r="AS642" s="430"/>
      <c r="AT642" s="430"/>
      <c r="AU642" s="430"/>
      <c r="AV642" s="430"/>
      <c r="AW642" s="430"/>
      <c r="AX642" s="430"/>
      <c r="AY642" s="430"/>
      <c r="AZ642" s="430"/>
      <c r="BA642" s="430"/>
      <c r="BB642" s="430"/>
      <c r="BC642" s="430"/>
      <c r="BD642" s="430"/>
      <c r="BE642" s="430"/>
    </row>
    <row r="643" spans="1:57" ht="15.75" customHeight="1">
      <c r="A643" s="430"/>
      <c r="B643" s="430"/>
      <c r="C643" s="430"/>
      <c r="D643" s="430"/>
      <c r="E643" s="430"/>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0"/>
      <c r="AY643" s="430"/>
      <c r="AZ643" s="430"/>
      <c r="BA643" s="430"/>
      <c r="BB643" s="430"/>
      <c r="BC643" s="430"/>
      <c r="BD643" s="430"/>
      <c r="BE643" s="430"/>
    </row>
    <row r="644" spans="1:57" ht="15.75" customHeight="1">
      <c r="A644" s="430"/>
      <c r="B644" s="430"/>
      <c r="C644" s="430"/>
      <c r="D644" s="430"/>
      <c r="E644" s="430"/>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30"/>
      <c r="AY644" s="430"/>
      <c r="AZ644" s="430"/>
      <c r="BA644" s="430"/>
      <c r="BB644" s="430"/>
      <c r="BC644" s="430"/>
      <c r="BD644" s="430"/>
      <c r="BE644" s="430"/>
    </row>
    <row r="645" spans="1:57" ht="15.75" customHeight="1">
      <c r="A645" s="430"/>
      <c r="B645" s="430"/>
      <c r="C645" s="430"/>
      <c r="D645" s="430"/>
      <c r="E645" s="430"/>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30"/>
      <c r="AY645" s="430"/>
      <c r="AZ645" s="430"/>
      <c r="BA645" s="430"/>
      <c r="BB645" s="430"/>
      <c r="BC645" s="430"/>
      <c r="BD645" s="430"/>
      <c r="BE645" s="430"/>
    </row>
    <row r="646" spans="1:57" ht="15.75" customHeight="1">
      <c r="A646" s="430"/>
      <c r="B646" s="430"/>
      <c r="C646" s="430"/>
      <c r="D646" s="430"/>
      <c r="E646" s="430"/>
      <c r="F646" s="430"/>
      <c r="G646" s="430"/>
      <c r="H646" s="430"/>
      <c r="I646" s="430"/>
      <c r="J646" s="430"/>
      <c r="K646" s="430"/>
      <c r="L646" s="430"/>
      <c r="M646" s="430"/>
      <c r="N646" s="430"/>
      <c r="O646" s="430"/>
      <c r="P646" s="430"/>
      <c r="Q646" s="430"/>
      <c r="R646" s="430"/>
      <c r="S646" s="430"/>
      <c r="T646" s="430"/>
      <c r="U646" s="430"/>
      <c r="V646" s="430"/>
      <c r="W646" s="430"/>
      <c r="X646" s="430"/>
      <c r="Y646" s="430"/>
      <c r="Z646" s="430"/>
      <c r="AA646" s="430"/>
      <c r="AB646" s="430"/>
      <c r="AC646" s="430"/>
      <c r="AD646" s="430"/>
      <c r="AE646" s="430"/>
      <c r="AF646" s="430"/>
      <c r="AG646" s="430"/>
      <c r="AH646" s="430"/>
      <c r="AI646" s="430"/>
      <c r="AJ646" s="430"/>
      <c r="AK646" s="430"/>
      <c r="AL646" s="430"/>
      <c r="AM646" s="430"/>
      <c r="AN646" s="430"/>
      <c r="AO646" s="430"/>
      <c r="AP646" s="430"/>
      <c r="AQ646" s="430"/>
      <c r="AR646" s="430"/>
      <c r="AS646" s="430"/>
      <c r="AT646" s="430"/>
      <c r="AU646" s="430"/>
      <c r="AV646" s="430"/>
      <c r="AW646" s="430"/>
      <c r="AX646" s="430"/>
      <c r="AY646" s="430"/>
      <c r="AZ646" s="430"/>
      <c r="BA646" s="430"/>
      <c r="BB646" s="430"/>
      <c r="BC646" s="430"/>
      <c r="BD646" s="430"/>
      <c r="BE646" s="430"/>
    </row>
    <row r="647" spans="1:57" ht="15.75" customHeight="1">
      <c r="A647" s="430"/>
      <c r="B647" s="430"/>
      <c r="C647" s="430"/>
      <c r="D647" s="430"/>
      <c r="E647" s="430"/>
      <c r="F647" s="430"/>
      <c r="G647" s="430"/>
      <c r="H647" s="430"/>
      <c r="I647" s="430"/>
      <c r="J647" s="430"/>
      <c r="K647" s="430"/>
      <c r="L647" s="430"/>
      <c r="M647" s="430"/>
      <c r="N647" s="430"/>
      <c r="O647" s="430"/>
      <c r="P647" s="430"/>
      <c r="Q647" s="430"/>
      <c r="R647" s="430"/>
      <c r="S647" s="430"/>
      <c r="T647" s="430"/>
      <c r="U647" s="430"/>
      <c r="V647" s="430"/>
      <c r="W647" s="430"/>
      <c r="X647" s="430"/>
      <c r="Y647" s="430"/>
      <c r="Z647" s="430"/>
      <c r="AA647" s="430"/>
      <c r="AB647" s="430"/>
      <c r="AC647" s="430"/>
      <c r="AD647" s="430"/>
      <c r="AE647" s="430"/>
      <c r="AF647" s="430"/>
      <c r="AG647" s="430"/>
      <c r="AH647" s="430"/>
      <c r="AI647" s="430"/>
      <c r="AJ647" s="430"/>
      <c r="AK647" s="430"/>
      <c r="AL647" s="430"/>
      <c r="AM647" s="430"/>
      <c r="AN647" s="430"/>
      <c r="AO647" s="430"/>
      <c r="AP647" s="430"/>
      <c r="AQ647" s="430"/>
      <c r="AR647" s="430"/>
      <c r="AS647" s="430"/>
      <c r="AT647" s="430"/>
      <c r="AU647" s="430"/>
      <c r="AV647" s="430"/>
      <c r="AW647" s="430"/>
      <c r="AX647" s="430"/>
      <c r="AY647" s="430"/>
      <c r="AZ647" s="430"/>
      <c r="BA647" s="430"/>
      <c r="BB647" s="430"/>
      <c r="BC647" s="430"/>
      <c r="BD647" s="430"/>
      <c r="BE647" s="430"/>
    </row>
    <row r="648" spans="1:57" ht="15.75" customHeight="1">
      <c r="A648" s="430"/>
      <c r="B648" s="430"/>
      <c r="C648" s="430"/>
      <c r="D648" s="430"/>
      <c r="E648" s="430"/>
      <c r="F648" s="430"/>
      <c r="G648" s="430"/>
      <c r="H648" s="430"/>
      <c r="I648" s="430"/>
      <c r="J648" s="430"/>
      <c r="K648" s="430"/>
      <c r="L648" s="430"/>
      <c r="M648" s="430"/>
      <c r="N648" s="430"/>
      <c r="O648" s="430"/>
      <c r="P648" s="430"/>
      <c r="Q648" s="430"/>
      <c r="R648" s="430"/>
      <c r="S648" s="430"/>
      <c r="T648" s="430"/>
      <c r="U648" s="430"/>
      <c r="V648" s="430"/>
      <c r="W648" s="430"/>
      <c r="X648" s="430"/>
      <c r="Y648" s="430"/>
      <c r="Z648" s="430"/>
      <c r="AA648" s="430"/>
      <c r="AB648" s="430"/>
      <c r="AC648" s="430"/>
      <c r="AD648" s="430"/>
      <c r="AE648" s="430"/>
      <c r="AF648" s="430"/>
      <c r="AG648" s="430"/>
      <c r="AH648" s="430"/>
      <c r="AI648" s="430"/>
      <c r="AJ648" s="430"/>
      <c r="AK648" s="430"/>
      <c r="AL648" s="430"/>
      <c r="AM648" s="430"/>
      <c r="AN648" s="430"/>
      <c r="AO648" s="430"/>
      <c r="AP648" s="430"/>
      <c r="AQ648" s="430"/>
      <c r="AR648" s="430"/>
      <c r="AS648" s="430"/>
      <c r="AT648" s="430"/>
      <c r="AU648" s="430"/>
      <c r="AV648" s="430"/>
      <c r="AW648" s="430"/>
      <c r="AX648" s="430"/>
      <c r="AY648" s="430"/>
      <c r="AZ648" s="430"/>
      <c r="BA648" s="430"/>
      <c r="BB648" s="430"/>
      <c r="BC648" s="430"/>
      <c r="BD648" s="430"/>
      <c r="BE648" s="430"/>
    </row>
    <row r="649" spans="1:57" ht="15.75" customHeight="1">
      <c r="A649" s="430"/>
      <c r="B649" s="430"/>
      <c r="C649" s="430"/>
      <c r="D649" s="430"/>
      <c r="E649" s="430"/>
      <c r="F649" s="430"/>
      <c r="G649" s="430"/>
      <c r="H649" s="430"/>
      <c r="I649" s="430"/>
      <c r="J649" s="430"/>
      <c r="K649" s="430"/>
      <c r="L649" s="430"/>
      <c r="M649" s="430"/>
      <c r="N649" s="430"/>
      <c r="O649" s="430"/>
      <c r="P649" s="430"/>
      <c r="Q649" s="430"/>
      <c r="R649" s="430"/>
      <c r="S649" s="430"/>
      <c r="T649" s="430"/>
      <c r="U649" s="430"/>
      <c r="V649" s="430"/>
      <c r="W649" s="430"/>
      <c r="X649" s="430"/>
      <c r="Y649" s="430"/>
      <c r="Z649" s="430"/>
      <c r="AA649" s="430"/>
      <c r="AB649" s="430"/>
      <c r="AC649" s="430"/>
      <c r="AD649" s="430"/>
      <c r="AE649" s="430"/>
      <c r="AF649" s="430"/>
      <c r="AG649" s="430"/>
      <c r="AH649" s="430"/>
      <c r="AI649" s="430"/>
      <c r="AJ649" s="430"/>
      <c r="AK649" s="430"/>
      <c r="AL649" s="430"/>
      <c r="AM649" s="430"/>
      <c r="AN649" s="430"/>
      <c r="AO649" s="430"/>
      <c r="AP649" s="430"/>
      <c r="AQ649" s="430"/>
      <c r="AR649" s="430"/>
      <c r="AS649" s="430"/>
      <c r="AT649" s="430"/>
      <c r="AU649" s="430"/>
      <c r="AV649" s="430"/>
      <c r="AW649" s="430"/>
      <c r="AX649" s="430"/>
      <c r="AY649" s="430"/>
      <c r="AZ649" s="430"/>
      <c r="BA649" s="430"/>
      <c r="BB649" s="430"/>
      <c r="BC649" s="430"/>
      <c r="BD649" s="430"/>
      <c r="BE649" s="430"/>
    </row>
    <row r="650" spans="1:57" ht="15.75" customHeight="1">
      <c r="A650" s="430"/>
      <c r="B650" s="430"/>
      <c r="C650" s="430"/>
      <c r="D650" s="430"/>
      <c r="E650" s="430"/>
      <c r="F650" s="430"/>
      <c r="G650" s="430"/>
      <c r="H650" s="430"/>
      <c r="I650" s="430"/>
      <c r="J650" s="430"/>
      <c r="K650" s="430"/>
      <c r="L650" s="430"/>
      <c r="M650" s="430"/>
      <c r="N650" s="430"/>
      <c r="O650" s="430"/>
      <c r="P650" s="430"/>
      <c r="Q650" s="430"/>
      <c r="R650" s="430"/>
      <c r="S650" s="430"/>
      <c r="T650" s="430"/>
      <c r="U650" s="430"/>
      <c r="V650" s="430"/>
      <c r="W650" s="430"/>
      <c r="X650" s="430"/>
      <c r="Y650" s="430"/>
      <c r="Z650" s="430"/>
      <c r="AA650" s="430"/>
      <c r="AB650" s="430"/>
      <c r="AC650" s="430"/>
      <c r="AD650" s="430"/>
      <c r="AE650" s="430"/>
      <c r="AF650" s="430"/>
      <c r="AG650" s="430"/>
      <c r="AH650" s="430"/>
      <c r="AI650" s="430"/>
      <c r="AJ650" s="430"/>
      <c r="AK650" s="430"/>
      <c r="AL650" s="430"/>
      <c r="AM650" s="430"/>
      <c r="AN650" s="430"/>
      <c r="AO650" s="430"/>
      <c r="AP650" s="430"/>
      <c r="AQ650" s="430"/>
      <c r="AR650" s="430"/>
      <c r="AS650" s="430"/>
      <c r="AT650" s="430"/>
      <c r="AU650" s="430"/>
      <c r="AV650" s="430"/>
      <c r="AW650" s="430"/>
      <c r="AX650" s="430"/>
      <c r="AY650" s="430"/>
      <c r="AZ650" s="430"/>
      <c r="BA650" s="430"/>
      <c r="BB650" s="430"/>
      <c r="BC650" s="430"/>
      <c r="BD650" s="430"/>
      <c r="BE650" s="430"/>
    </row>
    <row r="651" spans="1:57" ht="15.75" customHeight="1">
      <c r="A651" s="430"/>
      <c r="B651" s="430"/>
      <c r="C651" s="430"/>
      <c r="D651" s="430"/>
      <c r="E651" s="430"/>
      <c r="F651" s="430"/>
      <c r="G651" s="430"/>
      <c r="H651" s="430"/>
      <c r="I651" s="430"/>
      <c r="J651" s="430"/>
      <c r="K651" s="430"/>
      <c r="L651" s="430"/>
      <c r="M651" s="430"/>
      <c r="N651" s="430"/>
      <c r="O651" s="430"/>
      <c r="P651" s="430"/>
      <c r="Q651" s="430"/>
      <c r="R651" s="430"/>
      <c r="S651" s="430"/>
      <c r="T651" s="430"/>
      <c r="U651" s="430"/>
      <c r="V651" s="430"/>
      <c r="W651" s="430"/>
      <c r="X651" s="430"/>
      <c r="Y651" s="430"/>
      <c r="Z651" s="430"/>
      <c r="AA651" s="430"/>
      <c r="AB651" s="430"/>
      <c r="AC651" s="430"/>
      <c r="AD651" s="430"/>
      <c r="AE651" s="430"/>
      <c r="AF651" s="430"/>
      <c r="AG651" s="430"/>
      <c r="AH651" s="430"/>
      <c r="AI651" s="430"/>
      <c r="AJ651" s="430"/>
      <c r="AK651" s="430"/>
      <c r="AL651" s="430"/>
      <c r="AM651" s="430"/>
      <c r="AN651" s="430"/>
      <c r="AO651" s="430"/>
      <c r="AP651" s="430"/>
      <c r="AQ651" s="430"/>
      <c r="AR651" s="430"/>
      <c r="AS651" s="430"/>
      <c r="AT651" s="430"/>
      <c r="AU651" s="430"/>
      <c r="AV651" s="430"/>
      <c r="AW651" s="430"/>
      <c r="AX651" s="430"/>
      <c r="AY651" s="430"/>
      <c r="AZ651" s="430"/>
      <c r="BA651" s="430"/>
      <c r="BB651" s="430"/>
      <c r="BC651" s="430"/>
      <c r="BD651" s="430"/>
      <c r="BE651" s="430"/>
    </row>
    <row r="652" spans="1:57" ht="15.75" customHeight="1">
      <c r="A652" s="430"/>
      <c r="B652" s="430"/>
      <c r="C652" s="430"/>
      <c r="D652" s="430"/>
      <c r="E652" s="430"/>
      <c r="F652" s="430"/>
      <c r="G652" s="430"/>
      <c r="H652" s="430"/>
      <c r="I652" s="430"/>
      <c r="J652" s="430"/>
      <c r="K652" s="430"/>
      <c r="L652" s="430"/>
      <c r="M652" s="430"/>
      <c r="N652" s="430"/>
      <c r="O652" s="430"/>
      <c r="P652" s="430"/>
      <c r="Q652" s="430"/>
      <c r="R652" s="430"/>
      <c r="S652" s="430"/>
      <c r="T652" s="430"/>
      <c r="U652" s="430"/>
      <c r="V652" s="430"/>
      <c r="W652" s="430"/>
      <c r="X652" s="430"/>
      <c r="Y652" s="430"/>
      <c r="Z652" s="430"/>
      <c r="AA652" s="430"/>
      <c r="AB652" s="430"/>
      <c r="AC652" s="430"/>
      <c r="AD652" s="430"/>
      <c r="AE652" s="430"/>
      <c r="AF652" s="430"/>
      <c r="AG652" s="430"/>
      <c r="AH652" s="430"/>
      <c r="AI652" s="430"/>
      <c r="AJ652" s="430"/>
      <c r="AK652" s="430"/>
      <c r="AL652" s="430"/>
      <c r="AM652" s="430"/>
      <c r="AN652" s="430"/>
      <c r="AO652" s="430"/>
      <c r="AP652" s="430"/>
      <c r="AQ652" s="430"/>
      <c r="AR652" s="430"/>
      <c r="AS652" s="430"/>
      <c r="AT652" s="430"/>
      <c r="AU652" s="430"/>
      <c r="AV652" s="430"/>
      <c r="AW652" s="430"/>
      <c r="AX652" s="430"/>
      <c r="AY652" s="430"/>
      <c r="AZ652" s="430"/>
      <c r="BA652" s="430"/>
      <c r="BB652" s="430"/>
      <c r="BC652" s="430"/>
      <c r="BD652" s="430"/>
      <c r="BE652" s="430"/>
    </row>
    <row r="653" spans="1:57" ht="15.75" customHeight="1">
      <c r="A653" s="430"/>
      <c r="B653" s="430"/>
      <c r="C653" s="430"/>
      <c r="D653" s="430"/>
      <c r="E653" s="430"/>
      <c r="F653" s="430"/>
      <c r="G653" s="430"/>
      <c r="H653" s="430"/>
      <c r="I653" s="430"/>
      <c r="J653" s="430"/>
      <c r="K653" s="430"/>
      <c r="L653" s="430"/>
      <c r="M653" s="430"/>
      <c r="N653" s="430"/>
      <c r="O653" s="430"/>
      <c r="P653" s="430"/>
      <c r="Q653" s="430"/>
      <c r="R653" s="430"/>
      <c r="S653" s="430"/>
      <c r="T653" s="430"/>
      <c r="U653" s="430"/>
      <c r="V653" s="430"/>
      <c r="W653" s="430"/>
      <c r="X653" s="430"/>
      <c r="Y653" s="430"/>
      <c r="Z653" s="430"/>
      <c r="AA653" s="430"/>
      <c r="AB653" s="430"/>
      <c r="AC653" s="430"/>
      <c r="AD653" s="430"/>
      <c r="AE653" s="430"/>
      <c r="AF653" s="430"/>
      <c r="AG653" s="430"/>
      <c r="AH653" s="430"/>
      <c r="AI653" s="430"/>
      <c r="AJ653" s="430"/>
      <c r="AK653" s="430"/>
      <c r="AL653" s="430"/>
      <c r="AM653" s="430"/>
      <c r="AN653" s="430"/>
      <c r="AO653" s="430"/>
      <c r="AP653" s="430"/>
      <c r="AQ653" s="430"/>
      <c r="AR653" s="430"/>
      <c r="AS653" s="430"/>
      <c r="AT653" s="430"/>
      <c r="AU653" s="430"/>
      <c r="AV653" s="430"/>
      <c r="AW653" s="430"/>
      <c r="AX653" s="430"/>
      <c r="AY653" s="430"/>
      <c r="AZ653" s="430"/>
      <c r="BA653" s="430"/>
      <c r="BB653" s="430"/>
      <c r="BC653" s="430"/>
      <c r="BD653" s="430"/>
      <c r="BE653" s="430"/>
    </row>
    <row r="654" spans="1:57" ht="15.75" customHeight="1">
      <c r="A654" s="430"/>
      <c r="B654" s="430"/>
      <c r="C654" s="430"/>
      <c r="D654" s="430"/>
      <c r="E654" s="430"/>
      <c r="F654" s="430"/>
      <c r="G654" s="430"/>
      <c r="H654" s="430"/>
      <c r="I654" s="430"/>
      <c r="J654" s="430"/>
      <c r="K654" s="430"/>
      <c r="L654" s="430"/>
      <c r="M654" s="430"/>
      <c r="N654" s="430"/>
      <c r="O654" s="430"/>
      <c r="P654" s="430"/>
      <c r="Q654" s="430"/>
      <c r="R654" s="430"/>
      <c r="S654" s="430"/>
      <c r="T654" s="430"/>
      <c r="U654" s="430"/>
      <c r="V654" s="430"/>
      <c r="W654" s="430"/>
      <c r="X654" s="430"/>
      <c r="Y654" s="430"/>
      <c r="Z654" s="430"/>
      <c r="AA654" s="430"/>
      <c r="AB654" s="430"/>
      <c r="AC654" s="430"/>
      <c r="AD654" s="430"/>
      <c r="AE654" s="430"/>
      <c r="AF654" s="430"/>
      <c r="AG654" s="430"/>
      <c r="AH654" s="430"/>
      <c r="AI654" s="430"/>
      <c r="AJ654" s="430"/>
      <c r="AK654" s="430"/>
      <c r="AL654" s="430"/>
      <c r="AM654" s="430"/>
      <c r="AN654" s="430"/>
      <c r="AO654" s="430"/>
      <c r="AP654" s="430"/>
      <c r="AQ654" s="430"/>
      <c r="AR654" s="430"/>
      <c r="AS654" s="430"/>
      <c r="AT654" s="430"/>
      <c r="AU654" s="430"/>
      <c r="AV654" s="430"/>
      <c r="AW654" s="430"/>
      <c r="AX654" s="430"/>
      <c r="AY654" s="430"/>
      <c r="AZ654" s="430"/>
      <c r="BA654" s="430"/>
      <c r="BB654" s="430"/>
      <c r="BC654" s="430"/>
      <c r="BD654" s="430"/>
      <c r="BE654" s="430"/>
    </row>
    <row r="655" spans="1:57" ht="15.75" customHeight="1">
      <c r="A655" s="430"/>
      <c r="B655" s="430"/>
      <c r="C655" s="430"/>
      <c r="D655" s="430"/>
      <c r="E655" s="430"/>
      <c r="F655" s="430"/>
      <c r="G655" s="430"/>
      <c r="H655" s="430"/>
      <c r="I655" s="430"/>
      <c r="J655" s="430"/>
      <c r="K655" s="430"/>
      <c r="L655" s="430"/>
      <c r="M655" s="430"/>
      <c r="N655" s="430"/>
      <c r="O655" s="430"/>
      <c r="P655" s="430"/>
      <c r="Q655" s="430"/>
      <c r="R655" s="430"/>
      <c r="S655" s="430"/>
      <c r="T655" s="430"/>
      <c r="U655" s="430"/>
      <c r="V655" s="430"/>
      <c r="W655" s="430"/>
      <c r="X655" s="430"/>
      <c r="Y655" s="430"/>
      <c r="Z655" s="430"/>
      <c r="AA655" s="430"/>
      <c r="AB655" s="430"/>
      <c r="AC655" s="430"/>
      <c r="AD655" s="430"/>
      <c r="AE655" s="430"/>
      <c r="AF655" s="430"/>
      <c r="AG655" s="430"/>
      <c r="AH655" s="430"/>
      <c r="AI655" s="430"/>
      <c r="AJ655" s="430"/>
      <c r="AK655" s="430"/>
      <c r="AL655" s="430"/>
      <c r="AM655" s="430"/>
      <c r="AN655" s="430"/>
      <c r="AO655" s="430"/>
      <c r="AP655" s="430"/>
      <c r="AQ655" s="430"/>
      <c r="AR655" s="430"/>
      <c r="AS655" s="430"/>
      <c r="AT655" s="430"/>
      <c r="AU655" s="430"/>
      <c r="AV655" s="430"/>
      <c r="AW655" s="430"/>
      <c r="AX655" s="430"/>
      <c r="AY655" s="430"/>
      <c r="AZ655" s="430"/>
      <c r="BA655" s="430"/>
      <c r="BB655" s="430"/>
      <c r="BC655" s="430"/>
      <c r="BD655" s="430"/>
      <c r="BE655" s="430"/>
    </row>
    <row r="656" spans="1:57" ht="15.75" customHeight="1">
      <c r="A656" s="430"/>
      <c r="B656" s="430"/>
      <c r="C656" s="430"/>
      <c r="D656" s="430"/>
      <c r="E656" s="430"/>
      <c r="F656" s="430"/>
      <c r="G656" s="430"/>
      <c r="H656" s="430"/>
      <c r="I656" s="430"/>
      <c r="J656" s="430"/>
      <c r="K656" s="430"/>
      <c r="L656" s="430"/>
      <c r="M656" s="430"/>
      <c r="N656" s="430"/>
      <c r="O656" s="430"/>
      <c r="P656" s="430"/>
      <c r="Q656" s="430"/>
      <c r="R656" s="430"/>
      <c r="S656" s="430"/>
      <c r="T656" s="430"/>
      <c r="U656" s="430"/>
      <c r="V656" s="430"/>
      <c r="W656" s="430"/>
      <c r="X656" s="430"/>
      <c r="Y656" s="430"/>
      <c r="Z656" s="430"/>
      <c r="AA656" s="430"/>
      <c r="AB656" s="430"/>
      <c r="AC656" s="430"/>
      <c r="AD656" s="430"/>
      <c r="AE656" s="430"/>
      <c r="AF656" s="430"/>
      <c r="AG656" s="430"/>
      <c r="AH656" s="430"/>
      <c r="AI656" s="430"/>
      <c r="AJ656" s="430"/>
      <c r="AK656" s="430"/>
      <c r="AL656" s="430"/>
      <c r="AM656" s="430"/>
      <c r="AN656" s="430"/>
      <c r="AO656" s="430"/>
      <c r="AP656" s="430"/>
      <c r="AQ656" s="430"/>
      <c r="AR656" s="430"/>
      <c r="AS656" s="430"/>
      <c r="AT656" s="430"/>
      <c r="AU656" s="430"/>
      <c r="AV656" s="430"/>
      <c r="AW656" s="430"/>
      <c r="AX656" s="430"/>
      <c r="AY656" s="430"/>
      <c r="AZ656" s="430"/>
      <c r="BA656" s="430"/>
      <c r="BB656" s="430"/>
      <c r="BC656" s="430"/>
      <c r="BD656" s="430"/>
      <c r="BE656" s="430"/>
    </row>
    <row r="657" spans="1:57" ht="15.75" customHeight="1">
      <c r="A657" s="430"/>
      <c r="B657" s="430"/>
      <c r="C657" s="430"/>
      <c r="D657" s="430"/>
      <c r="E657" s="430"/>
      <c r="F657" s="430"/>
      <c r="G657" s="430"/>
      <c r="H657" s="430"/>
      <c r="I657" s="430"/>
      <c r="J657" s="430"/>
      <c r="K657" s="430"/>
      <c r="L657" s="430"/>
      <c r="M657" s="430"/>
      <c r="N657" s="430"/>
      <c r="O657" s="430"/>
      <c r="P657" s="430"/>
      <c r="Q657" s="430"/>
      <c r="R657" s="430"/>
      <c r="S657" s="430"/>
      <c r="T657" s="430"/>
      <c r="U657" s="430"/>
      <c r="V657" s="430"/>
      <c r="W657" s="430"/>
      <c r="X657" s="430"/>
      <c r="Y657" s="430"/>
      <c r="Z657" s="430"/>
      <c r="AA657" s="430"/>
      <c r="AB657" s="430"/>
      <c r="AC657" s="430"/>
      <c r="AD657" s="430"/>
      <c r="AE657" s="430"/>
      <c r="AF657" s="430"/>
      <c r="AG657" s="430"/>
      <c r="AH657" s="430"/>
      <c r="AI657" s="430"/>
      <c r="AJ657" s="430"/>
      <c r="AK657" s="430"/>
      <c r="AL657" s="430"/>
      <c r="AM657" s="430"/>
      <c r="AN657" s="430"/>
      <c r="AO657" s="430"/>
      <c r="AP657" s="430"/>
      <c r="AQ657" s="430"/>
      <c r="AR657" s="430"/>
      <c r="AS657" s="430"/>
      <c r="AT657" s="430"/>
      <c r="AU657" s="430"/>
      <c r="AV657" s="430"/>
      <c r="AW657" s="430"/>
      <c r="AX657" s="430"/>
      <c r="AY657" s="430"/>
      <c r="AZ657" s="430"/>
      <c r="BA657" s="430"/>
      <c r="BB657" s="430"/>
      <c r="BC657" s="430"/>
      <c r="BD657" s="430"/>
      <c r="BE657" s="430"/>
    </row>
    <row r="658" spans="1:57" ht="15.75" customHeight="1">
      <c r="A658" s="430"/>
      <c r="B658" s="430"/>
      <c r="C658" s="430"/>
      <c r="D658" s="430"/>
      <c r="E658" s="430"/>
      <c r="F658" s="430"/>
      <c r="G658" s="430"/>
      <c r="H658" s="430"/>
      <c r="I658" s="430"/>
      <c r="J658" s="430"/>
      <c r="K658" s="430"/>
      <c r="L658" s="430"/>
      <c r="M658" s="430"/>
      <c r="N658" s="430"/>
      <c r="O658" s="430"/>
      <c r="P658" s="430"/>
      <c r="Q658" s="430"/>
      <c r="R658" s="430"/>
      <c r="S658" s="430"/>
      <c r="T658" s="430"/>
      <c r="U658" s="430"/>
      <c r="V658" s="430"/>
      <c r="W658" s="430"/>
      <c r="X658" s="430"/>
      <c r="Y658" s="430"/>
      <c r="Z658" s="430"/>
      <c r="AA658" s="430"/>
      <c r="AB658" s="430"/>
      <c r="AC658" s="430"/>
      <c r="AD658" s="430"/>
      <c r="AE658" s="430"/>
      <c r="AF658" s="430"/>
      <c r="AG658" s="430"/>
      <c r="AH658" s="430"/>
      <c r="AI658" s="430"/>
      <c r="AJ658" s="430"/>
      <c r="AK658" s="430"/>
      <c r="AL658" s="430"/>
      <c r="AM658" s="430"/>
      <c r="AN658" s="430"/>
      <c r="AO658" s="430"/>
      <c r="AP658" s="430"/>
      <c r="AQ658" s="430"/>
      <c r="AR658" s="430"/>
      <c r="AS658" s="430"/>
      <c r="AT658" s="430"/>
      <c r="AU658" s="430"/>
      <c r="AV658" s="430"/>
      <c r="AW658" s="430"/>
      <c r="AX658" s="430"/>
      <c r="AY658" s="430"/>
      <c r="AZ658" s="430"/>
      <c r="BA658" s="430"/>
      <c r="BB658" s="430"/>
      <c r="BC658" s="430"/>
      <c r="BD658" s="430"/>
      <c r="BE658" s="430"/>
    </row>
    <row r="659" spans="1:57" ht="15.75" customHeight="1">
      <c r="A659" s="430"/>
      <c r="B659" s="430"/>
      <c r="C659" s="430"/>
      <c r="D659" s="430"/>
      <c r="E659" s="430"/>
      <c r="F659" s="430"/>
      <c r="G659" s="430"/>
      <c r="H659" s="430"/>
      <c r="I659" s="430"/>
      <c r="J659" s="430"/>
      <c r="K659" s="430"/>
      <c r="L659" s="430"/>
      <c r="M659" s="430"/>
      <c r="N659" s="430"/>
      <c r="O659" s="430"/>
      <c r="P659" s="430"/>
      <c r="Q659" s="430"/>
      <c r="R659" s="430"/>
      <c r="S659" s="430"/>
      <c r="T659" s="430"/>
      <c r="U659" s="430"/>
      <c r="V659" s="430"/>
      <c r="W659" s="430"/>
      <c r="X659" s="430"/>
      <c r="Y659" s="430"/>
      <c r="Z659" s="430"/>
      <c r="AA659" s="430"/>
      <c r="AB659" s="430"/>
      <c r="AC659" s="430"/>
      <c r="AD659" s="430"/>
      <c r="AE659" s="430"/>
      <c r="AF659" s="430"/>
      <c r="AG659" s="430"/>
      <c r="AH659" s="430"/>
      <c r="AI659" s="430"/>
      <c r="AJ659" s="430"/>
      <c r="AK659" s="430"/>
      <c r="AL659" s="430"/>
      <c r="AM659" s="430"/>
      <c r="AN659" s="430"/>
      <c r="AO659" s="430"/>
      <c r="AP659" s="430"/>
      <c r="AQ659" s="430"/>
      <c r="AR659" s="430"/>
      <c r="AS659" s="430"/>
      <c r="AT659" s="430"/>
      <c r="AU659" s="430"/>
      <c r="AV659" s="430"/>
      <c r="AW659" s="430"/>
      <c r="AX659" s="430"/>
      <c r="AY659" s="430"/>
      <c r="AZ659" s="430"/>
      <c r="BA659" s="430"/>
      <c r="BB659" s="430"/>
      <c r="BC659" s="430"/>
      <c r="BD659" s="430"/>
      <c r="BE659" s="430"/>
    </row>
    <row r="660" spans="1:57" ht="15.75" customHeight="1">
      <c r="A660" s="430"/>
      <c r="B660" s="430"/>
      <c r="C660" s="430"/>
      <c r="D660" s="430"/>
      <c r="E660" s="430"/>
      <c r="F660" s="430"/>
      <c r="G660" s="430"/>
      <c r="H660" s="430"/>
      <c r="I660" s="430"/>
      <c r="J660" s="430"/>
      <c r="K660" s="430"/>
      <c r="L660" s="430"/>
      <c r="M660" s="430"/>
      <c r="N660" s="430"/>
      <c r="O660" s="430"/>
      <c r="P660" s="430"/>
      <c r="Q660" s="430"/>
      <c r="R660" s="430"/>
      <c r="S660" s="430"/>
      <c r="T660" s="430"/>
      <c r="U660" s="430"/>
      <c r="V660" s="430"/>
      <c r="W660" s="430"/>
      <c r="X660" s="430"/>
      <c r="Y660" s="430"/>
      <c r="Z660" s="430"/>
      <c r="AA660" s="430"/>
      <c r="AB660" s="430"/>
      <c r="AC660" s="430"/>
      <c r="AD660" s="430"/>
      <c r="AE660" s="430"/>
      <c r="AF660" s="430"/>
      <c r="AG660" s="430"/>
      <c r="AH660" s="430"/>
      <c r="AI660" s="430"/>
      <c r="AJ660" s="430"/>
      <c r="AK660" s="430"/>
      <c r="AL660" s="430"/>
      <c r="AM660" s="430"/>
      <c r="AN660" s="430"/>
      <c r="AO660" s="430"/>
      <c r="AP660" s="430"/>
      <c r="AQ660" s="430"/>
      <c r="AR660" s="430"/>
      <c r="AS660" s="430"/>
      <c r="AT660" s="430"/>
      <c r="AU660" s="430"/>
      <c r="AV660" s="430"/>
      <c r="AW660" s="430"/>
      <c r="AX660" s="430"/>
      <c r="AY660" s="430"/>
      <c r="AZ660" s="430"/>
      <c r="BA660" s="430"/>
      <c r="BB660" s="430"/>
      <c r="BC660" s="430"/>
      <c r="BD660" s="430"/>
      <c r="BE660" s="430"/>
    </row>
    <row r="661" spans="1:57" ht="15.75" customHeight="1">
      <c r="A661" s="430"/>
      <c r="B661" s="430"/>
      <c r="C661" s="430"/>
      <c r="D661" s="430"/>
      <c r="E661" s="430"/>
      <c r="F661" s="430"/>
      <c r="G661" s="430"/>
      <c r="H661" s="430"/>
      <c r="I661" s="430"/>
      <c r="J661" s="430"/>
      <c r="K661" s="430"/>
      <c r="L661" s="430"/>
      <c r="M661" s="430"/>
      <c r="N661" s="430"/>
      <c r="O661" s="430"/>
      <c r="P661" s="430"/>
      <c r="Q661" s="430"/>
      <c r="R661" s="430"/>
      <c r="S661" s="430"/>
      <c r="T661" s="430"/>
      <c r="U661" s="430"/>
      <c r="V661" s="430"/>
      <c r="W661" s="430"/>
      <c r="X661" s="430"/>
      <c r="Y661" s="430"/>
      <c r="Z661" s="430"/>
      <c r="AA661" s="430"/>
      <c r="AB661" s="430"/>
      <c r="AC661" s="430"/>
      <c r="AD661" s="430"/>
      <c r="AE661" s="430"/>
      <c r="AF661" s="430"/>
      <c r="AG661" s="430"/>
      <c r="AH661" s="430"/>
      <c r="AI661" s="430"/>
      <c r="AJ661" s="430"/>
      <c r="AK661" s="430"/>
      <c r="AL661" s="430"/>
      <c r="AM661" s="430"/>
      <c r="AN661" s="430"/>
      <c r="AO661" s="430"/>
      <c r="AP661" s="430"/>
      <c r="AQ661" s="430"/>
      <c r="AR661" s="430"/>
      <c r="AS661" s="430"/>
      <c r="AT661" s="430"/>
      <c r="AU661" s="430"/>
      <c r="AV661" s="430"/>
      <c r="AW661" s="430"/>
      <c r="AX661" s="430"/>
      <c r="AY661" s="430"/>
      <c r="AZ661" s="430"/>
      <c r="BA661" s="430"/>
      <c r="BB661" s="430"/>
      <c r="BC661" s="430"/>
      <c r="BD661" s="430"/>
      <c r="BE661" s="430"/>
    </row>
    <row r="662" spans="1:57" ht="15.75" customHeight="1">
      <c r="A662" s="430"/>
      <c r="B662" s="430"/>
      <c r="C662" s="430"/>
      <c r="D662" s="430"/>
      <c r="E662" s="430"/>
      <c r="F662" s="430"/>
      <c r="G662" s="430"/>
      <c r="H662" s="430"/>
      <c r="I662" s="430"/>
      <c r="J662" s="430"/>
      <c r="K662" s="430"/>
      <c r="L662" s="430"/>
      <c r="M662" s="430"/>
      <c r="N662" s="430"/>
      <c r="O662" s="430"/>
      <c r="P662" s="430"/>
      <c r="Q662" s="430"/>
      <c r="R662" s="430"/>
      <c r="S662" s="430"/>
      <c r="T662" s="430"/>
      <c r="U662" s="430"/>
      <c r="V662" s="430"/>
      <c r="W662" s="430"/>
      <c r="X662" s="430"/>
      <c r="Y662" s="430"/>
      <c r="Z662" s="430"/>
      <c r="AA662" s="430"/>
      <c r="AB662" s="430"/>
      <c r="AC662" s="430"/>
      <c r="AD662" s="430"/>
      <c r="AE662" s="430"/>
      <c r="AF662" s="430"/>
      <c r="AG662" s="430"/>
      <c r="AH662" s="430"/>
      <c r="AI662" s="430"/>
      <c r="AJ662" s="430"/>
      <c r="AK662" s="430"/>
      <c r="AL662" s="430"/>
      <c r="AM662" s="430"/>
      <c r="AN662" s="430"/>
      <c r="AO662" s="430"/>
      <c r="AP662" s="430"/>
      <c r="AQ662" s="430"/>
      <c r="AR662" s="430"/>
      <c r="AS662" s="430"/>
      <c r="AT662" s="430"/>
      <c r="AU662" s="430"/>
      <c r="AV662" s="430"/>
      <c r="AW662" s="430"/>
      <c r="AX662" s="430"/>
      <c r="AY662" s="430"/>
      <c r="AZ662" s="430"/>
      <c r="BA662" s="430"/>
      <c r="BB662" s="430"/>
      <c r="BC662" s="430"/>
      <c r="BD662" s="430"/>
      <c r="BE662" s="430"/>
    </row>
    <row r="663" spans="1:57" ht="15.75" customHeight="1">
      <c r="A663" s="430"/>
      <c r="B663" s="430"/>
      <c r="C663" s="430"/>
      <c r="D663" s="430"/>
      <c r="E663" s="430"/>
      <c r="F663" s="430"/>
      <c r="G663" s="430"/>
      <c r="H663" s="430"/>
      <c r="I663" s="430"/>
      <c r="J663" s="430"/>
      <c r="K663" s="430"/>
      <c r="L663" s="430"/>
      <c r="M663" s="430"/>
      <c r="N663" s="430"/>
      <c r="O663" s="430"/>
      <c r="P663" s="430"/>
      <c r="Q663" s="430"/>
      <c r="R663" s="430"/>
      <c r="S663" s="430"/>
      <c r="T663" s="430"/>
      <c r="U663" s="430"/>
      <c r="V663" s="430"/>
      <c r="W663" s="430"/>
      <c r="X663" s="430"/>
      <c r="Y663" s="430"/>
      <c r="Z663" s="430"/>
      <c r="AA663" s="430"/>
      <c r="AB663" s="430"/>
      <c r="AC663" s="430"/>
      <c r="AD663" s="430"/>
      <c r="AE663" s="430"/>
      <c r="AF663" s="430"/>
      <c r="AG663" s="430"/>
      <c r="AH663" s="430"/>
      <c r="AI663" s="430"/>
      <c r="AJ663" s="430"/>
      <c r="AK663" s="430"/>
      <c r="AL663" s="430"/>
      <c r="AM663" s="430"/>
      <c r="AN663" s="430"/>
      <c r="AO663" s="430"/>
      <c r="AP663" s="430"/>
      <c r="AQ663" s="430"/>
      <c r="AR663" s="430"/>
      <c r="AS663" s="430"/>
      <c r="AT663" s="430"/>
      <c r="AU663" s="430"/>
      <c r="AV663" s="430"/>
      <c r="AW663" s="430"/>
      <c r="AX663" s="430"/>
      <c r="AY663" s="430"/>
      <c r="AZ663" s="430"/>
      <c r="BA663" s="430"/>
      <c r="BB663" s="430"/>
      <c r="BC663" s="430"/>
      <c r="BD663" s="430"/>
      <c r="BE663" s="430"/>
    </row>
    <row r="664" spans="1:57" ht="15.75" customHeight="1">
      <c r="A664" s="430"/>
      <c r="B664" s="430"/>
      <c r="C664" s="430"/>
      <c r="D664" s="430"/>
      <c r="E664" s="430"/>
      <c r="F664" s="430"/>
      <c r="G664" s="430"/>
      <c r="H664" s="430"/>
      <c r="I664" s="430"/>
      <c r="J664" s="430"/>
      <c r="K664" s="430"/>
      <c r="L664" s="430"/>
      <c r="M664" s="430"/>
      <c r="N664" s="430"/>
      <c r="O664" s="430"/>
      <c r="P664" s="430"/>
      <c r="Q664" s="430"/>
      <c r="R664" s="430"/>
      <c r="S664" s="430"/>
      <c r="T664" s="430"/>
      <c r="U664" s="430"/>
      <c r="V664" s="430"/>
      <c r="W664" s="430"/>
      <c r="X664" s="430"/>
      <c r="Y664" s="430"/>
      <c r="Z664" s="430"/>
      <c r="AA664" s="430"/>
      <c r="AB664" s="430"/>
      <c r="AC664" s="430"/>
      <c r="AD664" s="430"/>
      <c r="AE664" s="430"/>
      <c r="AF664" s="430"/>
      <c r="AG664" s="430"/>
      <c r="AH664" s="430"/>
      <c r="AI664" s="430"/>
      <c r="AJ664" s="430"/>
      <c r="AK664" s="430"/>
      <c r="AL664" s="430"/>
      <c r="AM664" s="430"/>
      <c r="AN664" s="430"/>
      <c r="AO664" s="430"/>
      <c r="AP664" s="430"/>
      <c r="AQ664" s="430"/>
      <c r="AR664" s="430"/>
      <c r="AS664" s="430"/>
      <c r="AT664" s="430"/>
      <c r="AU664" s="430"/>
      <c r="AV664" s="430"/>
      <c r="AW664" s="430"/>
      <c r="AX664" s="430"/>
      <c r="AY664" s="430"/>
      <c r="AZ664" s="430"/>
      <c r="BA664" s="430"/>
      <c r="BB664" s="430"/>
      <c r="BC664" s="430"/>
      <c r="BD664" s="430"/>
      <c r="BE664" s="430"/>
    </row>
    <row r="665" spans="1:57" ht="15.75" customHeight="1">
      <c r="A665" s="430"/>
      <c r="B665" s="430"/>
      <c r="C665" s="430"/>
      <c r="D665" s="430"/>
      <c r="E665" s="430"/>
      <c r="F665" s="430"/>
      <c r="G665" s="430"/>
      <c r="H665" s="430"/>
      <c r="I665" s="430"/>
      <c r="J665" s="430"/>
      <c r="K665" s="430"/>
      <c r="L665" s="430"/>
      <c r="M665" s="430"/>
      <c r="N665" s="430"/>
      <c r="O665" s="430"/>
      <c r="P665" s="430"/>
      <c r="Q665" s="430"/>
      <c r="R665" s="430"/>
      <c r="S665" s="430"/>
      <c r="T665" s="430"/>
      <c r="U665" s="430"/>
      <c r="V665" s="430"/>
      <c r="W665" s="430"/>
      <c r="X665" s="430"/>
      <c r="Y665" s="430"/>
      <c r="Z665" s="430"/>
      <c r="AA665" s="430"/>
      <c r="AB665" s="430"/>
      <c r="AC665" s="430"/>
      <c r="AD665" s="430"/>
      <c r="AE665" s="430"/>
      <c r="AF665" s="430"/>
      <c r="AG665" s="430"/>
      <c r="AH665" s="430"/>
      <c r="AI665" s="430"/>
      <c r="AJ665" s="430"/>
      <c r="AK665" s="430"/>
      <c r="AL665" s="430"/>
      <c r="AM665" s="430"/>
      <c r="AN665" s="430"/>
      <c r="AO665" s="430"/>
      <c r="AP665" s="430"/>
      <c r="AQ665" s="430"/>
      <c r="AR665" s="430"/>
      <c r="AS665" s="430"/>
      <c r="AT665" s="430"/>
      <c r="AU665" s="430"/>
      <c r="AV665" s="430"/>
      <c r="AW665" s="430"/>
      <c r="AX665" s="430"/>
      <c r="AY665" s="430"/>
      <c r="AZ665" s="430"/>
      <c r="BA665" s="430"/>
      <c r="BB665" s="430"/>
      <c r="BC665" s="430"/>
      <c r="BD665" s="430"/>
      <c r="BE665" s="430"/>
    </row>
    <row r="666" spans="1:57" ht="15.75" customHeight="1">
      <c r="A666" s="430"/>
      <c r="B666" s="430"/>
      <c r="C666" s="430"/>
      <c r="D666" s="430"/>
      <c r="E666" s="430"/>
      <c r="F666" s="430"/>
      <c r="G666" s="430"/>
      <c r="H666" s="430"/>
      <c r="I666" s="430"/>
      <c r="J666" s="430"/>
      <c r="K666" s="430"/>
      <c r="L666" s="430"/>
      <c r="M666" s="430"/>
      <c r="N666" s="430"/>
      <c r="O666" s="430"/>
      <c r="P666" s="430"/>
      <c r="Q666" s="430"/>
      <c r="R666" s="430"/>
      <c r="S666" s="430"/>
      <c r="T666" s="430"/>
      <c r="U666" s="430"/>
      <c r="V666" s="430"/>
      <c r="W666" s="430"/>
      <c r="X666" s="430"/>
      <c r="Y666" s="430"/>
      <c r="Z666" s="430"/>
      <c r="AA666" s="430"/>
      <c r="AB666" s="430"/>
      <c r="AC666" s="430"/>
      <c r="AD666" s="430"/>
      <c r="AE666" s="430"/>
      <c r="AF666" s="430"/>
      <c r="AG666" s="430"/>
      <c r="AH666" s="430"/>
      <c r="AI666" s="430"/>
      <c r="AJ666" s="430"/>
      <c r="AK666" s="430"/>
      <c r="AL666" s="430"/>
      <c r="AM666" s="430"/>
      <c r="AN666" s="430"/>
      <c r="AO666" s="430"/>
      <c r="AP666" s="430"/>
      <c r="AQ666" s="430"/>
      <c r="AR666" s="430"/>
      <c r="AS666" s="430"/>
      <c r="AT666" s="430"/>
      <c r="AU666" s="430"/>
      <c r="AV666" s="430"/>
      <c r="AW666" s="430"/>
      <c r="AX666" s="430"/>
      <c r="AY666" s="430"/>
      <c r="AZ666" s="430"/>
      <c r="BA666" s="430"/>
      <c r="BB666" s="430"/>
      <c r="BC666" s="430"/>
      <c r="BD666" s="430"/>
      <c r="BE666" s="430"/>
    </row>
    <row r="667" spans="1:57" ht="15.75" customHeight="1">
      <c r="A667" s="430"/>
      <c r="B667" s="430"/>
      <c r="C667" s="430"/>
      <c r="D667" s="430"/>
      <c r="E667" s="430"/>
      <c r="F667" s="430"/>
      <c r="G667" s="430"/>
      <c r="H667" s="430"/>
      <c r="I667" s="430"/>
      <c r="J667" s="430"/>
      <c r="K667" s="430"/>
      <c r="L667" s="430"/>
      <c r="M667" s="430"/>
      <c r="N667" s="430"/>
      <c r="O667" s="430"/>
      <c r="P667" s="430"/>
      <c r="Q667" s="430"/>
      <c r="R667" s="430"/>
      <c r="S667" s="430"/>
      <c r="T667" s="430"/>
      <c r="U667" s="430"/>
      <c r="V667" s="430"/>
      <c r="W667" s="430"/>
      <c r="X667" s="430"/>
      <c r="Y667" s="430"/>
      <c r="Z667" s="430"/>
      <c r="AA667" s="430"/>
      <c r="AB667" s="430"/>
      <c r="AC667" s="430"/>
      <c r="AD667" s="430"/>
      <c r="AE667" s="430"/>
      <c r="AF667" s="430"/>
      <c r="AG667" s="430"/>
      <c r="AH667" s="430"/>
      <c r="AI667" s="430"/>
      <c r="AJ667" s="430"/>
      <c r="AK667" s="430"/>
      <c r="AL667" s="430"/>
      <c r="AM667" s="430"/>
      <c r="AN667" s="430"/>
      <c r="AO667" s="430"/>
      <c r="AP667" s="430"/>
      <c r="AQ667" s="430"/>
      <c r="AR667" s="430"/>
      <c r="AS667" s="430"/>
      <c r="AT667" s="430"/>
      <c r="AU667" s="430"/>
      <c r="AV667" s="430"/>
      <c r="AW667" s="430"/>
      <c r="AX667" s="430"/>
      <c r="AY667" s="430"/>
      <c r="AZ667" s="430"/>
      <c r="BA667" s="430"/>
      <c r="BB667" s="430"/>
      <c r="BC667" s="430"/>
      <c r="BD667" s="430"/>
      <c r="BE667" s="430"/>
    </row>
    <row r="668" spans="1:57" ht="15.75" customHeight="1">
      <c r="A668" s="430"/>
      <c r="B668" s="430"/>
      <c r="C668" s="430"/>
      <c r="D668" s="430"/>
      <c r="E668" s="430"/>
      <c r="F668" s="430"/>
      <c r="G668" s="430"/>
      <c r="H668" s="430"/>
      <c r="I668" s="430"/>
      <c r="J668" s="430"/>
      <c r="K668" s="430"/>
      <c r="L668" s="430"/>
      <c r="M668" s="430"/>
      <c r="N668" s="430"/>
      <c r="O668" s="430"/>
      <c r="P668" s="430"/>
      <c r="Q668" s="430"/>
      <c r="R668" s="430"/>
      <c r="S668" s="430"/>
      <c r="T668" s="430"/>
      <c r="U668" s="430"/>
      <c r="V668" s="430"/>
      <c r="W668" s="430"/>
      <c r="X668" s="430"/>
      <c r="Y668" s="430"/>
      <c r="Z668" s="430"/>
      <c r="AA668" s="430"/>
      <c r="AB668" s="430"/>
      <c r="AC668" s="430"/>
      <c r="AD668" s="430"/>
      <c r="AE668" s="430"/>
      <c r="AF668" s="430"/>
      <c r="AG668" s="430"/>
      <c r="AH668" s="430"/>
      <c r="AI668" s="430"/>
      <c r="AJ668" s="430"/>
      <c r="AK668" s="430"/>
      <c r="AL668" s="430"/>
      <c r="AM668" s="430"/>
      <c r="AN668" s="430"/>
      <c r="AO668" s="430"/>
      <c r="AP668" s="430"/>
      <c r="AQ668" s="430"/>
      <c r="AR668" s="430"/>
      <c r="AS668" s="430"/>
      <c r="AT668" s="430"/>
      <c r="AU668" s="430"/>
      <c r="AV668" s="430"/>
      <c r="AW668" s="430"/>
      <c r="AX668" s="430"/>
      <c r="AY668" s="430"/>
      <c r="AZ668" s="430"/>
      <c r="BA668" s="430"/>
      <c r="BB668" s="430"/>
      <c r="BC668" s="430"/>
      <c r="BD668" s="430"/>
      <c r="BE668" s="430"/>
    </row>
    <row r="669" spans="1:57" ht="15.75" customHeight="1">
      <c r="A669" s="430"/>
      <c r="B669" s="430"/>
      <c r="C669" s="430"/>
      <c r="D669" s="430"/>
      <c r="E669" s="430"/>
      <c r="F669" s="430"/>
      <c r="G669" s="430"/>
      <c r="H669" s="430"/>
      <c r="I669" s="430"/>
      <c r="J669" s="430"/>
      <c r="K669" s="430"/>
      <c r="L669" s="430"/>
      <c r="M669" s="430"/>
      <c r="N669" s="430"/>
      <c r="O669" s="430"/>
      <c r="P669" s="430"/>
      <c r="Q669" s="430"/>
      <c r="R669" s="430"/>
      <c r="S669" s="430"/>
      <c r="T669" s="430"/>
      <c r="U669" s="430"/>
      <c r="V669" s="430"/>
      <c r="W669" s="430"/>
      <c r="X669" s="430"/>
      <c r="Y669" s="430"/>
      <c r="Z669" s="430"/>
      <c r="AA669" s="430"/>
      <c r="AB669" s="430"/>
      <c r="AC669" s="430"/>
      <c r="AD669" s="430"/>
      <c r="AE669" s="430"/>
      <c r="AF669" s="430"/>
      <c r="AG669" s="430"/>
      <c r="AH669" s="430"/>
      <c r="AI669" s="430"/>
      <c r="AJ669" s="430"/>
      <c r="AK669" s="430"/>
      <c r="AL669" s="430"/>
      <c r="AM669" s="430"/>
      <c r="AN669" s="430"/>
      <c r="AO669" s="430"/>
      <c r="AP669" s="430"/>
      <c r="AQ669" s="430"/>
      <c r="AR669" s="430"/>
      <c r="AS669" s="430"/>
      <c r="AT669" s="430"/>
      <c r="AU669" s="430"/>
      <c r="AV669" s="430"/>
      <c r="AW669" s="430"/>
      <c r="AX669" s="430"/>
      <c r="AY669" s="430"/>
      <c r="AZ669" s="430"/>
      <c r="BA669" s="430"/>
      <c r="BB669" s="430"/>
      <c r="BC669" s="430"/>
      <c r="BD669" s="430"/>
      <c r="BE669" s="430"/>
    </row>
    <row r="670" spans="1:57" ht="15.75" customHeight="1">
      <c r="A670" s="430"/>
      <c r="B670" s="430"/>
      <c r="C670" s="430"/>
      <c r="D670" s="430"/>
      <c r="E670" s="430"/>
      <c r="F670" s="430"/>
      <c r="G670" s="430"/>
      <c r="H670" s="430"/>
      <c r="I670" s="430"/>
      <c r="J670" s="430"/>
      <c r="K670" s="430"/>
      <c r="L670" s="430"/>
      <c r="M670" s="430"/>
      <c r="N670" s="430"/>
      <c r="O670" s="430"/>
      <c r="P670" s="430"/>
      <c r="Q670" s="430"/>
      <c r="R670" s="430"/>
      <c r="S670" s="430"/>
      <c r="T670" s="430"/>
      <c r="U670" s="430"/>
      <c r="V670" s="430"/>
      <c r="W670" s="430"/>
      <c r="X670" s="430"/>
      <c r="Y670" s="430"/>
      <c r="Z670" s="430"/>
      <c r="AA670" s="430"/>
      <c r="AB670" s="430"/>
      <c r="AC670" s="430"/>
      <c r="AD670" s="430"/>
      <c r="AE670" s="430"/>
      <c r="AF670" s="430"/>
      <c r="AG670" s="430"/>
      <c r="AH670" s="430"/>
      <c r="AI670" s="430"/>
      <c r="AJ670" s="430"/>
      <c r="AK670" s="430"/>
      <c r="AL670" s="430"/>
      <c r="AM670" s="430"/>
      <c r="AN670" s="430"/>
      <c r="AO670" s="430"/>
      <c r="AP670" s="430"/>
      <c r="AQ670" s="430"/>
      <c r="AR670" s="430"/>
      <c r="AS670" s="430"/>
      <c r="AT670" s="430"/>
      <c r="AU670" s="430"/>
      <c r="AV670" s="430"/>
      <c r="AW670" s="430"/>
      <c r="AX670" s="430"/>
      <c r="AY670" s="430"/>
      <c r="AZ670" s="430"/>
      <c r="BA670" s="430"/>
      <c r="BB670" s="430"/>
      <c r="BC670" s="430"/>
      <c r="BD670" s="430"/>
      <c r="BE670" s="430"/>
    </row>
    <row r="671" spans="1:57" ht="15.75" customHeight="1">
      <c r="A671" s="430"/>
      <c r="B671" s="430"/>
      <c r="C671" s="430"/>
      <c r="D671" s="430"/>
      <c r="E671" s="430"/>
      <c r="F671" s="430"/>
      <c r="G671" s="430"/>
      <c r="H671" s="430"/>
      <c r="I671" s="430"/>
      <c r="J671" s="430"/>
      <c r="K671" s="430"/>
      <c r="L671" s="430"/>
      <c r="M671" s="430"/>
      <c r="N671" s="430"/>
      <c r="O671" s="430"/>
      <c r="P671" s="430"/>
      <c r="Q671" s="430"/>
      <c r="R671" s="430"/>
      <c r="S671" s="430"/>
      <c r="T671" s="430"/>
      <c r="U671" s="430"/>
      <c r="V671" s="430"/>
      <c r="W671" s="430"/>
      <c r="X671" s="430"/>
      <c r="Y671" s="430"/>
      <c r="Z671" s="430"/>
      <c r="AA671" s="430"/>
      <c r="AB671" s="430"/>
      <c r="AC671" s="430"/>
      <c r="AD671" s="430"/>
      <c r="AE671" s="430"/>
      <c r="AF671" s="430"/>
      <c r="AG671" s="430"/>
      <c r="AH671" s="430"/>
      <c r="AI671" s="430"/>
      <c r="AJ671" s="430"/>
      <c r="AK671" s="430"/>
      <c r="AL671" s="430"/>
      <c r="AM671" s="430"/>
      <c r="AN671" s="430"/>
      <c r="AO671" s="430"/>
      <c r="AP671" s="430"/>
      <c r="AQ671" s="430"/>
      <c r="AR671" s="430"/>
      <c r="AS671" s="430"/>
      <c r="AT671" s="430"/>
      <c r="AU671" s="430"/>
      <c r="AV671" s="430"/>
      <c r="AW671" s="430"/>
      <c r="AX671" s="430"/>
      <c r="AY671" s="430"/>
      <c r="AZ671" s="430"/>
      <c r="BA671" s="430"/>
      <c r="BB671" s="430"/>
      <c r="BC671" s="430"/>
      <c r="BD671" s="430"/>
      <c r="BE671" s="430"/>
    </row>
    <row r="672" spans="1:57" ht="15.75" customHeight="1">
      <c r="A672" s="430"/>
      <c r="B672" s="430"/>
      <c r="C672" s="430"/>
      <c r="D672" s="430"/>
      <c r="E672" s="430"/>
      <c r="F672" s="430"/>
      <c r="G672" s="430"/>
      <c r="H672" s="430"/>
      <c r="I672" s="430"/>
      <c r="J672" s="430"/>
      <c r="K672" s="430"/>
      <c r="L672" s="430"/>
      <c r="M672" s="430"/>
      <c r="N672" s="430"/>
      <c r="O672" s="430"/>
      <c r="P672" s="430"/>
      <c r="Q672" s="430"/>
      <c r="R672" s="430"/>
      <c r="S672" s="430"/>
      <c r="T672" s="430"/>
      <c r="U672" s="430"/>
      <c r="V672" s="430"/>
      <c r="W672" s="430"/>
      <c r="X672" s="430"/>
      <c r="Y672" s="430"/>
      <c r="Z672" s="430"/>
      <c r="AA672" s="430"/>
      <c r="AB672" s="430"/>
      <c r="AC672" s="430"/>
      <c r="AD672" s="430"/>
      <c r="AE672" s="430"/>
      <c r="AF672" s="430"/>
      <c r="AG672" s="430"/>
      <c r="AH672" s="430"/>
      <c r="AI672" s="430"/>
      <c r="AJ672" s="430"/>
      <c r="AK672" s="430"/>
      <c r="AL672" s="430"/>
      <c r="AM672" s="430"/>
      <c r="AN672" s="430"/>
      <c r="AO672" s="430"/>
      <c r="AP672" s="430"/>
      <c r="AQ672" s="430"/>
      <c r="AR672" s="430"/>
      <c r="AS672" s="430"/>
      <c r="AT672" s="430"/>
      <c r="AU672" s="430"/>
      <c r="AV672" s="430"/>
      <c r="AW672" s="430"/>
      <c r="AX672" s="430"/>
      <c r="AY672" s="430"/>
      <c r="AZ672" s="430"/>
      <c r="BA672" s="430"/>
      <c r="BB672" s="430"/>
      <c r="BC672" s="430"/>
      <c r="BD672" s="430"/>
      <c r="BE672" s="430"/>
    </row>
    <row r="673" spans="1:57" ht="15.75" customHeight="1">
      <c r="A673" s="430"/>
      <c r="B673" s="430"/>
      <c r="C673" s="430"/>
      <c r="D673" s="430"/>
      <c r="E673" s="430"/>
      <c r="F673" s="430"/>
      <c r="G673" s="430"/>
      <c r="H673" s="430"/>
      <c r="I673" s="430"/>
      <c r="J673" s="430"/>
      <c r="K673" s="430"/>
      <c r="L673" s="430"/>
      <c r="M673" s="430"/>
      <c r="N673" s="430"/>
      <c r="O673" s="430"/>
      <c r="P673" s="430"/>
      <c r="Q673" s="430"/>
      <c r="R673" s="430"/>
      <c r="S673" s="430"/>
      <c r="T673" s="430"/>
      <c r="U673" s="430"/>
      <c r="V673" s="430"/>
      <c r="W673" s="430"/>
      <c r="X673" s="430"/>
      <c r="Y673" s="430"/>
      <c r="Z673" s="430"/>
      <c r="AA673" s="430"/>
      <c r="AB673" s="430"/>
      <c r="AC673" s="430"/>
      <c r="AD673" s="430"/>
      <c r="AE673" s="430"/>
      <c r="AF673" s="430"/>
      <c r="AG673" s="430"/>
      <c r="AH673" s="430"/>
      <c r="AI673" s="430"/>
      <c r="AJ673" s="430"/>
      <c r="AK673" s="430"/>
      <c r="AL673" s="430"/>
      <c r="AM673" s="430"/>
      <c r="AN673" s="430"/>
      <c r="AO673" s="430"/>
      <c r="AP673" s="430"/>
      <c r="AQ673" s="430"/>
      <c r="AR673" s="430"/>
      <c r="AS673" s="430"/>
      <c r="AT673" s="430"/>
      <c r="AU673" s="430"/>
      <c r="AV673" s="430"/>
      <c r="AW673" s="430"/>
      <c r="AX673" s="430"/>
      <c r="AY673" s="430"/>
      <c r="AZ673" s="430"/>
      <c r="BA673" s="430"/>
      <c r="BB673" s="430"/>
      <c r="BC673" s="430"/>
      <c r="BD673" s="430"/>
      <c r="BE673" s="430"/>
    </row>
    <row r="674" spans="1:57" ht="15.75" customHeight="1">
      <c r="A674" s="430"/>
      <c r="B674" s="430"/>
      <c r="C674" s="430"/>
      <c r="D674" s="430"/>
      <c r="E674" s="430"/>
      <c r="F674" s="430"/>
      <c r="G674" s="430"/>
      <c r="H674" s="430"/>
      <c r="I674" s="430"/>
      <c r="J674" s="430"/>
      <c r="K674" s="430"/>
      <c r="L674" s="430"/>
      <c r="M674" s="430"/>
      <c r="N674" s="430"/>
      <c r="O674" s="430"/>
      <c r="P674" s="430"/>
      <c r="Q674" s="430"/>
      <c r="R674" s="430"/>
      <c r="S674" s="430"/>
      <c r="T674" s="430"/>
      <c r="U674" s="430"/>
      <c r="V674" s="430"/>
      <c r="W674" s="430"/>
      <c r="X674" s="430"/>
      <c r="Y674" s="430"/>
      <c r="Z674" s="430"/>
      <c r="AA674" s="430"/>
      <c r="AB674" s="430"/>
      <c r="AC674" s="430"/>
      <c r="AD674" s="430"/>
      <c r="AE674" s="430"/>
      <c r="AF674" s="430"/>
      <c r="AG674" s="430"/>
      <c r="AH674" s="430"/>
      <c r="AI674" s="430"/>
      <c r="AJ674" s="430"/>
      <c r="AK674" s="430"/>
      <c r="AL674" s="430"/>
      <c r="AM674" s="430"/>
      <c r="AN674" s="430"/>
      <c r="AO674" s="430"/>
      <c r="AP674" s="430"/>
      <c r="AQ674" s="430"/>
      <c r="AR674" s="430"/>
      <c r="AS674" s="430"/>
      <c r="AT674" s="430"/>
      <c r="AU674" s="430"/>
      <c r="AV674" s="430"/>
      <c r="AW674" s="430"/>
      <c r="AX674" s="430"/>
      <c r="AY674" s="430"/>
      <c r="AZ674" s="430"/>
      <c r="BA674" s="430"/>
      <c r="BB674" s="430"/>
      <c r="BC674" s="430"/>
      <c r="BD674" s="430"/>
      <c r="BE674" s="430"/>
    </row>
    <row r="675" spans="1:57" ht="15.75" customHeight="1">
      <c r="A675" s="430"/>
      <c r="B675" s="430"/>
      <c r="C675" s="430"/>
      <c r="D675" s="430"/>
      <c r="E675" s="430"/>
      <c r="F675" s="430"/>
      <c r="G675" s="430"/>
      <c r="H675" s="430"/>
      <c r="I675" s="430"/>
      <c r="J675" s="430"/>
      <c r="K675" s="430"/>
      <c r="L675" s="430"/>
      <c r="M675" s="430"/>
      <c r="N675" s="430"/>
      <c r="O675" s="430"/>
      <c r="P675" s="430"/>
      <c r="Q675" s="430"/>
      <c r="R675" s="430"/>
      <c r="S675" s="430"/>
      <c r="T675" s="430"/>
      <c r="U675" s="430"/>
      <c r="V675" s="430"/>
      <c r="W675" s="430"/>
      <c r="X675" s="430"/>
      <c r="Y675" s="430"/>
      <c r="Z675" s="430"/>
      <c r="AA675" s="430"/>
      <c r="AB675" s="430"/>
      <c r="AC675" s="430"/>
      <c r="AD675" s="430"/>
      <c r="AE675" s="430"/>
      <c r="AF675" s="430"/>
      <c r="AG675" s="430"/>
      <c r="AH675" s="430"/>
      <c r="AI675" s="430"/>
      <c r="AJ675" s="430"/>
      <c r="AK675" s="430"/>
      <c r="AL675" s="430"/>
      <c r="AM675" s="430"/>
      <c r="AN675" s="430"/>
      <c r="AO675" s="430"/>
      <c r="AP675" s="430"/>
      <c r="AQ675" s="430"/>
      <c r="AR675" s="430"/>
      <c r="AS675" s="430"/>
      <c r="AT675" s="430"/>
      <c r="AU675" s="430"/>
      <c r="AV675" s="430"/>
      <c r="AW675" s="430"/>
      <c r="AX675" s="430"/>
      <c r="AY675" s="430"/>
      <c r="AZ675" s="430"/>
      <c r="BA675" s="430"/>
      <c r="BB675" s="430"/>
      <c r="BC675" s="430"/>
      <c r="BD675" s="430"/>
      <c r="BE675" s="430"/>
    </row>
    <row r="676" spans="1:57" ht="15.75" customHeight="1">
      <c r="A676" s="430"/>
      <c r="B676" s="430"/>
      <c r="C676" s="430"/>
      <c r="D676" s="430"/>
      <c r="E676" s="430"/>
      <c r="F676" s="430"/>
      <c r="G676" s="430"/>
      <c r="H676" s="430"/>
      <c r="I676" s="430"/>
      <c r="J676" s="430"/>
      <c r="K676" s="430"/>
      <c r="L676" s="430"/>
      <c r="M676" s="430"/>
      <c r="N676" s="430"/>
      <c r="O676" s="430"/>
      <c r="P676" s="430"/>
      <c r="Q676" s="430"/>
      <c r="R676" s="430"/>
      <c r="S676" s="430"/>
      <c r="T676" s="430"/>
      <c r="U676" s="430"/>
      <c r="V676" s="430"/>
      <c r="W676" s="430"/>
      <c r="X676" s="430"/>
      <c r="Y676" s="430"/>
      <c r="Z676" s="430"/>
      <c r="AA676" s="430"/>
      <c r="AB676" s="430"/>
      <c r="AC676" s="430"/>
      <c r="AD676" s="430"/>
      <c r="AE676" s="430"/>
      <c r="AF676" s="430"/>
      <c r="AG676" s="430"/>
      <c r="AH676" s="430"/>
      <c r="AI676" s="430"/>
      <c r="AJ676" s="430"/>
      <c r="AK676" s="430"/>
      <c r="AL676" s="430"/>
      <c r="AM676" s="430"/>
      <c r="AN676" s="430"/>
      <c r="AO676" s="430"/>
      <c r="AP676" s="430"/>
      <c r="AQ676" s="430"/>
      <c r="AR676" s="430"/>
      <c r="AS676" s="430"/>
      <c r="AT676" s="430"/>
      <c r="AU676" s="430"/>
      <c r="AV676" s="430"/>
      <c r="AW676" s="430"/>
      <c r="AX676" s="430"/>
      <c r="AY676" s="430"/>
      <c r="AZ676" s="430"/>
      <c r="BA676" s="430"/>
      <c r="BB676" s="430"/>
      <c r="BC676" s="430"/>
      <c r="BD676" s="430"/>
      <c r="BE676" s="430"/>
    </row>
    <row r="677" spans="1:57" ht="15.75" customHeight="1">
      <c r="A677" s="430"/>
      <c r="B677" s="430"/>
      <c r="C677" s="430"/>
      <c r="D677" s="430"/>
      <c r="E677" s="430"/>
      <c r="F677" s="430"/>
      <c r="G677" s="430"/>
      <c r="H677" s="430"/>
      <c r="I677" s="430"/>
      <c r="J677" s="430"/>
      <c r="K677" s="430"/>
      <c r="L677" s="430"/>
      <c r="M677" s="430"/>
      <c r="N677" s="430"/>
      <c r="O677" s="430"/>
      <c r="P677" s="430"/>
      <c r="Q677" s="430"/>
      <c r="R677" s="430"/>
      <c r="S677" s="430"/>
      <c r="T677" s="430"/>
      <c r="U677" s="430"/>
      <c r="V677" s="430"/>
      <c r="W677" s="430"/>
      <c r="X677" s="430"/>
      <c r="Y677" s="430"/>
      <c r="Z677" s="430"/>
      <c r="AA677" s="430"/>
      <c r="AB677" s="430"/>
      <c r="AC677" s="430"/>
      <c r="AD677" s="430"/>
      <c r="AE677" s="430"/>
      <c r="AF677" s="430"/>
      <c r="AG677" s="430"/>
      <c r="AH677" s="430"/>
      <c r="AI677" s="430"/>
      <c r="AJ677" s="430"/>
      <c r="AK677" s="430"/>
      <c r="AL677" s="430"/>
      <c r="AM677" s="430"/>
      <c r="AN677" s="430"/>
      <c r="AO677" s="430"/>
      <c r="AP677" s="430"/>
      <c r="AQ677" s="430"/>
      <c r="AR677" s="430"/>
      <c r="AS677" s="430"/>
      <c r="AT677" s="430"/>
      <c r="AU677" s="430"/>
      <c r="AV677" s="430"/>
      <c r="AW677" s="430"/>
      <c r="AX677" s="430"/>
      <c r="AY677" s="430"/>
      <c r="AZ677" s="430"/>
      <c r="BA677" s="430"/>
      <c r="BB677" s="430"/>
      <c r="BC677" s="430"/>
      <c r="BD677" s="430"/>
      <c r="BE677" s="430"/>
    </row>
    <row r="678" spans="1:57" ht="15.75" customHeight="1">
      <c r="A678" s="430"/>
      <c r="B678" s="430"/>
      <c r="C678" s="430"/>
      <c r="D678" s="430"/>
      <c r="E678" s="430"/>
      <c r="F678" s="430"/>
      <c r="G678" s="430"/>
      <c r="H678" s="430"/>
      <c r="I678" s="430"/>
      <c r="J678" s="430"/>
      <c r="K678" s="430"/>
      <c r="L678" s="430"/>
      <c r="M678" s="430"/>
      <c r="N678" s="430"/>
      <c r="O678" s="430"/>
      <c r="P678" s="430"/>
      <c r="Q678" s="430"/>
      <c r="R678" s="430"/>
      <c r="S678" s="430"/>
      <c r="T678" s="430"/>
      <c r="U678" s="430"/>
      <c r="V678" s="430"/>
      <c r="W678" s="430"/>
      <c r="X678" s="430"/>
      <c r="Y678" s="430"/>
      <c r="Z678" s="430"/>
      <c r="AA678" s="430"/>
      <c r="AB678" s="430"/>
      <c r="AC678" s="430"/>
      <c r="AD678" s="430"/>
      <c r="AE678" s="430"/>
      <c r="AF678" s="430"/>
      <c r="AG678" s="430"/>
      <c r="AH678" s="430"/>
      <c r="AI678" s="430"/>
      <c r="AJ678" s="430"/>
      <c r="AK678" s="430"/>
      <c r="AL678" s="430"/>
      <c r="AM678" s="430"/>
      <c r="AN678" s="430"/>
      <c r="AO678" s="430"/>
      <c r="AP678" s="430"/>
      <c r="AQ678" s="430"/>
      <c r="AR678" s="430"/>
      <c r="AS678" s="430"/>
      <c r="AT678" s="430"/>
      <c r="AU678" s="430"/>
      <c r="AV678" s="430"/>
      <c r="AW678" s="430"/>
      <c r="AX678" s="430"/>
      <c r="AY678" s="430"/>
      <c r="AZ678" s="430"/>
      <c r="BA678" s="430"/>
      <c r="BB678" s="430"/>
      <c r="BC678" s="430"/>
      <c r="BD678" s="430"/>
      <c r="BE678" s="430"/>
    </row>
    <row r="679" spans="1:57" ht="15.75" customHeight="1">
      <c r="A679" s="430"/>
      <c r="B679" s="430"/>
      <c r="C679" s="430"/>
      <c r="D679" s="430"/>
      <c r="E679" s="430"/>
      <c r="F679" s="430"/>
      <c r="G679" s="430"/>
      <c r="H679" s="430"/>
      <c r="I679" s="430"/>
      <c r="J679" s="430"/>
      <c r="K679" s="430"/>
      <c r="L679" s="430"/>
      <c r="M679" s="430"/>
      <c r="N679" s="430"/>
      <c r="O679" s="430"/>
      <c r="P679" s="430"/>
      <c r="Q679" s="430"/>
      <c r="R679" s="430"/>
      <c r="S679" s="430"/>
      <c r="T679" s="430"/>
      <c r="U679" s="430"/>
      <c r="V679" s="430"/>
      <c r="W679" s="430"/>
      <c r="X679" s="430"/>
      <c r="Y679" s="430"/>
      <c r="Z679" s="430"/>
      <c r="AA679" s="430"/>
      <c r="AB679" s="430"/>
      <c r="AC679" s="430"/>
      <c r="AD679" s="430"/>
      <c r="AE679" s="430"/>
      <c r="AF679" s="430"/>
      <c r="AG679" s="430"/>
      <c r="AH679" s="430"/>
      <c r="AI679" s="430"/>
      <c r="AJ679" s="430"/>
      <c r="AK679" s="430"/>
      <c r="AL679" s="430"/>
      <c r="AM679" s="430"/>
      <c r="AN679" s="430"/>
      <c r="AO679" s="430"/>
      <c r="AP679" s="430"/>
      <c r="AQ679" s="430"/>
      <c r="AR679" s="430"/>
      <c r="AS679" s="430"/>
      <c r="AT679" s="430"/>
      <c r="AU679" s="430"/>
      <c r="AV679" s="430"/>
      <c r="AW679" s="430"/>
      <c r="AX679" s="430"/>
      <c r="AY679" s="430"/>
      <c r="AZ679" s="430"/>
      <c r="BA679" s="430"/>
      <c r="BB679" s="430"/>
      <c r="BC679" s="430"/>
      <c r="BD679" s="430"/>
      <c r="BE679" s="430"/>
    </row>
    <row r="680" spans="1:57" ht="15.75" customHeight="1">
      <c r="A680" s="430"/>
      <c r="B680" s="430"/>
      <c r="C680" s="430"/>
      <c r="D680" s="430"/>
      <c r="E680" s="430"/>
      <c r="F680" s="430"/>
      <c r="G680" s="430"/>
      <c r="H680" s="430"/>
      <c r="I680" s="430"/>
      <c r="J680" s="430"/>
      <c r="K680" s="430"/>
      <c r="L680" s="430"/>
      <c r="M680" s="430"/>
      <c r="N680" s="430"/>
      <c r="O680" s="430"/>
      <c r="P680" s="430"/>
      <c r="Q680" s="430"/>
      <c r="R680" s="430"/>
      <c r="S680" s="430"/>
      <c r="T680" s="430"/>
      <c r="U680" s="430"/>
      <c r="V680" s="430"/>
      <c r="W680" s="430"/>
      <c r="X680" s="430"/>
      <c r="Y680" s="430"/>
      <c r="Z680" s="430"/>
      <c r="AA680" s="430"/>
      <c r="AB680" s="430"/>
      <c r="AC680" s="430"/>
      <c r="AD680" s="430"/>
      <c r="AE680" s="430"/>
      <c r="AF680" s="430"/>
      <c r="AG680" s="430"/>
      <c r="AH680" s="430"/>
      <c r="AI680" s="430"/>
      <c r="AJ680" s="430"/>
      <c r="AK680" s="430"/>
      <c r="AL680" s="430"/>
      <c r="AM680" s="430"/>
      <c r="AN680" s="430"/>
      <c r="AO680" s="430"/>
      <c r="AP680" s="430"/>
      <c r="AQ680" s="430"/>
      <c r="AR680" s="430"/>
      <c r="AS680" s="430"/>
      <c r="AT680" s="430"/>
      <c r="AU680" s="430"/>
      <c r="AV680" s="430"/>
      <c r="AW680" s="430"/>
      <c r="AX680" s="430"/>
      <c r="AY680" s="430"/>
      <c r="AZ680" s="430"/>
      <c r="BA680" s="430"/>
      <c r="BB680" s="430"/>
      <c r="BC680" s="430"/>
      <c r="BD680" s="430"/>
      <c r="BE680" s="430"/>
    </row>
    <row r="681" spans="1:57" ht="15.75" customHeight="1">
      <c r="A681" s="430"/>
      <c r="B681" s="430"/>
      <c r="C681" s="430"/>
      <c r="D681" s="430"/>
      <c r="E681" s="430"/>
      <c r="F681" s="430"/>
      <c r="G681" s="430"/>
      <c r="H681" s="430"/>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430"/>
      <c r="AE681" s="430"/>
      <c r="AF681" s="430"/>
      <c r="AG681" s="430"/>
      <c r="AH681" s="430"/>
      <c r="AI681" s="430"/>
      <c r="AJ681" s="430"/>
      <c r="AK681" s="430"/>
      <c r="AL681" s="430"/>
      <c r="AM681" s="430"/>
      <c r="AN681" s="430"/>
      <c r="AO681" s="430"/>
      <c r="AP681" s="430"/>
      <c r="AQ681" s="430"/>
      <c r="AR681" s="430"/>
      <c r="AS681" s="430"/>
      <c r="AT681" s="430"/>
      <c r="AU681" s="430"/>
      <c r="AV681" s="430"/>
      <c r="AW681" s="430"/>
      <c r="AX681" s="430"/>
      <c r="AY681" s="430"/>
      <c r="AZ681" s="430"/>
      <c r="BA681" s="430"/>
      <c r="BB681" s="430"/>
      <c r="BC681" s="430"/>
      <c r="BD681" s="430"/>
      <c r="BE681" s="430"/>
    </row>
    <row r="682" spans="1:57" ht="15.75" customHeight="1">
      <c r="A682" s="430"/>
      <c r="B682" s="430"/>
      <c r="C682" s="430"/>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430"/>
      <c r="AD682" s="430"/>
      <c r="AE682" s="430"/>
      <c r="AF682" s="430"/>
      <c r="AG682" s="430"/>
      <c r="AH682" s="430"/>
      <c r="AI682" s="430"/>
      <c r="AJ682" s="430"/>
      <c r="AK682" s="430"/>
      <c r="AL682" s="430"/>
      <c r="AM682" s="430"/>
      <c r="AN682" s="430"/>
      <c r="AO682" s="430"/>
      <c r="AP682" s="430"/>
      <c r="AQ682" s="430"/>
      <c r="AR682" s="430"/>
      <c r="AS682" s="430"/>
      <c r="AT682" s="430"/>
      <c r="AU682" s="430"/>
      <c r="AV682" s="430"/>
      <c r="AW682" s="430"/>
      <c r="AX682" s="430"/>
      <c r="AY682" s="430"/>
      <c r="AZ682" s="430"/>
      <c r="BA682" s="430"/>
      <c r="BB682" s="430"/>
      <c r="BC682" s="430"/>
      <c r="BD682" s="430"/>
      <c r="BE682" s="430"/>
    </row>
    <row r="683" spans="1:57" ht="15.75" customHeight="1">
      <c r="A683" s="430"/>
      <c r="B683" s="430"/>
      <c r="C683" s="430"/>
      <c r="D683" s="430"/>
      <c r="E683" s="430"/>
      <c r="F683" s="430"/>
      <c r="G683" s="430"/>
      <c r="H683" s="430"/>
      <c r="I683" s="430"/>
      <c r="J683" s="430"/>
      <c r="K683" s="430"/>
      <c r="L683" s="430"/>
      <c r="M683" s="430"/>
      <c r="N683" s="430"/>
      <c r="O683" s="430"/>
      <c r="P683" s="430"/>
      <c r="Q683" s="430"/>
      <c r="R683" s="430"/>
      <c r="S683" s="430"/>
      <c r="T683" s="430"/>
      <c r="U683" s="430"/>
      <c r="V683" s="430"/>
      <c r="W683" s="430"/>
      <c r="X683" s="430"/>
      <c r="Y683" s="430"/>
      <c r="Z683" s="430"/>
      <c r="AA683" s="430"/>
      <c r="AB683" s="430"/>
      <c r="AC683" s="430"/>
      <c r="AD683" s="430"/>
      <c r="AE683" s="430"/>
      <c r="AF683" s="430"/>
      <c r="AG683" s="430"/>
      <c r="AH683" s="430"/>
      <c r="AI683" s="430"/>
      <c r="AJ683" s="430"/>
      <c r="AK683" s="430"/>
      <c r="AL683" s="430"/>
      <c r="AM683" s="430"/>
      <c r="AN683" s="430"/>
      <c r="AO683" s="430"/>
      <c r="AP683" s="430"/>
      <c r="AQ683" s="430"/>
      <c r="AR683" s="430"/>
      <c r="AS683" s="430"/>
      <c r="AT683" s="430"/>
      <c r="AU683" s="430"/>
      <c r="AV683" s="430"/>
      <c r="AW683" s="430"/>
      <c r="AX683" s="430"/>
      <c r="AY683" s="430"/>
      <c r="AZ683" s="430"/>
      <c r="BA683" s="430"/>
      <c r="BB683" s="430"/>
      <c r="BC683" s="430"/>
      <c r="BD683" s="430"/>
      <c r="BE683" s="430"/>
    </row>
    <row r="684" spans="1:57" ht="15.75" customHeight="1">
      <c r="A684" s="430"/>
      <c r="B684" s="430"/>
      <c r="C684" s="430"/>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0"/>
      <c r="AD684" s="430"/>
      <c r="AE684" s="430"/>
      <c r="AF684" s="430"/>
      <c r="AG684" s="430"/>
      <c r="AH684" s="430"/>
      <c r="AI684" s="430"/>
      <c r="AJ684" s="430"/>
      <c r="AK684" s="430"/>
      <c r="AL684" s="430"/>
      <c r="AM684" s="430"/>
      <c r="AN684" s="430"/>
      <c r="AO684" s="430"/>
      <c r="AP684" s="430"/>
      <c r="AQ684" s="430"/>
      <c r="AR684" s="430"/>
      <c r="AS684" s="430"/>
      <c r="AT684" s="430"/>
      <c r="AU684" s="430"/>
      <c r="AV684" s="430"/>
      <c r="AW684" s="430"/>
      <c r="AX684" s="430"/>
      <c r="AY684" s="430"/>
      <c r="AZ684" s="430"/>
      <c r="BA684" s="430"/>
      <c r="BB684" s="430"/>
      <c r="BC684" s="430"/>
      <c r="BD684" s="430"/>
      <c r="BE684" s="430"/>
    </row>
    <row r="685" spans="1:57" ht="15.75" customHeight="1">
      <c r="A685" s="430"/>
      <c r="B685" s="430"/>
      <c r="C685" s="430"/>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0"/>
      <c r="AD685" s="430"/>
      <c r="AE685" s="430"/>
      <c r="AF685" s="430"/>
      <c r="AG685" s="430"/>
      <c r="AH685" s="430"/>
      <c r="AI685" s="430"/>
      <c r="AJ685" s="430"/>
      <c r="AK685" s="430"/>
      <c r="AL685" s="430"/>
      <c r="AM685" s="430"/>
      <c r="AN685" s="430"/>
      <c r="AO685" s="430"/>
      <c r="AP685" s="430"/>
      <c r="AQ685" s="430"/>
      <c r="AR685" s="430"/>
      <c r="AS685" s="430"/>
      <c r="AT685" s="430"/>
      <c r="AU685" s="430"/>
      <c r="AV685" s="430"/>
      <c r="AW685" s="430"/>
      <c r="AX685" s="430"/>
      <c r="AY685" s="430"/>
      <c r="AZ685" s="430"/>
      <c r="BA685" s="430"/>
      <c r="BB685" s="430"/>
      <c r="BC685" s="430"/>
      <c r="BD685" s="430"/>
      <c r="BE685" s="430"/>
    </row>
    <row r="686" spans="1:57" ht="15.75" customHeight="1">
      <c r="A686" s="430"/>
      <c r="B686" s="430"/>
      <c r="C686" s="430"/>
      <c r="D686" s="430"/>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0"/>
      <c r="AD686" s="430"/>
      <c r="AE686" s="430"/>
      <c r="AF686" s="430"/>
      <c r="AG686" s="430"/>
      <c r="AH686" s="430"/>
      <c r="AI686" s="430"/>
      <c r="AJ686" s="430"/>
      <c r="AK686" s="430"/>
      <c r="AL686" s="430"/>
      <c r="AM686" s="430"/>
      <c r="AN686" s="430"/>
      <c r="AO686" s="430"/>
      <c r="AP686" s="430"/>
      <c r="AQ686" s="430"/>
      <c r="AR686" s="430"/>
      <c r="AS686" s="430"/>
      <c r="AT686" s="430"/>
      <c r="AU686" s="430"/>
      <c r="AV686" s="430"/>
      <c r="AW686" s="430"/>
      <c r="AX686" s="430"/>
      <c r="AY686" s="430"/>
      <c r="AZ686" s="430"/>
      <c r="BA686" s="430"/>
      <c r="BB686" s="430"/>
      <c r="BC686" s="430"/>
      <c r="BD686" s="430"/>
      <c r="BE686" s="430"/>
    </row>
    <row r="687" spans="1:57" ht="15.75" customHeight="1">
      <c r="A687" s="430"/>
      <c r="B687" s="430"/>
      <c r="C687" s="430"/>
      <c r="D687" s="430"/>
      <c r="E687" s="430"/>
      <c r="F687" s="430"/>
      <c r="G687" s="430"/>
      <c r="H687" s="430"/>
      <c r="I687" s="430"/>
      <c r="J687" s="430"/>
      <c r="K687" s="430"/>
      <c r="L687" s="430"/>
      <c r="M687" s="430"/>
      <c r="N687" s="430"/>
      <c r="O687" s="430"/>
      <c r="P687" s="430"/>
      <c r="Q687" s="430"/>
      <c r="R687" s="430"/>
      <c r="S687" s="430"/>
      <c r="T687" s="430"/>
      <c r="U687" s="430"/>
      <c r="V687" s="430"/>
      <c r="W687" s="430"/>
      <c r="X687" s="430"/>
      <c r="Y687" s="430"/>
      <c r="Z687" s="430"/>
      <c r="AA687" s="430"/>
      <c r="AB687" s="430"/>
      <c r="AC687" s="430"/>
      <c r="AD687" s="430"/>
      <c r="AE687" s="430"/>
      <c r="AF687" s="430"/>
      <c r="AG687" s="430"/>
      <c r="AH687" s="430"/>
      <c r="AI687" s="430"/>
      <c r="AJ687" s="430"/>
      <c r="AK687" s="430"/>
      <c r="AL687" s="430"/>
      <c r="AM687" s="430"/>
      <c r="AN687" s="430"/>
      <c r="AO687" s="430"/>
      <c r="AP687" s="430"/>
      <c r="AQ687" s="430"/>
      <c r="AR687" s="430"/>
      <c r="AS687" s="430"/>
      <c r="AT687" s="430"/>
      <c r="AU687" s="430"/>
      <c r="AV687" s="430"/>
      <c r="AW687" s="430"/>
      <c r="AX687" s="430"/>
      <c r="AY687" s="430"/>
      <c r="AZ687" s="430"/>
      <c r="BA687" s="430"/>
      <c r="BB687" s="430"/>
      <c r="BC687" s="430"/>
      <c r="BD687" s="430"/>
      <c r="BE687" s="430"/>
    </row>
    <row r="688" spans="1:57" ht="15.75" customHeight="1">
      <c r="A688" s="430"/>
      <c r="B688" s="430"/>
      <c r="C688" s="430"/>
      <c r="D688" s="430"/>
      <c r="E688" s="430"/>
      <c r="F688" s="430"/>
      <c r="G688" s="430"/>
      <c r="H688" s="430"/>
      <c r="I688" s="430"/>
      <c r="J688" s="430"/>
      <c r="K688" s="430"/>
      <c r="L688" s="430"/>
      <c r="M688" s="430"/>
      <c r="N688" s="430"/>
      <c r="O688" s="430"/>
      <c r="P688" s="430"/>
      <c r="Q688" s="430"/>
      <c r="R688" s="430"/>
      <c r="S688" s="430"/>
      <c r="T688" s="430"/>
      <c r="U688" s="430"/>
      <c r="V688" s="430"/>
      <c r="W688" s="430"/>
      <c r="X688" s="430"/>
      <c r="Y688" s="430"/>
      <c r="Z688" s="430"/>
      <c r="AA688" s="430"/>
      <c r="AB688" s="430"/>
      <c r="AC688" s="430"/>
      <c r="AD688" s="430"/>
      <c r="AE688" s="430"/>
      <c r="AF688" s="430"/>
      <c r="AG688" s="430"/>
      <c r="AH688" s="430"/>
      <c r="AI688" s="430"/>
      <c r="AJ688" s="430"/>
      <c r="AK688" s="430"/>
      <c r="AL688" s="430"/>
      <c r="AM688" s="430"/>
      <c r="AN688" s="430"/>
      <c r="AO688" s="430"/>
      <c r="AP688" s="430"/>
      <c r="AQ688" s="430"/>
      <c r="AR688" s="430"/>
      <c r="AS688" s="430"/>
      <c r="AT688" s="430"/>
      <c r="AU688" s="430"/>
      <c r="AV688" s="430"/>
      <c r="AW688" s="430"/>
      <c r="AX688" s="430"/>
      <c r="AY688" s="430"/>
      <c r="AZ688" s="430"/>
      <c r="BA688" s="430"/>
      <c r="BB688" s="430"/>
      <c r="BC688" s="430"/>
      <c r="BD688" s="430"/>
      <c r="BE688" s="430"/>
    </row>
    <row r="689" spans="1:57" ht="15.75" customHeight="1">
      <c r="A689" s="430"/>
      <c r="B689" s="430"/>
      <c r="C689" s="430"/>
      <c r="D689" s="430"/>
      <c r="E689" s="430"/>
      <c r="F689" s="430"/>
      <c r="G689" s="430"/>
      <c r="H689" s="430"/>
      <c r="I689" s="430"/>
      <c r="J689" s="430"/>
      <c r="K689" s="430"/>
      <c r="L689" s="430"/>
      <c r="M689" s="430"/>
      <c r="N689" s="430"/>
      <c r="O689" s="430"/>
      <c r="P689" s="430"/>
      <c r="Q689" s="430"/>
      <c r="R689" s="430"/>
      <c r="S689" s="430"/>
      <c r="T689" s="430"/>
      <c r="U689" s="430"/>
      <c r="V689" s="430"/>
      <c r="W689" s="430"/>
      <c r="X689" s="430"/>
      <c r="Y689" s="430"/>
      <c r="Z689" s="430"/>
      <c r="AA689" s="430"/>
      <c r="AB689" s="430"/>
      <c r="AC689" s="430"/>
      <c r="AD689" s="430"/>
      <c r="AE689" s="430"/>
      <c r="AF689" s="430"/>
      <c r="AG689" s="430"/>
      <c r="AH689" s="430"/>
      <c r="AI689" s="430"/>
      <c r="AJ689" s="430"/>
      <c r="AK689" s="430"/>
      <c r="AL689" s="430"/>
      <c r="AM689" s="430"/>
      <c r="AN689" s="430"/>
      <c r="AO689" s="430"/>
      <c r="AP689" s="430"/>
      <c r="AQ689" s="430"/>
      <c r="AR689" s="430"/>
      <c r="AS689" s="430"/>
      <c r="AT689" s="430"/>
      <c r="AU689" s="430"/>
      <c r="AV689" s="430"/>
      <c r="AW689" s="430"/>
      <c r="AX689" s="430"/>
      <c r="AY689" s="430"/>
      <c r="AZ689" s="430"/>
      <c r="BA689" s="430"/>
      <c r="BB689" s="430"/>
      <c r="BC689" s="430"/>
      <c r="BD689" s="430"/>
      <c r="BE689" s="430"/>
    </row>
    <row r="690" spans="1:57" ht="15.75" customHeight="1">
      <c r="A690" s="430"/>
      <c r="B690" s="430"/>
      <c r="C690" s="430"/>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430"/>
      <c r="AE690" s="430"/>
      <c r="AF690" s="430"/>
      <c r="AG690" s="430"/>
      <c r="AH690" s="430"/>
      <c r="AI690" s="430"/>
      <c r="AJ690" s="430"/>
      <c r="AK690" s="430"/>
      <c r="AL690" s="430"/>
      <c r="AM690" s="430"/>
      <c r="AN690" s="430"/>
      <c r="AO690" s="430"/>
      <c r="AP690" s="430"/>
      <c r="AQ690" s="430"/>
      <c r="AR690" s="430"/>
      <c r="AS690" s="430"/>
      <c r="AT690" s="430"/>
      <c r="AU690" s="430"/>
      <c r="AV690" s="430"/>
      <c r="AW690" s="430"/>
      <c r="AX690" s="430"/>
      <c r="AY690" s="430"/>
      <c r="AZ690" s="430"/>
      <c r="BA690" s="430"/>
      <c r="BB690" s="430"/>
      <c r="BC690" s="430"/>
      <c r="BD690" s="430"/>
      <c r="BE690" s="430"/>
    </row>
    <row r="691" spans="1:57" ht="15.75" customHeight="1">
      <c r="A691" s="430"/>
      <c r="B691" s="430"/>
      <c r="C691" s="430"/>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430"/>
      <c r="AE691" s="430"/>
      <c r="AF691" s="430"/>
      <c r="AG691" s="430"/>
      <c r="AH691" s="430"/>
      <c r="AI691" s="430"/>
      <c r="AJ691" s="430"/>
      <c r="AK691" s="430"/>
      <c r="AL691" s="430"/>
      <c r="AM691" s="430"/>
      <c r="AN691" s="430"/>
      <c r="AO691" s="430"/>
      <c r="AP691" s="430"/>
      <c r="AQ691" s="430"/>
      <c r="AR691" s="430"/>
      <c r="AS691" s="430"/>
      <c r="AT691" s="430"/>
      <c r="AU691" s="430"/>
      <c r="AV691" s="430"/>
      <c r="AW691" s="430"/>
      <c r="AX691" s="430"/>
      <c r="AY691" s="430"/>
      <c r="AZ691" s="430"/>
      <c r="BA691" s="430"/>
      <c r="BB691" s="430"/>
      <c r="BC691" s="430"/>
      <c r="BD691" s="430"/>
      <c r="BE691" s="430"/>
    </row>
    <row r="692" spans="1:57" ht="15.75" customHeight="1">
      <c r="A692" s="430"/>
      <c r="B692" s="430"/>
      <c r="C692" s="430"/>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430"/>
      <c r="AD692" s="430"/>
      <c r="AE692" s="430"/>
      <c r="AF692" s="430"/>
      <c r="AG692" s="430"/>
      <c r="AH692" s="430"/>
      <c r="AI692" s="430"/>
      <c r="AJ692" s="430"/>
      <c r="AK692" s="430"/>
      <c r="AL692" s="430"/>
      <c r="AM692" s="430"/>
      <c r="AN692" s="430"/>
      <c r="AO692" s="430"/>
      <c r="AP692" s="430"/>
      <c r="AQ692" s="430"/>
      <c r="AR692" s="430"/>
      <c r="AS692" s="430"/>
      <c r="AT692" s="430"/>
      <c r="AU692" s="430"/>
      <c r="AV692" s="430"/>
      <c r="AW692" s="430"/>
      <c r="AX692" s="430"/>
      <c r="AY692" s="430"/>
      <c r="AZ692" s="430"/>
      <c r="BA692" s="430"/>
      <c r="BB692" s="430"/>
      <c r="BC692" s="430"/>
      <c r="BD692" s="430"/>
      <c r="BE692" s="430"/>
    </row>
    <row r="693" spans="1:57" ht="15.75" customHeight="1">
      <c r="A693" s="430"/>
      <c r="B693" s="430"/>
      <c r="C693" s="430"/>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430"/>
      <c r="AD693" s="430"/>
      <c r="AE693" s="430"/>
      <c r="AF693" s="430"/>
      <c r="AG693" s="430"/>
      <c r="AH693" s="430"/>
      <c r="AI693" s="430"/>
      <c r="AJ693" s="430"/>
      <c r="AK693" s="430"/>
      <c r="AL693" s="430"/>
      <c r="AM693" s="430"/>
      <c r="AN693" s="430"/>
      <c r="AO693" s="430"/>
      <c r="AP693" s="430"/>
      <c r="AQ693" s="430"/>
      <c r="AR693" s="430"/>
      <c r="AS693" s="430"/>
      <c r="AT693" s="430"/>
      <c r="AU693" s="430"/>
      <c r="AV693" s="430"/>
      <c r="AW693" s="430"/>
      <c r="AX693" s="430"/>
      <c r="AY693" s="430"/>
      <c r="AZ693" s="430"/>
      <c r="BA693" s="430"/>
      <c r="BB693" s="430"/>
      <c r="BC693" s="430"/>
      <c r="BD693" s="430"/>
      <c r="BE693" s="430"/>
    </row>
    <row r="694" spans="1:57" ht="15.75" customHeight="1">
      <c r="A694" s="430"/>
      <c r="B694" s="430"/>
      <c r="C694" s="430"/>
      <c r="D694" s="430"/>
      <c r="E694" s="430"/>
      <c r="F694" s="430"/>
      <c r="G694" s="430"/>
      <c r="H694" s="430"/>
      <c r="I694" s="430"/>
      <c r="J694" s="430"/>
      <c r="K694" s="430"/>
      <c r="L694" s="430"/>
      <c r="M694" s="430"/>
      <c r="N694" s="430"/>
      <c r="O694" s="430"/>
      <c r="P694" s="430"/>
      <c r="Q694" s="430"/>
      <c r="R694" s="430"/>
      <c r="S694" s="430"/>
      <c r="T694" s="430"/>
      <c r="U694" s="430"/>
      <c r="V694" s="430"/>
      <c r="W694" s="430"/>
      <c r="X694" s="430"/>
      <c r="Y694" s="430"/>
      <c r="Z694" s="430"/>
      <c r="AA694" s="430"/>
      <c r="AB694" s="430"/>
      <c r="AC694" s="430"/>
      <c r="AD694" s="430"/>
      <c r="AE694" s="430"/>
      <c r="AF694" s="430"/>
      <c r="AG694" s="430"/>
      <c r="AH694" s="430"/>
      <c r="AI694" s="430"/>
      <c r="AJ694" s="430"/>
      <c r="AK694" s="430"/>
      <c r="AL694" s="430"/>
      <c r="AM694" s="430"/>
      <c r="AN694" s="430"/>
      <c r="AO694" s="430"/>
      <c r="AP694" s="430"/>
      <c r="AQ694" s="430"/>
      <c r="AR694" s="430"/>
      <c r="AS694" s="430"/>
      <c r="AT694" s="430"/>
      <c r="AU694" s="430"/>
      <c r="AV694" s="430"/>
      <c r="AW694" s="430"/>
      <c r="AX694" s="430"/>
      <c r="AY694" s="430"/>
      <c r="AZ694" s="430"/>
      <c r="BA694" s="430"/>
      <c r="BB694" s="430"/>
      <c r="BC694" s="430"/>
      <c r="BD694" s="430"/>
      <c r="BE694" s="430"/>
    </row>
    <row r="695" spans="1:57" ht="15.75" customHeight="1">
      <c r="A695" s="430"/>
      <c r="B695" s="430"/>
      <c r="C695" s="430"/>
      <c r="D695" s="430"/>
      <c r="E695" s="430"/>
      <c r="F695" s="430"/>
      <c r="G695" s="430"/>
      <c r="H695" s="430"/>
      <c r="I695" s="430"/>
      <c r="J695" s="430"/>
      <c r="K695" s="430"/>
      <c r="L695" s="430"/>
      <c r="M695" s="430"/>
      <c r="N695" s="430"/>
      <c r="O695" s="430"/>
      <c r="P695" s="430"/>
      <c r="Q695" s="430"/>
      <c r="R695" s="430"/>
      <c r="S695" s="430"/>
      <c r="T695" s="430"/>
      <c r="U695" s="430"/>
      <c r="V695" s="430"/>
      <c r="W695" s="430"/>
      <c r="X695" s="430"/>
      <c r="Y695" s="430"/>
      <c r="Z695" s="430"/>
      <c r="AA695" s="430"/>
      <c r="AB695" s="430"/>
      <c r="AC695" s="430"/>
      <c r="AD695" s="430"/>
      <c r="AE695" s="430"/>
      <c r="AF695" s="430"/>
      <c r="AG695" s="430"/>
      <c r="AH695" s="430"/>
      <c r="AI695" s="430"/>
      <c r="AJ695" s="430"/>
      <c r="AK695" s="430"/>
      <c r="AL695" s="430"/>
      <c r="AM695" s="430"/>
      <c r="AN695" s="430"/>
      <c r="AO695" s="430"/>
      <c r="AP695" s="430"/>
      <c r="AQ695" s="430"/>
      <c r="AR695" s="430"/>
      <c r="AS695" s="430"/>
      <c r="AT695" s="430"/>
      <c r="AU695" s="430"/>
      <c r="AV695" s="430"/>
      <c r="AW695" s="430"/>
      <c r="AX695" s="430"/>
      <c r="AY695" s="430"/>
      <c r="AZ695" s="430"/>
      <c r="BA695" s="430"/>
      <c r="BB695" s="430"/>
      <c r="BC695" s="430"/>
      <c r="BD695" s="430"/>
      <c r="BE695" s="430"/>
    </row>
    <row r="696" spans="1:57" ht="15.75" customHeight="1">
      <c r="A696" s="430"/>
      <c r="B696" s="430"/>
      <c r="C696" s="430"/>
      <c r="D696" s="430"/>
      <c r="E696" s="430"/>
      <c r="F696" s="430"/>
      <c r="G696" s="430"/>
      <c r="H696" s="430"/>
      <c r="I696" s="430"/>
      <c r="J696" s="430"/>
      <c r="K696" s="430"/>
      <c r="L696" s="430"/>
      <c r="M696" s="430"/>
      <c r="N696" s="430"/>
      <c r="O696" s="430"/>
      <c r="P696" s="430"/>
      <c r="Q696" s="430"/>
      <c r="R696" s="430"/>
      <c r="S696" s="430"/>
      <c r="T696" s="430"/>
      <c r="U696" s="430"/>
      <c r="V696" s="430"/>
      <c r="W696" s="430"/>
      <c r="X696" s="430"/>
      <c r="Y696" s="430"/>
      <c r="Z696" s="430"/>
      <c r="AA696" s="430"/>
      <c r="AB696" s="430"/>
      <c r="AC696" s="430"/>
      <c r="AD696" s="430"/>
      <c r="AE696" s="430"/>
      <c r="AF696" s="430"/>
      <c r="AG696" s="430"/>
      <c r="AH696" s="430"/>
      <c r="AI696" s="430"/>
      <c r="AJ696" s="430"/>
      <c r="AK696" s="430"/>
      <c r="AL696" s="430"/>
      <c r="AM696" s="430"/>
      <c r="AN696" s="430"/>
      <c r="AO696" s="430"/>
      <c r="AP696" s="430"/>
      <c r="AQ696" s="430"/>
      <c r="AR696" s="430"/>
      <c r="AS696" s="430"/>
      <c r="AT696" s="430"/>
      <c r="AU696" s="430"/>
      <c r="AV696" s="430"/>
      <c r="AW696" s="430"/>
      <c r="AX696" s="430"/>
      <c r="AY696" s="430"/>
      <c r="AZ696" s="430"/>
      <c r="BA696" s="430"/>
      <c r="BB696" s="430"/>
      <c r="BC696" s="430"/>
      <c r="BD696" s="430"/>
      <c r="BE696" s="430"/>
    </row>
    <row r="697" spans="1:57" ht="15.75" customHeight="1">
      <c r="A697" s="430"/>
      <c r="B697" s="430"/>
      <c r="C697" s="430"/>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0"/>
      <c r="AY697" s="430"/>
      <c r="AZ697" s="430"/>
      <c r="BA697" s="430"/>
      <c r="BB697" s="430"/>
      <c r="BC697" s="430"/>
      <c r="BD697" s="430"/>
      <c r="BE697" s="430"/>
    </row>
    <row r="698" spans="1:57" ht="15.75" customHeight="1">
      <c r="A698" s="430"/>
      <c r="B698" s="430"/>
      <c r="C698" s="430"/>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30"/>
      <c r="AY698" s="430"/>
      <c r="AZ698" s="430"/>
      <c r="BA698" s="430"/>
      <c r="BB698" s="430"/>
      <c r="BC698" s="430"/>
      <c r="BD698" s="430"/>
      <c r="BE698" s="430"/>
    </row>
    <row r="699" spans="1:57" ht="15.75" customHeight="1">
      <c r="A699" s="430"/>
      <c r="B699" s="430"/>
      <c r="C699" s="430"/>
      <c r="D699" s="430"/>
      <c r="E699" s="430"/>
      <c r="F699" s="430"/>
      <c r="G699" s="430"/>
      <c r="H699" s="430"/>
      <c r="I699" s="430"/>
      <c r="J699" s="430"/>
      <c r="K699" s="430"/>
      <c r="L699" s="430"/>
      <c r="M699" s="430"/>
      <c r="N699" s="430"/>
      <c r="O699" s="430"/>
      <c r="P699" s="430"/>
      <c r="Q699" s="430"/>
      <c r="R699" s="430"/>
      <c r="S699" s="430"/>
      <c r="T699" s="430"/>
      <c r="U699" s="430"/>
      <c r="V699" s="430"/>
      <c r="W699" s="430"/>
      <c r="X699" s="430"/>
      <c r="Y699" s="430"/>
      <c r="Z699" s="430"/>
      <c r="AA699" s="430"/>
      <c r="AB699" s="430"/>
      <c r="AC699" s="430"/>
      <c r="AD699" s="430"/>
      <c r="AE699" s="430"/>
      <c r="AF699" s="430"/>
      <c r="AG699" s="430"/>
      <c r="AH699" s="430"/>
      <c r="AI699" s="430"/>
      <c r="AJ699" s="430"/>
      <c r="AK699" s="430"/>
      <c r="AL699" s="430"/>
      <c r="AM699" s="430"/>
      <c r="AN699" s="430"/>
      <c r="AO699" s="430"/>
      <c r="AP699" s="430"/>
      <c r="AQ699" s="430"/>
      <c r="AR699" s="430"/>
      <c r="AS699" s="430"/>
      <c r="AT699" s="430"/>
      <c r="AU699" s="430"/>
      <c r="AV699" s="430"/>
      <c r="AW699" s="430"/>
      <c r="AX699" s="430"/>
      <c r="AY699" s="430"/>
      <c r="AZ699" s="430"/>
      <c r="BA699" s="430"/>
      <c r="BB699" s="430"/>
      <c r="BC699" s="430"/>
      <c r="BD699" s="430"/>
      <c r="BE699" s="430"/>
    </row>
    <row r="700" spans="1:57" ht="15.75" customHeight="1">
      <c r="A700" s="430"/>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0"/>
      <c r="AY700" s="430"/>
      <c r="AZ700" s="430"/>
      <c r="BA700" s="430"/>
      <c r="BB700" s="430"/>
      <c r="BC700" s="430"/>
      <c r="BD700" s="430"/>
      <c r="BE700" s="430"/>
    </row>
    <row r="701" spans="1:57" ht="15.75" customHeight="1">
      <c r="A701" s="430"/>
      <c r="B701" s="430"/>
      <c r="C701" s="430"/>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0"/>
      <c r="AD701" s="430"/>
      <c r="AE701" s="430"/>
      <c r="AF701" s="430"/>
      <c r="AG701" s="430"/>
      <c r="AH701" s="430"/>
      <c r="AI701" s="430"/>
      <c r="AJ701" s="430"/>
      <c r="AK701" s="430"/>
      <c r="AL701" s="430"/>
      <c r="AM701" s="430"/>
      <c r="AN701" s="430"/>
      <c r="AO701" s="430"/>
      <c r="AP701" s="430"/>
      <c r="AQ701" s="430"/>
      <c r="AR701" s="430"/>
      <c r="AS701" s="430"/>
      <c r="AT701" s="430"/>
      <c r="AU701" s="430"/>
      <c r="AV701" s="430"/>
      <c r="AW701" s="430"/>
      <c r="AX701" s="430"/>
      <c r="AY701" s="430"/>
      <c r="AZ701" s="430"/>
      <c r="BA701" s="430"/>
      <c r="BB701" s="430"/>
      <c r="BC701" s="430"/>
      <c r="BD701" s="430"/>
      <c r="BE701" s="430"/>
    </row>
    <row r="702" spans="1:57" ht="15.75" customHeight="1">
      <c r="A702" s="430"/>
      <c r="B702" s="430"/>
      <c r="C702" s="430"/>
      <c r="D702" s="430"/>
      <c r="E702" s="430"/>
      <c r="F702" s="430"/>
      <c r="G702" s="430"/>
      <c r="H702" s="430"/>
      <c r="I702" s="430"/>
      <c r="J702" s="430"/>
      <c r="K702" s="430"/>
      <c r="L702" s="430"/>
      <c r="M702" s="430"/>
      <c r="N702" s="430"/>
      <c r="O702" s="430"/>
      <c r="P702" s="430"/>
      <c r="Q702" s="430"/>
      <c r="R702" s="430"/>
      <c r="S702" s="430"/>
      <c r="T702" s="430"/>
      <c r="U702" s="430"/>
      <c r="V702" s="430"/>
      <c r="W702" s="430"/>
      <c r="X702" s="430"/>
      <c r="Y702" s="430"/>
      <c r="Z702" s="430"/>
      <c r="AA702" s="430"/>
      <c r="AB702" s="430"/>
      <c r="AC702" s="430"/>
      <c r="AD702" s="430"/>
      <c r="AE702" s="430"/>
      <c r="AF702" s="430"/>
      <c r="AG702" s="430"/>
      <c r="AH702" s="430"/>
      <c r="AI702" s="430"/>
      <c r="AJ702" s="430"/>
      <c r="AK702" s="430"/>
      <c r="AL702" s="430"/>
      <c r="AM702" s="430"/>
      <c r="AN702" s="430"/>
      <c r="AO702" s="430"/>
      <c r="AP702" s="430"/>
      <c r="AQ702" s="430"/>
      <c r="AR702" s="430"/>
      <c r="AS702" s="430"/>
      <c r="AT702" s="430"/>
      <c r="AU702" s="430"/>
      <c r="AV702" s="430"/>
      <c r="AW702" s="430"/>
      <c r="AX702" s="430"/>
      <c r="AY702" s="430"/>
      <c r="AZ702" s="430"/>
      <c r="BA702" s="430"/>
      <c r="BB702" s="430"/>
      <c r="BC702" s="430"/>
      <c r="BD702" s="430"/>
      <c r="BE702" s="430"/>
    </row>
    <row r="703" spans="1:57" ht="15.75" customHeight="1">
      <c r="A703" s="430"/>
      <c r="B703" s="430"/>
      <c r="C703" s="430"/>
      <c r="D703" s="430"/>
      <c r="E703" s="430"/>
      <c r="F703" s="430"/>
      <c r="G703" s="430"/>
      <c r="H703" s="430"/>
      <c r="I703" s="430"/>
      <c r="J703" s="430"/>
      <c r="K703" s="430"/>
      <c r="L703" s="430"/>
      <c r="M703" s="430"/>
      <c r="N703" s="430"/>
      <c r="O703" s="430"/>
      <c r="P703" s="430"/>
      <c r="Q703" s="430"/>
      <c r="R703" s="430"/>
      <c r="S703" s="430"/>
      <c r="T703" s="430"/>
      <c r="U703" s="430"/>
      <c r="V703" s="430"/>
      <c r="W703" s="430"/>
      <c r="X703" s="430"/>
      <c r="Y703" s="430"/>
      <c r="Z703" s="430"/>
      <c r="AA703" s="430"/>
      <c r="AB703" s="430"/>
      <c r="AC703" s="430"/>
      <c r="AD703" s="430"/>
      <c r="AE703" s="430"/>
      <c r="AF703" s="430"/>
      <c r="AG703" s="430"/>
      <c r="AH703" s="430"/>
      <c r="AI703" s="430"/>
      <c r="AJ703" s="430"/>
      <c r="AK703" s="430"/>
      <c r="AL703" s="430"/>
      <c r="AM703" s="430"/>
      <c r="AN703" s="430"/>
      <c r="AO703" s="430"/>
      <c r="AP703" s="430"/>
      <c r="AQ703" s="430"/>
      <c r="AR703" s="430"/>
      <c r="AS703" s="430"/>
      <c r="AT703" s="430"/>
      <c r="AU703" s="430"/>
      <c r="AV703" s="430"/>
      <c r="AW703" s="430"/>
      <c r="AX703" s="430"/>
      <c r="AY703" s="430"/>
      <c r="AZ703" s="430"/>
      <c r="BA703" s="430"/>
      <c r="BB703" s="430"/>
      <c r="BC703" s="430"/>
      <c r="BD703" s="430"/>
      <c r="BE703" s="430"/>
    </row>
    <row r="704" spans="1:57" ht="15.75" customHeight="1">
      <c r="A704" s="430"/>
      <c r="B704" s="430"/>
      <c r="C704" s="430"/>
      <c r="D704" s="430"/>
      <c r="E704" s="430"/>
      <c r="F704" s="430"/>
      <c r="G704" s="430"/>
      <c r="H704" s="430"/>
      <c r="I704" s="430"/>
      <c r="J704" s="430"/>
      <c r="K704" s="430"/>
      <c r="L704" s="430"/>
      <c r="M704" s="430"/>
      <c r="N704" s="430"/>
      <c r="O704" s="430"/>
      <c r="P704" s="430"/>
      <c r="Q704" s="430"/>
      <c r="R704" s="430"/>
      <c r="S704" s="430"/>
      <c r="T704" s="430"/>
      <c r="U704" s="430"/>
      <c r="V704" s="430"/>
      <c r="W704" s="430"/>
      <c r="X704" s="430"/>
      <c r="Y704" s="430"/>
      <c r="Z704" s="430"/>
      <c r="AA704" s="430"/>
      <c r="AB704" s="430"/>
      <c r="AC704" s="430"/>
      <c r="AD704" s="430"/>
      <c r="AE704" s="430"/>
      <c r="AF704" s="430"/>
      <c r="AG704" s="430"/>
      <c r="AH704" s="430"/>
      <c r="AI704" s="430"/>
      <c r="AJ704" s="430"/>
      <c r="AK704" s="430"/>
      <c r="AL704" s="430"/>
      <c r="AM704" s="430"/>
      <c r="AN704" s="430"/>
      <c r="AO704" s="430"/>
      <c r="AP704" s="430"/>
      <c r="AQ704" s="430"/>
      <c r="AR704" s="430"/>
      <c r="AS704" s="430"/>
      <c r="AT704" s="430"/>
      <c r="AU704" s="430"/>
      <c r="AV704" s="430"/>
      <c r="AW704" s="430"/>
      <c r="AX704" s="430"/>
      <c r="AY704" s="430"/>
      <c r="AZ704" s="430"/>
      <c r="BA704" s="430"/>
      <c r="BB704" s="430"/>
      <c r="BC704" s="430"/>
      <c r="BD704" s="430"/>
      <c r="BE704" s="430"/>
    </row>
    <row r="705" spans="1:57" ht="15.75" customHeight="1">
      <c r="A705" s="430"/>
      <c r="B705" s="430"/>
      <c r="C705" s="430"/>
      <c r="D705" s="430"/>
      <c r="E705" s="430"/>
      <c r="F705" s="430"/>
      <c r="G705" s="430"/>
      <c r="H705" s="430"/>
      <c r="I705" s="430"/>
      <c r="J705" s="430"/>
      <c r="K705" s="430"/>
      <c r="L705" s="430"/>
      <c r="M705" s="430"/>
      <c r="N705" s="430"/>
      <c r="O705" s="430"/>
      <c r="P705" s="430"/>
      <c r="Q705" s="430"/>
      <c r="R705" s="430"/>
      <c r="S705" s="430"/>
      <c r="T705" s="430"/>
      <c r="U705" s="430"/>
      <c r="V705" s="430"/>
      <c r="W705" s="430"/>
      <c r="X705" s="430"/>
      <c r="Y705" s="430"/>
      <c r="Z705" s="430"/>
      <c r="AA705" s="430"/>
      <c r="AB705" s="430"/>
      <c r="AC705" s="430"/>
      <c r="AD705" s="430"/>
      <c r="AE705" s="430"/>
      <c r="AF705" s="430"/>
      <c r="AG705" s="430"/>
      <c r="AH705" s="430"/>
      <c r="AI705" s="430"/>
      <c r="AJ705" s="430"/>
      <c r="AK705" s="430"/>
      <c r="AL705" s="430"/>
      <c r="AM705" s="430"/>
      <c r="AN705" s="430"/>
      <c r="AO705" s="430"/>
      <c r="AP705" s="430"/>
      <c r="AQ705" s="430"/>
      <c r="AR705" s="430"/>
      <c r="AS705" s="430"/>
      <c r="AT705" s="430"/>
      <c r="AU705" s="430"/>
      <c r="AV705" s="430"/>
      <c r="AW705" s="430"/>
      <c r="AX705" s="430"/>
      <c r="AY705" s="430"/>
      <c r="AZ705" s="430"/>
      <c r="BA705" s="430"/>
      <c r="BB705" s="430"/>
      <c r="BC705" s="430"/>
      <c r="BD705" s="430"/>
      <c r="BE705" s="430"/>
    </row>
    <row r="706" spans="1:57" ht="15.75" customHeight="1">
      <c r="A706" s="430"/>
      <c r="B706" s="430"/>
      <c r="C706" s="430"/>
      <c r="D706" s="430"/>
      <c r="E706" s="430"/>
      <c r="F706" s="430"/>
      <c r="G706" s="430"/>
      <c r="H706" s="430"/>
      <c r="I706" s="430"/>
      <c r="J706" s="430"/>
      <c r="K706" s="430"/>
      <c r="L706" s="430"/>
      <c r="M706" s="430"/>
      <c r="N706" s="430"/>
      <c r="O706" s="430"/>
      <c r="P706" s="430"/>
      <c r="Q706" s="430"/>
      <c r="R706" s="430"/>
      <c r="S706" s="430"/>
      <c r="T706" s="430"/>
      <c r="U706" s="430"/>
      <c r="V706" s="430"/>
      <c r="W706" s="430"/>
      <c r="X706" s="430"/>
      <c r="Y706" s="430"/>
      <c r="Z706" s="430"/>
      <c r="AA706" s="430"/>
      <c r="AB706" s="430"/>
      <c r="AC706" s="430"/>
      <c r="AD706" s="430"/>
      <c r="AE706" s="430"/>
      <c r="AF706" s="430"/>
      <c r="AG706" s="430"/>
      <c r="AH706" s="430"/>
      <c r="AI706" s="430"/>
      <c r="AJ706" s="430"/>
      <c r="AK706" s="430"/>
      <c r="AL706" s="430"/>
      <c r="AM706" s="430"/>
      <c r="AN706" s="430"/>
      <c r="AO706" s="430"/>
      <c r="AP706" s="430"/>
      <c r="AQ706" s="430"/>
      <c r="AR706" s="430"/>
      <c r="AS706" s="430"/>
      <c r="AT706" s="430"/>
      <c r="AU706" s="430"/>
      <c r="AV706" s="430"/>
      <c r="AW706" s="430"/>
      <c r="AX706" s="430"/>
      <c r="AY706" s="430"/>
      <c r="AZ706" s="430"/>
      <c r="BA706" s="430"/>
      <c r="BB706" s="430"/>
      <c r="BC706" s="430"/>
      <c r="BD706" s="430"/>
      <c r="BE706" s="430"/>
    </row>
    <row r="707" spans="1:57" ht="15.75" customHeight="1">
      <c r="A707" s="430"/>
      <c r="B707" s="430"/>
      <c r="C707" s="430"/>
      <c r="D707" s="430"/>
      <c r="E707" s="430"/>
      <c r="F707" s="430"/>
      <c r="G707" s="430"/>
      <c r="H707" s="430"/>
      <c r="I707" s="430"/>
      <c r="J707" s="430"/>
      <c r="K707" s="430"/>
      <c r="L707" s="430"/>
      <c r="M707" s="430"/>
      <c r="N707" s="430"/>
      <c r="O707" s="430"/>
      <c r="P707" s="430"/>
      <c r="Q707" s="430"/>
      <c r="R707" s="430"/>
      <c r="S707" s="430"/>
      <c r="T707" s="430"/>
      <c r="U707" s="430"/>
      <c r="V707" s="430"/>
      <c r="W707" s="430"/>
      <c r="X707" s="430"/>
      <c r="Y707" s="430"/>
      <c r="Z707" s="430"/>
      <c r="AA707" s="430"/>
      <c r="AB707" s="430"/>
      <c r="AC707" s="430"/>
      <c r="AD707" s="430"/>
      <c r="AE707" s="430"/>
      <c r="AF707" s="430"/>
      <c r="AG707" s="430"/>
      <c r="AH707" s="430"/>
      <c r="AI707" s="430"/>
      <c r="AJ707" s="430"/>
      <c r="AK707" s="430"/>
      <c r="AL707" s="430"/>
      <c r="AM707" s="430"/>
      <c r="AN707" s="430"/>
      <c r="AO707" s="430"/>
      <c r="AP707" s="430"/>
      <c r="AQ707" s="430"/>
      <c r="AR707" s="430"/>
      <c r="AS707" s="430"/>
      <c r="AT707" s="430"/>
      <c r="AU707" s="430"/>
      <c r="AV707" s="430"/>
      <c r="AW707" s="430"/>
      <c r="AX707" s="430"/>
      <c r="AY707" s="430"/>
      <c r="AZ707" s="430"/>
      <c r="BA707" s="430"/>
      <c r="BB707" s="430"/>
      <c r="BC707" s="430"/>
      <c r="BD707" s="430"/>
      <c r="BE707" s="430"/>
    </row>
    <row r="708" spans="1:57" ht="15.75" customHeight="1">
      <c r="A708" s="430"/>
      <c r="B708" s="430"/>
      <c r="C708" s="430"/>
      <c r="D708" s="430"/>
      <c r="E708" s="430"/>
      <c r="F708" s="430"/>
      <c r="G708" s="430"/>
      <c r="H708" s="430"/>
      <c r="I708" s="430"/>
      <c r="J708" s="430"/>
      <c r="K708" s="430"/>
      <c r="L708" s="430"/>
      <c r="M708" s="430"/>
      <c r="N708" s="430"/>
      <c r="O708" s="430"/>
      <c r="P708" s="430"/>
      <c r="Q708" s="430"/>
      <c r="R708" s="430"/>
      <c r="S708" s="430"/>
      <c r="T708" s="430"/>
      <c r="U708" s="430"/>
      <c r="V708" s="430"/>
      <c r="W708" s="430"/>
      <c r="X708" s="430"/>
      <c r="Y708" s="430"/>
      <c r="Z708" s="430"/>
      <c r="AA708" s="430"/>
      <c r="AB708" s="430"/>
      <c r="AC708" s="430"/>
      <c r="AD708" s="430"/>
      <c r="AE708" s="430"/>
      <c r="AF708" s="430"/>
      <c r="AG708" s="430"/>
      <c r="AH708" s="430"/>
      <c r="AI708" s="430"/>
      <c r="AJ708" s="430"/>
      <c r="AK708" s="430"/>
      <c r="AL708" s="430"/>
      <c r="AM708" s="430"/>
      <c r="AN708" s="430"/>
      <c r="AO708" s="430"/>
      <c r="AP708" s="430"/>
      <c r="AQ708" s="430"/>
      <c r="AR708" s="430"/>
      <c r="AS708" s="430"/>
      <c r="AT708" s="430"/>
      <c r="AU708" s="430"/>
      <c r="AV708" s="430"/>
      <c r="AW708" s="430"/>
      <c r="AX708" s="430"/>
      <c r="AY708" s="430"/>
      <c r="AZ708" s="430"/>
      <c r="BA708" s="430"/>
      <c r="BB708" s="430"/>
      <c r="BC708" s="430"/>
      <c r="BD708" s="430"/>
      <c r="BE708" s="430"/>
    </row>
    <row r="709" spans="1:57" ht="15.75" customHeight="1">
      <c r="A709" s="430"/>
      <c r="B709" s="430"/>
      <c r="C709" s="430"/>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430"/>
      <c r="AE709" s="430"/>
      <c r="AF709" s="430"/>
      <c r="AG709" s="430"/>
      <c r="AH709" s="430"/>
      <c r="AI709" s="430"/>
      <c r="AJ709" s="430"/>
      <c r="AK709" s="430"/>
      <c r="AL709" s="430"/>
      <c r="AM709" s="430"/>
      <c r="AN709" s="430"/>
      <c r="AO709" s="430"/>
      <c r="AP709" s="430"/>
      <c r="AQ709" s="430"/>
      <c r="AR709" s="430"/>
      <c r="AS709" s="430"/>
      <c r="AT709" s="430"/>
      <c r="AU709" s="430"/>
      <c r="AV709" s="430"/>
      <c r="AW709" s="430"/>
      <c r="AX709" s="430"/>
      <c r="AY709" s="430"/>
      <c r="AZ709" s="430"/>
      <c r="BA709" s="430"/>
      <c r="BB709" s="430"/>
      <c r="BC709" s="430"/>
      <c r="BD709" s="430"/>
      <c r="BE709" s="430"/>
    </row>
    <row r="710" spans="1:57" ht="15.75" customHeight="1">
      <c r="A710" s="430"/>
      <c r="B710" s="430"/>
      <c r="C710" s="430"/>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430"/>
      <c r="AE710" s="430"/>
      <c r="AF710" s="430"/>
      <c r="AG710" s="430"/>
      <c r="AH710" s="430"/>
      <c r="AI710" s="430"/>
      <c r="AJ710" s="430"/>
      <c r="AK710" s="430"/>
      <c r="AL710" s="430"/>
      <c r="AM710" s="430"/>
      <c r="AN710" s="430"/>
      <c r="AO710" s="430"/>
      <c r="AP710" s="430"/>
      <c r="AQ710" s="430"/>
      <c r="AR710" s="430"/>
      <c r="AS710" s="430"/>
      <c r="AT710" s="430"/>
      <c r="AU710" s="430"/>
      <c r="AV710" s="430"/>
      <c r="AW710" s="430"/>
      <c r="AX710" s="430"/>
      <c r="AY710" s="430"/>
      <c r="AZ710" s="430"/>
      <c r="BA710" s="430"/>
      <c r="BB710" s="430"/>
      <c r="BC710" s="430"/>
      <c r="BD710" s="430"/>
      <c r="BE710" s="430"/>
    </row>
    <row r="711" spans="1:57" ht="15.75" customHeight="1">
      <c r="A711" s="430"/>
      <c r="B711" s="430"/>
      <c r="C711" s="430"/>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430"/>
      <c r="AD711" s="430"/>
      <c r="AE711" s="430"/>
      <c r="AF711" s="430"/>
      <c r="AG711" s="430"/>
      <c r="AH711" s="430"/>
      <c r="AI711" s="430"/>
      <c r="AJ711" s="430"/>
      <c r="AK711" s="430"/>
      <c r="AL711" s="430"/>
      <c r="AM711" s="430"/>
      <c r="AN711" s="430"/>
      <c r="AO711" s="430"/>
      <c r="AP711" s="430"/>
      <c r="AQ711" s="430"/>
      <c r="AR711" s="430"/>
      <c r="AS711" s="430"/>
      <c r="AT711" s="430"/>
      <c r="AU711" s="430"/>
      <c r="AV711" s="430"/>
      <c r="AW711" s="430"/>
      <c r="AX711" s="430"/>
      <c r="AY711" s="430"/>
      <c r="AZ711" s="430"/>
      <c r="BA711" s="430"/>
      <c r="BB711" s="430"/>
      <c r="BC711" s="430"/>
      <c r="BD711" s="430"/>
      <c r="BE711" s="430"/>
    </row>
    <row r="712" spans="1:57" ht="15.75" customHeight="1">
      <c r="A712" s="430"/>
      <c r="B712" s="430"/>
      <c r="C712" s="430"/>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430"/>
      <c r="AD712" s="430"/>
      <c r="AE712" s="430"/>
      <c r="AF712" s="430"/>
      <c r="AG712" s="430"/>
      <c r="AH712" s="430"/>
      <c r="AI712" s="430"/>
      <c r="AJ712" s="430"/>
      <c r="AK712" s="430"/>
      <c r="AL712" s="430"/>
      <c r="AM712" s="430"/>
      <c r="AN712" s="430"/>
      <c r="AO712" s="430"/>
      <c r="AP712" s="430"/>
      <c r="AQ712" s="430"/>
      <c r="AR712" s="430"/>
      <c r="AS712" s="430"/>
      <c r="AT712" s="430"/>
      <c r="AU712" s="430"/>
      <c r="AV712" s="430"/>
      <c r="AW712" s="430"/>
      <c r="AX712" s="430"/>
      <c r="AY712" s="430"/>
      <c r="AZ712" s="430"/>
      <c r="BA712" s="430"/>
      <c r="BB712" s="430"/>
      <c r="BC712" s="430"/>
      <c r="BD712" s="430"/>
      <c r="BE712" s="430"/>
    </row>
    <row r="713" spans="1:57" ht="15.75" customHeight="1">
      <c r="A713" s="430"/>
      <c r="B713" s="430"/>
      <c r="C713" s="430"/>
      <c r="D713" s="430"/>
      <c r="E713" s="430"/>
      <c r="F713" s="430"/>
      <c r="G713" s="430"/>
      <c r="H713" s="430"/>
      <c r="I713" s="430"/>
      <c r="J713" s="430"/>
      <c r="K713" s="430"/>
      <c r="L713" s="430"/>
      <c r="M713" s="430"/>
      <c r="N713" s="430"/>
      <c r="O713" s="430"/>
      <c r="P713" s="430"/>
      <c r="Q713" s="430"/>
      <c r="R713" s="430"/>
      <c r="S713" s="430"/>
      <c r="T713" s="430"/>
      <c r="U713" s="430"/>
      <c r="V713" s="430"/>
      <c r="W713" s="430"/>
      <c r="X713" s="430"/>
      <c r="Y713" s="430"/>
      <c r="Z713" s="430"/>
      <c r="AA713" s="430"/>
      <c r="AB713" s="430"/>
      <c r="AC713" s="430"/>
      <c r="AD713" s="430"/>
      <c r="AE713" s="430"/>
      <c r="AF713" s="430"/>
      <c r="AG713" s="430"/>
      <c r="AH713" s="430"/>
      <c r="AI713" s="430"/>
      <c r="AJ713" s="430"/>
      <c r="AK713" s="430"/>
      <c r="AL713" s="430"/>
      <c r="AM713" s="430"/>
      <c r="AN713" s="430"/>
      <c r="AO713" s="430"/>
      <c r="AP713" s="430"/>
      <c r="AQ713" s="430"/>
      <c r="AR713" s="430"/>
      <c r="AS713" s="430"/>
      <c r="AT713" s="430"/>
      <c r="AU713" s="430"/>
      <c r="AV713" s="430"/>
      <c r="AW713" s="430"/>
      <c r="AX713" s="430"/>
      <c r="AY713" s="430"/>
      <c r="AZ713" s="430"/>
      <c r="BA713" s="430"/>
      <c r="BB713" s="430"/>
      <c r="BC713" s="430"/>
      <c r="BD713" s="430"/>
      <c r="BE713" s="430"/>
    </row>
    <row r="714" spans="1:57" ht="15.75" customHeight="1">
      <c r="A714" s="430"/>
      <c r="B714" s="430"/>
      <c r="C714" s="430"/>
      <c r="D714" s="430"/>
      <c r="E714" s="430"/>
      <c r="F714" s="430"/>
      <c r="G714" s="430"/>
      <c r="H714" s="430"/>
      <c r="I714" s="430"/>
      <c r="J714" s="430"/>
      <c r="K714" s="430"/>
      <c r="L714" s="430"/>
      <c r="M714" s="430"/>
      <c r="N714" s="430"/>
      <c r="O714" s="430"/>
      <c r="P714" s="430"/>
      <c r="Q714" s="430"/>
      <c r="R714" s="430"/>
      <c r="S714" s="430"/>
      <c r="T714" s="430"/>
      <c r="U714" s="430"/>
      <c r="V714" s="430"/>
      <c r="W714" s="430"/>
      <c r="X714" s="430"/>
      <c r="Y714" s="430"/>
      <c r="Z714" s="430"/>
      <c r="AA714" s="430"/>
      <c r="AB714" s="430"/>
      <c r="AC714" s="430"/>
      <c r="AD714" s="430"/>
      <c r="AE714" s="430"/>
      <c r="AF714" s="430"/>
      <c r="AG714" s="430"/>
      <c r="AH714" s="430"/>
      <c r="AI714" s="430"/>
      <c r="AJ714" s="430"/>
      <c r="AK714" s="430"/>
      <c r="AL714" s="430"/>
      <c r="AM714" s="430"/>
      <c r="AN714" s="430"/>
      <c r="AO714" s="430"/>
      <c r="AP714" s="430"/>
      <c r="AQ714" s="430"/>
      <c r="AR714" s="430"/>
      <c r="AS714" s="430"/>
      <c r="AT714" s="430"/>
      <c r="AU714" s="430"/>
      <c r="AV714" s="430"/>
      <c r="AW714" s="430"/>
      <c r="AX714" s="430"/>
      <c r="AY714" s="430"/>
      <c r="AZ714" s="430"/>
      <c r="BA714" s="430"/>
      <c r="BB714" s="430"/>
      <c r="BC714" s="430"/>
      <c r="BD714" s="430"/>
      <c r="BE714" s="430"/>
    </row>
    <row r="715" spans="1:57" ht="15.75" customHeight="1">
      <c r="A715" s="430"/>
      <c r="B715" s="430"/>
      <c r="C715" s="430"/>
      <c r="D715" s="430"/>
      <c r="E715" s="430"/>
      <c r="F715" s="430"/>
      <c r="G715" s="430"/>
      <c r="H715" s="430"/>
      <c r="I715" s="430"/>
      <c r="J715" s="430"/>
      <c r="K715" s="430"/>
      <c r="L715" s="430"/>
      <c r="M715" s="430"/>
      <c r="N715" s="430"/>
      <c r="O715" s="430"/>
      <c r="P715" s="430"/>
      <c r="Q715" s="430"/>
      <c r="R715" s="430"/>
      <c r="S715" s="430"/>
      <c r="T715" s="430"/>
      <c r="U715" s="430"/>
      <c r="V715" s="430"/>
      <c r="W715" s="430"/>
      <c r="X715" s="430"/>
      <c r="Y715" s="430"/>
      <c r="Z715" s="430"/>
      <c r="AA715" s="430"/>
      <c r="AB715" s="430"/>
      <c r="AC715" s="430"/>
      <c r="AD715" s="430"/>
      <c r="AE715" s="430"/>
      <c r="AF715" s="430"/>
      <c r="AG715" s="430"/>
      <c r="AH715" s="430"/>
      <c r="AI715" s="430"/>
      <c r="AJ715" s="430"/>
      <c r="AK715" s="430"/>
      <c r="AL715" s="430"/>
      <c r="AM715" s="430"/>
      <c r="AN715" s="430"/>
      <c r="AO715" s="430"/>
      <c r="AP715" s="430"/>
      <c r="AQ715" s="430"/>
      <c r="AR715" s="430"/>
      <c r="AS715" s="430"/>
      <c r="AT715" s="430"/>
      <c r="AU715" s="430"/>
      <c r="AV715" s="430"/>
      <c r="AW715" s="430"/>
      <c r="AX715" s="430"/>
      <c r="AY715" s="430"/>
      <c r="AZ715" s="430"/>
      <c r="BA715" s="430"/>
      <c r="BB715" s="430"/>
      <c r="BC715" s="430"/>
      <c r="BD715" s="430"/>
      <c r="BE715" s="430"/>
    </row>
    <row r="716" spans="1:57" ht="15.75" customHeight="1">
      <c r="A716" s="430"/>
      <c r="B716" s="430"/>
      <c r="C716" s="430"/>
      <c r="D716" s="430"/>
      <c r="E716" s="430"/>
      <c r="F716" s="430"/>
      <c r="G716" s="430"/>
      <c r="H716" s="430"/>
      <c r="I716" s="430"/>
      <c r="J716" s="430"/>
      <c r="K716" s="430"/>
      <c r="L716" s="430"/>
      <c r="M716" s="430"/>
      <c r="N716" s="430"/>
      <c r="O716" s="430"/>
      <c r="P716" s="430"/>
      <c r="Q716" s="430"/>
      <c r="R716" s="430"/>
      <c r="S716" s="430"/>
      <c r="T716" s="430"/>
      <c r="U716" s="430"/>
      <c r="V716" s="430"/>
      <c r="W716" s="430"/>
      <c r="X716" s="430"/>
      <c r="Y716" s="430"/>
      <c r="Z716" s="430"/>
      <c r="AA716" s="430"/>
      <c r="AB716" s="430"/>
      <c r="AC716" s="430"/>
      <c r="AD716" s="430"/>
      <c r="AE716" s="430"/>
      <c r="AF716" s="430"/>
      <c r="AG716" s="430"/>
      <c r="AH716" s="430"/>
      <c r="AI716" s="430"/>
      <c r="AJ716" s="430"/>
      <c r="AK716" s="430"/>
      <c r="AL716" s="430"/>
      <c r="AM716" s="430"/>
      <c r="AN716" s="430"/>
      <c r="AO716" s="430"/>
      <c r="AP716" s="430"/>
      <c r="AQ716" s="430"/>
      <c r="AR716" s="430"/>
      <c r="AS716" s="430"/>
      <c r="AT716" s="430"/>
      <c r="AU716" s="430"/>
      <c r="AV716" s="430"/>
      <c r="AW716" s="430"/>
      <c r="AX716" s="430"/>
      <c r="AY716" s="430"/>
      <c r="AZ716" s="430"/>
      <c r="BA716" s="430"/>
      <c r="BB716" s="430"/>
      <c r="BC716" s="430"/>
      <c r="BD716" s="430"/>
      <c r="BE716" s="430"/>
    </row>
    <row r="717" spans="1:57" ht="15.75" customHeight="1">
      <c r="A717" s="430"/>
      <c r="B717" s="430"/>
      <c r="C717" s="430"/>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430"/>
      <c r="AE717" s="430"/>
      <c r="AF717" s="430"/>
      <c r="AG717" s="430"/>
      <c r="AH717" s="430"/>
      <c r="AI717" s="430"/>
      <c r="AJ717" s="430"/>
      <c r="AK717" s="430"/>
      <c r="AL717" s="430"/>
      <c r="AM717" s="430"/>
      <c r="AN717" s="430"/>
      <c r="AO717" s="430"/>
      <c r="AP717" s="430"/>
      <c r="AQ717" s="430"/>
      <c r="AR717" s="430"/>
      <c r="AS717" s="430"/>
      <c r="AT717" s="430"/>
      <c r="AU717" s="430"/>
      <c r="AV717" s="430"/>
      <c r="AW717" s="430"/>
      <c r="AX717" s="430"/>
      <c r="AY717" s="430"/>
      <c r="AZ717" s="430"/>
      <c r="BA717" s="430"/>
      <c r="BB717" s="430"/>
      <c r="BC717" s="430"/>
      <c r="BD717" s="430"/>
      <c r="BE717" s="430"/>
    </row>
    <row r="718" spans="1:57" ht="15.75" customHeight="1">
      <c r="A718" s="430"/>
      <c r="B718" s="430"/>
      <c r="C718" s="430"/>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430"/>
      <c r="AE718" s="430"/>
      <c r="AF718" s="430"/>
      <c r="AG718" s="430"/>
      <c r="AH718" s="430"/>
      <c r="AI718" s="430"/>
      <c r="AJ718" s="430"/>
      <c r="AK718" s="430"/>
      <c r="AL718" s="430"/>
      <c r="AM718" s="430"/>
      <c r="AN718" s="430"/>
      <c r="AO718" s="430"/>
      <c r="AP718" s="430"/>
      <c r="AQ718" s="430"/>
      <c r="AR718" s="430"/>
      <c r="AS718" s="430"/>
      <c r="AT718" s="430"/>
      <c r="AU718" s="430"/>
      <c r="AV718" s="430"/>
      <c r="AW718" s="430"/>
      <c r="AX718" s="430"/>
      <c r="AY718" s="430"/>
      <c r="AZ718" s="430"/>
      <c r="BA718" s="430"/>
      <c r="BB718" s="430"/>
      <c r="BC718" s="430"/>
      <c r="BD718" s="430"/>
      <c r="BE718" s="430"/>
    </row>
    <row r="719" spans="1:57" ht="15.75" customHeight="1">
      <c r="A719" s="430"/>
      <c r="B719" s="430"/>
      <c r="C719" s="430"/>
      <c r="D719" s="430"/>
      <c r="E719" s="430"/>
      <c r="F719" s="430"/>
      <c r="G719" s="430"/>
      <c r="H719" s="430"/>
      <c r="I719" s="430"/>
      <c r="J719" s="430"/>
      <c r="K719" s="430"/>
      <c r="L719" s="430"/>
      <c r="M719" s="430"/>
      <c r="N719" s="430"/>
      <c r="O719" s="430"/>
      <c r="P719" s="430"/>
      <c r="Q719" s="430"/>
      <c r="R719" s="430"/>
      <c r="S719" s="430"/>
      <c r="T719" s="430"/>
      <c r="U719" s="430"/>
      <c r="V719" s="430"/>
      <c r="W719" s="430"/>
      <c r="X719" s="430"/>
      <c r="Y719" s="430"/>
      <c r="Z719" s="430"/>
      <c r="AA719" s="430"/>
      <c r="AB719" s="430"/>
      <c r="AC719" s="430"/>
      <c r="AD719" s="430"/>
      <c r="AE719" s="430"/>
      <c r="AF719" s="430"/>
      <c r="AG719" s="430"/>
      <c r="AH719" s="430"/>
      <c r="AI719" s="430"/>
      <c r="AJ719" s="430"/>
      <c r="AK719" s="430"/>
      <c r="AL719" s="430"/>
      <c r="AM719" s="430"/>
      <c r="AN719" s="430"/>
      <c r="AO719" s="430"/>
      <c r="AP719" s="430"/>
      <c r="AQ719" s="430"/>
      <c r="AR719" s="430"/>
      <c r="AS719" s="430"/>
      <c r="AT719" s="430"/>
      <c r="AU719" s="430"/>
      <c r="AV719" s="430"/>
      <c r="AW719" s="430"/>
      <c r="AX719" s="430"/>
      <c r="AY719" s="430"/>
      <c r="AZ719" s="430"/>
      <c r="BA719" s="430"/>
      <c r="BB719" s="430"/>
      <c r="BC719" s="430"/>
      <c r="BD719" s="430"/>
      <c r="BE719" s="430"/>
    </row>
    <row r="720" spans="1:57" ht="15.75" customHeight="1">
      <c r="A720" s="430"/>
      <c r="B720" s="430"/>
      <c r="C720" s="430"/>
      <c r="D720" s="430"/>
      <c r="E720" s="430"/>
      <c r="F720" s="430"/>
      <c r="G720" s="430"/>
      <c r="H720" s="430"/>
      <c r="I720" s="430"/>
      <c r="J720" s="430"/>
      <c r="K720" s="430"/>
      <c r="L720" s="430"/>
      <c r="M720" s="430"/>
      <c r="N720" s="430"/>
      <c r="O720" s="430"/>
      <c r="P720" s="430"/>
      <c r="Q720" s="430"/>
      <c r="R720" s="430"/>
      <c r="S720" s="430"/>
      <c r="T720" s="430"/>
      <c r="U720" s="430"/>
      <c r="V720" s="430"/>
      <c r="W720" s="430"/>
      <c r="X720" s="430"/>
      <c r="Y720" s="430"/>
      <c r="Z720" s="430"/>
      <c r="AA720" s="430"/>
      <c r="AB720" s="430"/>
      <c r="AC720" s="430"/>
      <c r="AD720" s="430"/>
      <c r="AE720" s="430"/>
      <c r="AF720" s="430"/>
      <c r="AG720" s="430"/>
      <c r="AH720" s="430"/>
      <c r="AI720" s="430"/>
      <c r="AJ720" s="430"/>
      <c r="AK720" s="430"/>
      <c r="AL720" s="430"/>
      <c r="AM720" s="430"/>
      <c r="AN720" s="430"/>
      <c r="AO720" s="430"/>
      <c r="AP720" s="430"/>
      <c r="AQ720" s="430"/>
      <c r="AR720" s="430"/>
      <c r="AS720" s="430"/>
      <c r="AT720" s="430"/>
      <c r="AU720" s="430"/>
      <c r="AV720" s="430"/>
      <c r="AW720" s="430"/>
      <c r="AX720" s="430"/>
      <c r="AY720" s="430"/>
      <c r="AZ720" s="430"/>
      <c r="BA720" s="430"/>
      <c r="BB720" s="430"/>
      <c r="BC720" s="430"/>
      <c r="BD720" s="430"/>
      <c r="BE720" s="430"/>
    </row>
    <row r="721" spans="1:57" ht="15.75" customHeight="1">
      <c r="A721" s="430"/>
      <c r="B721" s="430"/>
      <c r="C721" s="430"/>
      <c r="D721" s="430"/>
      <c r="E721" s="430"/>
      <c r="F721" s="430"/>
      <c r="G721" s="430"/>
      <c r="H721" s="430"/>
      <c r="I721" s="430"/>
      <c r="J721" s="430"/>
      <c r="K721" s="430"/>
      <c r="L721" s="430"/>
      <c r="M721" s="430"/>
      <c r="N721" s="430"/>
      <c r="O721" s="430"/>
      <c r="P721" s="430"/>
      <c r="Q721" s="430"/>
      <c r="R721" s="430"/>
      <c r="S721" s="430"/>
      <c r="T721" s="430"/>
      <c r="U721" s="430"/>
      <c r="V721" s="430"/>
      <c r="W721" s="430"/>
      <c r="X721" s="430"/>
      <c r="Y721" s="430"/>
      <c r="Z721" s="430"/>
      <c r="AA721" s="430"/>
      <c r="AB721" s="430"/>
      <c r="AC721" s="430"/>
      <c r="AD721" s="430"/>
      <c r="AE721" s="430"/>
      <c r="AF721" s="430"/>
      <c r="AG721" s="430"/>
      <c r="AH721" s="430"/>
      <c r="AI721" s="430"/>
      <c r="AJ721" s="430"/>
      <c r="AK721" s="430"/>
      <c r="AL721" s="430"/>
      <c r="AM721" s="430"/>
      <c r="AN721" s="430"/>
      <c r="AO721" s="430"/>
      <c r="AP721" s="430"/>
      <c r="AQ721" s="430"/>
      <c r="AR721" s="430"/>
      <c r="AS721" s="430"/>
      <c r="AT721" s="430"/>
      <c r="AU721" s="430"/>
      <c r="AV721" s="430"/>
      <c r="AW721" s="430"/>
      <c r="AX721" s="430"/>
      <c r="AY721" s="430"/>
      <c r="AZ721" s="430"/>
      <c r="BA721" s="430"/>
      <c r="BB721" s="430"/>
      <c r="BC721" s="430"/>
      <c r="BD721" s="430"/>
      <c r="BE721" s="430"/>
    </row>
    <row r="722" spans="1:57" ht="15.75" customHeight="1">
      <c r="A722" s="430"/>
      <c r="B722" s="430"/>
      <c r="C722" s="430"/>
      <c r="D722" s="430"/>
      <c r="E722" s="430"/>
      <c r="F722" s="430"/>
      <c r="G722" s="430"/>
      <c r="H722" s="430"/>
      <c r="I722" s="430"/>
      <c r="J722" s="430"/>
      <c r="K722" s="430"/>
      <c r="L722" s="430"/>
      <c r="M722" s="430"/>
      <c r="N722" s="430"/>
      <c r="O722" s="430"/>
      <c r="P722" s="430"/>
      <c r="Q722" s="430"/>
      <c r="R722" s="430"/>
      <c r="S722" s="430"/>
      <c r="T722" s="430"/>
      <c r="U722" s="430"/>
      <c r="V722" s="430"/>
      <c r="W722" s="430"/>
      <c r="X722" s="430"/>
      <c r="Y722" s="430"/>
      <c r="Z722" s="430"/>
      <c r="AA722" s="430"/>
      <c r="AB722" s="430"/>
      <c r="AC722" s="430"/>
      <c r="AD722" s="430"/>
      <c r="AE722" s="430"/>
      <c r="AF722" s="430"/>
      <c r="AG722" s="430"/>
      <c r="AH722" s="430"/>
      <c r="AI722" s="430"/>
      <c r="AJ722" s="430"/>
      <c r="AK722" s="430"/>
      <c r="AL722" s="430"/>
      <c r="AM722" s="430"/>
      <c r="AN722" s="430"/>
      <c r="AO722" s="430"/>
      <c r="AP722" s="430"/>
      <c r="AQ722" s="430"/>
      <c r="AR722" s="430"/>
      <c r="AS722" s="430"/>
      <c r="AT722" s="430"/>
      <c r="AU722" s="430"/>
      <c r="AV722" s="430"/>
      <c r="AW722" s="430"/>
      <c r="AX722" s="430"/>
      <c r="AY722" s="430"/>
      <c r="AZ722" s="430"/>
      <c r="BA722" s="430"/>
      <c r="BB722" s="430"/>
      <c r="BC722" s="430"/>
      <c r="BD722" s="430"/>
      <c r="BE722" s="430"/>
    </row>
    <row r="723" spans="1:57" ht="15.75" customHeight="1">
      <c r="A723" s="430"/>
      <c r="B723" s="430"/>
      <c r="C723" s="430"/>
      <c r="D723" s="430"/>
      <c r="E723" s="430"/>
      <c r="F723" s="430"/>
      <c r="G723" s="430"/>
      <c r="H723" s="430"/>
      <c r="I723" s="430"/>
      <c r="J723" s="430"/>
      <c r="K723" s="430"/>
      <c r="L723" s="430"/>
      <c r="M723" s="430"/>
      <c r="N723" s="430"/>
      <c r="O723" s="430"/>
      <c r="P723" s="430"/>
      <c r="Q723" s="430"/>
      <c r="R723" s="430"/>
      <c r="S723" s="430"/>
      <c r="T723" s="430"/>
      <c r="U723" s="430"/>
      <c r="V723" s="430"/>
      <c r="W723" s="430"/>
      <c r="X723" s="430"/>
      <c r="Y723" s="430"/>
      <c r="Z723" s="430"/>
      <c r="AA723" s="430"/>
      <c r="AB723" s="430"/>
      <c r="AC723" s="430"/>
      <c r="AD723" s="430"/>
      <c r="AE723" s="430"/>
      <c r="AF723" s="430"/>
      <c r="AG723" s="430"/>
      <c r="AH723" s="430"/>
      <c r="AI723" s="430"/>
      <c r="AJ723" s="430"/>
      <c r="AK723" s="430"/>
      <c r="AL723" s="430"/>
      <c r="AM723" s="430"/>
      <c r="AN723" s="430"/>
      <c r="AO723" s="430"/>
      <c r="AP723" s="430"/>
      <c r="AQ723" s="430"/>
      <c r="AR723" s="430"/>
      <c r="AS723" s="430"/>
      <c r="AT723" s="430"/>
      <c r="AU723" s="430"/>
      <c r="AV723" s="430"/>
      <c r="AW723" s="430"/>
      <c r="AX723" s="430"/>
      <c r="AY723" s="430"/>
      <c r="AZ723" s="430"/>
      <c r="BA723" s="430"/>
      <c r="BB723" s="430"/>
      <c r="BC723" s="430"/>
      <c r="BD723" s="430"/>
      <c r="BE723" s="430"/>
    </row>
    <row r="724" spans="1:57" ht="15.75" customHeight="1">
      <c r="A724" s="430"/>
      <c r="B724" s="430"/>
      <c r="C724" s="430"/>
      <c r="D724" s="430"/>
      <c r="E724" s="430"/>
      <c r="F724" s="430"/>
      <c r="G724" s="430"/>
      <c r="H724" s="430"/>
      <c r="I724" s="430"/>
      <c r="J724" s="430"/>
      <c r="K724" s="430"/>
      <c r="L724" s="430"/>
      <c r="M724" s="430"/>
      <c r="N724" s="430"/>
      <c r="O724" s="430"/>
      <c r="P724" s="430"/>
      <c r="Q724" s="430"/>
      <c r="R724" s="430"/>
      <c r="S724" s="430"/>
      <c r="T724" s="430"/>
      <c r="U724" s="430"/>
      <c r="V724" s="430"/>
      <c r="W724" s="430"/>
      <c r="X724" s="430"/>
      <c r="Y724" s="430"/>
      <c r="Z724" s="430"/>
      <c r="AA724" s="430"/>
      <c r="AB724" s="430"/>
      <c r="AC724" s="430"/>
      <c r="AD724" s="430"/>
      <c r="AE724" s="430"/>
      <c r="AF724" s="430"/>
      <c r="AG724" s="430"/>
      <c r="AH724" s="430"/>
      <c r="AI724" s="430"/>
      <c r="AJ724" s="430"/>
      <c r="AK724" s="430"/>
      <c r="AL724" s="430"/>
      <c r="AM724" s="430"/>
      <c r="AN724" s="430"/>
      <c r="AO724" s="430"/>
      <c r="AP724" s="430"/>
      <c r="AQ724" s="430"/>
      <c r="AR724" s="430"/>
      <c r="AS724" s="430"/>
      <c r="AT724" s="430"/>
      <c r="AU724" s="430"/>
      <c r="AV724" s="430"/>
      <c r="AW724" s="430"/>
      <c r="AX724" s="430"/>
      <c r="AY724" s="430"/>
      <c r="AZ724" s="430"/>
      <c r="BA724" s="430"/>
      <c r="BB724" s="430"/>
      <c r="BC724" s="430"/>
      <c r="BD724" s="430"/>
      <c r="BE724" s="430"/>
    </row>
    <row r="725" spans="1:57" ht="15.75" customHeight="1">
      <c r="A725" s="430"/>
      <c r="B725" s="430"/>
      <c r="C725" s="430"/>
      <c r="D725" s="430"/>
      <c r="E725" s="430"/>
      <c r="F725" s="430"/>
      <c r="G725" s="430"/>
      <c r="H725" s="430"/>
      <c r="I725" s="430"/>
      <c r="J725" s="430"/>
      <c r="K725" s="430"/>
      <c r="L725" s="430"/>
      <c r="M725" s="430"/>
      <c r="N725" s="430"/>
      <c r="O725" s="430"/>
      <c r="P725" s="430"/>
      <c r="Q725" s="430"/>
      <c r="R725" s="430"/>
      <c r="S725" s="430"/>
      <c r="T725" s="430"/>
      <c r="U725" s="430"/>
      <c r="V725" s="430"/>
      <c r="W725" s="430"/>
      <c r="X725" s="430"/>
      <c r="Y725" s="430"/>
      <c r="Z725" s="430"/>
      <c r="AA725" s="430"/>
      <c r="AB725" s="430"/>
      <c r="AC725" s="430"/>
      <c r="AD725" s="430"/>
      <c r="AE725" s="430"/>
      <c r="AF725" s="430"/>
      <c r="AG725" s="430"/>
      <c r="AH725" s="430"/>
      <c r="AI725" s="430"/>
      <c r="AJ725" s="430"/>
      <c r="AK725" s="430"/>
      <c r="AL725" s="430"/>
      <c r="AM725" s="430"/>
      <c r="AN725" s="430"/>
      <c r="AO725" s="430"/>
      <c r="AP725" s="430"/>
      <c r="AQ725" s="430"/>
      <c r="AR725" s="430"/>
      <c r="AS725" s="430"/>
      <c r="AT725" s="430"/>
      <c r="AU725" s="430"/>
      <c r="AV725" s="430"/>
      <c r="AW725" s="430"/>
      <c r="AX725" s="430"/>
      <c r="AY725" s="430"/>
      <c r="AZ725" s="430"/>
      <c r="BA725" s="430"/>
      <c r="BB725" s="430"/>
      <c r="BC725" s="430"/>
      <c r="BD725" s="430"/>
      <c r="BE725" s="430"/>
    </row>
    <row r="726" spans="1:57" ht="15.75" customHeight="1">
      <c r="A726" s="430"/>
      <c r="B726" s="430"/>
      <c r="C726" s="430"/>
      <c r="D726" s="430"/>
      <c r="E726" s="430"/>
      <c r="F726" s="430"/>
      <c r="G726" s="430"/>
      <c r="H726" s="430"/>
      <c r="I726" s="430"/>
      <c r="J726" s="430"/>
      <c r="K726" s="430"/>
      <c r="L726" s="430"/>
      <c r="M726" s="430"/>
      <c r="N726" s="430"/>
      <c r="O726" s="430"/>
      <c r="P726" s="430"/>
      <c r="Q726" s="430"/>
      <c r="R726" s="430"/>
      <c r="S726" s="430"/>
      <c r="T726" s="430"/>
      <c r="U726" s="430"/>
      <c r="V726" s="430"/>
      <c r="W726" s="430"/>
      <c r="X726" s="430"/>
      <c r="Y726" s="430"/>
      <c r="Z726" s="430"/>
      <c r="AA726" s="430"/>
      <c r="AB726" s="430"/>
      <c r="AC726" s="430"/>
      <c r="AD726" s="430"/>
      <c r="AE726" s="430"/>
      <c r="AF726" s="430"/>
      <c r="AG726" s="430"/>
      <c r="AH726" s="430"/>
      <c r="AI726" s="430"/>
      <c r="AJ726" s="430"/>
      <c r="AK726" s="430"/>
      <c r="AL726" s="430"/>
      <c r="AM726" s="430"/>
      <c r="AN726" s="430"/>
      <c r="AO726" s="430"/>
      <c r="AP726" s="430"/>
      <c r="AQ726" s="430"/>
      <c r="AR726" s="430"/>
      <c r="AS726" s="430"/>
      <c r="AT726" s="430"/>
      <c r="AU726" s="430"/>
      <c r="AV726" s="430"/>
      <c r="AW726" s="430"/>
      <c r="AX726" s="430"/>
      <c r="AY726" s="430"/>
      <c r="AZ726" s="430"/>
      <c r="BA726" s="430"/>
      <c r="BB726" s="430"/>
      <c r="BC726" s="430"/>
      <c r="BD726" s="430"/>
      <c r="BE726" s="430"/>
    </row>
    <row r="727" spans="1:57" ht="15.75" customHeight="1">
      <c r="A727" s="430"/>
      <c r="B727" s="430"/>
      <c r="C727" s="430"/>
      <c r="D727" s="430"/>
      <c r="E727" s="430"/>
      <c r="F727" s="430"/>
      <c r="G727" s="430"/>
      <c r="H727" s="430"/>
      <c r="I727" s="430"/>
      <c r="J727" s="430"/>
      <c r="K727" s="430"/>
      <c r="L727" s="430"/>
      <c r="M727" s="430"/>
      <c r="N727" s="430"/>
      <c r="O727" s="430"/>
      <c r="P727" s="430"/>
      <c r="Q727" s="430"/>
      <c r="R727" s="430"/>
      <c r="S727" s="430"/>
      <c r="T727" s="430"/>
      <c r="U727" s="430"/>
      <c r="V727" s="430"/>
      <c r="W727" s="430"/>
      <c r="X727" s="430"/>
      <c r="Y727" s="430"/>
      <c r="Z727" s="430"/>
      <c r="AA727" s="430"/>
      <c r="AB727" s="430"/>
      <c r="AC727" s="430"/>
      <c r="AD727" s="430"/>
      <c r="AE727" s="430"/>
      <c r="AF727" s="430"/>
      <c r="AG727" s="430"/>
      <c r="AH727" s="430"/>
      <c r="AI727" s="430"/>
      <c r="AJ727" s="430"/>
      <c r="AK727" s="430"/>
      <c r="AL727" s="430"/>
      <c r="AM727" s="430"/>
      <c r="AN727" s="430"/>
      <c r="AO727" s="430"/>
      <c r="AP727" s="430"/>
      <c r="AQ727" s="430"/>
      <c r="AR727" s="430"/>
      <c r="AS727" s="430"/>
      <c r="AT727" s="430"/>
      <c r="AU727" s="430"/>
      <c r="AV727" s="430"/>
      <c r="AW727" s="430"/>
      <c r="AX727" s="430"/>
      <c r="AY727" s="430"/>
      <c r="AZ727" s="430"/>
      <c r="BA727" s="430"/>
      <c r="BB727" s="430"/>
      <c r="BC727" s="430"/>
      <c r="BD727" s="430"/>
      <c r="BE727" s="430"/>
    </row>
    <row r="728" spans="1:57" ht="15.75" customHeight="1">
      <c r="A728" s="430"/>
      <c r="B728" s="430"/>
      <c r="C728" s="430"/>
      <c r="D728" s="430"/>
      <c r="E728" s="430"/>
      <c r="F728" s="430"/>
      <c r="G728" s="430"/>
      <c r="H728" s="430"/>
      <c r="I728" s="430"/>
      <c r="J728" s="430"/>
      <c r="K728" s="430"/>
      <c r="L728" s="430"/>
      <c r="M728" s="430"/>
      <c r="N728" s="430"/>
      <c r="O728" s="430"/>
      <c r="P728" s="430"/>
      <c r="Q728" s="430"/>
      <c r="R728" s="430"/>
      <c r="S728" s="430"/>
      <c r="T728" s="430"/>
      <c r="U728" s="430"/>
      <c r="V728" s="430"/>
      <c r="W728" s="430"/>
      <c r="X728" s="430"/>
      <c r="Y728" s="430"/>
      <c r="Z728" s="430"/>
      <c r="AA728" s="430"/>
      <c r="AB728" s="430"/>
      <c r="AC728" s="430"/>
      <c r="AD728" s="430"/>
      <c r="AE728" s="430"/>
      <c r="AF728" s="430"/>
      <c r="AG728" s="430"/>
      <c r="AH728" s="430"/>
      <c r="AI728" s="430"/>
      <c r="AJ728" s="430"/>
      <c r="AK728" s="430"/>
      <c r="AL728" s="430"/>
      <c r="AM728" s="430"/>
      <c r="AN728" s="430"/>
      <c r="AO728" s="430"/>
      <c r="AP728" s="430"/>
      <c r="AQ728" s="430"/>
      <c r="AR728" s="430"/>
      <c r="AS728" s="430"/>
      <c r="AT728" s="430"/>
      <c r="AU728" s="430"/>
      <c r="AV728" s="430"/>
      <c r="AW728" s="430"/>
      <c r="AX728" s="430"/>
      <c r="AY728" s="430"/>
      <c r="AZ728" s="430"/>
      <c r="BA728" s="430"/>
      <c r="BB728" s="430"/>
      <c r="BC728" s="430"/>
      <c r="BD728" s="430"/>
      <c r="BE728" s="430"/>
    </row>
    <row r="729" spans="1:57" ht="15.75" customHeight="1">
      <c r="A729" s="430"/>
      <c r="B729" s="430"/>
      <c r="C729" s="430"/>
      <c r="D729" s="430"/>
      <c r="E729" s="430"/>
      <c r="F729" s="430"/>
      <c r="G729" s="430"/>
      <c r="H729" s="430"/>
      <c r="I729" s="430"/>
      <c r="J729" s="430"/>
      <c r="K729" s="430"/>
      <c r="L729" s="430"/>
      <c r="M729" s="430"/>
      <c r="N729" s="430"/>
      <c r="O729" s="430"/>
      <c r="P729" s="430"/>
      <c r="Q729" s="430"/>
      <c r="R729" s="430"/>
      <c r="S729" s="430"/>
      <c r="T729" s="430"/>
      <c r="U729" s="430"/>
      <c r="V729" s="430"/>
      <c r="W729" s="430"/>
      <c r="X729" s="430"/>
      <c r="Y729" s="430"/>
      <c r="Z729" s="430"/>
      <c r="AA729" s="430"/>
      <c r="AB729" s="430"/>
      <c r="AC729" s="430"/>
      <c r="AD729" s="430"/>
      <c r="AE729" s="430"/>
      <c r="AF729" s="430"/>
      <c r="AG729" s="430"/>
      <c r="AH729" s="430"/>
      <c r="AI729" s="430"/>
      <c r="AJ729" s="430"/>
      <c r="AK729" s="430"/>
      <c r="AL729" s="430"/>
      <c r="AM729" s="430"/>
      <c r="AN729" s="430"/>
      <c r="AO729" s="430"/>
      <c r="AP729" s="430"/>
      <c r="AQ729" s="430"/>
      <c r="AR729" s="430"/>
      <c r="AS729" s="430"/>
      <c r="AT729" s="430"/>
      <c r="AU729" s="430"/>
      <c r="AV729" s="430"/>
      <c r="AW729" s="430"/>
      <c r="AX729" s="430"/>
      <c r="AY729" s="430"/>
      <c r="AZ729" s="430"/>
      <c r="BA729" s="430"/>
      <c r="BB729" s="430"/>
      <c r="BC729" s="430"/>
      <c r="BD729" s="430"/>
      <c r="BE729" s="430"/>
    </row>
    <row r="730" spans="1:57" ht="15.75" customHeight="1">
      <c r="A730" s="430"/>
      <c r="B730" s="430"/>
      <c r="C730" s="430"/>
      <c r="D730" s="430"/>
      <c r="E730" s="430"/>
      <c r="F730" s="430"/>
      <c r="G730" s="430"/>
      <c r="H730" s="430"/>
      <c r="I730" s="430"/>
      <c r="J730" s="430"/>
      <c r="K730" s="430"/>
      <c r="L730" s="430"/>
      <c r="M730" s="430"/>
      <c r="N730" s="430"/>
      <c r="O730" s="430"/>
      <c r="P730" s="430"/>
      <c r="Q730" s="430"/>
      <c r="R730" s="430"/>
      <c r="S730" s="430"/>
      <c r="T730" s="430"/>
      <c r="U730" s="430"/>
      <c r="V730" s="430"/>
      <c r="W730" s="430"/>
      <c r="X730" s="430"/>
      <c r="Y730" s="430"/>
      <c r="Z730" s="430"/>
      <c r="AA730" s="430"/>
      <c r="AB730" s="430"/>
      <c r="AC730" s="430"/>
      <c r="AD730" s="430"/>
      <c r="AE730" s="430"/>
      <c r="AF730" s="430"/>
      <c r="AG730" s="430"/>
      <c r="AH730" s="430"/>
      <c r="AI730" s="430"/>
      <c r="AJ730" s="430"/>
      <c r="AK730" s="430"/>
      <c r="AL730" s="430"/>
      <c r="AM730" s="430"/>
      <c r="AN730" s="430"/>
      <c r="AO730" s="430"/>
      <c r="AP730" s="430"/>
      <c r="AQ730" s="430"/>
      <c r="AR730" s="430"/>
      <c r="AS730" s="430"/>
      <c r="AT730" s="430"/>
      <c r="AU730" s="430"/>
      <c r="AV730" s="430"/>
      <c r="AW730" s="430"/>
      <c r="AX730" s="430"/>
      <c r="AY730" s="430"/>
      <c r="AZ730" s="430"/>
      <c r="BA730" s="430"/>
      <c r="BB730" s="430"/>
      <c r="BC730" s="430"/>
      <c r="BD730" s="430"/>
      <c r="BE730" s="430"/>
    </row>
    <row r="731" spans="1:57" ht="15.75" customHeight="1">
      <c r="A731" s="430"/>
      <c r="B731" s="430"/>
      <c r="C731" s="430"/>
      <c r="D731" s="430"/>
      <c r="E731" s="430"/>
      <c r="F731" s="430"/>
      <c r="G731" s="430"/>
      <c r="H731" s="430"/>
      <c r="I731" s="430"/>
      <c r="J731" s="430"/>
      <c r="K731" s="430"/>
      <c r="L731" s="430"/>
      <c r="M731" s="430"/>
      <c r="N731" s="430"/>
      <c r="O731" s="430"/>
      <c r="P731" s="430"/>
      <c r="Q731" s="430"/>
      <c r="R731" s="430"/>
      <c r="S731" s="430"/>
      <c r="T731" s="430"/>
      <c r="U731" s="430"/>
      <c r="V731" s="430"/>
      <c r="W731" s="430"/>
      <c r="X731" s="430"/>
      <c r="Y731" s="430"/>
      <c r="Z731" s="430"/>
      <c r="AA731" s="430"/>
      <c r="AB731" s="430"/>
      <c r="AC731" s="430"/>
      <c r="AD731" s="430"/>
      <c r="AE731" s="430"/>
      <c r="AF731" s="430"/>
      <c r="AG731" s="430"/>
      <c r="AH731" s="430"/>
      <c r="AI731" s="430"/>
      <c r="AJ731" s="430"/>
      <c r="AK731" s="430"/>
      <c r="AL731" s="430"/>
      <c r="AM731" s="430"/>
      <c r="AN731" s="430"/>
      <c r="AO731" s="430"/>
      <c r="AP731" s="430"/>
      <c r="AQ731" s="430"/>
      <c r="AR731" s="430"/>
      <c r="AS731" s="430"/>
      <c r="AT731" s="430"/>
      <c r="AU731" s="430"/>
      <c r="AV731" s="430"/>
      <c r="AW731" s="430"/>
      <c r="AX731" s="430"/>
      <c r="AY731" s="430"/>
      <c r="AZ731" s="430"/>
      <c r="BA731" s="430"/>
      <c r="BB731" s="430"/>
      <c r="BC731" s="430"/>
      <c r="BD731" s="430"/>
      <c r="BE731" s="430"/>
    </row>
    <row r="732" spans="1:57" ht="15.75" customHeight="1">
      <c r="A732" s="430"/>
      <c r="B732" s="430"/>
      <c r="C732" s="430"/>
      <c r="D732" s="430"/>
      <c r="E732" s="430"/>
      <c r="F732" s="430"/>
      <c r="G732" s="430"/>
      <c r="H732" s="430"/>
      <c r="I732" s="430"/>
      <c r="J732" s="430"/>
      <c r="K732" s="430"/>
      <c r="L732" s="430"/>
      <c r="M732" s="430"/>
      <c r="N732" s="430"/>
      <c r="O732" s="430"/>
      <c r="P732" s="430"/>
      <c r="Q732" s="430"/>
      <c r="R732" s="430"/>
      <c r="S732" s="430"/>
      <c r="T732" s="430"/>
      <c r="U732" s="430"/>
      <c r="V732" s="430"/>
      <c r="W732" s="430"/>
      <c r="X732" s="430"/>
      <c r="Y732" s="430"/>
      <c r="Z732" s="430"/>
      <c r="AA732" s="430"/>
      <c r="AB732" s="430"/>
      <c r="AC732" s="430"/>
      <c r="AD732" s="430"/>
      <c r="AE732" s="430"/>
      <c r="AF732" s="430"/>
      <c r="AG732" s="430"/>
      <c r="AH732" s="430"/>
      <c r="AI732" s="430"/>
      <c r="AJ732" s="430"/>
      <c r="AK732" s="430"/>
      <c r="AL732" s="430"/>
      <c r="AM732" s="430"/>
      <c r="AN732" s="430"/>
      <c r="AO732" s="430"/>
      <c r="AP732" s="430"/>
      <c r="AQ732" s="430"/>
      <c r="AR732" s="430"/>
      <c r="AS732" s="430"/>
      <c r="AT732" s="430"/>
      <c r="AU732" s="430"/>
      <c r="AV732" s="430"/>
      <c r="AW732" s="430"/>
      <c r="AX732" s="430"/>
      <c r="AY732" s="430"/>
      <c r="AZ732" s="430"/>
      <c r="BA732" s="430"/>
      <c r="BB732" s="430"/>
      <c r="BC732" s="430"/>
      <c r="BD732" s="430"/>
      <c r="BE732" s="430"/>
    </row>
    <row r="733" spans="1:57" ht="15.75" customHeight="1">
      <c r="A733" s="430"/>
      <c r="B733" s="430"/>
      <c r="C733" s="430"/>
      <c r="D733" s="430"/>
      <c r="E733" s="430"/>
      <c r="F733" s="430"/>
      <c r="G733" s="430"/>
      <c r="H733" s="430"/>
      <c r="I733" s="430"/>
      <c r="J733" s="430"/>
      <c r="K733" s="430"/>
      <c r="L733" s="430"/>
      <c r="M733" s="430"/>
      <c r="N733" s="430"/>
      <c r="O733" s="430"/>
      <c r="P733" s="430"/>
      <c r="Q733" s="430"/>
      <c r="R733" s="430"/>
      <c r="S733" s="430"/>
      <c r="T733" s="430"/>
      <c r="U733" s="430"/>
      <c r="V733" s="430"/>
      <c r="W733" s="430"/>
      <c r="X733" s="430"/>
      <c r="Y733" s="430"/>
      <c r="Z733" s="430"/>
      <c r="AA733" s="430"/>
      <c r="AB733" s="430"/>
      <c r="AC733" s="430"/>
      <c r="AD733" s="430"/>
      <c r="AE733" s="430"/>
      <c r="AF733" s="430"/>
      <c r="AG733" s="430"/>
      <c r="AH733" s="430"/>
      <c r="AI733" s="430"/>
      <c r="AJ733" s="430"/>
      <c r="AK733" s="430"/>
      <c r="AL733" s="430"/>
      <c r="AM733" s="430"/>
      <c r="AN733" s="430"/>
      <c r="AO733" s="430"/>
      <c r="AP733" s="430"/>
      <c r="AQ733" s="430"/>
      <c r="AR733" s="430"/>
      <c r="AS733" s="430"/>
      <c r="AT733" s="430"/>
      <c r="AU733" s="430"/>
      <c r="AV733" s="430"/>
      <c r="AW733" s="430"/>
      <c r="AX733" s="430"/>
      <c r="AY733" s="430"/>
      <c r="AZ733" s="430"/>
      <c r="BA733" s="430"/>
      <c r="BB733" s="430"/>
      <c r="BC733" s="430"/>
      <c r="BD733" s="430"/>
      <c r="BE733" s="430"/>
    </row>
    <row r="734" spans="1:57" ht="15.75" customHeight="1">
      <c r="A734" s="430"/>
      <c r="B734" s="430"/>
      <c r="C734" s="430"/>
      <c r="D734" s="430"/>
      <c r="E734" s="430"/>
      <c r="F734" s="430"/>
      <c r="G734" s="430"/>
      <c r="H734" s="430"/>
      <c r="I734" s="430"/>
      <c r="J734" s="430"/>
      <c r="K734" s="430"/>
      <c r="L734" s="430"/>
      <c r="M734" s="430"/>
      <c r="N734" s="430"/>
      <c r="O734" s="430"/>
      <c r="P734" s="430"/>
      <c r="Q734" s="430"/>
      <c r="R734" s="430"/>
      <c r="S734" s="430"/>
      <c r="T734" s="430"/>
      <c r="U734" s="430"/>
      <c r="V734" s="430"/>
      <c r="W734" s="430"/>
      <c r="X734" s="430"/>
      <c r="Y734" s="430"/>
      <c r="Z734" s="430"/>
      <c r="AA734" s="430"/>
      <c r="AB734" s="430"/>
      <c r="AC734" s="430"/>
      <c r="AD734" s="430"/>
      <c r="AE734" s="430"/>
      <c r="AF734" s="430"/>
      <c r="AG734" s="430"/>
      <c r="AH734" s="430"/>
      <c r="AI734" s="430"/>
      <c r="AJ734" s="430"/>
      <c r="AK734" s="430"/>
      <c r="AL734" s="430"/>
      <c r="AM734" s="430"/>
      <c r="AN734" s="430"/>
      <c r="AO734" s="430"/>
      <c r="AP734" s="430"/>
      <c r="AQ734" s="430"/>
      <c r="AR734" s="430"/>
      <c r="AS734" s="430"/>
      <c r="AT734" s="430"/>
      <c r="AU734" s="430"/>
      <c r="AV734" s="430"/>
      <c r="AW734" s="430"/>
      <c r="AX734" s="430"/>
      <c r="AY734" s="430"/>
      <c r="AZ734" s="430"/>
      <c r="BA734" s="430"/>
      <c r="BB734" s="430"/>
      <c r="BC734" s="430"/>
      <c r="BD734" s="430"/>
      <c r="BE734" s="430"/>
    </row>
    <row r="735" spans="1:57" ht="15.75" customHeight="1">
      <c r="A735" s="430"/>
      <c r="B735" s="430"/>
      <c r="C735" s="430"/>
      <c r="D735" s="430"/>
      <c r="E735" s="430"/>
      <c r="F735" s="430"/>
      <c r="G735" s="430"/>
      <c r="H735" s="430"/>
      <c r="I735" s="430"/>
      <c r="J735" s="430"/>
      <c r="K735" s="430"/>
      <c r="L735" s="430"/>
      <c r="M735" s="430"/>
      <c r="N735" s="430"/>
      <c r="O735" s="430"/>
      <c r="P735" s="430"/>
      <c r="Q735" s="430"/>
      <c r="R735" s="430"/>
      <c r="S735" s="430"/>
      <c r="T735" s="430"/>
      <c r="U735" s="430"/>
      <c r="V735" s="430"/>
      <c r="W735" s="430"/>
      <c r="X735" s="430"/>
      <c r="Y735" s="430"/>
      <c r="Z735" s="430"/>
      <c r="AA735" s="430"/>
      <c r="AB735" s="430"/>
      <c r="AC735" s="430"/>
      <c r="AD735" s="430"/>
      <c r="AE735" s="430"/>
      <c r="AF735" s="430"/>
      <c r="AG735" s="430"/>
      <c r="AH735" s="430"/>
      <c r="AI735" s="430"/>
      <c r="AJ735" s="430"/>
      <c r="AK735" s="430"/>
      <c r="AL735" s="430"/>
      <c r="AM735" s="430"/>
      <c r="AN735" s="430"/>
      <c r="AO735" s="430"/>
      <c r="AP735" s="430"/>
      <c r="AQ735" s="430"/>
      <c r="AR735" s="430"/>
      <c r="AS735" s="430"/>
      <c r="AT735" s="430"/>
      <c r="AU735" s="430"/>
      <c r="AV735" s="430"/>
      <c r="AW735" s="430"/>
      <c r="AX735" s="430"/>
      <c r="AY735" s="430"/>
      <c r="AZ735" s="430"/>
      <c r="BA735" s="430"/>
      <c r="BB735" s="430"/>
      <c r="BC735" s="430"/>
      <c r="BD735" s="430"/>
      <c r="BE735" s="430"/>
    </row>
    <row r="736" spans="1:57" ht="15.75" customHeight="1">
      <c r="A736" s="430"/>
      <c r="B736" s="430"/>
      <c r="C736" s="430"/>
      <c r="D736" s="430"/>
      <c r="E736" s="430"/>
      <c r="F736" s="430"/>
      <c r="G736" s="430"/>
      <c r="H736" s="430"/>
      <c r="I736" s="430"/>
      <c r="J736" s="430"/>
      <c r="K736" s="430"/>
      <c r="L736" s="430"/>
      <c r="M736" s="430"/>
      <c r="N736" s="430"/>
      <c r="O736" s="430"/>
      <c r="P736" s="430"/>
      <c r="Q736" s="430"/>
      <c r="R736" s="430"/>
      <c r="S736" s="430"/>
      <c r="T736" s="430"/>
      <c r="U736" s="430"/>
      <c r="V736" s="430"/>
      <c r="W736" s="430"/>
      <c r="X736" s="430"/>
      <c r="Y736" s="430"/>
      <c r="Z736" s="430"/>
      <c r="AA736" s="430"/>
      <c r="AB736" s="430"/>
      <c r="AC736" s="430"/>
      <c r="AD736" s="430"/>
      <c r="AE736" s="430"/>
      <c r="AF736" s="430"/>
      <c r="AG736" s="430"/>
      <c r="AH736" s="430"/>
      <c r="AI736" s="430"/>
      <c r="AJ736" s="430"/>
      <c r="AK736" s="430"/>
      <c r="AL736" s="430"/>
      <c r="AM736" s="430"/>
      <c r="AN736" s="430"/>
      <c r="AO736" s="430"/>
      <c r="AP736" s="430"/>
      <c r="AQ736" s="430"/>
      <c r="AR736" s="430"/>
      <c r="AS736" s="430"/>
      <c r="AT736" s="430"/>
      <c r="AU736" s="430"/>
      <c r="AV736" s="430"/>
      <c r="AW736" s="430"/>
      <c r="AX736" s="430"/>
      <c r="AY736" s="430"/>
      <c r="AZ736" s="430"/>
      <c r="BA736" s="430"/>
      <c r="BB736" s="430"/>
      <c r="BC736" s="430"/>
      <c r="BD736" s="430"/>
      <c r="BE736" s="430"/>
    </row>
    <row r="737" spans="1:57" ht="15.75" customHeight="1">
      <c r="A737" s="430"/>
      <c r="B737" s="430"/>
      <c r="C737" s="430"/>
      <c r="D737" s="430"/>
      <c r="E737" s="430"/>
      <c r="F737" s="430"/>
      <c r="G737" s="430"/>
      <c r="H737" s="430"/>
      <c r="I737" s="430"/>
      <c r="J737" s="430"/>
      <c r="K737" s="430"/>
      <c r="L737" s="430"/>
      <c r="M737" s="430"/>
      <c r="N737" s="430"/>
      <c r="O737" s="430"/>
      <c r="P737" s="430"/>
      <c r="Q737" s="430"/>
      <c r="R737" s="430"/>
      <c r="S737" s="430"/>
      <c r="T737" s="430"/>
      <c r="U737" s="430"/>
      <c r="V737" s="430"/>
      <c r="W737" s="430"/>
      <c r="X737" s="430"/>
      <c r="Y737" s="430"/>
      <c r="Z737" s="430"/>
      <c r="AA737" s="430"/>
      <c r="AB737" s="430"/>
      <c r="AC737" s="430"/>
      <c r="AD737" s="430"/>
      <c r="AE737" s="430"/>
      <c r="AF737" s="430"/>
      <c r="AG737" s="430"/>
      <c r="AH737" s="430"/>
      <c r="AI737" s="430"/>
      <c r="AJ737" s="430"/>
      <c r="AK737" s="430"/>
      <c r="AL737" s="430"/>
      <c r="AM737" s="430"/>
      <c r="AN737" s="430"/>
      <c r="AO737" s="430"/>
      <c r="AP737" s="430"/>
      <c r="AQ737" s="430"/>
      <c r="AR737" s="430"/>
      <c r="AS737" s="430"/>
      <c r="AT737" s="430"/>
      <c r="AU737" s="430"/>
      <c r="AV737" s="430"/>
      <c r="AW737" s="430"/>
      <c r="AX737" s="430"/>
      <c r="AY737" s="430"/>
      <c r="AZ737" s="430"/>
      <c r="BA737" s="430"/>
      <c r="BB737" s="430"/>
      <c r="BC737" s="430"/>
      <c r="BD737" s="430"/>
      <c r="BE737" s="430"/>
    </row>
    <row r="738" spans="1:57" ht="15.75" customHeight="1">
      <c r="A738" s="430"/>
      <c r="B738" s="430"/>
      <c r="C738" s="430"/>
      <c r="D738" s="430"/>
      <c r="E738" s="430"/>
      <c r="F738" s="430"/>
      <c r="G738" s="430"/>
      <c r="H738" s="430"/>
      <c r="I738" s="430"/>
      <c r="J738" s="430"/>
      <c r="K738" s="430"/>
      <c r="L738" s="430"/>
      <c r="M738" s="430"/>
      <c r="N738" s="430"/>
      <c r="O738" s="430"/>
      <c r="P738" s="430"/>
      <c r="Q738" s="430"/>
      <c r="R738" s="430"/>
      <c r="S738" s="430"/>
      <c r="T738" s="430"/>
      <c r="U738" s="430"/>
      <c r="V738" s="430"/>
      <c r="W738" s="430"/>
      <c r="X738" s="430"/>
      <c r="Y738" s="430"/>
      <c r="Z738" s="430"/>
      <c r="AA738" s="430"/>
      <c r="AB738" s="430"/>
      <c r="AC738" s="430"/>
      <c r="AD738" s="430"/>
      <c r="AE738" s="430"/>
      <c r="AF738" s="430"/>
      <c r="AG738" s="430"/>
      <c r="AH738" s="430"/>
      <c r="AI738" s="430"/>
      <c r="AJ738" s="430"/>
      <c r="AK738" s="430"/>
      <c r="AL738" s="430"/>
      <c r="AM738" s="430"/>
      <c r="AN738" s="430"/>
      <c r="AO738" s="430"/>
      <c r="AP738" s="430"/>
      <c r="AQ738" s="430"/>
      <c r="AR738" s="430"/>
      <c r="AS738" s="430"/>
      <c r="AT738" s="430"/>
      <c r="AU738" s="430"/>
      <c r="AV738" s="430"/>
      <c r="AW738" s="430"/>
      <c r="AX738" s="430"/>
      <c r="AY738" s="430"/>
      <c r="AZ738" s="430"/>
      <c r="BA738" s="430"/>
      <c r="BB738" s="430"/>
      <c r="BC738" s="430"/>
      <c r="BD738" s="430"/>
      <c r="BE738" s="430"/>
    </row>
    <row r="739" spans="1:57" ht="15.75" customHeight="1">
      <c r="A739" s="430"/>
      <c r="B739" s="430"/>
      <c r="C739" s="430"/>
      <c r="D739" s="430"/>
      <c r="E739" s="430"/>
      <c r="F739" s="430"/>
      <c r="G739" s="430"/>
      <c r="H739" s="430"/>
      <c r="I739" s="430"/>
      <c r="J739" s="430"/>
      <c r="K739" s="430"/>
      <c r="L739" s="430"/>
      <c r="M739" s="430"/>
      <c r="N739" s="430"/>
      <c r="O739" s="430"/>
      <c r="P739" s="430"/>
      <c r="Q739" s="430"/>
      <c r="R739" s="430"/>
      <c r="S739" s="430"/>
      <c r="T739" s="430"/>
      <c r="U739" s="430"/>
      <c r="V739" s="430"/>
      <c r="W739" s="430"/>
      <c r="X739" s="430"/>
      <c r="Y739" s="430"/>
      <c r="Z739" s="430"/>
      <c r="AA739" s="430"/>
      <c r="AB739" s="430"/>
      <c r="AC739" s="430"/>
      <c r="AD739" s="430"/>
      <c r="AE739" s="430"/>
      <c r="AF739" s="430"/>
      <c r="AG739" s="430"/>
      <c r="AH739" s="430"/>
      <c r="AI739" s="430"/>
      <c r="AJ739" s="430"/>
      <c r="AK739" s="430"/>
      <c r="AL739" s="430"/>
      <c r="AM739" s="430"/>
      <c r="AN739" s="430"/>
      <c r="AO739" s="430"/>
      <c r="AP739" s="430"/>
      <c r="AQ739" s="430"/>
      <c r="AR739" s="430"/>
      <c r="AS739" s="430"/>
      <c r="AT739" s="430"/>
      <c r="AU739" s="430"/>
      <c r="AV739" s="430"/>
      <c r="AW739" s="430"/>
      <c r="AX739" s="430"/>
      <c r="AY739" s="430"/>
      <c r="AZ739" s="430"/>
      <c r="BA739" s="430"/>
      <c r="BB739" s="430"/>
      <c r="BC739" s="430"/>
      <c r="BD739" s="430"/>
      <c r="BE739" s="430"/>
    </row>
    <row r="740" spans="1:57" ht="15.75" customHeight="1">
      <c r="A740" s="430"/>
      <c r="B740" s="430"/>
      <c r="C740" s="430"/>
      <c r="D740" s="430"/>
      <c r="E740" s="430"/>
      <c r="F740" s="430"/>
      <c r="G740" s="430"/>
      <c r="H740" s="430"/>
      <c r="I740" s="430"/>
      <c r="J740" s="430"/>
      <c r="K740" s="430"/>
      <c r="L740" s="430"/>
      <c r="M740" s="430"/>
      <c r="N740" s="430"/>
      <c r="O740" s="430"/>
      <c r="P740" s="430"/>
      <c r="Q740" s="430"/>
      <c r="R740" s="430"/>
      <c r="S740" s="430"/>
      <c r="T740" s="430"/>
      <c r="U740" s="430"/>
      <c r="V740" s="430"/>
      <c r="W740" s="430"/>
      <c r="X740" s="430"/>
      <c r="Y740" s="430"/>
      <c r="Z740" s="430"/>
      <c r="AA740" s="430"/>
      <c r="AB740" s="430"/>
      <c r="AC740" s="430"/>
      <c r="AD740" s="430"/>
      <c r="AE740" s="430"/>
      <c r="AF740" s="430"/>
      <c r="AG740" s="430"/>
      <c r="AH740" s="430"/>
      <c r="AI740" s="430"/>
      <c r="AJ740" s="430"/>
      <c r="AK740" s="430"/>
      <c r="AL740" s="430"/>
      <c r="AM740" s="430"/>
      <c r="AN740" s="430"/>
      <c r="AO740" s="430"/>
      <c r="AP740" s="430"/>
      <c r="AQ740" s="430"/>
      <c r="AR740" s="430"/>
      <c r="AS740" s="430"/>
      <c r="AT740" s="430"/>
      <c r="AU740" s="430"/>
      <c r="AV740" s="430"/>
      <c r="AW740" s="430"/>
      <c r="AX740" s="430"/>
      <c r="AY740" s="430"/>
      <c r="AZ740" s="430"/>
      <c r="BA740" s="430"/>
      <c r="BB740" s="430"/>
      <c r="BC740" s="430"/>
      <c r="BD740" s="430"/>
      <c r="BE740" s="430"/>
    </row>
    <row r="741" spans="1:57" ht="15.75" customHeight="1">
      <c r="A741" s="430"/>
      <c r="B741" s="430"/>
      <c r="C741" s="430"/>
      <c r="D741" s="430"/>
      <c r="E741" s="430"/>
      <c r="F741" s="430"/>
      <c r="G741" s="430"/>
      <c r="H741" s="430"/>
      <c r="I741" s="430"/>
      <c r="J741" s="430"/>
      <c r="K741" s="430"/>
      <c r="L741" s="430"/>
      <c r="M741" s="430"/>
      <c r="N741" s="430"/>
      <c r="O741" s="430"/>
      <c r="P741" s="430"/>
      <c r="Q741" s="430"/>
      <c r="R741" s="430"/>
      <c r="S741" s="430"/>
      <c r="T741" s="430"/>
      <c r="U741" s="430"/>
      <c r="V741" s="430"/>
      <c r="W741" s="430"/>
      <c r="X741" s="430"/>
      <c r="Y741" s="430"/>
      <c r="Z741" s="430"/>
      <c r="AA741" s="430"/>
      <c r="AB741" s="430"/>
      <c r="AC741" s="430"/>
      <c r="AD741" s="430"/>
      <c r="AE741" s="430"/>
      <c r="AF741" s="430"/>
      <c r="AG741" s="430"/>
      <c r="AH741" s="430"/>
      <c r="AI741" s="430"/>
      <c r="AJ741" s="430"/>
      <c r="AK741" s="430"/>
      <c r="AL741" s="430"/>
      <c r="AM741" s="430"/>
      <c r="AN741" s="430"/>
      <c r="AO741" s="430"/>
      <c r="AP741" s="430"/>
      <c r="AQ741" s="430"/>
      <c r="AR741" s="430"/>
      <c r="AS741" s="430"/>
      <c r="AT741" s="430"/>
      <c r="AU741" s="430"/>
      <c r="AV741" s="430"/>
      <c r="AW741" s="430"/>
      <c r="AX741" s="430"/>
      <c r="AY741" s="430"/>
      <c r="AZ741" s="430"/>
      <c r="BA741" s="430"/>
      <c r="BB741" s="430"/>
      <c r="BC741" s="430"/>
      <c r="BD741" s="430"/>
      <c r="BE741" s="430"/>
    </row>
    <row r="742" spans="1:57" ht="15.75" customHeight="1">
      <c r="A742" s="430"/>
      <c r="B742" s="430"/>
      <c r="C742" s="430"/>
      <c r="D742" s="430"/>
      <c r="E742" s="430"/>
      <c r="F742" s="430"/>
      <c r="G742" s="430"/>
      <c r="H742" s="430"/>
      <c r="I742" s="430"/>
      <c r="J742" s="430"/>
      <c r="K742" s="430"/>
      <c r="L742" s="430"/>
      <c r="M742" s="430"/>
      <c r="N742" s="430"/>
      <c r="O742" s="430"/>
      <c r="P742" s="430"/>
      <c r="Q742" s="430"/>
      <c r="R742" s="430"/>
      <c r="S742" s="430"/>
      <c r="T742" s="430"/>
      <c r="U742" s="430"/>
      <c r="V742" s="430"/>
      <c r="W742" s="430"/>
      <c r="X742" s="430"/>
      <c r="Y742" s="430"/>
      <c r="Z742" s="430"/>
      <c r="AA742" s="430"/>
      <c r="AB742" s="430"/>
      <c r="AC742" s="430"/>
      <c r="AD742" s="430"/>
      <c r="AE742" s="430"/>
      <c r="AF742" s="430"/>
      <c r="AG742" s="430"/>
      <c r="AH742" s="430"/>
      <c r="AI742" s="430"/>
      <c r="AJ742" s="430"/>
      <c r="AK742" s="430"/>
      <c r="AL742" s="430"/>
      <c r="AM742" s="430"/>
      <c r="AN742" s="430"/>
      <c r="AO742" s="430"/>
      <c r="AP742" s="430"/>
      <c r="AQ742" s="430"/>
      <c r="AR742" s="430"/>
      <c r="AS742" s="430"/>
      <c r="AT742" s="430"/>
      <c r="AU742" s="430"/>
      <c r="AV742" s="430"/>
      <c r="AW742" s="430"/>
      <c r="AX742" s="430"/>
      <c r="AY742" s="430"/>
      <c r="AZ742" s="430"/>
      <c r="BA742" s="430"/>
      <c r="BB742" s="430"/>
      <c r="BC742" s="430"/>
      <c r="BD742" s="430"/>
      <c r="BE742" s="430"/>
    </row>
    <row r="743" spans="1:57" ht="15.75" customHeight="1">
      <c r="A743" s="430"/>
      <c r="B743" s="430"/>
      <c r="C743" s="430"/>
      <c r="D743" s="430"/>
      <c r="E743" s="430"/>
      <c r="F743" s="430"/>
      <c r="G743" s="430"/>
      <c r="H743" s="430"/>
      <c r="I743" s="430"/>
      <c r="J743" s="430"/>
      <c r="K743" s="430"/>
      <c r="L743" s="430"/>
      <c r="M743" s="430"/>
      <c r="N743" s="430"/>
      <c r="O743" s="430"/>
      <c r="P743" s="430"/>
      <c r="Q743" s="430"/>
      <c r="R743" s="430"/>
      <c r="S743" s="430"/>
      <c r="T743" s="430"/>
      <c r="U743" s="430"/>
      <c r="V743" s="430"/>
      <c r="W743" s="430"/>
      <c r="X743" s="430"/>
      <c r="Y743" s="430"/>
      <c r="Z743" s="430"/>
      <c r="AA743" s="430"/>
      <c r="AB743" s="430"/>
      <c r="AC743" s="430"/>
      <c r="AD743" s="430"/>
      <c r="AE743" s="430"/>
      <c r="AF743" s="430"/>
      <c r="AG743" s="430"/>
      <c r="AH743" s="430"/>
      <c r="AI743" s="430"/>
      <c r="AJ743" s="430"/>
      <c r="AK743" s="430"/>
      <c r="AL743" s="430"/>
      <c r="AM743" s="430"/>
      <c r="AN743" s="430"/>
      <c r="AO743" s="430"/>
      <c r="AP743" s="430"/>
      <c r="AQ743" s="430"/>
      <c r="AR743" s="430"/>
      <c r="AS743" s="430"/>
      <c r="AT743" s="430"/>
      <c r="AU743" s="430"/>
      <c r="AV743" s="430"/>
      <c r="AW743" s="430"/>
      <c r="AX743" s="430"/>
      <c r="AY743" s="430"/>
      <c r="AZ743" s="430"/>
      <c r="BA743" s="430"/>
      <c r="BB743" s="430"/>
      <c r="BC743" s="430"/>
      <c r="BD743" s="430"/>
      <c r="BE743" s="430"/>
    </row>
    <row r="744" spans="1:57" ht="15.75" customHeight="1">
      <c r="A744" s="430"/>
      <c r="B744" s="430"/>
      <c r="C744" s="430"/>
      <c r="D744" s="430"/>
      <c r="E744" s="430"/>
      <c r="F744" s="430"/>
      <c r="G744" s="430"/>
      <c r="H744" s="430"/>
      <c r="I744" s="430"/>
      <c r="J744" s="430"/>
      <c r="K744" s="430"/>
      <c r="L744" s="430"/>
      <c r="M744" s="430"/>
      <c r="N744" s="430"/>
      <c r="O744" s="430"/>
      <c r="P744" s="430"/>
      <c r="Q744" s="430"/>
      <c r="R744" s="430"/>
      <c r="S744" s="430"/>
      <c r="T744" s="430"/>
      <c r="U744" s="430"/>
      <c r="V744" s="430"/>
      <c r="W744" s="430"/>
      <c r="X744" s="430"/>
      <c r="Y744" s="430"/>
      <c r="Z744" s="430"/>
      <c r="AA744" s="430"/>
      <c r="AB744" s="430"/>
      <c r="AC744" s="430"/>
      <c r="AD744" s="430"/>
      <c r="AE744" s="430"/>
      <c r="AF744" s="430"/>
      <c r="AG744" s="430"/>
      <c r="AH744" s="430"/>
      <c r="AI744" s="430"/>
      <c r="AJ744" s="430"/>
      <c r="AK744" s="430"/>
      <c r="AL744" s="430"/>
      <c r="AM744" s="430"/>
      <c r="AN744" s="430"/>
      <c r="AO744" s="430"/>
      <c r="AP744" s="430"/>
      <c r="AQ744" s="430"/>
      <c r="AR744" s="430"/>
      <c r="AS744" s="430"/>
      <c r="AT744" s="430"/>
      <c r="AU744" s="430"/>
      <c r="AV744" s="430"/>
      <c r="AW744" s="430"/>
      <c r="AX744" s="430"/>
      <c r="AY744" s="430"/>
      <c r="AZ744" s="430"/>
      <c r="BA744" s="430"/>
      <c r="BB744" s="430"/>
      <c r="BC744" s="430"/>
      <c r="BD744" s="430"/>
      <c r="BE744" s="430"/>
    </row>
    <row r="745" spans="1:57" ht="15.75" customHeight="1">
      <c r="A745" s="430"/>
      <c r="B745" s="430"/>
      <c r="C745" s="430"/>
      <c r="D745" s="430"/>
      <c r="E745" s="430"/>
      <c r="F745" s="430"/>
      <c r="G745" s="430"/>
      <c r="H745" s="430"/>
      <c r="I745" s="430"/>
      <c r="J745" s="430"/>
      <c r="K745" s="430"/>
      <c r="L745" s="430"/>
      <c r="M745" s="430"/>
      <c r="N745" s="430"/>
      <c r="O745" s="430"/>
      <c r="P745" s="430"/>
      <c r="Q745" s="430"/>
      <c r="R745" s="430"/>
      <c r="S745" s="430"/>
      <c r="T745" s="430"/>
      <c r="U745" s="430"/>
      <c r="V745" s="430"/>
      <c r="W745" s="430"/>
      <c r="X745" s="430"/>
      <c r="Y745" s="430"/>
      <c r="Z745" s="430"/>
      <c r="AA745" s="430"/>
      <c r="AB745" s="430"/>
      <c r="AC745" s="430"/>
      <c r="AD745" s="430"/>
      <c r="AE745" s="430"/>
      <c r="AF745" s="430"/>
      <c r="AG745" s="430"/>
      <c r="AH745" s="430"/>
      <c r="AI745" s="430"/>
      <c r="AJ745" s="430"/>
      <c r="AK745" s="430"/>
      <c r="AL745" s="430"/>
      <c r="AM745" s="430"/>
      <c r="AN745" s="430"/>
      <c r="AO745" s="430"/>
      <c r="AP745" s="430"/>
      <c r="AQ745" s="430"/>
      <c r="AR745" s="430"/>
      <c r="AS745" s="430"/>
      <c r="AT745" s="430"/>
      <c r="AU745" s="430"/>
      <c r="AV745" s="430"/>
      <c r="AW745" s="430"/>
      <c r="AX745" s="430"/>
      <c r="AY745" s="430"/>
      <c r="AZ745" s="430"/>
      <c r="BA745" s="430"/>
      <c r="BB745" s="430"/>
      <c r="BC745" s="430"/>
      <c r="BD745" s="430"/>
      <c r="BE745" s="430"/>
    </row>
    <row r="746" spans="1:57" ht="15.75" customHeight="1">
      <c r="A746" s="430"/>
      <c r="B746" s="430"/>
      <c r="C746" s="430"/>
      <c r="D746" s="430"/>
      <c r="E746" s="430"/>
      <c r="F746" s="430"/>
      <c r="G746" s="430"/>
      <c r="H746" s="430"/>
      <c r="I746" s="430"/>
      <c r="J746" s="430"/>
      <c r="K746" s="430"/>
      <c r="L746" s="430"/>
      <c r="M746" s="430"/>
      <c r="N746" s="430"/>
      <c r="O746" s="430"/>
      <c r="P746" s="430"/>
      <c r="Q746" s="430"/>
      <c r="R746" s="430"/>
      <c r="S746" s="430"/>
      <c r="T746" s="430"/>
      <c r="U746" s="430"/>
      <c r="V746" s="430"/>
      <c r="W746" s="430"/>
      <c r="X746" s="430"/>
      <c r="Y746" s="430"/>
      <c r="Z746" s="430"/>
      <c r="AA746" s="430"/>
      <c r="AB746" s="430"/>
      <c r="AC746" s="430"/>
      <c r="AD746" s="430"/>
      <c r="AE746" s="430"/>
      <c r="AF746" s="430"/>
      <c r="AG746" s="430"/>
      <c r="AH746" s="430"/>
      <c r="AI746" s="430"/>
      <c r="AJ746" s="430"/>
      <c r="AK746" s="430"/>
      <c r="AL746" s="430"/>
      <c r="AM746" s="430"/>
      <c r="AN746" s="430"/>
      <c r="AO746" s="430"/>
      <c r="AP746" s="430"/>
      <c r="AQ746" s="430"/>
      <c r="AR746" s="430"/>
      <c r="AS746" s="430"/>
      <c r="AT746" s="430"/>
      <c r="AU746" s="430"/>
      <c r="AV746" s="430"/>
      <c r="AW746" s="430"/>
      <c r="AX746" s="430"/>
      <c r="AY746" s="430"/>
      <c r="AZ746" s="430"/>
      <c r="BA746" s="430"/>
      <c r="BB746" s="430"/>
      <c r="BC746" s="430"/>
      <c r="BD746" s="430"/>
      <c r="BE746" s="430"/>
    </row>
    <row r="747" spans="1:57" ht="15.75" customHeight="1">
      <c r="A747" s="430"/>
      <c r="B747" s="430"/>
      <c r="C747" s="430"/>
      <c r="D747" s="430"/>
      <c r="E747" s="430"/>
      <c r="F747" s="430"/>
      <c r="G747" s="430"/>
      <c r="H747" s="430"/>
      <c r="I747" s="430"/>
      <c r="J747" s="430"/>
      <c r="K747" s="430"/>
      <c r="L747" s="430"/>
      <c r="M747" s="430"/>
      <c r="N747" s="430"/>
      <c r="O747" s="430"/>
      <c r="P747" s="430"/>
      <c r="Q747" s="430"/>
      <c r="R747" s="430"/>
      <c r="S747" s="430"/>
      <c r="T747" s="430"/>
      <c r="U747" s="430"/>
      <c r="V747" s="430"/>
      <c r="W747" s="430"/>
      <c r="X747" s="430"/>
      <c r="Y747" s="430"/>
      <c r="Z747" s="430"/>
      <c r="AA747" s="430"/>
      <c r="AB747" s="430"/>
      <c r="AC747" s="430"/>
      <c r="AD747" s="430"/>
      <c r="AE747" s="430"/>
      <c r="AF747" s="430"/>
      <c r="AG747" s="430"/>
      <c r="AH747" s="430"/>
      <c r="AI747" s="430"/>
      <c r="AJ747" s="430"/>
      <c r="AK747" s="430"/>
      <c r="AL747" s="430"/>
      <c r="AM747" s="430"/>
      <c r="AN747" s="430"/>
      <c r="AO747" s="430"/>
      <c r="AP747" s="430"/>
      <c r="AQ747" s="430"/>
      <c r="AR747" s="430"/>
      <c r="AS747" s="430"/>
      <c r="AT747" s="430"/>
      <c r="AU747" s="430"/>
      <c r="AV747" s="430"/>
      <c r="AW747" s="430"/>
      <c r="AX747" s="430"/>
      <c r="AY747" s="430"/>
      <c r="AZ747" s="430"/>
      <c r="BA747" s="430"/>
      <c r="BB747" s="430"/>
      <c r="BC747" s="430"/>
      <c r="BD747" s="430"/>
      <c r="BE747" s="430"/>
    </row>
    <row r="748" spans="1:57" ht="15.75" customHeight="1">
      <c r="A748" s="430"/>
      <c r="B748" s="430"/>
      <c r="C748" s="430"/>
      <c r="D748" s="430"/>
      <c r="E748" s="430"/>
      <c r="F748" s="430"/>
      <c r="G748" s="430"/>
      <c r="H748" s="430"/>
      <c r="I748" s="430"/>
      <c r="J748" s="430"/>
      <c r="K748" s="430"/>
      <c r="L748" s="430"/>
      <c r="M748" s="430"/>
      <c r="N748" s="430"/>
      <c r="O748" s="430"/>
      <c r="P748" s="430"/>
      <c r="Q748" s="430"/>
      <c r="R748" s="430"/>
      <c r="S748" s="430"/>
      <c r="T748" s="430"/>
      <c r="U748" s="430"/>
      <c r="V748" s="430"/>
      <c r="W748" s="430"/>
      <c r="X748" s="430"/>
      <c r="Y748" s="430"/>
      <c r="Z748" s="430"/>
      <c r="AA748" s="430"/>
      <c r="AB748" s="430"/>
      <c r="AC748" s="430"/>
      <c r="AD748" s="430"/>
      <c r="AE748" s="430"/>
      <c r="AF748" s="430"/>
      <c r="AG748" s="430"/>
      <c r="AH748" s="430"/>
      <c r="AI748" s="430"/>
      <c r="AJ748" s="430"/>
      <c r="AK748" s="430"/>
      <c r="AL748" s="430"/>
      <c r="AM748" s="430"/>
      <c r="AN748" s="430"/>
      <c r="AO748" s="430"/>
      <c r="AP748" s="430"/>
      <c r="AQ748" s="430"/>
      <c r="AR748" s="430"/>
      <c r="AS748" s="430"/>
      <c r="AT748" s="430"/>
      <c r="AU748" s="430"/>
      <c r="AV748" s="430"/>
      <c r="AW748" s="430"/>
      <c r="AX748" s="430"/>
      <c r="AY748" s="430"/>
      <c r="AZ748" s="430"/>
      <c r="BA748" s="430"/>
      <c r="BB748" s="430"/>
      <c r="BC748" s="430"/>
      <c r="BD748" s="430"/>
      <c r="BE748" s="430"/>
    </row>
    <row r="749" spans="1:57" ht="15.75" customHeight="1">
      <c r="A749" s="430"/>
      <c r="B749" s="430"/>
      <c r="C749" s="430"/>
      <c r="D749" s="430"/>
      <c r="E749" s="430"/>
      <c r="F749" s="430"/>
      <c r="G749" s="430"/>
      <c r="H749" s="430"/>
      <c r="I749" s="430"/>
      <c r="J749" s="430"/>
      <c r="K749" s="430"/>
      <c r="L749" s="430"/>
      <c r="M749" s="430"/>
      <c r="N749" s="430"/>
      <c r="O749" s="430"/>
      <c r="P749" s="430"/>
      <c r="Q749" s="430"/>
      <c r="R749" s="430"/>
      <c r="S749" s="430"/>
      <c r="T749" s="430"/>
      <c r="U749" s="430"/>
      <c r="V749" s="430"/>
      <c r="W749" s="430"/>
      <c r="X749" s="430"/>
      <c r="Y749" s="430"/>
      <c r="Z749" s="430"/>
      <c r="AA749" s="430"/>
      <c r="AB749" s="430"/>
      <c r="AC749" s="430"/>
      <c r="AD749" s="430"/>
      <c r="AE749" s="430"/>
      <c r="AF749" s="430"/>
      <c r="AG749" s="430"/>
      <c r="AH749" s="430"/>
      <c r="AI749" s="430"/>
      <c r="AJ749" s="430"/>
      <c r="AK749" s="430"/>
      <c r="AL749" s="430"/>
      <c r="AM749" s="430"/>
      <c r="AN749" s="430"/>
      <c r="AO749" s="430"/>
      <c r="AP749" s="430"/>
      <c r="AQ749" s="430"/>
      <c r="AR749" s="430"/>
      <c r="AS749" s="430"/>
      <c r="AT749" s="430"/>
      <c r="AU749" s="430"/>
      <c r="AV749" s="430"/>
      <c r="AW749" s="430"/>
      <c r="AX749" s="430"/>
      <c r="AY749" s="430"/>
      <c r="AZ749" s="430"/>
      <c r="BA749" s="430"/>
      <c r="BB749" s="430"/>
      <c r="BC749" s="430"/>
      <c r="BD749" s="430"/>
      <c r="BE749" s="430"/>
    </row>
    <row r="750" spans="1:57" ht="15.75" customHeight="1">
      <c r="A750" s="430"/>
      <c r="B750" s="430"/>
      <c r="C750" s="430"/>
      <c r="D750" s="430"/>
      <c r="E750" s="430"/>
      <c r="F750" s="430"/>
      <c r="G750" s="430"/>
      <c r="H750" s="430"/>
      <c r="I750" s="430"/>
      <c r="J750" s="430"/>
      <c r="K750" s="430"/>
      <c r="L750" s="430"/>
      <c r="M750" s="430"/>
      <c r="N750" s="430"/>
      <c r="O750" s="430"/>
      <c r="P750" s="430"/>
      <c r="Q750" s="430"/>
      <c r="R750" s="430"/>
      <c r="S750" s="430"/>
      <c r="T750" s="430"/>
      <c r="U750" s="430"/>
      <c r="V750" s="430"/>
      <c r="W750" s="430"/>
      <c r="X750" s="430"/>
      <c r="Y750" s="430"/>
      <c r="Z750" s="430"/>
      <c r="AA750" s="430"/>
      <c r="AB750" s="430"/>
      <c r="AC750" s="430"/>
      <c r="AD750" s="430"/>
      <c r="AE750" s="430"/>
      <c r="AF750" s="430"/>
      <c r="AG750" s="430"/>
      <c r="AH750" s="430"/>
      <c r="AI750" s="430"/>
      <c r="AJ750" s="430"/>
      <c r="AK750" s="430"/>
      <c r="AL750" s="430"/>
      <c r="AM750" s="430"/>
      <c r="AN750" s="430"/>
      <c r="AO750" s="430"/>
      <c r="AP750" s="430"/>
      <c r="AQ750" s="430"/>
      <c r="AR750" s="430"/>
      <c r="AS750" s="430"/>
      <c r="AT750" s="430"/>
      <c r="AU750" s="430"/>
      <c r="AV750" s="430"/>
      <c r="AW750" s="430"/>
      <c r="AX750" s="430"/>
      <c r="AY750" s="430"/>
      <c r="AZ750" s="430"/>
      <c r="BA750" s="430"/>
      <c r="BB750" s="430"/>
      <c r="BC750" s="430"/>
      <c r="BD750" s="430"/>
      <c r="BE750" s="430"/>
    </row>
    <row r="751" spans="1:57" ht="15.75" customHeight="1">
      <c r="A751" s="430"/>
      <c r="B751" s="430"/>
      <c r="C751" s="430"/>
      <c r="D751" s="430"/>
      <c r="E751" s="430"/>
      <c r="F751" s="430"/>
      <c r="G751" s="430"/>
      <c r="H751" s="430"/>
      <c r="I751" s="430"/>
      <c r="J751" s="430"/>
      <c r="K751" s="430"/>
      <c r="L751" s="430"/>
      <c r="M751" s="430"/>
      <c r="N751" s="430"/>
      <c r="O751" s="430"/>
      <c r="P751" s="430"/>
      <c r="Q751" s="430"/>
      <c r="R751" s="430"/>
      <c r="S751" s="430"/>
      <c r="T751" s="430"/>
      <c r="U751" s="430"/>
      <c r="V751" s="430"/>
      <c r="W751" s="430"/>
      <c r="X751" s="430"/>
      <c r="Y751" s="430"/>
      <c r="Z751" s="430"/>
      <c r="AA751" s="430"/>
      <c r="AB751" s="430"/>
      <c r="AC751" s="430"/>
      <c r="AD751" s="430"/>
      <c r="AE751" s="430"/>
      <c r="AF751" s="430"/>
      <c r="AG751" s="430"/>
      <c r="AH751" s="430"/>
      <c r="AI751" s="430"/>
      <c r="AJ751" s="430"/>
      <c r="AK751" s="430"/>
      <c r="AL751" s="430"/>
      <c r="AM751" s="430"/>
      <c r="AN751" s="430"/>
      <c r="AO751" s="430"/>
      <c r="AP751" s="430"/>
      <c r="AQ751" s="430"/>
      <c r="AR751" s="430"/>
      <c r="AS751" s="430"/>
      <c r="AT751" s="430"/>
      <c r="AU751" s="430"/>
      <c r="AV751" s="430"/>
      <c r="AW751" s="430"/>
      <c r="AX751" s="430"/>
      <c r="AY751" s="430"/>
      <c r="AZ751" s="430"/>
      <c r="BA751" s="430"/>
      <c r="BB751" s="430"/>
      <c r="BC751" s="430"/>
      <c r="BD751" s="430"/>
      <c r="BE751" s="430"/>
    </row>
    <row r="752" spans="1:57" ht="15.75" customHeight="1">
      <c r="A752" s="430"/>
      <c r="B752" s="430"/>
      <c r="C752" s="430"/>
      <c r="D752" s="430"/>
      <c r="E752" s="430"/>
      <c r="F752" s="430"/>
      <c r="G752" s="430"/>
      <c r="H752" s="430"/>
      <c r="I752" s="430"/>
      <c r="J752" s="430"/>
      <c r="K752" s="430"/>
      <c r="L752" s="430"/>
      <c r="M752" s="430"/>
      <c r="N752" s="430"/>
      <c r="O752" s="430"/>
      <c r="P752" s="430"/>
      <c r="Q752" s="430"/>
      <c r="R752" s="430"/>
      <c r="S752" s="430"/>
      <c r="T752" s="430"/>
      <c r="U752" s="430"/>
      <c r="V752" s="430"/>
      <c r="W752" s="430"/>
      <c r="X752" s="430"/>
      <c r="Y752" s="430"/>
      <c r="Z752" s="430"/>
      <c r="AA752" s="430"/>
      <c r="AB752" s="430"/>
      <c r="AC752" s="430"/>
      <c r="AD752" s="430"/>
      <c r="AE752" s="430"/>
      <c r="AF752" s="430"/>
      <c r="AG752" s="430"/>
      <c r="AH752" s="430"/>
      <c r="AI752" s="430"/>
      <c r="AJ752" s="430"/>
      <c r="AK752" s="430"/>
      <c r="AL752" s="430"/>
      <c r="AM752" s="430"/>
      <c r="AN752" s="430"/>
      <c r="AO752" s="430"/>
      <c r="AP752" s="430"/>
      <c r="AQ752" s="430"/>
      <c r="AR752" s="430"/>
      <c r="AS752" s="430"/>
      <c r="AT752" s="430"/>
      <c r="AU752" s="430"/>
      <c r="AV752" s="430"/>
      <c r="AW752" s="430"/>
      <c r="AX752" s="430"/>
      <c r="AY752" s="430"/>
      <c r="AZ752" s="430"/>
      <c r="BA752" s="430"/>
      <c r="BB752" s="430"/>
      <c r="BC752" s="430"/>
      <c r="BD752" s="430"/>
      <c r="BE752" s="430"/>
    </row>
    <row r="753" spans="1:57" ht="15.75" customHeight="1">
      <c r="A753" s="430"/>
      <c r="B753" s="430"/>
      <c r="C753" s="430"/>
      <c r="D753" s="430"/>
      <c r="E753" s="430"/>
      <c r="F753" s="430"/>
      <c r="G753" s="430"/>
      <c r="H753" s="430"/>
      <c r="I753" s="430"/>
      <c r="J753" s="430"/>
      <c r="K753" s="430"/>
      <c r="L753" s="430"/>
      <c r="M753" s="430"/>
      <c r="N753" s="430"/>
      <c r="O753" s="430"/>
      <c r="P753" s="430"/>
      <c r="Q753" s="430"/>
      <c r="R753" s="430"/>
      <c r="S753" s="430"/>
      <c r="T753" s="430"/>
      <c r="U753" s="430"/>
      <c r="V753" s="430"/>
      <c r="W753" s="430"/>
      <c r="X753" s="430"/>
      <c r="Y753" s="430"/>
      <c r="Z753" s="430"/>
      <c r="AA753" s="430"/>
      <c r="AB753" s="430"/>
      <c r="AC753" s="430"/>
      <c r="AD753" s="430"/>
      <c r="AE753" s="430"/>
      <c r="AF753" s="430"/>
      <c r="AG753" s="430"/>
      <c r="AH753" s="430"/>
      <c r="AI753" s="430"/>
      <c r="AJ753" s="430"/>
      <c r="AK753" s="430"/>
      <c r="AL753" s="430"/>
      <c r="AM753" s="430"/>
      <c r="AN753" s="430"/>
      <c r="AO753" s="430"/>
      <c r="AP753" s="430"/>
      <c r="AQ753" s="430"/>
      <c r="AR753" s="430"/>
      <c r="AS753" s="430"/>
      <c r="AT753" s="430"/>
      <c r="AU753" s="430"/>
      <c r="AV753" s="430"/>
      <c r="AW753" s="430"/>
      <c r="AX753" s="430"/>
      <c r="AY753" s="430"/>
      <c r="AZ753" s="430"/>
      <c r="BA753" s="430"/>
      <c r="BB753" s="430"/>
      <c r="BC753" s="430"/>
      <c r="BD753" s="430"/>
      <c r="BE753" s="430"/>
    </row>
    <row r="754" spans="1:57" ht="15.75" customHeight="1">
      <c r="A754" s="430"/>
      <c r="B754" s="430"/>
      <c r="C754" s="430"/>
      <c r="D754" s="430"/>
      <c r="E754" s="430"/>
      <c r="F754" s="430"/>
      <c r="G754" s="430"/>
      <c r="H754" s="430"/>
      <c r="I754" s="430"/>
      <c r="J754" s="430"/>
      <c r="K754" s="430"/>
      <c r="L754" s="430"/>
      <c r="M754" s="430"/>
      <c r="N754" s="430"/>
      <c r="O754" s="430"/>
      <c r="P754" s="430"/>
      <c r="Q754" s="430"/>
      <c r="R754" s="430"/>
      <c r="S754" s="430"/>
      <c r="T754" s="430"/>
      <c r="U754" s="430"/>
      <c r="V754" s="430"/>
      <c r="W754" s="430"/>
      <c r="X754" s="430"/>
      <c r="Y754" s="430"/>
      <c r="Z754" s="430"/>
      <c r="AA754" s="430"/>
      <c r="AB754" s="430"/>
      <c r="AC754" s="430"/>
      <c r="AD754" s="430"/>
      <c r="AE754" s="430"/>
      <c r="AF754" s="430"/>
      <c r="AG754" s="430"/>
      <c r="AH754" s="430"/>
      <c r="AI754" s="430"/>
      <c r="AJ754" s="430"/>
      <c r="AK754" s="430"/>
      <c r="AL754" s="430"/>
      <c r="AM754" s="430"/>
      <c r="AN754" s="430"/>
      <c r="AO754" s="430"/>
      <c r="AP754" s="430"/>
      <c r="AQ754" s="430"/>
      <c r="AR754" s="430"/>
      <c r="AS754" s="430"/>
      <c r="AT754" s="430"/>
      <c r="AU754" s="430"/>
      <c r="AV754" s="430"/>
      <c r="AW754" s="430"/>
      <c r="AX754" s="430"/>
      <c r="AY754" s="430"/>
      <c r="AZ754" s="430"/>
      <c r="BA754" s="430"/>
      <c r="BB754" s="430"/>
      <c r="BC754" s="430"/>
      <c r="BD754" s="430"/>
      <c r="BE754" s="430"/>
    </row>
    <row r="755" spans="1:57" ht="15.75" customHeight="1">
      <c r="A755" s="430"/>
      <c r="B755" s="430"/>
      <c r="C755" s="430"/>
      <c r="D755" s="430"/>
      <c r="E755" s="430"/>
      <c r="F755" s="430"/>
      <c r="G755" s="430"/>
      <c r="H755" s="430"/>
      <c r="I755" s="430"/>
      <c r="J755" s="430"/>
      <c r="K755" s="430"/>
      <c r="L755" s="430"/>
      <c r="M755" s="430"/>
      <c r="N755" s="430"/>
      <c r="O755" s="430"/>
      <c r="P755" s="430"/>
      <c r="Q755" s="430"/>
      <c r="R755" s="430"/>
      <c r="S755" s="430"/>
      <c r="T755" s="430"/>
      <c r="U755" s="430"/>
      <c r="V755" s="430"/>
      <c r="W755" s="430"/>
      <c r="X755" s="430"/>
      <c r="Y755" s="430"/>
      <c r="Z755" s="430"/>
      <c r="AA755" s="430"/>
      <c r="AB755" s="430"/>
      <c r="AC755" s="430"/>
      <c r="AD755" s="430"/>
      <c r="AE755" s="430"/>
      <c r="AF755" s="430"/>
      <c r="AG755" s="430"/>
      <c r="AH755" s="430"/>
      <c r="AI755" s="430"/>
      <c r="AJ755" s="430"/>
      <c r="AK755" s="430"/>
      <c r="AL755" s="430"/>
      <c r="AM755" s="430"/>
      <c r="AN755" s="430"/>
      <c r="AO755" s="430"/>
      <c r="AP755" s="430"/>
      <c r="AQ755" s="430"/>
      <c r="AR755" s="430"/>
      <c r="AS755" s="430"/>
      <c r="AT755" s="430"/>
      <c r="AU755" s="430"/>
      <c r="AV755" s="430"/>
      <c r="AW755" s="430"/>
      <c r="AX755" s="430"/>
      <c r="AY755" s="430"/>
      <c r="AZ755" s="430"/>
      <c r="BA755" s="430"/>
      <c r="BB755" s="430"/>
      <c r="BC755" s="430"/>
      <c r="BD755" s="430"/>
      <c r="BE755" s="430"/>
    </row>
    <row r="756" spans="1:57" ht="15.75" customHeight="1">
      <c r="A756" s="430"/>
      <c r="B756" s="430"/>
      <c r="C756" s="430"/>
      <c r="D756" s="430"/>
      <c r="E756" s="430"/>
      <c r="F756" s="430"/>
      <c r="G756" s="430"/>
      <c r="H756" s="430"/>
      <c r="I756" s="430"/>
      <c r="J756" s="430"/>
      <c r="K756" s="430"/>
      <c r="L756" s="430"/>
      <c r="M756" s="430"/>
      <c r="N756" s="430"/>
      <c r="O756" s="430"/>
      <c r="P756" s="430"/>
      <c r="Q756" s="430"/>
      <c r="R756" s="430"/>
      <c r="S756" s="430"/>
      <c r="T756" s="430"/>
      <c r="U756" s="430"/>
      <c r="V756" s="430"/>
      <c r="W756" s="430"/>
      <c r="X756" s="430"/>
      <c r="Y756" s="430"/>
      <c r="Z756" s="430"/>
      <c r="AA756" s="430"/>
      <c r="AB756" s="430"/>
      <c r="AC756" s="430"/>
      <c r="AD756" s="430"/>
      <c r="AE756" s="430"/>
      <c r="AF756" s="430"/>
      <c r="AG756" s="430"/>
      <c r="AH756" s="430"/>
      <c r="AI756" s="430"/>
      <c r="AJ756" s="430"/>
      <c r="AK756" s="430"/>
      <c r="AL756" s="430"/>
      <c r="AM756" s="430"/>
      <c r="AN756" s="430"/>
      <c r="AO756" s="430"/>
      <c r="AP756" s="430"/>
      <c r="AQ756" s="430"/>
      <c r="AR756" s="430"/>
      <c r="AS756" s="430"/>
      <c r="AT756" s="430"/>
      <c r="AU756" s="430"/>
      <c r="AV756" s="430"/>
      <c r="AW756" s="430"/>
      <c r="AX756" s="430"/>
      <c r="AY756" s="430"/>
      <c r="AZ756" s="430"/>
      <c r="BA756" s="430"/>
      <c r="BB756" s="430"/>
      <c r="BC756" s="430"/>
      <c r="BD756" s="430"/>
      <c r="BE756" s="430"/>
    </row>
    <row r="757" spans="1:57" ht="15.75" customHeight="1">
      <c r="A757" s="430"/>
      <c r="B757" s="430"/>
      <c r="C757" s="430"/>
      <c r="D757" s="430"/>
      <c r="E757" s="430"/>
      <c r="F757" s="430"/>
      <c r="G757" s="430"/>
      <c r="H757" s="430"/>
      <c r="I757" s="430"/>
      <c r="J757" s="430"/>
      <c r="K757" s="430"/>
      <c r="L757" s="430"/>
      <c r="M757" s="430"/>
      <c r="N757" s="430"/>
      <c r="O757" s="430"/>
      <c r="P757" s="430"/>
      <c r="Q757" s="430"/>
      <c r="R757" s="430"/>
      <c r="S757" s="430"/>
      <c r="T757" s="430"/>
      <c r="U757" s="430"/>
      <c r="V757" s="430"/>
      <c r="W757" s="430"/>
      <c r="X757" s="430"/>
      <c r="Y757" s="430"/>
      <c r="Z757" s="430"/>
      <c r="AA757" s="430"/>
      <c r="AB757" s="430"/>
      <c r="AC757" s="430"/>
      <c r="AD757" s="430"/>
      <c r="AE757" s="430"/>
      <c r="AF757" s="430"/>
      <c r="AG757" s="430"/>
      <c r="AH757" s="430"/>
      <c r="AI757" s="430"/>
      <c r="AJ757" s="430"/>
      <c r="AK757" s="430"/>
      <c r="AL757" s="430"/>
      <c r="AM757" s="430"/>
      <c r="AN757" s="430"/>
      <c r="AO757" s="430"/>
      <c r="AP757" s="430"/>
      <c r="AQ757" s="430"/>
      <c r="AR757" s="430"/>
      <c r="AS757" s="430"/>
      <c r="AT757" s="430"/>
      <c r="AU757" s="430"/>
      <c r="AV757" s="430"/>
      <c r="AW757" s="430"/>
      <c r="AX757" s="430"/>
      <c r="AY757" s="430"/>
      <c r="AZ757" s="430"/>
      <c r="BA757" s="430"/>
      <c r="BB757" s="430"/>
      <c r="BC757" s="430"/>
      <c r="BD757" s="430"/>
      <c r="BE757" s="430"/>
    </row>
    <row r="758" spans="1:57" ht="15.75" customHeight="1">
      <c r="A758" s="430"/>
      <c r="B758" s="430"/>
      <c r="C758" s="430"/>
      <c r="D758" s="430"/>
      <c r="E758" s="430"/>
      <c r="F758" s="430"/>
      <c r="G758" s="430"/>
      <c r="H758" s="430"/>
      <c r="I758" s="430"/>
      <c r="J758" s="430"/>
      <c r="K758" s="430"/>
      <c r="L758" s="430"/>
      <c r="M758" s="430"/>
      <c r="N758" s="430"/>
      <c r="O758" s="430"/>
      <c r="P758" s="430"/>
      <c r="Q758" s="430"/>
      <c r="R758" s="430"/>
      <c r="S758" s="430"/>
      <c r="T758" s="430"/>
      <c r="U758" s="430"/>
      <c r="V758" s="430"/>
      <c r="W758" s="430"/>
      <c r="X758" s="430"/>
      <c r="Y758" s="430"/>
      <c r="Z758" s="430"/>
      <c r="AA758" s="430"/>
      <c r="AB758" s="430"/>
      <c r="AC758" s="430"/>
      <c r="AD758" s="430"/>
      <c r="AE758" s="430"/>
      <c r="AF758" s="430"/>
      <c r="AG758" s="430"/>
      <c r="AH758" s="430"/>
      <c r="AI758" s="430"/>
      <c r="AJ758" s="430"/>
      <c r="AK758" s="430"/>
      <c r="AL758" s="430"/>
      <c r="AM758" s="430"/>
      <c r="AN758" s="430"/>
      <c r="AO758" s="430"/>
      <c r="AP758" s="430"/>
      <c r="AQ758" s="430"/>
      <c r="AR758" s="430"/>
      <c r="AS758" s="430"/>
      <c r="AT758" s="430"/>
      <c r="AU758" s="430"/>
      <c r="AV758" s="430"/>
      <c r="AW758" s="430"/>
      <c r="AX758" s="430"/>
      <c r="AY758" s="430"/>
      <c r="AZ758" s="430"/>
      <c r="BA758" s="430"/>
      <c r="BB758" s="430"/>
      <c r="BC758" s="430"/>
      <c r="BD758" s="430"/>
      <c r="BE758" s="430"/>
    </row>
    <row r="759" spans="1:57" ht="15.75" customHeight="1">
      <c r="A759" s="430"/>
      <c r="B759" s="430"/>
      <c r="C759" s="430"/>
      <c r="D759" s="430"/>
      <c r="E759" s="430"/>
      <c r="F759" s="430"/>
      <c r="G759" s="430"/>
      <c r="H759" s="430"/>
      <c r="I759" s="430"/>
      <c r="J759" s="430"/>
      <c r="K759" s="430"/>
      <c r="L759" s="430"/>
      <c r="M759" s="430"/>
      <c r="N759" s="430"/>
      <c r="O759" s="430"/>
      <c r="P759" s="430"/>
      <c r="Q759" s="430"/>
      <c r="R759" s="430"/>
      <c r="S759" s="430"/>
      <c r="T759" s="430"/>
      <c r="U759" s="430"/>
      <c r="V759" s="430"/>
      <c r="W759" s="430"/>
      <c r="X759" s="430"/>
      <c r="Y759" s="430"/>
      <c r="Z759" s="430"/>
      <c r="AA759" s="430"/>
      <c r="AB759" s="430"/>
      <c r="AC759" s="430"/>
      <c r="AD759" s="430"/>
      <c r="AE759" s="430"/>
      <c r="AF759" s="430"/>
      <c r="AG759" s="430"/>
      <c r="AH759" s="430"/>
      <c r="AI759" s="430"/>
      <c r="AJ759" s="430"/>
      <c r="AK759" s="430"/>
      <c r="AL759" s="430"/>
      <c r="AM759" s="430"/>
      <c r="AN759" s="430"/>
      <c r="AO759" s="430"/>
      <c r="AP759" s="430"/>
      <c r="AQ759" s="430"/>
      <c r="AR759" s="430"/>
      <c r="AS759" s="430"/>
      <c r="AT759" s="430"/>
      <c r="AU759" s="430"/>
      <c r="AV759" s="430"/>
      <c r="AW759" s="430"/>
      <c r="AX759" s="430"/>
      <c r="AY759" s="430"/>
      <c r="AZ759" s="430"/>
      <c r="BA759" s="430"/>
      <c r="BB759" s="430"/>
      <c r="BC759" s="430"/>
      <c r="BD759" s="430"/>
      <c r="BE759" s="430"/>
    </row>
    <row r="760" spans="1:57" ht="15.75" customHeight="1">
      <c r="A760" s="430"/>
      <c r="B760" s="430"/>
      <c r="C760" s="430"/>
      <c r="D760" s="430"/>
      <c r="E760" s="430"/>
      <c r="F760" s="430"/>
      <c r="G760" s="430"/>
      <c r="H760" s="430"/>
      <c r="I760" s="430"/>
      <c r="J760" s="430"/>
      <c r="K760" s="430"/>
      <c r="L760" s="430"/>
      <c r="M760" s="430"/>
      <c r="N760" s="430"/>
      <c r="O760" s="430"/>
      <c r="P760" s="430"/>
      <c r="Q760" s="430"/>
      <c r="R760" s="430"/>
      <c r="S760" s="430"/>
      <c r="T760" s="430"/>
      <c r="U760" s="430"/>
      <c r="V760" s="430"/>
      <c r="W760" s="430"/>
      <c r="X760" s="430"/>
      <c r="Y760" s="430"/>
      <c r="Z760" s="430"/>
      <c r="AA760" s="430"/>
      <c r="AB760" s="430"/>
      <c r="AC760" s="430"/>
      <c r="AD760" s="430"/>
      <c r="AE760" s="430"/>
      <c r="AF760" s="430"/>
      <c r="AG760" s="430"/>
      <c r="AH760" s="430"/>
      <c r="AI760" s="430"/>
      <c r="AJ760" s="430"/>
      <c r="AK760" s="430"/>
      <c r="AL760" s="430"/>
      <c r="AM760" s="430"/>
      <c r="AN760" s="430"/>
      <c r="AO760" s="430"/>
      <c r="AP760" s="430"/>
      <c r="AQ760" s="430"/>
      <c r="AR760" s="430"/>
      <c r="AS760" s="430"/>
      <c r="AT760" s="430"/>
      <c r="AU760" s="430"/>
      <c r="AV760" s="430"/>
      <c r="AW760" s="430"/>
      <c r="AX760" s="430"/>
      <c r="AY760" s="430"/>
      <c r="AZ760" s="430"/>
      <c r="BA760" s="430"/>
      <c r="BB760" s="430"/>
      <c r="BC760" s="430"/>
      <c r="BD760" s="430"/>
      <c r="BE760" s="430"/>
    </row>
    <row r="761" spans="1:57" ht="15.75" customHeight="1">
      <c r="A761" s="430"/>
      <c r="B761" s="430"/>
      <c r="C761" s="430"/>
      <c r="D761" s="430"/>
      <c r="E761" s="430"/>
      <c r="F761" s="430"/>
      <c r="G761" s="430"/>
      <c r="H761" s="430"/>
      <c r="I761" s="430"/>
      <c r="J761" s="430"/>
      <c r="K761" s="430"/>
      <c r="L761" s="430"/>
      <c r="M761" s="430"/>
      <c r="N761" s="430"/>
      <c r="O761" s="430"/>
      <c r="P761" s="430"/>
      <c r="Q761" s="430"/>
      <c r="R761" s="430"/>
      <c r="S761" s="430"/>
      <c r="T761" s="430"/>
      <c r="U761" s="430"/>
      <c r="V761" s="430"/>
      <c r="W761" s="430"/>
      <c r="X761" s="430"/>
      <c r="Y761" s="430"/>
      <c r="Z761" s="430"/>
      <c r="AA761" s="430"/>
      <c r="AB761" s="430"/>
      <c r="AC761" s="430"/>
      <c r="AD761" s="430"/>
      <c r="AE761" s="430"/>
      <c r="AF761" s="430"/>
      <c r="AG761" s="430"/>
      <c r="AH761" s="430"/>
      <c r="AI761" s="430"/>
      <c r="AJ761" s="430"/>
      <c r="AK761" s="430"/>
      <c r="AL761" s="430"/>
      <c r="AM761" s="430"/>
      <c r="AN761" s="430"/>
      <c r="AO761" s="430"/>
      <c r="AP761" s="430"/>
      <c r="AQ761" s="430"/>
      <c r="AR761" s="430"/>
      <c r="AS761" s="430"/>
      <c r="AT761" s="430"/>
      <c r="AU761" s="430"/>
      <c r="AV761" s="430"/>
      <c r="AW761" s="430"/>
      <c r="AX761" s="430"/>
      <c r="AY761" s="430"/>
      <c r="AZ761" s="430"/>
      <c r="BA761" s="430"/>
      <c r="BB761" s="430"/>
      <c r="BC761" s="430"/>
      <c r="BD761" s="430"/>
      <c r="BE761" s="430"/>
    </row>
    <row r="762" spans="1:57" ht="15.75" customHeight="1">
      <c r="A762" s="430"/>
      <c r="B762" s="430"/>
      <c r="C762" s="430"/>
      <c r="D762" s="430"/>
      <c r="E762" s="430"/>
      <c r="F762" s="430"/>
      <c r="G762" s="430"/>
      <c r="H762" s="430"/>
      <c r="I762" s="430"/>
      <c r="J762" s="430"/>
      <c r="K762" s="430"/>
      <c r="L762" s="430"/>
      <c r="M762" s="430"/>
      <c r="N762" s="430"/>
      <c r="O762" s="430"/>
      <c r="P762" s="430"/>
      <c r="Q762" s="430"/>
      <c r="R762" s="430"/>
      <c r="S762" s="430"/>
      <c r="T762" s="430"/>
      <c r="U762" s="430"/>
      <c r="V762" s="430"/>
      <c r="W762" s="430"/>
      <c r="X762" s="430"/>
      <c r="Y762" s="430"/>
      <c r="Z762" s="430"/>
      <c r="AA762" s="430"/>
      <c r="AB762" s="430"/>
      <c r="AC762" s="430"/>
      <c r="AD762" s="430"/>
      <c r="AE762" s="430"/>
      <c r="AF762" s="430"/>
      <c r="AG762" s="430"/>
      <c r="AH762" s="430"/>
      <c r="AI762" s="430"/>
      <c r="AJ762" s="430"/>
      <c r="AK762" s="430"/>
      <c r="AL762" s="430"/>
      <c r="AM762" s="430"/>
      <c r="AN762" s="430"/>
      <c r="AO762" s="430"/>
      <c r="AP762" s="430"/>
      <c r="AQ762" s="430"/>
      <c r="AR762" s="430"/>
      <c r="AS762" s="430"/>
      <c r="AT762" s="430"/>
      <c r="AU762" s="430"/>
      <c r="AV762" s="430"/>
      <c r="AW762" s="430"/>
      <c r="AX762" s="430"/>
      <c r="AY762" s="430"/>
      <c r="AZ762" s="430"/>
      <c r="BA762" s="430"/>
      <c r="BB762" s="430"/>
      <c r="BC762" s="430"/>
      <c r="BD762" s="430"/>
      <c r="BE762" s="430"/>
    </row>
    <row r="763" spans="1:57" ht="15.75" customHeight="1">
      <c r="A763" s="430"/>
      <c r="B763" s="430"/>
      <c r="C763" s="430"/>
      <c r="D763" s="430"/>
      <c r="E763" s="430"/>
      <c r="F763" s="430"/>
      <c r="G763" s="430"/>
      <c r="H763" s="430"/>
      <c r="I763" s="430"/>
      <c r="J763" s="430"/>
      <c r="K763" s="430"/>
      <c r="L763" s="430"/>
      <c r="M763" s="430"/>
      <c r="N763" s="430"/>
      <c r="O763" s="430"/>
      <c r="P763" s="430"/>
      <c r="Q763" s="430"/>
      <c r="R763" s="430"/>
      <c r="S763" s="430"/>
      <c r="T763" s="430"/>
      <c r="U763" s="430"/>
      <c r="V763" s="430"/>
      <c r="W763" s="430"/>
      <c r="X763" s="430"/>
      <c r="Y763" s="430"/>
      <c r="Z763" s="430"/>
      <c r="AA763" s="430"/>
      <c r="AB763" s="430"/>
      <c r="AC763" s="430"/>
      <c r="AD763" s="430"/>
      <c r="AE763" s="430"/>
      <c r="AF763" s="430"/>
      <c r="AG763" s="430"/>
      <c r="AH763" s="430"/>
      <c r="AI763" s="430"/>
      <c r="AJ763" s="430"/>
      <c r="AK763" s="430"/>
      <c r="AL763" s="430"/>
      <c r="AM763" s="430"/>
      <c r="AN763" s="430"/>
      <c r="AO763" s="430"/>
      <c r="AP763" s="430"/>
      <c r="AQ763" s="430"/>
      <c r="AR763" s="430"/>
      <c r="AS763" s="430"/>
      <c r="AT763" s="430"/>
      <c r="AU763" s="430"/>
      <c r="AV763" s="430"/>
      <c r="AW763" s="430"/>
      <c r="AX763" s="430"/>
      <c r="AY763" s="430"/>
      <c r="AZ763" s="430"/>
      <c r="BA763" s="430"/>
      <c r="BB763" s="430"/>
      <c r="BC763" s="430"/>
      <c r="BD763" s="430"/>
      <c r="BE763" s="430"/>
    </row>
    <row r="764" spans="1:57" ht="15.75" customHeight="1">
      <c r="A764" s="430"/>
      <c r="B764" s="430"/>
      <c r="C764" s="430"/>
      <c r="D764" s="430"/>
      <c r="E764" s="430"/>
      <c r="F764" s="430"/>
      <c r="G764" s="430"/>
      <c r="H764" s="430"/>
      <c r="I764" s="430"/>
      <c r="J764" s="430"/>
      <c r="K764" s="430"/>
      <c r="L764" s="430"/>
      <c r="M764" s="430"/>
      <c r="N764" s="430"/>
      <c r="O764" s="430"/>
      <c r="P764" s="430"/>
      <c r="Q764" s="430"/>
      <c r="R764" s="430"/>
      <c r="S764" s="430"/>
      <c r="T764" s="430"/>
      <c r="U764" s="430"/>
      <c r="V764" s="430"/>
      <c r="W764" s="430"/>
      <c r="X764" s="430"/>
      <c r="Y764" s="430"/>
      <c r="Z764" s="430"/>
      <c r="AA764" s="430"/>
      <c r="AB764" s="430"/>
      <c r="AC764" s="430"/>
      <c r="AD764" s="430"/>
      <c r="AE764" s="430"/>
      <c r="AF764" s="430"/>
      <c r="AG764" s="430"/>
      <c r="AH764" s="430"/>
      <c r="AI764" s="430"/>
      <c r="AJ764" s="430"/>
      <c r="AK764" s="430"/>
      <c r="AL764" s="430"/>
      <c r="AM764" s="430"/>
      <c r="AN764" s="430"/>
      <c r="AO764" s="430"/>
      <c r="AP764" s="430"/>
      <c r="AQ764" s="430"/>
      <c r="AR764" s="430"/>
      <c r="AS764" s="430"/>
      <c r="AT764" s="430"/>
      <c r="AU764" s="430"/>
      <c r="AV764" s="430"/>
      <c r="AW764" s="430"/>
      <c r="AX764" s="430"/>
      <c r="AY764" s="430"/>
      <c r="AZ764" s="430"/>
      <c r="BA764" s="430"/>
      <c r="BB764" s="430"/>
      <c r="BC764" s="430"/>
      <c r="BD764" s="430"/>
      <c r="BE764" s="430"/>
    </row>
    <row r="765" spans="1:57" ht="15.75" customHeight="1">
      <c r="A765" s="430"/>
      <c r="B765" s="430"/>
      <c r="C765" s="430"/>
      <c r="D765" s="430"/>
      <c r="E765" s="430"/>
      <c r="F765" s="430"/>
      <c r="G765" s="430"/>
      <c r="H765" s="430"/>
      <c r="I765" s="430"/>
      <c r="J765" s="430"/>
      <c r="K765" s="430"/>
      <c r="L765" s="430"/>
      <c r="M765" s="430"/>
      <c r="N765" s="430"/>
      <c r="O765" s="430"/>
      <c r="P765" s="430"/>
      <c r="Q765" s="430"/>
      <c r="R765" s="430"/>
      <c r="S765" s="430"/>
      <c r="T765" s="430"/>
      <c r="U765" s="430"/>
      <c r="V765" s="430"/>
      <c r="W765" s="430"/>
      <c r="X765" s="430"/>
      <c r="Y765" s="430"/>
      <c r="Z765" s="430"/>
      <c r="AA765" s="430"/>
      <c r="AB765" s="430"/>
      <c r="AC765" s="430"/>
      <c r="AD765" s="430"/>
      <c r="AE765" s="430"/>
      <c r="AF765" s="430"/>
      <c r="AG765" s="430"/>
      <c r="AH765" s="430"/>
      <c r="AI765" s="430"/>
      <c r="AJ765" s="430"/>
      <c r="AK765" s="430"/>
      <c r="AL765" s="430"/>
      <c r="AM765" s="430"/>
      <c r="AN765" s="430"/>
      <c r="AO765" s="430"/>
      <c r="AP765" s="430"/>
      <c r="AQ765" s="430"/>
      <c r="AR765" s="430"/>
      <c r="AS765" s="430"/>
      <c r="AT765" s="430"/>
      <c r="AU765" s="430"/>
      <c r="AV765" s="430"/>
      <c r="AW765" s="430"/>
      <c r="AX765" s="430"/>
      <c r="AY765" s="430"/>
      <c r="AZ765" s="430"/>
      <c r="BA765" s="430"/>
      <c r="BB765" s="430"/>
      <c r="BC765" s="430"/>
      <c r="BD765" s="430"/>
      <c r="BE765" s="430"/>
    </row>
    <row r="766" spans="1:57" ht="15.75" customHeight="1">
      <c r="A766" s="430"/>
      <c r="B766" s="430"/>
      <c r="C766" s="430"/>
      <c r="D766" s="430"/>
      <c r="E766" s="430"/>
      <c r="F766" s="430"/>
      <c r="G766" s="430"/>
      <c r="H766" s="430"/>
      <c r="I766" s="430"/>
      <c r="J766" s="430"/>
      <c r="K766" s="430"/>
      <c r="L766" s="430"/>
      <c r="M766" s="430"/>
      <c r="N766" s="430"/>
      <c r="O766" s="430"/>
      <c r="P766" s="430"/>
      <c r="Q766" s="430"/>
      <c r="R766" s="430"/>
      <c r="S766" s="430"/>
      <c r="T766" s="430"/>
      <c r="U766" s="430"/>
      <c r="V766" s="430"/>
      <c r="W766" s="430"/>
      <c r="X766" s="430"/>
      <c r="Y766" s="430"/>
      <c r="Z766" s="430"/>
      <c r="AA766" s="430"/>
      <c r="AB766" s="430"/>
      <c r="AC766" s="430"/>
      <c r="AD766" s="430"/>
      <c r="AE766" s="430"/>
      <c r="AF766" s="430"/>
      <c r="AG766" s="430"/>
      <c r="AH766" s="430"/>
      <c r="AI766" s="430"/>
      <c r="AJ766" s="430"/>
      <c r="AK766" s="430"/>
      <c r="AL766" s="430"/>
      <c r="AM766" s="430"/>
      <c r="AN766" s="430"/>
      <c r="AO766" s="430"/>
      <c r="AP766" s="430"/>
      <c r="AQ766" s="430"/>
      <c r="AR766" s="430"/>
      <c r="AS766" s="430"/>
      <c r="AT766" s="430"/>
      <c r="AU766" s="430"/>
      <c r="AV766" s="430"/>
      <c r="AW766" s="430"/>
      <c r="AX766" s="430"/>
      <c r="AY766" s="430"/>
      <c r="AZ766" s="430"/>
      <c r="BA766" s="430"/>
      <c r="BB766" s="430"/>
      <c r="BC766" s="430"/>
      <c r="BD766" s="430"/>
      <c r="BE766" s="430"/>
    </row>
    <row r="767" spans="1:57" ht="15.75" customHeight="1">
      <c r="A767" s="430"/>
      <c r="B767" s="430"/>
      <c r="C767" s="430"/>
      <c r="D767" s="430"/>
      <c r="E767" s="430"/>
      <c r="F767" s="430"/>
      <c r="G767" s="430"/>
      <c r="H767" s="430"/>
      <c r="I767" s="430"/>
      <c r="J767" s="430"/>
      <c r="K767" s="430"/>
      <c r="L767" s="430"/>
      <c r="M767" s="430"/>
      <c r="N767" s="430"/>
      <c r="O767" s="430"/>
      <c r="P767" s="430"/>
      <c r="Q767" s="430"/>
      <c r="R767" s="430"/>
      <c r="S767" s="430"/>
      <c r="T767" s="430"/>
      <c r="U767" s="430"/>
      <c r="V767" s="430"/>
      <c r="W767" s="430"/>
      <c r="X767" s="430"/>
      <c r="Y767" s="430"/>
      <c r="Z767" s="430"/>
      <c r="AA767" s="430"/>
      <c r="AB767" s="430"/>
      <c r="AC767" s="430"/>
      <c r="AD767" s="430"/>
      <c r="AE767" s="430"/>
      <c r="AF767" s="430"/>
      <c r="AG767" s="430"/>
      <c r="AH767" s="430"/>
      <c r="AI767" s="430"/>
      <c r="AJ767" s="430"/>
      <c r="AK767" s="430"/>
      <c r="AL767" s="430"/>
      <c r="AM767" s="430"/>
      <c r="AN767" s="430"/>
      <c r="AO767" s="430"/>
      <c r="AP767" s="430"/>
      <c r="AQ767" s="430"/>
      <c r="AR767" s="430"/>
      <c r="AS767" s="430"/>
      <c r="AT767" s="430"/>
      <c r="AU767" s="430"/>
      <c r="AV767" s="430"/>
      <c r="AW767" s="430"/>
      <c r="AX767" s="430"/>
      <c r="AY767" s="430"/>
      <c r="AZ767" s="430"/>
      <c r="BA767" s="430"/>
      <c r="BB767" s="430"/>
      <c r="BC767" s="430"/>
      <c r="BD767" s="430"/>
      <c r="BE767" s="430"/>
    </row>
    <row r="768" spans="1:57" ht="15.75" customHeight="1">
      <c r="A768" s="430"/>
      <c r="B768" s="430"/>
      <c r="C768" s="430"/>
      <c r="D768" s="430"/>
      <c r="E768" s="430"/>
      <c r="F768" s="430"/>
      <c r="G768" s="430"/>
      <c r="H768" s="430"/>
      <c r="I768" s="430"/>
      <c r="J768" s="430"/>
      <c r="K768" s="430"/>
      <c r="L768" s="430"/>
      <c r="M768" s="430"/>
      <c r="N768" s="430"/>
      <c r="O768" s="430"/>
      <c r="P768" s="430"/>
      <c r="Q768" s="430"/>
      <c r="R768" s="430"/>
      <c r="S768" s="430"/>
      <c r="T768" s="430"/>
      <c r="U768" s="430"/>
      <c r="V768" s="430"/>
      <c r="W768" s="430"/>
      <c r="X768" s="430"/>
      <c r="Y768" s="430"/>
      <c r="Z768" s="430"/>
      <c r="AA768" s="430"/>
      <c r="AB768" s="430"/>
      <c r="AC768" s="430"/>
      <c r="AD768" s="430"/>
      <c r="AE768" s="430"/>
      <c r="AF768" s="430"/>
      <c r="AG768" s="430"/>
      <c r="AH768" s="430"/>
      <c r="AI768" s="430"/>
      <c r="AJ768" s="430"/>
      <c r="AK768" s="430"/>
      <c r="AL768" s="430"/>
      <c r="AM768" s="430"/>
      <c r="AN768" s="430"/>
      <c r="AO768" s="430"/>
      <c r="AP768" s="430"/>
      <c r="AQ768" s="430"/>
      <c r="AR768" s="430"/>
      <c r="AS768" s="430"/>
      <c r="AT768" s="430"/>
      <c r="AU768" s="430"/>
      <c r="AV768" s="430"/>
      <c r="AW768" s="430"/>
      <c r="AX768" s="430"/>
      <c r="AY768" s="430"/>
      <c r="AZ768" s="430"/>
      <c r="BA768" s="430"/>
      <c r="BB768" s="430"/>
      <c r="BC768" s="430"/>
      <c r="BD768" s="430"/>
      <c r="BE768" s="430"/>
    </row>
    <row r="769" spans="1:57" ht="15.75" customHeight="1">
      <c r="A769" s="430"/>
      <c r="B769" s="430"/>
      <c r="C769" s="430"/>
      <c r="D769" s="430"/>
      <c r="E769" s="430"/>
      <c r="F769" s="430"/>
      <c r="G769" s="430"/>
      <c r="H769" s="430"/>
      <c r="I769" s="430"/>
      <c r="J769" s="430"/>
      <c r="K769" s="430"/>
      <c r="L769" s="430"/>
      <c r="M769" s="430"/>
      <c r="N769" s="430"/>
      <c r="O769" s="430"/>
      <c r="P769" s="430"/>
      <c r="Q769" s="430"/>
      <c r="R769" s="430"/>
      <c r="S769" s="430"/>
      <c r="T769" s="430"/>
      <c r="U769" s="430"/>
      <c r="V769" s="430"/>
      <c r="W769" s="430"/>
      <c r="X769" s="430"/>
      <c r="Y769" s="430"/>
      <c r="Z769" s="430"/>
      <c r="AA769" s="430"/>
      <c r="AB769" s="430"/>
      <c r="AC769" s="430"/>
      <c r="AD769" s="430"/>
      <c r="AE769" s="430"/>
      <c r="AF769" s="430"/>
      <c r="AG769" s="430"/>
      <c r="AH769" s="430"/>
      <c r="AI769" s="430"/>
      <c r="AJ769" s="430"/>
      <c r="AK769" s="430"/>
      <c r="AL769" s="430"/>
      <c r="AM769" s="430"/>
      <c r="AN769" s="430"/>
      <c r="AO769" s="430"/>
      <c r="AP769" s="430"/>
      <c r="AQ769" s="430"/>
      <c r="AR769" s="430"/>
      <c r="AS769" s="430"/>
      <c r="AT769" s="430"/>
      <c r="AU769" s="430"/>
      <c r="AV769" s="430"/>
      <c r="AW769" s="430"/>
      <c r="AX769" s="430"/>
      <c r="AY769" s="430"/>
      <c r="AZ769" s="430"/>
      <c r="BA769" s="430"/>
      <c r="BB769" s="430"/>
      <c r="BC769" s="430"/>
      <c r="BD769" s="430"/>
      <c r="BE769" s="430"/>
    </row>
    <row r="770" spans="1:57" ht="15.75" customHeight="1">
      <c r="A770" s="430"/>
      <c r="B770" s="430"/>
      <c r="C770" s="430"/>
      <c r="D770" s="430"/>
      <c r="E770" s="430"/>
      <c r="F770" s="430"/>
      <c r="G770" s="430"/>
      <c r="H770" s="430"/>
      <c r="I770" s="430"/>
      <c r="J770" s="430"/>
      <c r="K770" s="430"/>
      <c r="L770" s="430"/>
      <c r="M770" s="430"/>
      <c r="N770" s="430"/>
      <c r="O770" s="430"/>
      <c r="P770" s="430"/>
      <c r="Q770" s="430"/>
      <c r="R770" s="430"/>
      <c r="S770" s="430"/>
      <c r="T770" s="430"/>
      <c r="U770" s="430"/>
      <c r="V770" s="430"/>
      <c r="W770" s="430"/>
      <c r="X770" s="430"/>
      <c r="Y770" s="430"/>
      <c r="Z770" s="430"/>
      <c r="AA770" s="430"/>
      <c r="AB770" s="430"/>
      <c r="AC770" s="430"/>
      <c r="AD770" s="430"/>
      <c r="AE770" s="430"/>
      <c r="AF770" s="430"/>
      <c r="AG770" s="430"/>
      <c r="AH770" s="430"/>
      <c r="AI770" s="430"/>
      <c r="AJ770" s="430"/>
      <c r="AK770" s="430"/>
      <c r="AL770" s="430"/>
      <c r="AM770" s="430"/>
      <c r="AN770" s="430"/>
      <c r="AO770" s="430"/>
      <c r="AP770" s="430"/>
      <c r="AQ770" s="430"/>
      <c r="AR770" s="430"/>
      <c r="AS770" s="430"/>
      <c r="AT770" s="430"/>
      <c r="AU770" s="430"/>
      <c r="AV770" s="430"/>
      <c r="AW770" s="430"/>
      <c r="AX770" s="430"/>
      <c r="AY770" s="430"/>
      <c r="AZ770" s="430"/>
      <c r="BA770" s="430"/>
      <c r="BB770" s="430"/>
      <c r="BC770" s="430"/>
      <c r="BD770" s="430"/>
      <c r="BE770" s="430"/>
    </row>
    <row r="771" spans="1:57" ht="15.75" customHeight="1">
      <c r="A771" s="430"/>
      <c r="B771" s="430"/>
      <c r="C771" s="430"/>
      <c r="D771" s="430"/>
      <c r="E771" s="430"/>
      <c r="F771" s="430"/>
      <c r="G771" s="430"/>
      <c r="H771" s="430"/>
      <c r="I771" s="430"/>
      <c r="J771" s="430"/>
      <c r="K771" s="430"/>
      <c r="L771" s="430"/>
      <c r="M771" s="430"/>
      <c r="N771" s="430"/>
      <c r="O771" s="430"/>
      <c r="P771" s="430"/>
      <c r="Q771" s="430"/>
      <c r="R771" s="430"/>
      <c r="S771" s="430"/>
      <c r="T771" s="430"/>
      <c r="U771" s="430"/>
      <c r="V771" s="430"/>
      <c r="W771" s="430"/>
      <c r="X771" s="430"/>
      <c r="Y771" s="430"/>
      <c r="Z771" s="430"/>
      <c r="AA771" s="430"/>
      <c r="AB771" s="430"/>
      <c r="AC771" s="430"/>
      <c r="AD771" s="430"/>
      <c r="AE771" s="430"/>
      <c r="AF771" s="430"/>
      <c r="AG771" s="430"/>
      <c r="AH771" s="430"/>
      <c r="AI771" s="430"/>
      <c r="AJ771" s="430"/>
      <c r="AK771" s="430"/>
      <c r="AL771" s="430"/>
      <c r="AM771" s="430"/>
      <c r="AN771" s="430"/>
      <c r="AO771" s="430"/>
      <c r="AP771" s="430"/>
      <c r="AQ771" s="430"/>
      <c r="AR771" s="430"/>
      <c r="AS771" s="430"/>
      <c r="AT771" s="430"/>
      <c r="AU771" s="430"/>
      <c r="AV771" s="430"/>
      <c r="AW771" s="430"/>
      <c r="AX771" s="430"/>
      <c r="AY771" s="430"/>
      <c r="AZ771" s="430"/>
      <c r="BA771" s="430"/>
      <c r="BB771" s="430"/>
      <c r="BC771" s="430"/>
      <c r="BD771" s="430"/>
      <c r="BE771" s="430"/>
    </row>
    <row r="772" spans="1:57" ht="15.75" customHeight="1">
      <c r="A772" s="430"/>
      <c r="B772" s="430"/>
      <c r="C772" s="430"/>
      <c r="D772" s="430"/>
      <c r="E772" s="430"/>
      <c r="F772" s="430"/>
      <c r="G772" s="430"/>
      <c r="H772" s="430"/>
      <c r="I772" s="430"/>
      <c r="J772" s="430"/>
      <c r="K772" s="430"/>
      <c r="L772" s="430"/>
      <c r="M772" s="430"/>
      <c r="N772" s="430"/>
      <c r="O772" s="430"/>
      <c r="P772" s="430"/>
      <c r="Q772" s="430"/>
      <c r="R772" s="430"/>
      <c r="S772" s="430"/>
      <c r="T772" s="430"/>
      <c r="U772" s="430"/>
      <c r="V772" s="430"/>
      <c r="W772" s="430"/>
      <c r="X772" s="430"/>
      <c r="Y772" s="430"/>
      <c r="Z772" s="430"/>
      <c r="AA772" s="430"/>
      <c r="AB772" s="430"/>
      <c r="AC772" s="430"/>
      <c r="AD772" s="430"/>
      <c r="AE772" s="430"/>
      <c r="AF772" s="430"/>
      <c r="AG772" s="430"/>
      <c r="AH772" s="430"/>
      <c r="AI772" s="430"/>
      <c r="AJ772" s="430"/>
      <c r="AK772" s="430"/>
      <c r="AL772" s="430"/>
      <c r="AM772" s="430"/>
      <c r="AN772" s="430"/>
      <c r="AO772" s="430"/>
      <c r="AP772" s="430"/>
      <c r="AQ772" s="430"/>
      <c r="AR772" s="430"/>
      <c r="AS772" s="430"/>
      <c r="AT772" s="430"/>
      <c r="AU772" s="430"/>
      <c r="AV772" s="430"/>
      <c r="AW772" s="430"/>
      <c r="AX772" s="430"/>
      <c r="AY772" s="430"/>
      <c r="AZ772" s="430"/>
      <c r="BA772" s="430"/>
      <c r="BB772" s="430"/>
      <c r="BC772" s="430"/>
      <c r="BD772" s="430"/>
      <c r="BE772" s="430"/>
    </row>
    <row r="773" spans="1:57" ht="15.75" customHeight="1">
      <c r="A773" s="430"/>
      <c r="B773" s="430"/>
      <c r="C773" s="430"/>
      <c r="D773" s="430"/>
      <c r="E773" s="430"/>
      <c r="F773" s="430"/>
      <c r="G773" s="430"/>
      <c r="H773" s="430"/>
      <c r="I773" s="430"/>
      <c r="J773" s="430"/>
      <c r="K773" s="430"/>
      <c r="L773" s="430"/>
      <c r="M773" s="430"/>
      <c r="N773" s="430"/>
      <c r="O773" s="430"/>
      <c r="P773" s="430"/>
      <c r="Q773" s="430"/>
      <c r="R773" s="430"/>
      <c r="S773" s="430"/>
      <c r="T773" s="430"/>
      <c r="U773" s="430"/>
      <c r="V773" s="430"/>
      <c r="W773" s="430"/>
      <c r="X773" s="430"/>
      <c r="Y773" s="430"/>
      <c r="Z773" s="430"/>
      <c r="AA773" s="430"/>
      <c r="AB773" s="430"/>
      <c r="AC773" s="430"/>
      <c r="AD773" s="430"/>
      <c r="AE773" s="430"/>
      <c r="AF773" s="430"/>
      <c r="AG773" s="430"/>
      <c r="AH773" s="430"/>
      <c r="AI773" s="430"/>
      <c r="AJ773" s="430"/>
      <c r="AK773" s="430"/>
      <c r="AL773" s="430"/>
      <c r="AM773" s="430"/>
      <c r="AN773" s="430"/>
      <c r="AO773" s="430"/>
      <c r="AP773" s="430"/>
      <c r="AQ773" s="430"/>
      <c r="AR773" s="430"/>
      <c r="AS773" s="430"/>
      <c r="AT773" s="430"/>
      <c r="AU773" s="430"/>
      <c r="AV773" s="430"/>
      <c r="AW773" s="430"/>
      <c r="AX773" s="430"/>
      <c r="AY773" s="430"/>
      <c r="AZ773" s="430"/>
      <c r="BA773" s="430"/>
      <c r="BB773" s="430"/>
      <c r="BC773" s="430"/>
      <c r="BD773" s="430"/>
      <c r="BE773" s="430"/>
    </row>
    <row r="774" spans="1:57" ht="15.75" customHeight="1">
      <c r="A774" s="430"/>
      <c r="B774" s="430"/>
      <c r="C774" s="430"/>
      <c r="D774" s="430"/>
      <c r="E774" s="430"/>
      <c r="F774" s="430"/>
      <c r="G774" s="430"/>
      <c r="H774" s="430"/>
      <c r="I774" s="430"/>
      <c r="J774" s="430"/>
      <c r="K774" s="430"/>
      <c r="L774" s="430"/>
      <c r="M774" s="430"/>
      <c r="N774" s="430"/>
      <c r="O774" s="430"/>
      <c r="P774" s="430"/>
      <c r="Q774" s="430"/>
      <c r="R774" s="430"/>
      <c r="S774" s="430"/>
      <c r="T774" s="430"/>
      <c r="U774" s="430"/>
      <c r="V774" s="430"/>
      <c r="W774" s="430"/>
      <c r="X774" s="430"/>
      <c r="Y774" s="430"/>
      <c r="Z774" s="430"/>
      <c r="AA774" s="430"/>
      <c r="AB774" s="430"/>
      <c r="AC774" s="430"/>
      <c r="AD774" s="430"/>
      <c r="AE774" s="430"/>
      <c r="AF774" s="430"/>
      <c r="AG774" s="430"/>
      <c r="AH774" s="430"/>
      <c r="AI774" s="430"/>
      <c r="AJ774" s="430"/>
      <c r="AK774" s="430"/>
      <c r="AL774" s="430"/>
      <c r="AM774" s="430"/>
      <c r="AN774" s="430"/>
      <c r="AO774" s="430"/>
      <c r="AP774" s="430"/>
      <c r="AQ774" s="430"/>
      <c r="AR774" s="430"/>
      <c r="AS774" s="430"/>
      <c r="AT774" s="430"/>
      <c r="AU774" s="430"/>
      <c r="AV774" s="430"/>
      <c r="AW774" s="430"/>
      <c r="AX774" s="430"/>
      <c r="AY774" s="430"/>
      <c r="AZ774" s="430"/>
      <c r="BA774" s="430"/>
      <c r="BB774" s="430"/>
      <c r="BC774" s="430"/>
      <c r="BD774" s="430"/>
      <c r="BE774" s="430"/>
    </row>
    <row r="775" spans="1:57" ht="15.75" customHeight="1">
      <c r="A775" s="430"/>
      <c r="B775" s="430"/>
      <c r="C775" s="430"/>
      <c r="D775" s="430"/>
      <c r="E775" s="430"/>
      <c r="F775" s="430"/>
      <c r="G775" s="430"/>
      <c r="H775" s="430"/>
      <c r="I775" s="430"/>
      <c r="J775" s="430"/>
      <c r="K775" s="430"/>
      <c r="L775" s="430"/>
      <c r="M775" s="430"/>
      <c r="N775" s="430"/>
      <c r="O775" s="430"/>
      <c r="P775" s="430"/>
      <c r="Q775" s="430"/>
      <c r="R775" s="430"/>
      <c r="S775" s="430"/>
      <c r="T775" s="430"/>
      <c r="U775" s="430"/>
      <c r="V775" s="430"/>
      <c r="W775" s="430"/>
      <c r="X775" s="430"/>
      <c r="Y775" s="430"/>
      <c r="Z775" s="430"/>
      <c r="AA775" s="430"/>
      <c r="AB775" s="430"/>
      <c r="AC775" s="430"/>
      <c r="AD775" s="430"/>
      <c r="AE775" s="430"/>
      <c r="AF775" s="430"/>
      <c r="AG775" s="430"/>
      <c r="AH775" s="430"/>
      <c r="AI775" s="430"/>
      <c r="AJ775" s="430"/>
      <c r="AK775" s="430"/>
      <c r="AL775" s="430"/>
      <c r="AM775" s="430"/>
      <c r="AN775" s="430"/>
      <c r="AO775" s="430"/>
      <c r="AP775" s="430"/>
      <c r="AQ775" s="430"/>
      <c r="AR775" s="430"/>
      <c r="AS775" s="430"/>
      <c r="AT775" s="430"/>
      <c r="AU775" s="430"/>
      <c r="AV775" s="430"/>
      <c r="AW775" s="430"/>
      <c r="AX775" s="430"/>
      <c r="AY775" s="430"/>
      <c r="AZ775" s="430"/>
      <c r="BA775" s="430"/>
      <c r="BB775" s="430"/>
      <c r="BC775" s="430"/>
      <c r="BD775" s="430"/>
      <c r="BE775" s="430"/>
    </row>
    <row r="776" spans="1:57" ht="15.75" customHeight="1">
      <c r="A776" s="430"/>
      <c r="B776" s="430"/>
      <c r="C776" s="430"/>
      <c r="D776" s="430"/>
      <c r="E776" s="430"/>
      <c r="F776" s="430"/>
      <c r="G776" s="430"/>
      <c r="H776" s="430"/>
      <c r="I776" s="430"/>
      <c r="J776" s="430"/>
      <c r="K776" s="430"/>
      <c r="L776" s="430"/>
      <c r="M776" s="430"/>
      <c r="N776" s="430"/>
      <c r="O776" s="430"/>
      <c r="P776" s="430"/>
      <c r="Q776" s="430"/>
      <c r="R776" s="430"/>
      <c r="S776" s="430"/>
      <c r="T776" s="430"/>
      <c r="U776" s="430"/>
      <c r="V776" s="430"/>
      <c r="W776" s="430"/>
      <c r="X776" s="430"/>
      <c r="Y776" s="430"/>
      <c r="Z776" s="430"/>
      <c r="AA776" s="430"/>
      <c r="AB776" s="430"/>
      <c r="AC776" s="430"/>
      <c r="AD776" s="430"/>
      <c r="AE776" s="430"/>
      <c r="AF776" s="430"/>
      <c r="AG776" s="430"/>
      <c r="AH776" s="430"/>
      <c r="AI776" s="430"/>
      <c r="AJ776" s="430"/>
      <c r="AK776" s="430"/>
      <c r="AL776" s="430"/>
      <c r="AM776" s="430"/>
      <c r="AN776" s="430"/>
      <c r="AO776" s="430"/>
      <c r="AP776" s="430"/>
      <c r="AQ776" s="430"/>
      <c r="AR776" s="430"/>
      <c r="AS776" s="430"/>
      <c r="AT776" s="430"/>
      <c r="AU776" s="430"/>
      <c r="AV776" s="430"/>
      <c r="AW776" s="430"/>
      <c r="AX776" s="430"/>
      <c r="AY776" s="430"/>
      <c r="AZ776" s="430"/>
      <c r="BA776" s="430"/>
      <c r="BB776" s="430"/>
      <c r="BC776" s="430"/>
      <c r="BD776" s="430"/>
      <c r="BE776" s="430"/>
    </row>
    <row r="777" spans="1:57" ht="15.75" customHeight="1">
      <c r="A777" s="430"/>
      <c r="B777" s="430"/>
      <c r="C777" s="430"/>
      <c r="D777" s="430"/>
      <c r="E777" s="430"/>
      <c r="F777" s="430"/>
      <c r="G777" s="430"/>
      <c r="H777" s="430"/>
      <c r="I777" s="430"/>
      <c r="J777" s="430"/>
      <c r="K777" s="430"/>
      <c r="L777" s="430"/>
      <c r="M777" s="430"/>
      <c r="N777" s="430"/>
      <c r="O777" s="430"/>
      <c r="P777" s="430"/>
      <c r="Q777" s="430"/>
      <c r="R777" s="430"/>
      <c r="S777" s="430"/>
      <c r="T777" s="430"/>
      <c r="U777" s="430"/>
      <c r="V777" s="430"/>
      <c r="W777" s="430"/>
      <c r="X777" s="430"/>
      <c r="Y777" s="430"/>
      <c r="Z777" s="430"/>
      <c r="AA777" s="430"/>
      <c r="AB777" s="430"/>
      <c r="AC777" s="430"/>
      <c r="AD777" s="430"/>
      <c r="AE777" s="430"/>
      <c r="AF777" s="430"/>
      <c r="AG777" s="430"/>
      <c r="AH777" s="430"/>
      <c r="AI777" s="430"/>
      <c r="AJ777" s="430"/>
      <c r="AK777" s="430"/>
      <c r="AL777" s="430"/>
      <c r="AM777" s="430"/>
      <c r="AN777" s="430"/>
      <c r="AO777" s="430"/>
      <c r="AP777" s="430"/>
      <c r="AQ777" s="430"/>
      <c r="AR777" s="430"/>
      <c r="AS777" s="430"/>
      <c r="AT777" s="430"/>
      <c r="AU777" s="430"/>
      <c r="AV777" s="430"/>
      <c r="AW777" s="430"/>
      <c r="AX777" s="430"/>
      <c r="AY777" s="430"/>
      <c r="AZ777" s="430"/>
      <c r="BA777" s="430"/>
      <c r="BB777" s="430"/>
      <c r="BC777" s="430"/>
      <c r="BD777" s="430"/>
      <c r="BE777" s="430"/>
    </row>
    <row r="778" spans="1:57" ht="15.75" customHeight="1">
      <c r="A778" s="430"/>
      <c r="B778" s="430"/>
      <c r="C778" s="430"/>
      <c r="D778" s="430"/>
      <c r="E778" s="430"/>
      <c r="F778" s="430"/>
      <c r="G778" s="430"/>
      <c r="H778" s="430"/>
      <c r="I778" s="430"/>
      <c r="J778" s="430"/>
      <c r="K778" s="430"/>
      <c r="L778" s="430"/>
      <c r="M778" s="430"/>
      <c r="N778" s="430"/>
      <c r="O778" s="430"/>
      <c r="P778" s="430"/>
      <c r="Q778" s="430"/>
      <c r="R778" s="430"/>
      <c r="S778" s="430"/>
      <c r="T778" s="430"/>
      <c r="U778" s="430"/>
      <c r="V778" s="430"/>
      <c r="W778" s="430"/>
      <c r="X778" s="430"/>
      <c r="Y778" s="430"/>
      <c r="Z778" s="430"/>
      <c r="AA778" s="430"/>
      <c r="AB778" s="430"/>
      <c r="AC778" s="430"/>
      <c r="AD778" s="430"/>
      <c r="AE778" s="430"/>
      <c r="AF778" s="430"/>
      <c r="AG778" s="430"/>
      <c r="AH778" s="430"/>
      <c r="AI778" s="430"/>
      <c r="AJ778" s="430"/>
      <c r="AK778" s="430"/>
      <c r="AL778" s="430"/>
      <c r="AM778" s="430"/>
      <c r="AN778" s="430"/>
      <c r="AO778" s="430"/>
      <c r="AP778" s="430"/>
      <c r="AQ778" s="430"/>
      <c r="AR778" s="430"/>
      <c r="AS778" s="430"/>
      <c r="AT778" s="430"/>
      <c r="AU778" s="430"/>
      <c r="AV778" s="430"/>
      <c r="AW778" s="430"/>
      <c r="AX778" s="430"/>
      <c r="AY778" s="430"/>
      <c r="AZ778" s="430"/>
      <c r="BA778" s="430"/>
      <c r="BB778" s="430"/>
      <c r="BC778" s="430"/>
      <c r="BD778" s="430"/>
      <c r="BE778" s="430"/>
    </row>
    <row r="779" spans="1:57" ht="15.75" customHeight="1">
      <c r="A779" s="430"/>
      <c r="B779" s="430"/>
      <c r="C779" s="430"/>
      <c r="D779" s="430"/>
      <c r="E779" s="430"/>
      <c r="F779" s="430"/>
      <c r="G779" s="430"/>
      <c r="H779" s="430"/>
      <c r="I779" s="430"/>
      <c r="J779" s="430"/>
      <c r="K779" s="430"/>
      <c r="L779" s="430"/>
      <c r="M779" s="430"/>
      <c r="N779" s="430"/>
      <c r="O779" s="430"/>
      <c r="P779" s="430"/>
      <c r="Q779" s="430"/>
      <c r="R779" s="430"/>
      <c r="S779" s="430"/>
      <c r="T779" s="430"/>
      <c r="U779" s="430"/>
      <c r="V779" s="430"/>
      <c r="W779" s="430"/>
      <c r="X779" s="430"/>
      <c r="Y779" s="430"/>
      <c r="Z779" s="430"/>
      <c r="AA779" s="430"/>
      <c r="AB779" s="430"/>
      <c r="AC779" s="430"/>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0"/>
      <c r="AY779" s="430"/>
      <c r="AZ779" s="430"/>
      <c r="BA779" s="430"/>
      <c r="BB779" s="430"/>
      <c r="BC779" s="430"/>
      <c r="BD779" s="430"/>
      <c r="BE779" s="430"/>
    </row>
    <row r="780" spans="1:57" ht="15.75" customHeight="1">
      <c r="A780" s="430"/>
      <c r="B780" s="430"/>
      <c r="C780" s="430"/>
      <c r="D780" s="430"/>
      <c r="E780" s="430"/>
      <c r="F780" s="430"/>
      <c r="G780" s="430"/>
      <c r="H780" s="430"/>
      <c r="I780" s="430"/>
      <c r="J780" s="430"/>
      <c r="K780" s="430"/>
      <c r="L780" s="430"/>
      <c r="M780" s="430"/>
      <c r="N780" s="430"/>
      <c r="O780" s="430"/>
      <c r="P780" s="430"/>
      <c r="Q780" s="430"/>
      <c r="R780" s="430"/>
      <c r="S780" s="430"/>
      <c r="T780" s="430"/>
      <c r="U780" s="430"/>
      <c r="V780" s="430"/>
      <c r="W780" s="430"/>
      <c r="X780" s="430"/>
      <c r="Y780" s="430"/>
      <c r="Z780" s="430"/>
      <c r="AA780" s="430"/>
      <c r="AB780" s="430"/>
      <c r="AC780" s="430"/>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0"/>
      <c r="AY780" s="430"/>
      <c r="AZ780" s="430"/>
      <c r="BA780" s="430"/>
      <c r="BB780" s="430"/>
      <c r="BC780" s="430"/>
      <c r="BD780" s="430"/>
      <c r="BE780" s="430"/>
    </row>
    <row r="781" spans="1:57" ht="15.75" customHeight="1">
      <c r="A781" s="430"/>
      <c r="B781" s="430"/>
      <c r="C781" s="430"/>
      <c r="D781" s="430"/>
      <c r="E781" s="430"/>
      <c r="F781" s="430"/>
      <c r="G781" s="430"/>
      <c r="H781" s="430"/>
      <c r="I781" s="430"/>
      <c r="J781" s="430"/>
      <c r="K781" s="430"/>
      <c r="L781" s="430"/>
      <c r="M781" s="430"/>
      <c r="N781" s="430"/>
      <c r="O781" s="430"/>
      <c r="P781" s="430"/>
      <c r="Q781" s="430"/>
      <c r="R781" s="430"/>
      <c r="S781" s="430"/>
      <c r="T781" s="430"/>
      <c r="U781" s="430"/>
      <c r="V781" s="430"/>
      <c r="W781" s="430"/>
      <c r="X781" s="430"/>
      <c r="Y781" s="430"/>
      <c r="Z781" s="430"/>
      <c r="AA781" s="430"/>
      <c r="AB781" s="430"/>
      <c r="AC781" s="430"/>
      <c r="AD781" s="430"/>
      <c r="AE781" s="430"/>
      <c r="AF781" s="430"/>
      <c r="AG781" s="430"/>
      <c r="AH781" s="430"/>
      <c r="AI781" s="430"/>
      <c r="AJ781" s="430"/>
      <c r="AK781" s="430"/>
      <c r="AL781" s="430"/>
      <c r="AM781" s="430"/>
      <c r="AN781" s="430"/>
      <c r="AO781" s="430"/>
      <c r="AP781" s="430"/>
      <c r="AQ781" s="430"/>
      <c r="AR781" s="430"/>
      <c r="AS781" s="430"/>
      <c r="AT781" s="430"/>
      <c r="AU781" s="430"/>
      <c r="AV781" s="430"/>
      <c r="AW781" s="430"/>
      <c r="AX781" s="430"/>
      <c r="AY781" s="430"/>
      <c r="AZ781" s="430"/>
      <c r="BA781" s="430"/>
      <c r="BB781" s="430"/>
      <c r="BC781" s="430"/>
      <c r="BD781" s="430"/>
      <c r="BE781" s="430"/>
    </row>
    <row r="782" spans="1:57" ht="15.75" customHeight="1">
      <c r="A782" s="430"/>
      <c r="B782" s="430"/>
      <c r="C782" s="430"/>
      <c r="D782" s="430"/>
      <c r="E782" s="430"/>
      <c r="F782" s="430"/>
      <c r="G782" s="430"/>
      <c r="H782" s="430"/>
      <c r="I782" s="430"/>
      <c r="J782" s="430"/>
      <c r="K782" s="430"/>
      <c r="L782" s="430"/>
      <c r="M782" s="430"/>
      <c r="N782" s="430"/>
      <c r="O782" s="430"/>
      <c r="P782" s="430"/>
      <c r="Q782" s="430"/>
      <c r="R782" s="430"/>
      <c r="S782" s="430"/>
      <c r="T782" s="430"/>
      <c r="U782" s="430"/>
      <c r="V782" s="430"/>
      <c r="W782" s="430"/>
      <c r="X782" s="430"/>
      <c r="Y782" s="430"/>
      <c r="Z782" s="430"/>
      <c r="AA782" s="430"/>
      <c r="AB782" s="430"/>
      <c r="AC782" s="430"/>
      <c r="AD782" s="430"/>
      <c r="AE782" s="430"/>
      <c r="AF782" s="430"/>
      <c r="AG782" s="430"/>
      <c r="AH782" s="430"/>
      <c r="AI782" s="430"/>
      <c r="AJ782" s="430"/>
      <c r="AK782" s="430"/>
      <c r="AL782" s="430"/>
      <c r="AM782" s="430"/>
      <c r="AN782" s="430"/>
      <c r="AO782" s="430"/>
      <c r="AP782" s="430"/>
      <c r="AQ782" s="430"/>
      <c r="AR782" s="430"/>
      <c r="AS782" s="430"/>
      <c r="AT782" s="430"/>
      <c r="AU782" s="430"/>
      <c r="AV782" s="430"/>
      <c r="AW782" s="430"/>
      <c r="AX782" s="430"/>
      <c r="AY782" s="430"/>
      <c r="AZ782" s="430"/>
      <c r="BA782" s="430"/>
      <c r="BB782" s="430"/>
      <c r="BC782" s="430"/>
      <c r="BD782" s="430"/>
      <c r="BE782" s="430"/>
    </row>
    <row r="783" spans="1:57" ht="15.75" customHeight="1">
      <c r="A783" s="430"/>
      <c r="B783" s="430"/>
      <c r="C783" s="430"/>
      <c r="D783" s="430"/>
      <c r="E783" s="430"/>
      <c r="F783" s="430"/>
      <c r="G783" s="430"/>
      <c r="H783" s="430"/>
      <c r="I783" s="430"/>
      <c r="J783" s="430"/>
      <c r="K783" s="430"/>
      <c r="L783" s="430"/>
      <c r="M783" s="430"/>
      <c r="N783" s="430"/>
      <c r="O783" s="430"/>
      <c r="P783" s="430"/>
      <c r="Q783" s="430"/>
      <c r="R783" s="430"/>
      <c r="S783" s="430"/>
      <c r="T783" s="430"/>
      <c r="U783" s="430"/>
      <c r="V783" s="430"/>
      <c r="W783" s="430"/>
      <c r="X783" s="430"/>
      <c r="Y783" s="430"/>
      <c r="Z783" s="430"/>
      <c r="AA783" s="430"/>
      <c r="AB783" s="430"/>
      <c r="AC783" s="430"/>
      <c r="AD783" s="430"/>
      <c r="AE783" s="430"/>
      <c r="AF783" s="430"/>
      <c r="AG783" s="430"/>
      <c r="AH783" s="430"/>
      <c r="AI783" s="430"/>
      <c r="AJ783" s="430"/>
      <c r="AK783" s="430"/>
      <c r="AL783" s="430"/>
      <c r="AM783" s="430"/>
      <c r="AN783" s="430"/>
      <c r="AO783" s="430"/>
      <c r="AP783" s="430"/>
      <c r="AQ783" s="430"/>
      <c r="AR783" s="430"/>
      <c r="AS783" s="430"/>
      <c r="AT783" s="430"/>
      <c r="AU783" s="430"/>
      <c r="AV783" s="430"/>
      <c r="AW783" s="430"/>
      <c r="AX783" s="430"/>
      <c r="AY783" s="430"/>
      <c r="AZ783" s="430"/>
      <c r="BA783" s="430"/>
      <c r="BB783" s="430"/>
      <c r="BC783" s="430"/>
      <c r="BD783" s="430"/>
      <c r="BE783" s="430"/>
    </row>
    <row r="784" spans="1:57" ht="15.75" customHeight="1">
      <c r="A784" s="430"/>
      <c r="B784" s="430"/>
      <c r="C784" s="430"/>
      <c r="D784" s="430"/>
      <c r="E784" s="430"/>
      <c r="F784" s="430"/>
      <c r="G784" s="430"/>
      <c r="H784" s="430"/>
      <c r="I784" s="430"/>
      <c r="J784" s="430"/>
      <c r="K784" s="430"/>
      <c r="L784" s="430"/>
      <c r="M784" s="430"/>
      <c r="N784" s="430"/>
      <c r="O784" s="430"/>
      <c r="P784" s="430"/>
      <c r="Q784" s="430"/>
      <c r="R784" s="430"/>
      <c r="S784" s="430"/>
      <c r="T784" s="430"/>
      <c r="U784" s="430"/>
      <c r="V784" s="430"/>
      <c r="W784" s="430"/>
      <c r="X784" s="430"/>
      <c r="Y784" s="430"/>
      <c r="Z784" s="430"/>
      <c r="AA784" s="430"/>
      <c r="AB784" s="430"/>
      <c r="AC784" s="430"/>
      <c r="AD784" s="430"/>
      <c r="AE784" s="430"/>
      <c r="AF784" s="430"/>
      <c r="AG784" s="430"/>
      <c r="AH784" s="430"/>
      <c r="AI784" s="430"/>
      <c r="AJ784" s="430"/>
      <c r="AK784" s="430"/>
      <c r="AL784" s="430"/>
      <c r="AM784" s="430"/>
      <c r="AN784" s="430"/>
      <c r="AO784" s="430"/>
      <c r="AP784" s="430"/>
      <c r="AQ784" s="430"/>
      <c r="AR784" s="430"/>
      <c r="AS784" s="430"/>
      <c r="AT784" s="430"/>
      <c r="AU784" s="430"/>
      <c r="AV784" s="430"/>
      <c r="AW784" s="430"/>
      <c r="AX784" s="430"/>
      <c r="AY784" s="430"/>
      <c r="AZ784" s="430"/>
      <c r="BA784" s="430"/>
      <c r="BB784" s="430"/>
      <c r="BC784" s="430"/>
      <c r="BD784" s="430"/>
      <c r="BE784" s="430"/>
    </row>
    <row r="785" spans="1:57" ht="15.75" customHeight="1">
      <c r="A785" s="430"/>
      <c r="B785" s="430"/>
      <c r="C785" s="430"/>
      <c r="D785" s="430"/>
      <c r="E785" s="430"/>
      <c r="F785" s="430"/>
      <c r="G785" s="430"/>
      <c r="H785" s="430"/>
      <c r="I785" s="430"/>
      <c r="J785" s="430"/>
      <c r="K785" s="430"/>
      <c r="L785" s="430"/>
      <c r="M785" s="430"/>
      <c r="N785" s="430"/>
      <c r="O785" s="430"/>
      <c r="P785" s="430"/>
      <c r="Q785" s="430"/>
      <c r="R785" s="430"/>
      <c r="S785" s="430"/>
      <c r="T785" s="430"/>
      <c r="U785" s="430"/>
      <c r="V785" s="430"/>
      <c r="W785" s="430"/>
      <c r="X785" s="430"/>
      <c r="Y785" s="430"/>
      <c r="Z785" s="430"/>
      <c r="AA785" s="430"/>
      <c r="AB785" s="430"/>
      <c r="AC785" s="430"/>
      <c r="AD785" s="430"/>
      <c r="AE785" s="430"/>
      <c r="AF785" s="430"/>
      <c r="AG785" s="430"/>
      <c r="AH785" s="430"/>
      <c r="AI785" s="430"/>
      <c r="AJ785" s="430"/>
      <c r="AK785" s="430"/>
      <c r="AL785" s="430"/>
      <c r="AM785" s="430"/>
      <c r="AN785" s="430"/>
      <c r="AO785" s="430"/>
      <c r="AP785" s="430"/>
      <c r="AQ785" s="430"/>
      <c r="AR785" s="430"/>
      <c r="AS785" s="430"/>
      <c r="AT785" s="430"/>
      <c r="AU785" s="430"/>
      <c r="AV785" s="430"/>
      <c r="AW785" s="430"/>
      <c r="AX785" s="430"/>
      <c r="AY785" s="430"/>
      <c r="AZ785" s="430"/>
      <c r="BA785" s="430"/>
      <c r="BB785" s="430"/>
      <c r="BC785" s="430"/>
      <c r="BD785" s="430"/>
      <c r="BE785" s="430"/>
    </row>
    <row r="786" spans="1:57" ht="15.75" customHeight="1">
      <c r="A786" s="430"/>
      <c r="B786" s="430"/>
      <c r="C786" s="430"/>
      <c r="D786" s="430"/>
      <c r="E786" s="430"/>
      <c r="F786" s="430"/>
      <c r="G786" s="430"/>
      <c r="H786" s="430"/>
      <c r="I786" s="430"/>
      <c r="J786" s="430"/>
      <c r="K786" s="430"/>
      <c r="L786" s="430"/>
      <c r="M786" s="430"/>
      <c r="N786" s="430"/>
      <c r="O786" s="430"/>
      <c r="P786" s="430"/>
      <c r="Q786" s="430"/>
      <c r="R786" s="430"/>
      <c r="S786" s="430"/>
      <c r="T786" s="430"/>
      <c r="U786" s="430"/>
      <c r="V786" s="430"/>
      <c r="W786" s="430"/>
      <c r="X786" s="430"/>
      <c r="Y786" s="430"/>
      <c r="Z786" s="430"/>
      <c r="AA786" s="430"/>
      <c r="AB786" s="430"/>
      <c r="AC786" s="430"/>
      <c r="AD786" s="430"/>
      <c r="AE786" s="430"/>
      <c r="AF786" s="430"/>
      <c r="AG786" s="430"/>
      <c r="AH786" s="430"/>
      <c r="AI786" s="430"/>
      <c r="AJ786" s="430"/>
      <c r="AK786" s="430"/>
      <c r="AL786" s="430"/>
      <c r="AM786" s="430"/>
      <c r="AN786" s="430"/>
      <c r="AO786" s="430"/>
      <c r="AP786" s="430"/>
      <c r="AQ786" s="430"/>
      <c r="AR786" s="430"/>
      <c r="AS786" s="430"/>
      <c r="AT786" s="430"/>
      <c r="AU786" s="430"/>
      <c r="AV786" s="430"/>
      <c r="AW786" s="430"/>
      <c r="AX786" s="430"/>
      <c r="AY786" s="430"/>
      <c r="AZ786" s="430"/>
      <c r="BA786" s="430"/>
      <c r="BB786" s="430"/>
      <c r="BC786" s="430"/>
      <c r="BD786" s="430"/>
      <c r="BE786" s="430"/>
    </row>
    <row r="787" spans="1:57" ht="15.75" customHeight="1">
      <c r="A787" s="430"/>
      <c r="B787" s="430"/>
      <c r="C787" s="430"/>
      <c r="D787" s="430"/>
      <c r="E787" s="430"/>
      <c r="F787" s="430"/>
      <c r="G787" s="430"/>
      <c r="H787" s="430"/>
      <c r="I787" s="430"/>
      <c r="J787" s="430"/>
      <c r="K787" s="430"/>
      <c r="L787" s="430"/>
      <c r="M787" s="430"/>
      <c r="N787" s="430"/>
      <c r="O787" s="430"/>
      <c r="P787" s="430"/>
      <c r="Q787" s="430"/>
      <c r="R787" s="430"/>
      <c r="S787" s="430"/>
      <c r="T787" s="430"/>
      <c r="U787" s="430"/>
      <c r="V787" s="430"/>
      <c r="W787" s="430"/>
      <c r="X787" s="430"/>
      <c r="Y787" s="430"/>
      <c r="Z787" s="430"/>
      <c r="AA787" s="430"/>
      <c r="AB787" s="430"/>
      <c r="AC787" s="430"/>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0"/>
      <c r="AY787" s="430"/>
      <c r="AZ787" s="430"/>
      <c r="BA787" s="430"/>
      <c r="BB787" s="430"/>
      <c r="BC787" s="430"/>
      <c r="BD787" s="430"/>
      <c r="BE787" s="430"/>
    </row>
    <row r="788" spans="1:57" ht="15.75" customHeight="1">
      <c r="A788" s="430"/>
      <c r="B788" s="430"/>
      <c r="C788" s="430"/>
      <c r="D788" s="430"/>
      <c r="E788" s="430"/>
      <c r="F788" s="430"/>
      <c r="G788" s="430"/>
      <c r="H788" s="430"/>
      <c r="I788" s="430"/>
      <c r="J788" s="430"/>
      <c r="K788" s="430"/>
      <c r="L788" s="430"/>
      <c r="M788" s="430"/>
      <c r="N788" s="430"/>
      <c r="O788" s="430"/>
      <c r="P788" s="430"/>
      <c r="Q788" s="430"/>
      <c r="R788" s="430"/>
      <c r="S788" s="430"/>
      <c r="T788" s="430"/>
      <c r="U788" s="430"/>
      <c r="V788" s="430"/>
      <c r="W788" s="430"/>
      <c r="X788" s="430"/>
      <c r="Y788" s="430"/>
      <c r="Z788" s="430"/>
      <c r="AA788" s="430"/>
      <c r="AB788" s="430"/>
      <c r="AC788" s="430"/>
      <c r="AD788" s="430"/>
      <c r="AE788" s="430"/>
      <c r="AF788" s="430"/>
      <c r="AG788" s="430"/>
      <c r="AH788" s="430"/>
      <c r="AI788" s="430"/>
      <c r="AJ788" s="430"/>
      <c r="AK788" s="430"/>
      <c r="AL788" s="430"/>
      <c r="AM788" s="430"/>
      <c r="AN788" s="430"/>
      <c r="AO788" s="430"/>
      <c r="AP788" s="430"/>
      <c r="AQ788" s="430"/>
      <c r="AR788" s="430"/>
      <c r="AS788" s="430"/>
      <c r="AT788" s="430"/>
      <c r="AU788" s="430"/>
      <c r="AV788" s="430"/>
      <c r="AW788" s="430"/>
      <c r="AX788" s="430"/>
      <c r="AY788" s="430"/>
      <c r="AZ788" s="430"/>
      <c r="BA788" s="430"/>
      <c r="BB788" s="430"/>
      <c r="BC788" s="430"/>
      <c r="BD788" s="430"/>
      <c r="BE788" s="430"/>
    </row>
    <row r="789" spans="1:57" ht="15.75" customHeight="1">
      <c r="A789" s="430"/>
      <c r="B789" s="430"/>
      <c r="C789" s="430"/>
      <c r="D789" s="430"/>
      <c r="E789" s="430"/>
      <c r="F789" s="430"/>
      <c r="G789" s="430"/>
      <c r="H789" s="430"/>
      <c r="I789" s="430"/>
      <c r="J789" s="430"/>
      <c r="K789" s="430"/>
      <c r="L789" s="430"/>
      <c r="M789" s="430"/>
      <c r="N789" s="430"/>
      <c r="O789" s="430"/>
      <c r="P789" s="430"/>
      <c r="Q789" s="430"/>
      <c r="R789" s="430"/>
      <c r="S789" s="430"/>
      <c r="T789" s="430"/>
      <c r="U789" s="430"/>
      <c r="V789" s="430"/>
      <c r="W789" s="430"/>
      <c r="X789" s="430"/>
      <c r="Y789" s="430"/>
      <c r="Z789" s="430"/>
      <c r="AA789" s="430"/>
      <c r="AB789" s="430"/>
      <c r="AC789" s="430"/>
      <c r="AD789" s="430"/>
      <c r="AE789" s="430"/>
      <c r="AF789" s="430"/>
      <c r="AG789" s="430"/>
      <c r="AH789" s="430"/>
      <c r="AI789" s="430"/>
      <c r="AJ789" s="430"/>
      <c r="AK789" s="430"/>
      <c r="AL789" s="430"/>
      <c r="AM789" s="430"/>
      <c r="AN789" s="430"/>
      <c r="AO789" s="430"/>
      <c r="AP789" s="430"/>
      <c r="AQ789" s="430"/>
      <c r="AR789" s="430"/>
      <c r="AS789" s="430"/>
      <c r="AT789" s="430"/>
      <c r="AU789" s="430"/>
      <c r="AV789" s="430"/>
      <c r="AW789" s="430"/>
      <c r="AX789" s="430"/>
      <c r="AY789" s="430"/>
      <c r="AZ789" s="430"/>
      <c r="BA789" s="430"/>
      <c r="BB789" s="430"/>
      <c r="BC789" s="430"/>
      <c r="BD789" s="430"/>
      <c r="BE789" s="430"/>
    </row>
    <row r="790" spans="1:57" ht="15.75" customHeight="1">
      <c r="A790" s="430"/>
      <c r="B790" s="430"/>
      <c r="C790" s="430"/>
      <c r="D790" s="430"/>
      <c r="E790" s="430"/>
      <c r="F790" s="430"/>
      <c r="G790" s="430"/>
      <c r="H790" s="430"/>
      <c r="I790" s="430"/>
      <c r="J790" s="430"/>
      <c r="K790" s="430"/>
      <c r="L790" s="430"/>
      <c r="M790" s="430"/>
      <c r="N790" s="430"/>
      <c r="O790" s="430"/>
      <c r="P790" s="430"/>
      <c r="Q790" s="430"/>
      <c r="R790" s="430"/>
      <c r="S790" s="430"/>
      <c r="T790" s="430"/>
      <c r="U790" s="430"/>
      <c r="V790" s="430"/>
      <c r="W790" s="430"/>
      <c r="X790" s="430"/>
      <c r="Y790" s="430"/>
      <c r="Z790" s="430"/>
      <c r="AA790" s="430"/>
      <c r="AB790" s="430"/>
      <c r="AC790" s="430"/>
      <c r="AD790" s="430"/>
      <c r="AE790" s="430"/>
      <c r="AF790" s="430"/>
      <c r="AG790" s="430"/>
      <c r="AH790" s="430"/>
      <c r="AI790" s="430"/>
      <c r="AJ790" s="430"/>
      <c r="AK790" s="430"/>
      <c r="AL790" s="430"/>
      <c r="AM790" s="430"/>
      <c r="AN790" s="430"/>
      <c r="AO790" s="430"/>
      <c r="AP790" s="430"/>
      <c r="AQ790" s="430"/>
      <c r="AR790" s="430"/>
      <c r="AS790" s="430"/>
      <c r="AT790" s="430"/>
      <c r="AU790" s="430"/>
      <c r="AV790" s="430"/>
      <c r="AW790" s="430"/>
      <c r="AX790" s="430"/>
      <c r="AY790" s="430"/>
      <c r="AZ790" s="430"/>
      <c r="BA790" s="430"/>
      <c r="BB790" s="430"/>
      <c r="BC790" s="430"/>
      <c r="BD790" s="430"/>
      <c r="BE790" s="430"/>
    </row>
    <row r="791" spans="1:57" ht="15.75" customHeight="1">
      <c r="A791" s="430"/>
      <c r="B791" s="430"/>
      <c r="C791" s="430"/>
      <c r="D791" s="430"/>
      <c r="E791" s="430"/>
      <c r="F791" s="430"/>
      <c r="G791" s="430"/>
      <c r="H791" s="430"/>
      <c r="I791" s="430"/>
      <c r="J791" s="430"/>
      <c r="K791" s="430"/>
      <c r="L791" s="430"/>
      <c r="M791" s="430"/>
      <c r="N791" s="430"/>
      <c r="O791" s="430"/>
      <c r="P791" s="430"/>
      <c r="Q791" s="430"/>
      <c r="R791" s="430"/>
      <c r="S791" s="430"/>
      <c r="T791" s="430"/>
      <c r="U791" s="430"/>
      <c r="V791" s="430"/>
      <c r="W791" s="430"/>
      <c r="X791" s="430"/>
      <c r="Y791" s="430"/>
      <c r="Z791" s="430"/>
      <c r="AA791" s="430"/>
      <c r="AB791" s="430"/>
      <c r="AC791" s="430"/>
      <c r="AD791" s="430"/>
      <c r="AE791" s="430"/>
      <c r="AF791" s="430"/>
      <c r="AG791" s="430"/>
      <c r="AH791" s="430"/>
      <c r="AI791" s="430"/>
      <c r="AJ791" s="430"/>
      <c r="AK791" s="430"/>
      <c r="AL791" s="430"/>
      <c r="AM791" s="430"/>
      <c r="AN791" s="430"/>
      <c r="AO791" s="430"/>
      <c r="AP791" s="430"/>
      <c r="AQ791" s="430"/>
      <c r="AR791" s="430"/>
      <c r="AS791" s="430"/>
      <c r="AT791" s="430"/>
      <c r="AU791" s="430"/>
      <c r="AV791" s="430"/>
      <c r="AW791" s="430"/>
      <c r="AX791" s="430"/>
      <c r="AY791" s="430"/>
      <c r="AZ791" s="430"/>
      <c r="BA791" s="430"/>
      <c r="BB791" s="430"/>
      <c r="BC791" s="430"/>
      <c r="BD791" s="430"/>
      <c r="BE791" s="430"/>
    </row>
    <row r="792" spans="1:57" ht="15.75" customHeight="1">
      <c r="A792" s="430"/>
      <c r="B792" s="430"/>
      <c r="C792" s="430"/>
      <c r="D792" s="430"/>
      <c r="E792" s="430"/>
      <c r="F792" s="430"/>
      <c r="G792" s="430"/>
      <c r="H792" s="430"/>
      <c r="I792" s="430"/>
      <c r="J792" s="430"/>
      <c r="K792" s="430"/>
      <c r="L792" s="430"/>
      <c r="M792" s="430"/>
      <c r="N792" s="430"/>
      <c r="O792" s="430"/>
      <c r="P792" s="430"/>
      <c r="Q792" s="430"/>
      <c r="R792" s="430"/>
      <c r="S792" s="430"/>
      <c r="T792" s="430"/>
      <c r="U792" s="430"/>
      <c r="V792" s="430"/>
      <c r="W792" s="430"/>
      <c r="X792" s="430"/>
      <c r="Y792" s="430"/>
      <c r="Z792" s="430"/>
      <c r="AA792" s="430"/>
      <c r="AB792" s="430"/>
      <c r="AC792" s="430"/>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0"/>
      <c r="AY792" s="430"/>
      <c r="AZ792" s="430"/>
      <c r="BA792" s="430"/>
      <c r="BB792" s="430"/>
      <c r="BC792" s="430"/>
      <c r="BD792" s="430"/>
      <c r="BE792" s="430"/>
    </row>
    <row r="793" spans="1:57" ht="15.75" customHeight="1">
      <c r="A793" s="430"/>
      <c r="B793" s="430"/>
      <c r="C793" s="430"/>
      <c r="D793" s="430"/>
      <c r="E793" s="430"/>
      <c r="F793" s="430"/>
      <c r="G793" s="430"/>
      <c r="H793" s="430"/>
      <c r="I793" s="430"/>
      <c r="J793" s="430"/>
      <c r="K793" s="430"/>
      <c r="L793" s="430"/>
      <c r="M793" s="430"/>
      <c r="N793" s="430"/>
      <c r="O793" s="430"/>
      <c r="P793" s="430"/>
      <c r="Q793" s="430"/>
      <c r="R793" s="430"/>
      <c r="S793" s="430"/>
      <c r="T793" s="430"/>
      <c r="U793" s="430"/>
      <c r="V793" s="430"/>
      <c r="W793" s="430"/>
      <c r="X793" s="430"/>
      <c r="Y793" s="430"/>
      <c r="Z793" s="430"/>
      <c r="AA793" s="430"/>
      <c r="AB793" s="430"/>
      <c r="AC793" s="430"/>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0"/>
      <c r="AY793" s="430"/>
      <c r="AZ793" s="430"/>
      <c r="BA793" s="430"/>
      <c r="BB793" s="430"/>
      <c r="BC793" s="430"/>
      <c r="BD793" s="430"/>
      <c r="BE793" s="430"/>
    </row>
    <row r="794" spans="1:57" ht="15.75" customHeight="1">
      <c r="A794" s="430"/>
      <c r="B794" s="430"/>
      <c r="C794" s="430"/>
      <c r="D794" s="430"/>
      <c r="E794" s="430"/>
      <c r="F794" s="430"/>
      <c r="G794" s="430"/>
      <c r="H794" s="430"/>
      <c r="I794" s="430"/>
      <c r="J794" s="430"/>
      <c r="K794" s="430"/>
      <c r="L794" s="430"/>
      <c r="M794" s="430"/>
      <c r="N794" s="430"/>
      <c r="O794" s="430"/>
      <c r="P794" s="430"/>
      <c r="Q794" s="430"/>
      <c r="R794" s="430"/>
      <c r="S794" s="430"/>
      <c r="T794" s="430"/>
      <c r="U794" s="430"/>
      <c r="V794" s="430"/>
      <c r="W794" s="430"/>
      <c r="X794" s="430"/>
      <c r="Y794" s="430"/>
      <c r="Z794" s="430"/>
      <c r="AA794" s="430"/>
      <c r="AB794" s="430"/>
      <c r="AC794" s="430"/>
      <c r="AD794" s="430"/>
      <c r="AE794" s="430"/>
      <c r="AF794" s="430"/>
      <c r="AG794" s="430"/>
      <c r="AH794" s="430"/>
      <c r="AI794" s="430"/>
      <c r="AJ794" s="430"/>
      <c r="AK794" s="430"/>
      <c r="AL794" s="430"/>
      <c r="AM794" s="430"/>
      <c r="AN794" s="430"/>
      <c r="AO794" s="430"/>
      <c r="AP794" s="430"/>
      <c r="AQ794" s="430"/>
      <c r="AR794" s="430"/>
      <c r="AS794" s="430"/>
      <c r="AT794" s="430"/>
      <c r="AU794" s="430"/>
      <c r="AV794" s="430"/>
      <c r="AW794" s="430"/>
      <c r="AX794" s="430"/>
      <c r="AY794" s="430"/>
      <c r="AZ794" s="430"/>
      <c r="BA794" s="430"/>
      <c r="BB794" s="430"/>
      <c r="BC794" s="430"/>
      <c r="BD794" s="430"/>
      <c r="BE794" s="430"/>
    </row>
    <row r="795" spans="1:57" ht="15.75" customHeight="1">
      <c r="A795" s="430"/>
      <c r="B795" s="430"/>
      <c r="C795" s="430"/>
      <c r="D795" s="430"/>
      <c r="E795" s="430"/>
      <c r="F795" s="430"/>
      <c r="G795" s="430"/>
      <c r="H795" s="430"/>
      <c r="I795" s="430"/>
      <c r="J795" s="430"/>
      <c r="K795" s="430"/>
      <c r="L795" s="430"/>
      <c r="M795" s="430"/>
      <c r="N795" s="430"/>
      <c r="O795" s="430"/>
      <c r="P795" s="430"/>
      <c r="Q795" s="430"/>
      <c r="R795" s="430"/>
      <c r="S795" s="430"/>
      <c r="T795" s="430"/>
      <c r="U795" s="430"/>
      <c r="V795" s="430"/>
      <c r="W795" s="430"/>
      <c r="X795" s="430"/>
      <c r="Y795" s="430"/>
      <c r="Z795" s="430"/>
      <c r="AA795" s="430"/>
      <c r="AB795" s="430"/>
      <c r="AC795" s="430"/>
      <c r="AD795" s="430"/>
      <c r="AE795" s="430"/>
      <c r="AF795" s="430"/>
      <c r="AG795" s="430"/>
      <c r="AH795" s="430"/>
      <c r="AI795" s="430"/>
      <c r="AJ795" s="430"/>
      <c r="AK795" s="430"/>
      <c r="AL795" s="430"/>
      <c r="AM795" s="430"/>
      <c r="AN795" s="430"/>
      <c r="AO795" s="430"/>
      <c r="AP795" s="430"/>
      <c r="AQ795" s="430"/>
      <c r="AR795" s="430"/>
      <c r="AS795" s="430"/>
      <c r="AT795" s="430"/>
      <c r="AU795" s="430"/>
      <c r="AV795" s="430"/>
      <c r="AW795" s="430"/>
      <c r="AX795" s="430"/>
      <c r="AY795" s="430"/>
      <c r="AZ795" s="430"/>
      <c r="BA795" s="430"/>
      <c r="BB795" s="430"/>
      <c r="BC795" s="430"/>
      <c r="BD795" s="430"/>
      <c r="BE795" s="430"/>
    </row>
    <row r="796" spans="1:57" ht="15.75" customHeight="1">
      <c r="A796" s="430"/>
      <c r="B796" s="430"/>
      <c r="C796" s="430"/>
      <c r="D796" s="430"/>
      <c r="E796" s="430"/>
      <c r="F796" s="430"/>
      <c r="G796" s="430"/>
      <c r="H796" s="430"/>
      <c r="I796" s="430"/>
      <c r="J796" s="430"/>
      <c r="K796" s="430"/>
      <c r="L796" s="430"/>
      <c r="M796" s="430"/>
      <c r="N796" s="430"/>
      <c r="O796" s="430"/>
      <c r="P796" s="430"/>
      <c r="Q796" s="430"/>
      <c r="R796" s="430"/>
      <c r="S796" s="430"/>
      <c r="T796" s="430"/>
      <c r="U796" s="430"/>
      <c r="V796" s="430"/>
      <c r="W796" s="430"/>
      <c r="X796" s="430"/>
      <c r="Y796" s="430"/>
      <c r="Z796" s="430"/>
      <c r="AA796" s="430"/>
      <c r="AB796" s="430"/>
      <c r="AC796" s="430"/>
      <c r="AD796" s="430"/>
      <c r="AE796" s="430"/>
      <c r="AF796" s="430"/>
      <c r="AG796" s="430"/>
      <c r="AH796" s="430"/>
      <c r="AI796" s="430"/>
      <c r="AJ796" s="430"/>
      <c r="AK796" s="430"/>
      <c r="AL796" s="430"/>
      <c r="AM796" s="430"/>
      <c r="AN796" s="430"/>
      <c r="AO796" s="430"/>
      <c r="AP796" s="430"/>
      <c r="AQ796" s="430"/>
      <c r="AR796" s="430"/>
      <c r="AS796" s="430"/>
      <c r="AT796" s="430"/>
      <c r="AU796" s="430"/>
      <c r="AV796" s="430"/>
      <c r="AW796" s="430"/>
      <c r="AX796" s="430"/>
      <c r="AY796" s="430"/>
      <c r="AZ796" s="430"/>
      <c r="BA796" s="430"/>
      <c r="BB796" s="430"/>
      <c r="BC796" s="430"/>
      <c r="BD796" s="430"/>
      <c r="BE796" s="430"/>
    </row>
    <row r="797" spans="1:57" ht="15.75" customHeight="1">
      <c r="A797" s="430"/>
      <c r="B797" s="430"/>
      <c r="C797" s="430"/>
      <c r="D797" s="430"/>
      <c r="E797" s="430"/>
      <c r="F797" s="430"/>
      <c r="G797" s="430"/>
      <c r="H797" s="430"/>
      <c r="I797" s="430"/>
      <c r="J797" s="430"/>
      <c r="K797" s="430"/>
      <c r="L797" s="430"/>
      <c r="M797" s="430"/>
      <c r="N797" s="430"/>
      <c r="O797" s="430"/>
      <c r="P797" s="430"/>
      <c r="Q797" s="430"/>
      <c r="R797" s="430"/>
      <c r="S797" s="430"/>
      <c r="T797" s="430"/>
      <c r="U797" s="430"/>
      <c r="V797" s="430"/>
      <c r="W797" s="430"/>
      <c r="X797" s="430"/>
      <c r="Y797" s="430"/>
      <c r="Z797" s="430"/>
      <c r="AA797" s="430"/>
      <c r="AB797" s="430"/>
      <c r="AC797" s="430"/>
      <c r="AD797" s="430"/>
      <c r="AE797" s="430"/>
      <c r="AF797" s="430"/>
      <c r="AG797" s="430"/>
      <c r="AH797" s="430"/>
      <c r="AI797" s="430"/>
      <c r="AJ797" s="430"/>
      <c r="AK797" s="430"/>
      <c r="AL797" s="430"/>
      <c r="AM797" s="430"/>
      <c r="AN797" s="430"/>
      <c r="AO797" s="430"/>
      <c r="AP797" s="430"/>
      <c r="AQ797" s="430"/>
      <c r="AR797" s="430"/>
      <c r="AS797" s="430"/>
      <c r="AT797" s="430"/>
      <c r="AU797" s="430"/>
      <c r="AV797" s="430"/>
      <c r="AW797" s="430"/>
      <c r="AX797" s="430"/>
      <c r="AY797" s="430"/>
      <c r="AZ797" s="430"/>
      <c r="BA797" s="430"/>
      <c r="BB797" s="430"/>
      <c r="BC797" s="430"/>
      <c r="BD797" s="430"/>
      <c r="BE797" s="430"/>
    </row>
    <row r="798" spans="1:57" ht="15.75" customHeight="1">
      <c r="A798" s="430"/>
      <c r="B798" s="430"/>
      <c r="C798" s="430"/>
      <c r="D798" s="430"/>
      <c r="E798" s="430"/>
      <c r="F798" s="430"/>
      <c r="G798" s="430"/>
      <c r="H798" s="430"/>
      <c r="I798" s="430"/>
      <c r="J798" s="430"/>
      <c r="K798" s="430"/>
      <c r="L798" s="430"/>
      <c r="M798" s="430"/>
      <c r="N798" s="430"/>
      <c r="O798" s="430"/>
      <c r="P798" s="430"/>
      <c r="Q798" s="430"/>
      <c r="R798" s="430"/>
      <c r="S798" s="430"/>
      <c r="T798" s="430"/>
      <c r="U798" s="430"/>
      <c r="V798" s="430"/>
      <c r="W798" s="430"/>
      <c r="X798" s="430"/>
      <c r="Y798" s="430"/>
      <c r="Z798" s="430"/>
      <c r="AA798" s="430"/>
      <c r="AB798" s="430"/>
      <c r="AC798" s="430"/>
      <c r="AD798" s="430"/>
      <c r="AE798" s="430"/>
      <c r="AF798" s="430"/>
      <c r="AG798" s="430"/>
      <c r="AH798" s="430"/>
      <c r="AI798" s="430"/>
      <c r="AJ798" s="430"/>
      <c r="AK798" s="430"/>
      <c r="AL798" s="430"/>
      <c r="AM798" s="430"/>
      <c r="AN798" s="430"/>
      <c r="AO798" s="430"/>
      <c r="AP798" s="430"/>
      <c r="AQ798" s="430"/>
      <c r="AR798" s="430"/>
      <c r="AS798" s="430"/>
      <c r="AT798" s="430"/>
      <c r="AU798" s="430"/>
      <c r="AV798" s="430"/>
      <c r="AW798" s="430"/>
      <c r="AX798" s="430"/>
      <c r="AY798" s="430"/>
      <c r="AZ798" s="430"/>
      <c r="BA798" s="430"/>
      <c r="BB798" s="430"/>
      <c r="BC798" s="430"/>
      <c r="BD798" s="430"/>
      <c r="BE798" s="430"/>
    </row>
    <row r="799" spans="1:57" ht="15.75" customHeight="1">
      <c r="A799" s="430"/>
      <c r="B799" s="430"/>
      <c r="C799" s="430"/>
      <c r="D799" s="430"/>
      <c r="E799" s="430"/>
      <c r="F799" s="430"/>
      <c r="G799" s="430"/>
      <c r="H799" s="430"/>
      <c r="I799" s="430"/>
      <c r="J799" s="430"/>
      <c r="K799" s="430"/>
      <c r="L799" s="430"/>
      <c r="M799" s="430"/>
      <c r="N799" s="430"/>
      <c r="O799" s="430"/>
      <c r="P799" s="430"/>
      <c r="Q799" s="430"/>
      <c r="R799" s="430"/>
      <c r="S799" s="430"/>
      <c r="T799" s="430"/>
      <c r="U799" s="430"/>
      <c r="V799" s="430"/>
      <c r="W799" s="430"/>
      <c r="X799" s="430"/>
      <c r="Y799" s="430"/>
      <c r="Z799" s="430"/>
      <c r="AA799" s="430"/>
      <c r="AB799" s="430"/>
      <c r="AC799" s="430"/>
      <c r="AD799" s="430"/>
      <c r="AE799" s="430"/>
      <c r="AF799" s="430"/>
      <c r="AG799" s="430"/>
      <c r="AH799" s="430"/>
      <c r="AI799" s="430"/>
      <c r="AJ799" s="430"/>
      <c r="AK799" s="430"/>
      <c r="AL799" s="430"/>
      <c r="AM799" s="430"/>
      <c r="AN799" s="430"/>
      <c r="AO799" s="430"/>
      <c r="AP799" s="430"/>
      <c r="AQ799" s="430"/>
      <c r="AR799" s="430"/>
      <c r="AS799" s="430"/>
      <c r="AT799" s="430"/>
      <c r="AU799" s="430"/>
      <c r="AV799" s="430"/>
      <c r="AW799" s="430"/>
      <c r="AX799" s="430"/>
      <c r="AY799" s="430"/>
      <c r="AZ799" s="430"/>
      <c r="BA799" s="430"/>
      <c r="BB799" s="430"/>
      <c r="BC799" s="430"/>
      <c r="BD799" s="430"/>
      <c r="BE799" s="430"/>
    </row>
    <row r="800" spans="1:57" ht="15.75" customHeight="1">
      <c r="A800" s="430"/>
      <c r="B800" s="430"/>
      <c r="C800" s="430"/>
      <c r="D800" s="430"/>
      <c r="E800" s="430"/>
      <c r="F800" s="430"/>
      <c r="G800" s="430"/>
      <c r="H800" s="430"/>
      <c r="I800" s="430"/>
      <c r="J800" s="430"/>
      <c r="K800" s="430"/>
      <c r="L800" s="430"/>
      <c r="M800" s="430"/>
      <c r="N800" s="430"/>
      <c r="O800" s="430"/>
      <c r="P800" s="430"/>
      <c r="Q800" s="430"/>
      <c r="R800" s="430"/>
      <c r="S800" s="430"/>
      <c r="T800" s="430"/>
      <c r="U800" s="430"/>
      <c r="V800" s="430"/>
      <c r="W800" s="430"/>
      <c r="X800" s="430"/>
      <c r="Y800" s="430"/>
      <c r="Z800" s="430"/>
      <c r="AA800" s="430"/>
      <c r="AB800" s="430"/>
      <c r="AC800" s="430"/>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0"/>
      <c r="AY800" s="430"/>
      <c r="AZ800" s="430"/>
      <c r="BA800" s="430"/>
      <c r="BB800" s="430"/>
      <c r="BC800" s="430"/>
      <c r="BD800" s="430"/>
      <c r="BE800" s="430"/>
    </row>
    <row r="801" spans="1:57" ht="15.75" customHeight="1">
      <c r="A801" s="430"/>
      <c r="B801" s="430"/>
      <c r="C801" s="430"/>
      <c r="D801" s="430"/>
      <c r="E801" s="430"/>
      <c r="F801" s="430"/>
      <c r="G801" s="430"/>
      <c r="H801" s="430"/>
      <c r="I801" s="430"/>
      <c r="J801" s="430"/>
      <c r="K801" s="430"/>
      <c r="L801" s="430"/>
      <c r="M801" s="430"/>
      <c r="N801" s="430"/>
      <c r="O801" s="430"/>
      <c r="P801" s="430"/>
      <c r="Q801" s="430"/>
      <c r="R801" s="430"/>
      <c r="S801" s="430"/>
      <c r="T801" s="430"/>
      <c r="U801" s="430"/>
      <c r="V801" s="430"/>
      <c r="W801" s="430"/>
      <c r="X801" s="430"/>
      <c r="Y801" s="430"/>
      <c r="Z801" s="430"/>
      <c r="AA801" s="430"/>
      <c r="AB801" s="430"/>
      <c r="AC801" s="430"/>
      <c r="AD801" s="430"/>
      <c r="AE801" s="430"/>
      <c r="AF801" s="430"/>
      <c r="AG801" s="430"/>
      <c r="AH801" s="430"/>
      <c r="AI801" s="430"/>
      <c r="AJ801" s="430"/>
      <c r="AK801" s="430"/>
      <c r="AL801" s="430"/>
      <c r="AM801" s="430"/>
      <c r="AN801" s="430"/>
      <c r="AO801" s="430"/>
      <c r="AP801" s="430"/>
      <c r="AQ801" s="430"/>
      <c r="AR801" s="430"/>
      <c r="AS801" s="430"/>
      <c r="AT801" s="430"/>
      <c r="AU801" s="430"/>
      <c r="AV801" s="430"/>
      <c r="AW801" s="430"/>
      <c r="AX801" s="430"/>
      <c r="AY801" s="430"/>
      <c r="AZ801" s="430"/>
      <c r="BA801" s="430"/>
      <c r="BB801" s="430"/>
      <c r="BC801" s="430"/>
      <c r="BD801" s="430"/>
      <c r="BE801" s="430"/>
    </row>
    <row r="802" spans="1:57" ht="15.75" customHeight="1">
      <c r="A802" s="430"/>
      <c r="B802" s="430"/>
      <c r="C802" s="430"/>
      <c r="D802" s="430"/>
      <c r="E802" s="430"/>
      <c r="F802" s="430"/>
      <c r="G802" s="430"/>
      <c r="H802" s="430"/>
      <c r="I802" s="430"/>
      <c r="J802" s="430"/>
      <c r="K802" s="430"/>
      <c r="L802" s="430"/>
      <c r="M802" s="430"/>
      <c r="N802" s="430"/>
      <c r="O802" s="430"/>
      <c r="P802" s="430"/>
      <c r="Q802" s="430"/>
      <c r="R802" s="430"/>
      <c r="S802" s="430"/>
      <c r="T802" s="430"/>
      <c r="U802" s="430"/>
      <c r="V802" s="430"/>
      <c r="W802" s="430"/>
      <c r="X802" s="430"/>
      <c r="Y802" s="430"/>
      <c r="Z802" s="430"/>
      <c r="AA802" s="430"/>
      <c r="AB802" s="430"/>
      <c r="AC802" s="430"/>
      <c r="AD802" s="430"/>
      <c r="AE802" s="430"/>
      <c r="AF802" s="430"/>
      <c r="AG802" s="430"/>
      <c r="AH802" s="430"/>
      <c r="AI802" s="430"/>
      <c r="AJ802" s="430"/>
      <c r="AK802" s="430"/>
      <c r="AL802" s="430"/>
      <c r="AM802" s="430"/>
      <c r="AN802" s="430"/>
      <c r="AO802" s="430"/>
      <c r="AP802" s="430"/>
      <c r="AQ802" s="430"/>
      <c r="AR802" s="430"/>
      <c r="AS802" s="430"/>
      <c r="AT802" s="430"/>
      <c r="AU802" s="430"/>
      <c r="AV802" s="430"/>
      <c r="AW802" s="430"/>
      <c r="AX802" s="430"/>
      <c r="AY802" s="430"/>
      <c r="AZ802" s="430"/>
      <c r="BA802" s="430"/>
      <c r="BB802" s="430"/>
      <c r="BC802" s="430"/>
      <c r="BD802" s="430"/>
      <c r="BE802" s="430"/>
    </row>
    <row r="803" spans="1:57" ht="15.75" customHeight="1">
      <c r="A803" s="430"/>
      <c r="B803" s="430"/>
      <c r="C803" s="430"/>
      <c r="D803" s="430"/>
      <c r="E803" s="430"/>
      <c r="F803" s="430"/>
      <c r="G803" s="430"/>
      <c r="H803" s="430"/>
      <c r="I803" s="430"/>
      <c r="J803" s="430"/>
      <c r="K803" s="430"/>
      <c r="L803" s="430"/>
      <c r="M803" s="430"/>
      <c r="N803" s="430"/>
      <c r="O803" s="430"/>
      <c r="P803" s="430"/>
      <c r="Q803" s="430"/>
      <c r="R803" s="430"/>
      <c r="S803" s="430"/>
      <c r="T803" s="430"/>
      <c r="U803" s="430"/>
      <c r="V803" s="430"/>
      <c r="W803" s="430"/>
      <c r="X803" s="430"/>
      <c r="Y803" s="430"/>
      <c r="Z803" s="430"/>
      <c r="AA803" s="430"/>
      <c r="AB803" s="430"/>
      <c r="AC803" s="430"/>
      <c r="AD803" s="430"/>
      <c r="AE803" s="430"/>
      <c r="AF803" s="430"/>
      <c r="AG803" s="430"/>
      <c r="AH803" s="430"/>
      <c r="AI803" s="430"/>
      <c r="AJ803" s="430"/>
      <c r="AK803" s="430"/>
      <c r="AL803" s="430"/>
      <c r="AM803" s="430"/>
      <c r="AN803" s="430"/>
      <c r="AO803" s="430"/>
      <c r="AP803" s="430"/>
      <c r="AQ803" s="430"/>
      <c r="AR803" s="430"/>
      <c r="AS803" s="430"/>
      <c r="AT803" s="430"/>
      <c r="AU803" s="430"/>
      <c r="AV803" s="430"/>
      <c r="AW803" s="430"/>
      <c r="AX803" s="430"/>
      <c r="AY803" s="430"/>
      <c r="AZ803" s="430"/>
      <c r="BA803" s="430"/>
      <c r="BB803" s="430"/>
      <c r="BC803" s="430"/>
      <c r="BD803" s="430"/>
      <c r="BE803" s="430"/>
    </row>
    <row r="804" spans="1:57" ht="15.75" customHeight="1">
      <c r="A804" s="430"/>
      <c r="B804" s="430"/>
      <c r="C804" s="430"/>
      <c r="D804" s="430"/>
      <c r="E804" s="430"/>
      <c r="F804" s="430"/>
      <c r="G804" s="430"/>
      <c r="H804" s="430"/>
      <c r="I804" s="430"/>
      <c r="J804" s="430"/>
      <c r="K804" s="430"/>
      <c r="L804" s="430"/>
      <c r="M804" s="430"/>
      <c r="N804" s="430"/>
      <c r="O804" s="430"/>
      <c r="P804" s="430"/>
      <c r="Q804" s="430"/>
      <c r="R804" s="430"/>
      <c r="S804" s="430"/>
      <c r="T804" s="430"/>
      <c r="U804" s="430"/>
      <c r="V804" s="430"/>
      <c r="W804" s="430"/>
      <c r="X804" s="430"/>
      <c r="Y804" s="430"/>
      <c r="Z804" s="430"/>
      <c r="AA804" s="430"/>
      <c r="AB804" s="430"/>
      <c r="AC804" s="430"/>
      <c r="AD804" s="430"/>
      <c r="AE804" s="430"/>
      <c r="AF804" s="430"/>
      <c r="AG804" s="430"/>
      <c r="AH804" s="430"/>
      <c r="AI804" s="430"/>
      <c r="AJ804" s="430"/>
      <c r="AK804" s="430"/>
      <c r="AL804" s="430"/>
      <c r="AM804" s="430"/>
      <c r="AN804" s="430"/>
      <c r="AO804" s="430"/>
      <c r="AP804" s="430"/>
      <c r="AQ804" s="430"/>
      <c r="AR804" s="430"/>
      <c r="AS804" s="430"/>
      <c r="AT804" s="430"/>
      <c r="AU804" s="430"/>
      <c r="AV804" s="430"/>
      <c r="AW804" s="430"/>
      <c r="AX804" s="430"/>
      <c r="AY804" s="430"/>
      <c r="AZ804" s="430"/>
      <c r="BA804" s="430"/>
      <c r="BB804" s="430"/>
      <c r="BC804" s="430"/>
      <c r="BD804" s="430"/>
      <c r="BE804" s="430"/>
    </row>
    <row r="805" spans="1:57" ht="15.75" customHeight="1">
      <c r="A805" s="430"/>
      <c r="B805" s="430"/>
      <c r="C805" s="430"/>
      <c r="D805" s="430"/>
      <c r="E805" s="430"/>
      <c r="F805" s="430"/>
      <c r="G805" s="430"/>
      <c r="H805" s="430"/>
      <c r="I805" s="430"/>
      <c r="J805" s="430"/>
      <c r="K805" s="430"/>
      <c r="L805" s="430"/>
      <c r="M805" s="430"/>
      <c r="N805" s="430"/>
      <c r="O805" s="430"/>
      <c r="P805" s="430"/>
      <c r="Q805" s="430"/>
      <c r="R805" s="430"/>
      <c r="S805" s="430"/>
      <c r="T805" s="430"/>
      <c r="U805" s="430"/>
      <c r="V805" s="430"/>
      <c r="W805" s="430"/>
      <c r="X805" s="430"/>
      <c r="Y805" s="430"/>
      <c r="Z805" s="430"/>
      <c r="AA805" s="430"/>
      <c r="AB805" s="430"/>
      <c r="AC805" s="430"/>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0"/>
      <c r="AY805" s="430"/>
      <c r="AZ805" s="430"/>
      <c r="BA805" s="430"/>
      <c r="BB805" s="430"/>
      <c r="BC805" s="430"/>
      <c r="BD805" s="430"/>
      <c r="BE805" s="430"/>
    </row>
    <row r="806" spans="1:57" ht="15.75" customHeight="1">
      <c r="A806" s="430"/>
      <c r="B806" s="430"/>
      <c r="C806" s="430"/>
      <c r="D806" s="430"/>
      <c r="E806" s="430"/>
      <c r="F806" s="430"/>
      <c r="G806" s="430"/>
      <c r="H806" s="430"/>
      <c r="I806" s="430"/>
      <c r="J806" s="430"/>
      <c r="K806" s="430"/>
      <c r="L806" s="430"/>
      <c r="M806" s="430"/>
      <c r="N806" s="430"/>
      <c r="O806" s="430"/>
      <c r="P806" s="430"/>
      <c r="Q806" s="430"/>
      <c r="R806" s="430"/>
      <c r="S806" s="430"/>
      <c r="T806" s="430"/>
      <c r="U806" s="430"/>
      <c r="V806" s="430"/>
      <c r="W806" s="430"/>
      <c r="X806" s="430"/>
      <c r="Y806" s="430"/>
      <c r="Z806" s="430"/>
      <c r="AA806" s="430"/>
      <c r="AB806" s="430"/>
      <c r="AC806" s="430"/>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0"/>
      <c r="AY806" s="430"/>
      <c r="AZ806" s="430"/>
      <c r="BA806" s="430"/>
      <c r="BB806" s="430"/>
      <c r="BC806" s="430"/>
      <c r="BD806" s="430"/>
      <c r="BE806" s="430"/>
    </row>
    <row r="807" spans="1:57" ht="15.75" customHeight="1">
      <c r="A807" s="430"/>
      <c r="B807" s="430"/>
      <c r="C807" s="430"/>
      <c r="D807" s="430"/>
      <c r="E807" s="430"/>
      <c r="F807" s="430"/>
      <c r="G807" s="430"/>
      <c r="H807" s="430"/>
      <c r="I807" s="430"/>
      <c r="J807" s="430"/>
      <c r="K807" s="430"/>
      <c r="L807" s="430"/>
      <c r="M807" s="430"/>
      <c r="N807" s="430"/>
      <c r="O807" s="430"/>
      <c r="P807" s="430"/>
      <c r="Q807" s="430"/>
      <c r="R807" s="430"/>
      <c r="S807" s="430"/>
      <c r="T807" s="430"/>
      <c r="U807" s="430"/>
      <c r="V807" s="430"/>
      <c r="W807" s="430"/>
      <c r="X807" s="430"/>
      <c r="Y807" s="430"/>
      <c r="Z807" s="430"/>
      <c r="AA807" s="430"/>
      <c r="AB807" s="430"/>
      <c r="AC807" s="430"/>
      <c r="AD807" s="430"/>
      <c r="AE807" s="430"/>
      <c r="AF807" s="430"/>
      <c r="AG807" s="430"/>
      <c r="AH807" s="430"/>
      <c r="AI807" s="430"/>
      <c r="AJ807" s="430"/>
      <c r="AK807" s="430"/>
      <c r="AL807" s="430"/>
      <c r="AM807" s="430"/>
      <c r="AN807" s="430"/>
      <c r="AO807" s="430"/>
      <c r="AP807" s="430"/>
      <c r="AQ807" s="430"/>
      <c r="AR807" s="430"/>
      <c r="AS807" s="430"/>
      <c r="AT807" s="430"/>
      <c r="AU807" s="430"/>
      <c r="AV807" s="430"/>
      <c r="AW807" s="430"/>
      <c r="AX807" s="430"/>
      <c r="AY807" s="430"/>
      <c r="AZ807" s="430"/>
      <c r="BA807" s="430"/>
      <c r="BB807" s="430"/>
      <c r="BC807" s="430"/>
      <c r="BD807" s="430"/>
      <c r="BE807" s="430"/>
    </row>
    <row r="808" spans="1:57" ht="15.75" customHeight="1">
      <c r="A808" s="430"/>
      <c r="B808" s="430"/>
      <c r="C808" s="430"/>
      <c r="D808" s="430"/>
      <c r="E808" s="430"/>
      <c r="F808" s="430"/>
      <c r="G808" s="430"/>
      <c r="H808" s="430"/>
      <c r="I808" s="430"/>
      <c r="J808" s="430"/>
      <c r="K808" s="430"/>
      <c r="L808" s="430"/>
      <c r="M808" s="430"/>
      <c r="N808" s="430"/>
      <c r="O808" s="430"/>
      <c r="P808" s="430"/>
      <c r="Q808" s="430"/>
      <c r="R808" s="430"/>
      <c r="S808" s="430"/>
      <c r="T808" s="430"/>
      <c r="U808" s="430"/>
      <c r="V808" s="430"/>
      <c r="W808" s="430"/>
      <c r="X808" s="430"/>
      <c r="Y808" s="430"/>
      <c r="Z808" s="430"/>
      <c r="AA808" s="430"/>
      <c r="AB808" s="430"/>
      <c r="AC808" s="430"/>
      <c r="AD808" s="430"/>
      <c r="AE808" s="430"/>
      <c r="AF808" s="430"/>
      <c r="AG808" s="430"/>
      <c r="AH808" s="430"/>
      <c r="AI808" s="430"/>
      <c r="AJ808" s="430"/>
      <c r="AK808" s="430"/>
      <c r="AL808" s="430"/>
      <c r="AM808" s="430"/>
      <c r="AN808" s="430"/>
      <c r="AO808" s="430"/>
      <c r="AP808" s="430"/>
      <c r="AQ808" s="430"/>
      <c r="AR808" s="430"/>
      <c r="AS808" s="430"/>
      <c r="AT808" s="430"/>
      <c r="AU808" s="430"/>
      <c r="AV808" s="430"/>
      <c r="AW808" s="430"/>
      <c r="AX808" s="430"/>
      <c r="AY808" s="430"/>
      <c r="AZ808" s="430"/>
      <c r="BA808" s="430"/>
      <c r="BB808" s="430"/>
      <c r="BC808" s="430"/>
      <c r="BD808" s="430"/>
      <c r="BE808" s="430"/>
    </row>
    <row r="809" spans="1:57" ht="15.75" customHeight="1">
      <c r="A809" s="430"/>
      <c r="B809" s="430"/>
      <c r="C809" s="430"/>
      <c r="D809" s="430"/>
      <c r="E809" s="430"/>
      <c r="F809" s="430"/>
      <c r="G809" s="430"/>
      <c r="H809" s="430"/>
      <c r="I809" s="430"/>
      <c r="J809" s="430"/>
      <c r="K809" s="430"/>
      <c r="L809" s="430"/>
      <c r="M809" s="430"/>
      <c r="N809" s="430"/>
      <c r="O809" s="430"/>
      <c r="P809" s="430"/>
      <c r="Q809" s="430"/>
      <c r="R809" s="430"/>
      <c r="S809" s="430"/>
      <c r="T809" s="430"/>
      <c r="U809" s="430"/>
      <c r="V809" s="430"/>
      <c r="W809" s="430"/>
      <c r="X809" s="430"/>
      <c r="Y809" s="430"/>
      <c r="Z809" s="430"/>
      <c r="AA809" s="430"/>
      <c r="AB809" s="430"/>
      <c r="AC809" s="430"/>
      <c r="AD809" s="430"/>
      <c r="AE809" s="430"/>
      <c r="AF809" s="430"/>
      <c r="AG809" s="430"/>
      <c r="AH809" s="430"/>
      <c r="AI809" s="430"/>
      <c r="AJ809" s="430"/>
      <c r="AK809" s="430"/>
      <c r="AL809" s="430"/>
      <c r="AM809" s="430"/>
      <c r="AN809" s="430"/>
      <c r="AO809" s="430"/>
      <c r="AP809" s="430"/>
      <c r="AQ809" s="430"/>
      <c r="AR809" s="430"/>
      <c r="AS809" s="430"/>
      <c r="AT809" s="430"/>
      <c r="AU809" s="430"/>
      <c r="AV809" s="430"/>
      <c r="AW809" s="430"/>
      <c r="AX809" s="430"/>
      <c r="AY809" s="430"/>
      <c r="AZ809" s="430"/>
      <c r="BA809" s="430"/>
      <c r="BB809" s="430"/>
      <c r="BC809" s="430"/>
      <c r="BD809" s="430"/>
      <c r="BE809" s="430"/>
    </row>
    <row r="810" spans="1:57" ht="15.75" customHeight="1">
      <c r="A810" s="430"/>
      <c r="B810" s="430"/>
      <c r="C810" s="430"/>
      <c r="D810" s="430"/>
      <c r="E810" s="430"/>
      <c r="F810" s="430"/>
      <c r="G810" s="430"/>
      <c r="H810" s="430"/>
      <c r="I810" s="430"/>
      <c r="J810" s="430"/>
      <c r="K810" s="430"/>
      <c r="L810" s="430"/>
      <c r="M810" s="430"/>
      <c r="N810" s="430"/>
      <c r="O810" s="430"/>
      <c r="P810" s="430"/>
      <c r="Q810" s="430"/>
      <c r="R810" s="430"/>
      <c r="S810" s="430"/>
      <c r="T810" s="430"/>
      <c r="U810" s="430"/>
      <c r="V810" s="430"/>
      <c r="W810" s="430"/>
      <c r="X810" s="430"/>
      <c r="Y810" s="430"/>
      <c r="Z810" s="430"/>
      <c r="AA810" s="430"/>
      <c r="AB810" s="430"/>
      <c r="AC810" s="430"/>
      <c r="AD810" s="430"/>
      <c r="AE810" s="430"/>
      <c r="AF810" s="430"/>
      <c r="AG810" s="430"/>
      <c r="AH810" s="430"/>
      <c r="AI810" s="430"/>
      <c r="AJ810" s="430"/>
      <c r="AK810" s="430"/>
      <c r="AL810" s="430"/>
      <c r="AM810" s="430"/>
      <c r="AN810" s="430"/>
      <c r="AO810" s="430"/>
      <c r="AP810" s="430"/>
      <c r="AQ810" s="430"/>
      <c r="AR810" s="430"/>
      <c r="AS810" s="430"/>
      <c r="AT810" s="430"/>
      <c r="AU810" s="430"/>
      <c r="AV810" s="430"/>
      <c r="AW810" s="430"/>
      <c r="AX810" s="430"/>
      <c r="AY810" s="430"/>
      <c r="AZ810" s="430"/>
      <c r="BA810" s="430"/>
      <c r="BB810" s="430"/>
      <c r="BC810" s="430"/>
      <c r="BD810" s="430"/>
      <c r="BE810" s="430"/>
    </row>
    <row r="811" spans="1:57" ht="15.75" customHeight="1">
      <c r="A811" s="430"/>
      <c r="B811" s="430"/>
      <c r="C811" s="430"/>
      <c r="D811" s="430"/>
      <c r="E811" s="430"/>
      <c r="F811" s="430"/>
      <c r="G811" s="430"/>
      <c r="H811" s="430"/>
      <c r="I811" s="430"/>
      <c r="J811" s="430"/>
      <c r="K811" s="430"/>
      <c r="L811" s="430"/>
      <c r="M811" s="430"/>
      <c r="N811" s="430"/>
      <c r="O811" s="430"/>
      <c r="P811" s="430"/>
      <c r="Q811" s="430"/>
      <c r="R811" s="430"/>
      <c r="S811" s="430"/>
      <c r="T811" s="430"/>
      <c r="U811" s="430"/>
      <c r="V811" s="430"/>
      <c r="W811" s="430"/>
      <c r="X811" s="430"/>
      <c r="Y811" s="430"/>
      <c r="Z811" s="430"/>
      <c r="AA811" s="430"/>
      <c r="AB811" s="430"/>
      <c r="AC811" s="430"/>
      <c r="AD811" s="430"/>
      <c r="AE811" s="430"/>
      <c r="AF811" s="430"/>
      <c r="AG811" s="430"/>
      <c r="AH811" s="430"/>
      <c r="AI811" s="430"/>
      <c r="AJ811" s="430"/>
      <c r="AK811" s="430"/>
      <c r="AL811" s="430"/>
      <c r="AM811" s="430"/>
      <c r="AN811" s="430"/>
      <c r="AO811" s="430"/>
      <c r="AP811" s="430"/>
      <c r="AQ811" s="430"/>
      <c r="AR811" s="430"/>
      <c r="AS811" s="430"/>
      <c r="AT811" s="430"/>
      <c r="AU811" s="430"/>
      <c r="AV811" s="430"/>
      <c r="AW811" s="430"/>
      <c r="AX811" s="430"/>
      <c r="AY811" s="430"/>
      <c r="AZ811" s="430"/>
      <c r="BA811" s="430"/>
      <c r="BB811" s="430"/>
      <c r="BC811" s="430"/>
      <c r="BD811" s="430"/>
      <c r="BE811" s="430"/>
    </row>
    <row r="812" spans="1:57" ht="15.75" customHeight="1">
      <c r="A812" s="430"/>
      <c r="B812" s="430"/>
      <c r="C812" s="430"/>
      <c r="D812" s="430"/>
      <c r="E812" s="430"/>
      <c r="F812" s="430"/>
      <c r="G812" s="430"/>
      <c r="H812" s="430"/>
      <c r="I812" s="430"/>
      <c r="J812" s="430"/>
      <c r="K812" s="430"/>
      <c r="L812" s="430"/>
      <c r="M812" s="430"/>
      <c r="N812" s="430"/>
      <c r="O812" s="430"/>
      <c r="P812" s="430"/>
      <c r="Q812" s="430"/>
      <c r="R812" s="430"/>
      <c r="S812" s="430"/>
      <c r="T812" s="430"/>
      <c r="U812" s="430"/>
      <c r="V812" s="430"/>
      <c r="W812" s="430"/>
      <c r="X812" s="430"/>
      <c r="Y812" s="430"/>
      <c r="Z812" s="430"/>
      <c r="AA812" s="430"/>
      <c r="AB812" s="430"/>
      <c r="AC812" s="430"/>
      <c r="AD812" s="430"/>
      <c r="AE812" s="430"/>
      <c r="AF812" s="430"/>
      <c r="AG812" s="430"/>
      <c r="AH812" s="430"/>
      <c r="AI812" s="430"/>
      <c r="AJ812" s="430"/>
      <c r="AK812" s="430"/>
      <c r="AL812" s="430"/>
      <c r="AM812" s="430"/>
      <c r="AN812" s="430"/>
      <c r="AO812" s="430"/>
      <c r="AP812" s="430"/>
      <c r="AQ812" s="430"/>
      <c r="AR812" s="430"/>
      <c r="AS812" s="430"/>
      <c r="AT812" s="430"/>
      <c r="AU812" s="430"/>
      <c r="AV812" s="430"/>
      <c r="AW812" s="430"/>
      <c r="AX812" s="430"/>
      <c r="AY812" s="430"/>
      <c r="AZ812" s="430"/>
      <c r="BA812" s="430"/>
      <c r="BB812" s="430"/>
      <c r="BC812" s="430"/>
      <c r="BD812" s="430"/>
      <c r="BE812" s="430"/>
    </row>
    <row r="813" spans="1:57" ht="15.75" customHeight="1">
      <c r="A813" s="430"/>
      <c r="B813" s="430"/>
      <c r="C813" s="430"/>
      <c r="D813" s="430"/>
      <c r="E813" s="430"/>
      <c r="F813" s="430"/>
      <c r="G813" s="430"/>
      <c r="H813" s="430"/>
      <c r="I813" s="430"/>
      <c r="J813" s="430"/>
      <c r="K813" s="430"/>
      <c r="L813" s="430"/>
      <c r="M813" s="430"/>
      <c r="N813" s="430"/>
      <c r="O813" s="430"/>
      <c r="P813" s="430"/>
      <c r="Q813" s="430"/>
      <c r="R813" s="430"/>
      <c r="S813" s="430"/>
      <c r="T813" s="430"/>
      <c r="U813" s="430"/>
      <c r="V813" s="430"/>
      <c r="W813" s="430"/>
      <c r="X813" s="430"/>
      <c r="Y813" s="430"/>
      <c r="Z813" s="430"/>
      <c r="AA813" s="430"/>
      <c r="AB813" s="430"/>
      <c r="AC813" s="430"/>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0"/>
      <c r="AY813" s="430"/>
      <c r="AZ813" s="430"/>
      <c r="BA813" s="430"/>
      <c r="BB813" s="430"/>
      <c r="BC813" s="430"/>
      <c r="BD813" s="430"/>
      <c r="BE813" s="430"/>
    </row>
    <row r="814" spans="1:57" ht="15.75" customHeight="1">
      <c r="A814" s="430"/>
      <c r="B814" s="430"/>
      <c r="C814" s="430"/>
      <c r="D814" s="430"/>
      <c r="E814" s="430"/>
      <c r="F814" s="430"/>
      <c r="G814" s="430"/>
      <c r="H814" s="430"/>
      <c r="I814" s="430"/>
      <c r="J814" s="430"/>
      <c r="K814" s="430"/>
      <c r="L814" s="430"/>
      <c r="M814" s="430"/>
      <c r="N814" s="430"/>
      <c r="O814" s="430"/>
      <c r="P814" s="430"/>
      <c r="Q814" s="430"/>
      <c r="R814" s="430"/>
      <c r="S814" s="430"/>
      <c r="T814" s="430"/>
      <c r="U814" s="430"/>
      <c r="V814" s="430"/>
      <c r="W814" s="430"/>
      <c r="X814" s="430"/>
      <c r="Y814" s="430"/>
      <c r="Z814" s="430"/>
      <c r="AA814" s="430"/>
      <c r="AB814" s="430"/>
      <c r="AC814" s="430"/>
      <c r="AD814" s="430"/>
      <c r="AE814" s="430"/>
      <c r="AF814" s="430"/>
      <c r="AG814" s="430"/>
      <c r="AH814" s="430"/>
      <c r="AI814" s="430"/>
      <c r="AJ814" s="430"/>
      <c r="AK814" s="430"/>
      <c r="AL814" s="430"/>
      <c r="AM814" s="430"/>
      <c r="AN814" s="430"/>
      <c r="AO814" s="430"/>
      <c r="AP814" s="430"/>
      <c r="AQ814" s="430"/>
      <c r="AR814" s="430"/>
      <c r="AS814" s="430"/>
      <c r="AT814" s="430"/>
      <c r="AU814" s="430"/>
      <c r="AV814" s="430"/>
      <c r="AW814" s="430"/>
      <c r="AX814" s="430"/>
      <c r="AY814" s="430"/>
      <c r="AZ814" s="430"/>
      <c r="BA814" s="430"/>
      <c r="BB814" s="430"/>
      <c r="BC814" s="430"/>
      <c r="BD814" s="430"/>
      <c r="BE814" s="430"/>
    </row>
    <row r="815" spans="1:57" ht="15.75" customHeight="1">
      <c r="A815" s="430"/>
      <c r="B815" s="430"/>
      <c r="C815" s="430"/>
      <c r="D815" s="430"/>
      <c r="E815" s="430"/>
      <c r="F815" s="430"/>
      <c r="G815" s="430"/>
      <c r="H815" s="430"/>
      <c r="I815" s="430"/>
      <c r="J815" s="430"/>
      <c r="K815" s="430"/>
      <c r="L815" s="430"/>
      <c r="M815" s="430"/>
      <c r="N815" s="430"/>
      <c r="O815" s="430"/>
      <c r="P815" s="430"/>
      <c r="Q815" s="430"/>
      <c r="R815" s="430"/>
      <c r="S815" s="430"/>
      <c r="T815" s="430"/>
      <c r="U815" s="430"/>
      <c r="V815" s="430"/>
      <c r="W815" s="430"/>
      <c r="X815" s="430"/>
      <c r="Y815" s="430"/>
      <c r="Z815" s="430"/>
      <c r="AA815" s="430"/>
      <c r="AB815" s="430"/>
      <c r="AC815" s="430"/>
      <c r="AD815" s="430"/>
      <c r="AE815" s="430"/>
      <c r="AF815" s="430"/>
      <c r="AG815" s="430"/>
      <c r="AH815" s="430"/>
      <c r="AI815" s="430"/>
      <c r="AJ815" s="430"/>
      <c r="AK815" s="430"/>
      <c r="AL815" s="430"/>
      <c r="AM815" s="430"/>
      <c r="AN815" s="430"/>
      <c r="AO815" s="430"/>
      <c r="AP815" s="430"/>
      <c r="AQ815" s="430"/>
      <c r="AR815" s="430"/>
      <c r="AS815" s="430"/>
      <c r="AT815" s="430"/>
      <c r="AU815" s="430"/>
      <c r="AV815" s="430"/>
      <c r="AW815" s="430"/>
      <c r="AX815" s="430"/>
      <c r="AY815" s="430"/>
      <c r="AZ815" s="430"/>
      <c r="BA815" s="430"/>
      <c r="BB815" s="430"/>
      <c r="BC815" s="430"/>
      <c r="BD815" s="430"/>
      <c r="BE815" s="430"/>
    </row>
    <row r="816" spans="1:57" ht="15.75" customHeight="1">
      <c r="A816" s="430"/>
      <c r="B816" s="430"/>
      <c r="C816" s="430"/>
      <c r="D816" s="430"/>
      <c r="E816" s="430"/>
      <c r="F816" s="430"/>
      <c r="G816" s="430"/>
      <c r="H816" s="430"/>
      <c r="I816" s="430"/>
      <c r="J816" s="430"/>
      <c r="K816" s="430"/>
      <c r="L816" s="430"/>
      <c r="M816" s="430"/>
      <c r="N816" s="430"/>
      <c r="O816" s="430"/>
      <c r="P816" s="430"/>
      <c r="Q816" s="430"/>
      <c r="R816" s="430"/>
      <c r="S816" s="430"/>
      <c r="T816" s="430"/>
      <c r="U816" s="430"/>
      <c r="V816" s="430"/>
      <c r="W816" s="430"/>
      <c r="X816" s="430"/>
      <c r="Y816" s="430"/>
      <c r="Z816" s="430"/>
      <c r="AA816" s="430"/>
      <c r="AB816" s="430"/>
      <c r="AC816" s="430"/>
      <c r="AD816" s="430"/>
      <c r="AE816" s="430"/>
      <c r="AF816" s="430"/>
      <c r="AG816" s="430"/>
      <c r="AH816" s="430"/>
      <c r="AI816" s="430"/>
      <c r="AJ816" s="430"/>
      <c r="AK816" s="430"/>
      <c r="AL816" s="430"/>
      <c r="AM816" s="430"/>
      <c r="AN816" s="430"/>
      <c r="AO816" s="430"/>
      <c r="AP816" s="430"/>
      <c r="AQ816" s="430"/>
      <c r="AR816" s="430"/>
      <c r="AS816" s="430"/>
      <c r="AT816" s="430"/>
      <c r="AU816" s="430"/>
      <c r="AV816" s="430"/>
      <c r="AW816" s="430"/>
      <c r="AX816" s="430"/>
      <c r="AY816" s="430"/>
      <c r="AZ816" s="430"/>
      <c r="BA816" s="430"/>
      <c r="BB816" s="430"/>
      <c r="BC816" s="430"/>
      <c r="BD816" s="430"/>
      <c r="BE816" s="430"/>
    </row>
    <row r="817" spans="1:57" ht="15.75" customHeight="1">
      <c r="A817" s="430"/>
      <c r="B817" s="430"/>
      <c r="C817" s="430"/>
      <c r="D817" s="430"/>
      <c r="E817" s="430"/>
      <c r="F817" s="430"/>
      <c r="G817" s="430"/>
      <c r="H817" s="430"/>
      <c r="I817" s="430"/>
      <c r="J817" s="430"/>
      <c r="K817" s="430"/>
      <c r="L817" s="430"/>
      <c r="M817" s="430"/>
      <c r="N817" s="430"/>
      <c r="O817" s="430"/>
      <c r="P817" s="430"/>
      <c r="Q817" s="430"/>
      <c r="R817" s="430"/>
      <c r="S817" s="430"/>
      <c r="T817" s="430"/>
      <c r="U817" s="430"/>
      <c r="V817" s="430"/>
      <c r="W817" s="430"/>
      <c r="X817" s="430"/>
      <c r="Y817" s="430"/>
      <c r="Z817" s="430"/>
      <c r="AA817" s="430"/>
      <c r="AB817" s="430"/>
      <c r="AC817" s="430"/>
      <c r="AD817" s="430"/>
      <c r="AE817" s="430"/>
      <c r="AF817" s="430"/>
      <c r="AG817" s="430"/>
      <c r="AH817" s="430"/>
      <c r="AI817" s="430"/>
      <c r="AJ817" s="430"/>
      <c r="AK817" s="430"/>
      <c r="AL817" s="430"/>
      <c r="AM817" s="430"/>
      <c r="AN817" s="430"/>
      <c r="AO817" s="430"/>
      <c r="AP817" s="430"/>
      <c r="AQ817" s="430"/>
      <c r="AR817" s="430"/>
      <c r="AS817" s="430"/>
      <c r="AT817" s="430"/>
      <c r="AU817" s="430"/>
      <c r="AV817" s="430"/>
      <c r="AW817" s="430"/>
      <c r="AX817" s="430"/>
      <c r="AY817" s="430"/>
      <c r="AZ817" s="430"/>
      <c r="BA817" s="430"/>
      <c r="BB817" s="430"/>
      <c r="BC817" s="430"/>
      <c r="BD817" s="430"/>
      <c r="BE817" s="430"/>
    </row>
    <row r="818" spans="1:57" ht="15.75" customHeight="1">
      <c r="A818" s="430"/>
      <c r="B818" s="430"/>
      <c r="C818" s="430"/>
      <c r="D818" s="430"/>
      <c r="E818" s="430"/>
      <c r="F818" s="430"/>
      <c r="G818" s="430"/>
      <c r="H818" s="430"/>
      <c r="I818" s="430"/>
      <c r="J818" s="430"/>
      <c r="K818" s="430"/>
      <c r="L818" s="430"/>
      <c r="M818" s="430"/>
      <c r="N818" s="430"/>
      <c r="O818" s="430"/>
      <c r="P818" s="430"/>
      <c r="Q818" s="430"/>
      <c r="R818" s="430"/>
      <c r="S818" s="430"/>
      <c r="T818" s="430"/>
      <c r="U818" s="430"/>
      <c r="V818" s="430"/>
      <c r="W818" s="430"/>
      <c r="X818" s="430"/>
      <c r="Y818" s="430"/>
      <c r="Z818" s="430"/>
      <c r="AA818" s="430"/>
      <c r="AB818" s="430"/>
      <c r="AC818" s="430"/>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0"/>
      <c r="AY818" s="430"/>
      <c r="AZ818" s="430"/>
      <c r="BA818" s="430"/>
      <c r="BB818" s="430"/>
      <c r="BC818" s="430"/>
      <c r="BD818" s="430"/>
      <c r="BE818" s="430"/>
    </row>
    <row r="819" spans="1:57" ht="15.75" customHeight="1">
      <c r="A819" s="430"/>
      <c r="B819" s="430"/>
      <c r="C819" s="430"/>
      <c r="D819" s="430"/>
      <c r="E819" s="430"/>
      <c r="F819" s="430"/>
      <c r="G819" s="430"/>
      <c r="H819" s="430"/>
      <c r="I819" s="430"/>
      <c r="J819" s="430"/>
      <c r="K819" s="430"/>
      <c r="L819" s="430"/>
      <c r="M819" s="430"/>
      <c r="N819" s="430"/>
      <c r="O819" s="430"/>
      <c r="P819" s="430"/>
      <c r="Q819" s="430"/>
      <c r="R819" s="430"/>
      <c r="S819" s="430"/>
      <c r="T819" s="430"/>
      <c r="U819" s="430"/>
      <c r="V819" s="430"/>
      <c r="W819" s="430"/>
      <c r="X819" s="430"/>
      <c r="Y819" s="430"/>
      <c r="Z819" s="430"/>
      <c r="AA819" s="430"/>
      <c r="AB819" s="430"/>
      <c r="AC819" s="430"/>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0"/>
      <c r="AY819" s="430"/>
      <c r="AZ819" s="430"/>
      <c r="BA819" s="430"/>
      <c r="BB819" s="430"/>
      <c r="BC819" s="430"/>
      <c r="BD819" s="430"/>
      <c r="BE819" s="430"/>
    </row>
    <row r="820" spans="1:57" ht="15.75" customHeight="1">
      <c r="A820" s="430"/>
      <c r="B820" s="430"/>
      <c r="C820" s="430"/>
      <c r="D820" s="430"/>
      <c r="E820" s="430"/>
      <c r="F820" s="430"/>
      <c r="G820" s="430"/>
      <c r="H820" s="430"/>
      <c r="I820" s="430"/>
      <c r="J820" s="430"/>
      <c r="K820" s="430"/>
      <c r="L820" s="430"/>
      <c r="M820" s="430"/>
      <c r="N820" s="430"/>
      <c r="O820" s="430"/>
      <c r="P820" s="430"/>
      <c r="Q820" s="430"/>
      <c r="R820" s="430"/>
      <c r="S820" s="430"/>
      <c r="T820" s="430"/>
      <c r="U820" s="430"/>
      <c r="V820" s="430"/>
      <c r="W820" s="430"/>
      <c r="X820" s="430"/>
      <c r="Y820" s="430"/>
      <c r="Z820" s="430"/>
      <c r="AA820" s="430"/>
      <c r="AB820" s="430"/>
      <c r="AC820" s="430"/>
      <c r="AD820" s="430"/>
      <c r="AE820" s="430"/>
      <c r="AF820" s="430"/>
      <c r="AG820" s="430"/>
      <c r="AH820" s="430"/>
      <c r="AI820" s="430"/>
      <c r="AJ820" s="430"/>
      <c r="AK820" s="430"/>
      <c r="AL820" s="430"/>
      <c r="AM820" s="430"/>
      <c r="AN820" s="430"/>
      <c r="AO820" s="430"/>
      <c r="AP820" s="430"/>
      <c r="AQ820" s="430"/>
      <c r="AR820" s="430"/>
      <c r="AS820" s="430"/>
      <c r="AT820" s="430"/>
      <c r="AU820" s="430"/>
      <c r="AV820" s="430"/>
      <c r="AW820" s="430"/>
      <c r="AX820" s="430"/>
      <c r="AY820" s="430"/>
      <c r="AZ820" s="430"/>
      <c r="BA820" s="430"/>
      <c r="BB820" s="430"/>
      <c r="BC820" s="430"/>
      <c r="BD820" s="430"/>
      <c r="BE820" s="430"/>
    </row>
    <row r="821" spans="1:57" ht="15.75" customHeight="1">
      <c r="A821" s="430"/>
      <c r="B821" s="430"/>
      <c r="C821" s="430"/>
      <c r="D821" s="430"/>
      <c r="E821" s="430"/>
      <c r="F821" s="430"/>
      <c r="G821" s="430"/>
      <c r="H821" s="430"/>
      <c r="I821" s="430"/>
      <c r="J821" s="430"/>
      <c r="K821" s="430"/>
      <c r="L821" s="430"/>
      <c r="M821" s="430"/>
      <c r="N821" s="430"/>
      <c r="O821" s="430"/>
      <c r="P821" s="430"/>
      <c r="Q821" s="430"/>
      <c r="R821" s="430"/>
      <c r="S821" s="430"/>
      <c r="T821" s="430"/>
      <c r="U821" s="430"/>
      <c r="V821" s="430"/>
      <c r="W821" s="430"/>
      <c r="X821" s="430"/>
      <c r="Y821" s="430"/>
      <c r="Z821" s="430"/>
      <c r="AA821" s="430"/>
      <c r="AB821" s="430"/>
      <c r="AC821" s="430"/>
      <c r="AD821" s="430"/>
      <c r="AE821" s="430"/>
      <c r="AF821" s="430"/>
      <c r="AG821" s="430"/>
      <c r="AH821" s="430"/>
      <c r="AI821" s="430"/>
      <c r="AJ821" s="430"/>
      <c r="AK821" s="430"/>
      <c r="AL821" s="430"/>
      <c r="AM821" s="430"/>
      <c r="AN821" s="430"/>
      <c r="AO821" s="430"/>
      <c r="AP821" s="430"/>
      <c r="AQ821" s="430"/>
      <c r="AR821" s="430"/>
      <c r="AS821" s="430"/>
      <c r="AT821" s="430"/>
      <c r="AU821" s="430"/>
      <c r="AV821" s="430"/>
      <c r="AW821" s="430"/>
      <c r="AX821" s="430"/>
      <c r="AY821" s="430"/>
      <c r="AZ821" s="430"/>
      <c r="BA821" s="430"/>
      <c r="BB821" s="430"/>
      <c r="BC821" s="430"/>
      <c r="BD821" s="430"/>
      <c r="BE821" s="430"/>
    </row>
    <row r="822" spans="1:57" ht="15.75" customHeight="1">
      <c r="A822" s="430"/>
      <c r="B822" s="430"/>
      <c r="C822" s="430"/>
      <c r="D822" s="430"/>
      <c r="E822" s="430"/>
      <c r="F822" s="430"/>
      <c r="G822" s="430"/>
      <c r="H822" s="430"/>
      <c r="I822" s="430"/>
      <c r="J822" s="430"/>
      <c r="K822" s="430"/>
      <c r="L822" s="430"/>
      <c r="M822" s="430"/>
      <c r="N822" s="430"/>
      <c r="O822" s="430"/>
      <c r="P822" s="430"/>
      <c r="Q822" s="430"/>
      <c r="R822" s="430"/>
      <c r="S822" s="430"/>
      <c r="T822" s="430"/>
      <c r="U822" s="430"/>
      <c r="V822" s="430"/>
      <c r="W822" s="430"/>
      <c r="X822" s="430"/>
      <c r="Y822" s="430"/>
      <c r="Z822" s="430"/>
      <c r="AA822" s="430"/>
      <c r="AB822" s="430"/>
      <c r="AC822" s="430"/>
      <c r="AD822" s="430"/>
      <c r="AE822" s="430"/>
      <c r="AF822" s="430"/>
      <c r="AG822" s="430"/>
      <c r="AH822" s="430"/>
      <c r="AI822" s="430"/>
      <c r="AJ822" s="430"/>
      <c r="AK822" s="430"/>
      <c r="AL822" s="430"/>
      <c r="AM822" s="430"/>
      <c r="AN822" s="430"/>
      <c r="AO822" s="430"/>
      <c r="AP822" s="430"/>
      <c r="AQ822" s="430"/>
      <c r="AR822" s="430"/>
      <c r="AS822" s="430"/>
      <c r="AT822" s="430"/>
      <c r="AU822" s="430"/>
      <c r="AV822" s="430"/>
      <c r="AW822" s="430"/>
      <c r="AX822" s="430"/>
      <c r="AY822" s="430"/>
      <c r="AZ822" s="430"/>
      <c r="BA822" s="430"/>
      <c r="BB822" s="430"/>
      <c r="BC822" s="430"/>
      <c r="BD822" s="430"/>
      <c r="BE822" s="430"/>
    </row>
    <row r="823" spans="1:57" ht="15.75" customHeight="1">
      <c r="A823" s="430"/>
      <c r="B823" s="430"/>
      <c r="C823" s="430"/>
      <c r="D823" s="430"/>
      <c r="E823" s="430"/>
      <c r="F823" s="430"/>
      <c r="G823" s="430"/>
      <c r="H823" s="430"/>
      <c r="I823" s="430"/>
      <c r="J823" s="430"/>
      <c r="K823" s="430"/>
      <c r="L823" s="430"/>
      <c r="M823" s="430"/>
      <c r="N823" s="430"/>
      <c r="O823" s="430"/>
      <c r="P823" s="430"/>
      <c r="Q823" s="430"/>
      <c r="R823" s="430"/>
      <c r="S823" s="430"/>
      <c r="T823" s="430"/>
      <c r="U823" s="430"/>
      <c r="V823" s="430"/>
      <c r="W823" s="430"/>
      <c r="X823" s="430"/>
      <c r="Y823" s="430"/>
      <c r="Z823" s="430"/>
      <c r="AA823" s="430"/>
      <c r="AB823" s="430"/>
      <c r="AC823" s="430"/>
      <c r="AD823" s="430"/>
      <c r="AE823" s="430"/>
      <c r="AF823" s="430"/>
      <c r="AG823" s="430"/>
      <c r="AH823" s="430"/>
      <c r="AI823" s="430"/>
      <c r="AJ823" s="430"/>
      <c r="AK823" s="430"/>
      <c r="AL823" s="430"/>
      <c r="AM823" s="430"/>
      <c r="AN823" s="430"/>
      <c r="AO823" s="430"/>
      <c r="AP823" s="430"/>
      <c r="AQ823" s="430"/>
      <c r="AR823" s="430"/>
      <c r="AS823" s="430"/>
      <c r="AT823" s="430"/>
      <c r="AU823" s="430"/>
      <c r="AV823" s="430"/>
      <c r="AW823" s="430"/>
      <c r="AX823" s="430"/>
      <c r="AY823" s="430"/>
      <c r="AZ823" s="430"/>
      <c r="BA823" s="430"/>
      <c r="BB823" s="430"/>
      <c r="BC823" s="430"/>
      <c r="BD823" s="430"/>
      <c r="BE823" s="430"/>
    </row>
    <row r="824" spans="1:57" ht="15.75" customHeight="1">
      <c r="A824" s="430"/>
      <c r="B824" s="430"/>
      <c r="C824" s="430"/>
      <c r="D824" s="430"/>
      <c r="E824" s="430"/>
      <c r="F824" s="430"/>
      <c r="G824" s="430"/>
      <c r="H824" s="430"/>
      <c r="I824" s="430"/>
      <c r="J824" s="430"/>
      <c r="K824" s="430"/>
      <c r="L824" s="430"/>
      <c r="M824" s="430"/>
      <c r="N824" s="430"/>
      <c r="O824" s="430"/>
      <c r="P824" s="430"/>
      <c r="Q824" s="430"/>
      <c r="R824" s="430"/>
      <c r="S824" s="430"/>
      <c r="T824" s="430"/>
      <c r="U824" s="430"/>
      <c r="V824" s="430"/>
      <c r="W824" s="430"/>
      <c r="X824" s="430"/>
      <c r="Y824" s="430"/>
      <c r="Z824" s="430"/>
      <c r="AA824" s="430"/>
      <c r="AB824" s="430"/>
      <c r="AC824" s="430"/>
      <c r="AD824" s="430"/>
      <c r="AE824" s="430"/>
      <c r="AF824" s="430"/>
      <c r="AG824" s="430"/>
      <c r="AH824" s="430"/>
      <c r="AI824" s="430"/>
      <c r="AJ824" s="430"/>
      <c r="AK824" s="430"/>
      <c r="AL824" s="430"/>
      <c r="AM824" s="430"/>
      <c r="AN824" s="430"/>
      <c r="AO824" s="430"/>
      <c r="AP824" s="430"/>
      <c r="AQ824" s="430"/>
      <c r="AR824" s="430"/>
      <c r="AS824" s="430"/>
      <c r="AT824" s="430"/>
      <c r="AU824" s="430"/>
      <c r="AV824" s="430"/>
      <c r="AW824" s="430"/>
      <c r="AX824" s="430"/>
      <c r="AY824" s="430"/>
      <c r="AZ824" s="430"/>
      <c r="BA824" s="430"/>
      <c r="BB824" s="430"/>
      <c r="BC824" s="430"/>
      <c r="BD824" s="430"/>
      <c r="BE824" s="430"/>
    </row>
    <row r="825" spans="1:57" ht="15.75" customHeight="1">
      <c r="A825" s="430"/>
      <c r="B825" s="430"/>
      <c r="C825" s="430"/>
      <c r="D825" s="430"/>
      <c r="E825" s="430"/>
      <c r="F825" s="430"/>
      <c r="G825" s="430"/>
      <c r="H825" s="430"/>
      <c r="I825" s="430"/>
      <c r="J825" s="430"/>
      <c r="K825" s="430"/>
      <c r="L825" s="430"/>
      <c r="M825" s="430"/>
      <c r="N825" s="430"/>
      <c r="O825" s="430"/>
      <c r="P825" s="430"/>
      <c r="Q825" s="430"/>
      <c r="R825" s="430"/>
      <c r="S825" s="430"/>
      <c r="T825" s="430"/>
      <c r="U825" s="430"/>
      <c r="V825" s="430"/>
      <c r="W825" s="430"/>
      <c r="X825" s="430"/>
      <c r="Y825" s="430"/>
      <c r="Z825" s="430"/>
      <c r="AA825" s="430"/>
      <c r="AB825" s="430"/>
      <c r="AC825" s="430"/>
      <c r="AD825" s="430"/>
      <c r="AE825" s="430"/>
      <c r="AF825" s="430"/>
      <c r="AG825" s="430"/>
      <c r="AH825" s="430"/>
      <c r="AI825" s="430"/>
      <c r="AJ825" s="430"/>
      <c r="AK825" s="430"/>
      <c r="AL825" s="430"/>
      <c r="AM825" s="430"/>
      <c r="AN825" s="430"/>
      <c r="AO825" s="430"/>
      <c r="AP825" s="430"/>
      <c r="AQ825" s="430"/>
      <c r="AR825" s="430"/>
      <c r="AS825" s="430"/>
      <c r="AT825" s="430"/>
      <c r="AU825" s="430"/>
      <c r="AV825" s="430"/>
      <c r="AW825" s="430"/>
      <c r="AX825" s="430"/>
      <c r="AY825" s="430"/>
      <c r="AZ825" s="430"/>
      <c r="BA825" s="430"/>
      <c r="BB825" s="430"/>
      <c r="BC825" s="430"/>
      <c r="BD825" s="430"/>
      <c r="BE825" s="430"/>
    </row>
    <row r="826" spans="1:57" ht="15.75" customHeight="1">
      <c r="A826" s="430"/>
      <c r="B826" s="430"/>
      <c r="C826" s="430"/>
      <c r="D826" s="430"/>
      <c r="E826" s="430"/>
      <c r="F826" s="430"/>
      <c r="G826" s="430"/>
      <c r="H826" s="430"/>
      <c r="I826" s="430"/>
      <c r="J826" s="430"/>
      <c r="K826" s="430"/>
      <c r="L826" s="430"/>
      <c r="M826" s="430"/>
      <c r="N826" s="430"/>
      <c r="O826" s="430"/>
      <c r="P826" s="430"/>
      <c r="Q826" s="430"/>
      <c r="R826" s="430"/>
      <c r="S826" s="430"/>
      <c r="T826" s="430"/>
      <c r="U826" s="430"/>
      <c r="V826" s="430"/>
      <c r="W826" s="430"/>
      <c r="X826" s="430"/>
      <c r="Y826" s="430"/>
      <c r="Z826" s="430"/>
      <c r="AA826" s="430"/>
      <c r="AB826" s="430"/>
      <c r="AC826" s="430"/>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0"/>
      <c r="AY826" s="430"/>
      <c r="AZ826" s="430"/>
      <c r="BA826" s="430"/>
      <c r="BB826" s="430"/>
      <c r="BC826" s="430"/>
      <c r="BD826" s="430"/>
      <c r="BE826" s="430"/>
    </row>
    <row r="827" spans="1:57" ht="15.75" customHeight="1">
      <c r="A827" s="430"/>
      <c r="B827" s="430"/>
      <c r="C827" s="430"/>
      <c r="D827" s="430"/>
      <c r="E827" s="430"/>
      <c r="F827" s="430"/>
      <c r="G827" s="430"/>
      <c r="H827" s="430"/>
      <c r="I827" s="430"/>
      <c r="J827" s="430"/>
      <c r="K827" s="430"/>
      <c r="L827" s="430"/>
      <c r="M827" s="430"/>
      <c r="N827" s="430"/>
      <c r="O827" s="430"/>
      <c r="P827" s="430"/>
      <c r="Q827" s="430"/>
      <c r="R827" s="430"/>
      <c r="S827" s="430"/>
      <c r="T827" s="430"/>
      <c r="U827" s="430"/>
      <c r="V827" s="430"/>
      <c r="W827" s="430"/>
      <c r="X827" s="430"/>
      <c r="Y827" s="430"/>
      <c r="Z827" s="430"/>
      <c r="AA827" s="430"/>
      <c r="AB827" s="430"/>
      <c r="AC827" s="430"/>
      <c r="AD827" s="430"/>
      <c r="AE827" s="430"/>
      <c r="AF827" s="430"/>
      <c r="AG827" s="430"/>
      <c r="AH827" s="430"/>
      <c r="AI827" s="430"/>
      <c r="AJ827" s="430"/>
      <c r="AK827" s="430"/>
      <c r="AL827" s="430"/>
      <c r="AM827" s="430"/>
      <c r="AN827" s="430"/>
      <c r="AO827" s="430"/>
      <c r="AP827" s="430"/>
      <c r="AQ827" s="430"/>
      <c r="AR827" s="430"/>
      <c r="AS827" s="430"/>
      <c r="AT827" s="430"/>
      <c r="AU827" s="430"/>
      <c r="AV827" s="430"/>
      <c r="AW827" s="430"/>
      <c r="AX827" s="430"/>
      <c r="AY827" s="430"/>
      <c r="AZ827" s="430"/>
      <c r="BA827" s="430"/>
      <c r="BB827" s="430"/>
      <c r="BC827" s="430"/>
      <c r="BD827" s="430"/>
      <c r="BE827" s="430"/>
    </row>
    <row r="828" spans="1:57" ht="15.75" customHeight="1">
      <c r="A828" s="430"/>
      <c r="B828" s="430"/>
      <c r="C828" s="430"/>
      <c r="D828" s="430"/>
      <c r="E828" s="430"/>
      <c r="F828" s="430"/>
      <c r="G828" s="430"/>
      <c r="H828" s="430"/>
      <c r="I828" s="430"/>
      <c r="J828" s="430"/>
      <c r="K828" s="430"/>
      <c r="L828" s="430"/>
      <c r="M828" s="430"/>
      <c r="N828" s="430"/>
      <c r="O828" s="430"/>
      <c r="P828" s="430"/>
      <c r="Q828" s="430"/>
      <c r="R828" s="430"/>
      <c r="S828" s="430"/>
      <c r="T828" s="430"/>
      <c r="U828" s="430"/>
      <c r="V828" s="430"/>
      <c r="W828" s="430"/>
      <c r="X828" s="430"/>
      <c r="Y828" s="430"/>
      <c r="Z828" s="430"/>
      <c r="AA828" s="430"/>
      <c r="AB828" s="430"/>
      <c r="AC828" s="430"/>
      <c r="AD828" s="430"/>
      <c r="AE828" s="430"/>
      <c r="AF828" s="430"/>
      <c r="AG828" s="430"/>
      <c r="AH828" s="430"/>
      <c r="AI828" s="430"/>
      <c r="AJ828" s="430"/>
      <c r="AK828" s="430"/>
      <c r="AL828" s="430"/>
      <c r="AM828" s="430"/>
      <c r="AN828" s="430"/>
      <c r="AO828" s="430"/>
      <c r="AP828" s="430"/>
      <c r="AQ828" s="430"/>
      <c r="AR828" s="430"/>
      <c r="AS828" s="430"/>
      <c r="AT828" s="430"/>
      <c r="AU828" s="430"/>
      <c r="AV828" s="430"/>
      <c r="AW828" s="430"/>
      <c r="AX828" s="430"/>
      <c r="AY828" s="430"/>
      <c r="AZ828" s="430"/>
      <c r="BA828" s="430"/>
      <c r="BB828" s="430"/>
      <c r="BC828" s="430"/>
      <c r="BD828" s="430"/>
      <c r="BE828" s="430"/>
    </row>
    <row r="829" spans="1:57" ht="15.75" customHeight="1">
      <c r="A829" s="430"/>
      <c r="B829" s="430"/>
      <c r="C829" s="430"/>
      <c r="D829" s="430"/>
      <c r="E829" s="430"/>
      <c r="F829" s="430"/>
      <c r="G829" s="430"/>
      <c r="H829" s="430"/>
      <c r="I829" s="430"/>
      <c r="J829" s="430"/>
      <c r="K829" s="430"/>
      <c r="L829" s="430"/>
      <c r="M829" s="430"/>
      <c r="N829" s="430"/>
      <c r="O829" s="430"/>
      <c r="P829" s="430"/>
      <c r="Q829" s="430"/>
      <c r="R829" s="430"/>
      <c r="S829" s="430"/>
      <c r="T829" s="430"/>
      <c r="U829" s="430"/>
      <c r="V829" s="430"/>
      <c r="W829" s="430"/>
      <c r="X829" s="430"/>
      <c r="Y829" s="430"/>
      <c r="Z829" s="430"/>
      <c r="AA829" s="430"/>
      <c r="AB829" s="430"/>
      <c r="AC829" s="430"/>
      <c r="AD829" s="430"/>
      <c r="AE829" s="430"/>
      <c r="AF829" s="430"/>
      <c r="AG829" s="430"/>
      <c r="AH829" s="430"/>
      <c r="AI829" s="430"/>
      <c r="AJ829" s="430"/>
      <c r="AK829" s="430"/>
      <c r="AL829" s="430"/>
      <c r="AM829" s="430"/>
      <c r="AN829" s="430"/>
      <c r="AO829" s="430"/>
      <c r="AP829" s="430"/>
      <c r="AQ829" s="430"/>
      <c r="AR829" s="430"/>
      <c r="AS829" s="430"/>
      <c r="AT829" s="430"/>
      <c r="AU829" s="430"/>
      <c r="AV829" s="430"/>
      <c r="AW829" s="430"/>
      <c r="AX829" s="430"/>
      <c r="AY829" s="430"/>
      <c r="AZ829" s="430"/>
      <c r="BA829" s="430"/>
      <c r="BB829" s="430"/>
      <c r="BC829" s="430"/>
      <c r="BD829" s="430"/>
      <c r="BE829" s="430"/>
    </row>
    <row r="830" spans="1:57" ht="15.75" customHeight="1">
      <c r="A830" s="430"/>
      <c r="B830" s="430"/>
      <c r="C830" s="430"/>
      <c r="D830" s="430"/>
      <c r="E830" s="430"/>
      <c r="F830" s="430"/>
      <c r="G830" s="430"/>
      <c r="H830" s="430"/>
      <c r="I830" s="430"/>
      <c r="J830" s="430"/>
      <c r="K830" s="430"/>
      <c r="L830" s="430"/>
      <c r="M830" s="430"/>
      <c r="N830" s="430"/>
      <c r="O830" s="430"/>
      <c r="P830" s="430"/>
      <c r="Q830" s="430"/>
      <c r="R830" s="430"/>
      <c r="S830" s="430"/>
      <c r="T830" s="430"/>
      <c r="U830" s="430"/>
      <c r="V830" s="430"/>
      <c r="W830" s="430"/>
      <c r="X830" s="430"/>
      <c r="Y830" s="430"/>
      <c r="Z830" s="430"/>
      <c r="AA830" s="430"/>
      <c r="AB830" s="430"/>
      <c r="AC830" s="430"/>
      <c r="AD830" s="430"/>
      <c r="AE830" s="430"/>
      <c r="AF830" s="430"/>
      <c r="AG830" s="430"/>
      <c r="AH830" s="430"/>
      <c r="AI830" s="430"/>
      <c r="AJ830" s="430"/>
      <c r="AK830" s="430"/>
      <c r="AL830" s="430"/>
      <c r="AM830" s="430"/>
      <c r="AN830" s="430"/>
      <c r="AO830" s="430"/>
      <c r="AP830" s="430"/>
      <c r="AQ830" s="430"/>
      <c r="AR830" s="430"/>
      <c r="AS830" s="430"/>
      <c r="AT830" s="430"/>
      <c r="AU830" s="430"/>
      <c r="AV830" s="430"/>
      <c r="AW830" s="430"/>
      <c r="AX830" s="430"/>
      <c r="AY830" s="430"/>
      <c r="AZ830" s="430"/>
      <c r="BA830" s="430"/>
      <c r="BB830" s="430"/>
      <c r="BC830" s="430"/>
      <c r="BD830" s="430"/>
      <c r="BE830" s="430"/>
    </row>
    <row r="831" spans="1:57" ht="15.75" customHeight="1">
      <c r="A831" s="430"/>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0"/>
      <c r="AL831" s="430"/>
      <c r="AM831" s="430"/>
      <c r="AN831" s="430"/>
      <c r="AO831" s="430"/>
      <c r="AP831" s="430"/>
      <c r="AQ831" s="430"/>
      <c r="AR831" s="430"/>
      <c r="AS831" s="430"/>
      <c r="AT831" s="430"/>
      <c r="AU831" s="430"/>
      <c r="AV831" s="430"/>
      <c r="AW831" s="430"/>
      <c r="AX831" s="430"/>
      <c r="AY831" s="430"/>
      <c r="AZ831" s="430"/>
      <c r="BA831" s="430"/>
      <c r="BB831" s="430"/>
      <c r="BC831" s="430"/>
      <c r="BD831" s="430"/>
      <c r="BE831" s="430"/>
    </row>
    <row r="832" spans="1:57" ht="15.75" customHeight="1">
      <c r="A832" s="430"/>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0"/>
      <c r="AL832" s="430"/>
      <c r="AM832" s="430"/>
      <c r="AN832" s="430"/>
      <c r="AO832" s="430"/>
      <c r="AP832" s="430"/>
      <c r="AQ832" s="430"/>
      <c r="AR832" s="430"/>
      <c r="AS832" s="430"/>
      <c r="AT832" s="430"/>
      <c r="AU832" s="430"/>
      <c r="AV832" s="430"/>
      <c r="AW832" s="430"/>
      <c r="AX832" s="430"/>
      <c r="AY832" s="430"/>
      <c r="AZ832" s="430"/>
      <c r="BA832" s="430"/>
      <c r="BB832" s="430"/>
      <c r="BC832" s="430"/>
      <c r="BD832" s="430"/>
      <c r="BE832" s="430"/>
    </row>
    <row r="833" spans="1:57" ht="15.75" customHeight="1">
      <c r="A833" s="430"/>
      <c r="B833" s="430"/>
      <c r="C833" s="430"/>
      <c r="D833" s="430"/>
      <c r="E833" s="430"/>
      <c r="F833" s="430"/>
      <c r="G833" s="430"/>
      <c r="H833" s="430"/>
      <c r="I833" s="430"/>
      <c r="J833" s="430"/>
      <c r="K833" s="430"/>
      <c r="L833" s="430"/>
      <c r="M833" s="430"/>
      <c r="N833" s="430"/>
      <c r="O833" s="430"/>
      <c r="P833" s="430"/>
      <c r="Q833" s="430"/>
      <c r="R833" s="430"/>
      <c r="S833" s="430"/>
      <c r="T833" s="430"/>
      <c r="U833" s="430"/>
      <c r="V833" s="430"/>
      <c r="W833" s="430"/>
      <c r="X833" s="430"/>
      <c r="Y833" s="430"/>
      <c r="Z833" s="430"/>
      <c r="AA833" s="430"/>
      <c r="AB833" s="430"/>
      <c r="AC833" s="430"/>
      <c r="AD833" s="430"/>
      <c r="AE833" s="430"/>
      <c r="AF833" s="430"/>
      <c r="AG833" s="430"/>
      <c r="AH833" s="430"/>
      <c r="AI833" s="430"/>
      <c r="AJ833" s="430"/>
      <c r="AK833" s="430"/>
      <c r="AL833" s="430"/>
      <c r="AM833" s="430"/>
      <c r="AN833" s="430"/>
      <c r="AO833" s="430"/>
      <c r="AP833" s="430"/>
      <c r="AQ833" s="430"/>
      <c r="AR833" s="430"/>
      <c r="AS833" s="430"/>
      <c r="AT833" s="430"/>
      <c r="AU833" s="430"/>
      <c r="AV833" s="430"/>
      <c r="AW833" s="430"/>
      <c r="AX833" s="430"/>
      <c r="AY833" s="430"/>
      <c r="AZ833" s="430"/>
      <c r="BA833" s="430"/>
      <c r="BB833" s="430"/>
      <c r="BC833" s="430"/>
      <c r="BD833" s="430"/>
      <c r="BE833" s="430"/>
    </row>
    <row r="834" spans="1:57" ht="15.75" customHeight="1">
      <c r="A834" s="430"/>
      <c r="B834" s="430"/>
      <c r="C834" s="430"/>
      <c r="D834" s="430"/>
      <c r="E834" s="430"/>
      <c r="F834" s="430"/>
      <c r="G834" s="430"/>
      <c r="H834" s="430"/>
      <c r="I834" s="430"/>
      <c r="J834" s="430"/>
      <c r="K834" s="430"/>
      <c r="L834" s="430"/>
      <c r="M834" s="430"/>
      <c r="N834" s="430"/>
      <c r="O834" s="430"/>
      <c r="P834" s="430"/>
      <c r="Q834" s="430"/>
      <c r="R834" s="430"/>
      <c r="S834" s="430"/>
      <c r="T834" s="430"/>
      <c r="U834" s="430"/>
      <c r="V834" s="430"/>
      <c r="W834" s="430"/>
      <c r="X834" s="430"/>
      <c r="Y834" s="430"/>
      <c r="Z834" s="430"/>
      <c r="AA834" s="430"/>
      <c r="AB834" s="430"/>
      <c r="AC834" s="430"/>
      <c r="AD834" s="430"/>
      <c r="AE834" s="430"/>
      <c r="AF834" s="430"/>
      <c r="AG834" s="430"/>
      <c r="AH834" s="430"/>
      <c r="AI834" s="430"/>
      <c r="AJ834" s="430"/>
      <c r="AK834" s="430"/>
      <c r="AL834" s="430"/>
      <c r="AM834" s="430"/>
      <c r="AN834" s="430"/>
      <c r="AO834" s="430"/>
      <c r="AP834" s="430"/>
      <c r="AQ834" s="430"/>
      <c r="AR834" s="430"/>
      <c r="AS834" s="430"/>
      <c r="AT834" s="430"/>
      <c r="AU834" s="430"/>
      <c r="AV834" s="430"/>
      <c r="AW834" s="430"/>
      <c r="AX834" s="430"/>
      <c r="AY834" s="430"/>
      <c r="AZ834" s="430"/>
      <c r="BA834" s="430"/>
      <c r="BB834" s="430"/>
      <c r="BC834" s="430"/>
      <c r="BD834" s="430"/>
      <c r="BE834" s="430"/>
    </row>
    <row r="835" spans="1:57" ht="15.75" customHeight="1">
      <c r="A835" s="430"/>
      <c r="B835" s="430"/>
      <c r="C835" s="430"/>
      <c r="D835" s="430"/>
      <c r="E835" s="430"/>
      <c r="F835" s="430"/>
      <c r="G835" s="430"/>
      <c r="H835" s="430"/>
      <c r="I835" s="430"/>
      <c r="J835" s="430"/>
      <c r="K835" s="430"/>
      <c r="L835" s="430"/>
      <c r="M835" s="430"/>
      <c r="N835" s="430"/>
      <c r="O835" s="430"/>
      <c r="P835" s="430"/>
      <c r="Q835" s="430"/>
      <c r="R835" s="430"/>
      <c r="S835" s="430"/>
      <c r="T835" s="430"/>
      <c r="U835" s="430"/>
      <c r="V835" s="430"/>
      <c r="W835" s="430"/>
      <c r="X835" s="430"/>
      <c r="Y835" s="430"/>
      <c r="Z835" s="430"/>
      <c r="AA835" s="430"/>
      <c r="AB835" s="430"/>
      <c r="AC835" s="430"/>
      <c r="AD835" s="430"/>
      <c r="AE835" s="430"/>
      <c r="AF835" s="430"/>
      <c r="AG835" s="430"/>
      <c r="AH835" s="430"/>
      <c r="AI835" s="430"/>
      <c r="AJ835" s="430"/>
      <c r="AK835" s="430"/>
      <c r="AL835" s="430"/>
      <c r="AM835" s="430"/>
      <c r="AN835" s="430"/>
      <c r="AO835" s="430"/>
      <c r="AP835" s="430"/>
      <c r="AQ835" s="430"/>
      <c r="AR835" s="430"/>
      <c r="AS835" s="430"/>
      <c r="AT835" s="430"/>
      <c r="AU835" s="430"/>
      <c r="AV835" s="430"/>
      <c r="AW835" s="430"/>
      <c r="AX835" s="430"/>
      <c r="AY835" s="430"/>
      <c r="AZ835" s="430"/>
      <c r="BA835" s="430"/>
      <c r="BB835" s="430"/>
      <c r="BC835" s="430"/>
      <c r="BD835" s="430"/>
      <c r="BE835" s="430"/>
    </row>
    <row r="836" spans="1:57" ht="15.75" customHeight="1">
      <c r="A836" s="430"/>
      <c r="B836" s="430"/>
      <c r="C836" s="430"/>
      <c r="D836" s="430"/>
      <c r="E836" s="430"/>
      <c r="F836" s="430"/>
      <c r="G836" s="430"/>
      <c r="H836" s="430"/>
      <c r="I836" s="430"/>
      <c r="J836" s="430"/>
      <c r="K836" s="430"/>
      <c r="L836" s="430"/>
      <c r="M836" s="430"/>
      <c r="N836" s="430"/>
      <c r="O836" s="430"/>
      <c r="P836" s="430"/>
      <c r="Q836" s="430"/>
      <c r="R836" s="430"/>
      <c r="S836" s="430"/>
      <c r="T836" s="430"/>
      <c r="U836" s="430"/>
      <c r="V836" s="430"/>
      <c r="W836" s="430"/>
      <c r="X836" s="430"/>
      <c r="Y836" s="430"/>
      <c r="Z836" s="430"/>
      <c r="AA836" s="430"/>
      <c r="AB836" s="430"/>
      <c r="AC836" s="430"/>
      <c r="AD836" s="430"/>
      <c r="AE836" s="430"/>
      <c r="AF836" s="430"/>
      <c r="AG836" s="430"/>
      <c r="AH836" s="430"/>
      <c r="AI836" s="430"/>
      <c r="AJ836" s="430"/>
      <c r="AK836" s="430"/>
      <c r="AL836" s="430"/>
      <c r="AM836" s="430"/>
      <c r="AN836" s="430"/>
      <c r="AO836" s="430"/>
      <c r="AP836" s="430"/>
      <c r="AQ836" s="430"/>
      <c r="AR836" s="430"/>
      <c r="AS836" s="430"/>
      <c r="AT836" s="430"/>
      <c r="AU836" s="430"/>
      <c r="AV836" s="430"/>
      <c r="AW836" s="430"/>
      <c r="AX836" s="430"/>
      <c r="AY836" s="430"/>
      <c r="AZ836" s="430"/>
      <c r="BA836" s="430"/>
      <c r="BB836" s="430"/>
      <c r="BC836" s="430"/>
      <c r="BD836" s="430"/>
      <c r="BE836" s="430"/>
    </row>
    <row r="837" spans="1:57" ht="15.75" customHeight="1">
      <c r="A837" s="430"/>
      <c r="B837" s="430"/>
      <c r="C837" s="430"/>
      <c r="D837" s="430"/>
      <c r="E837" s="430"/>
      <c r="F837" s="430"/>
      <c r="G837" s="430"/>
      <c r="H837" s="430"/>
      <c r="I837" s="430"/>
      <c r="J837" s="430"/>
      <c r="K837" s="430"/>
      <c r="L837" s="430"/>
      <c r="M837" s="430"/>
      <c r="N837" s="430"/>
      <c r="O837" s="430"/>
      <c r="P837" s="430"/>
      <c r="Q837" s="430"/>
      <c r="R837" s="430"/>
      <c r="S837" s="430"/>
      <c r="T837" s="430"/>
      <c r="U837" s="430"/>
      <c r="V837" s="430"/>
      <c r="W837" s="430"/>
      <c r="X837" s="430"/>
      <c r="Y837" s="430"/>
      <c r="Z837" s="430"/>
      <c r="AA837" s="430"/>
      <c r="AB837" s="430"/>
      <c r="AC837" s="430"/>
      <c r="AD837" s="430"/>
      <c r="AE837" s="430"/>
      <c r="AF837" s="430"/>
      <c r="AG837" s="430"/>
      <c r="AH837" s="430"/>
      <c r="AI837" s="430"/>
      <c r="AJ837" s="430"/>
      <c r="AK837" s="430"/>
      <c r="AL837" s="430"/>
      <c r="AM837" s="430"/>
      <c r="AN837" s="430"/>
      <c r="AO837" s="430"/>
      <c r="AP837" s="430"/>
      <c r="AQ837" s="430"/>
      <c r="AR837" s="430"/>
      <c r="AS837" s="430"/>
      <c r="AT837" s="430"/>
      <c r="AU837" s="430"/>
      <c r="AV837" s="430"/>
      <c r="AW837" s="430"/>
      <c r="AX837" s="430"/>
      <c r="AY837" s="430"/>
      <c r="AZ837" s="430"/>
      <c r="BA837" s="430"/>
      <c r="BB837" s="430"/>
      <c r="BC837" s="430"/>
      <c r="BD837" s="430"/>
      <c r="BE837" s="430"/>
    </row>
    <row r="838" spans="1:57" ht="15.75" customHeight="1">
      <c r="A838" s="430"/>
      <c r="B838" s="430"/>
      <c r="C838" s="430"/>
      <c r="D838" s="430"/>
      <c r="E838" s="430"/>
      <c r="F838" s="430"/>
      <c r="G838" s="430"/>
      <c r="H838" s="430"/>
      <c r="I838" s="430"/>
      <c r="J838" s="430"/>
      <c r="K838" s="430"/>
      <c r="L838" s="430"/>
      <c r="M838" s="430"/>
      <c r="N838" s="430"/>
      <c r="O838" s="430"/>
      <c r="P838" s="430"/>
      <c r="Q838" s="430"/>
      <c r="R838" s="430"/>
      <c r="S838" s="430"/>
      <c r="T838" s="430"/>
      <c r="U838" s="430"/>
      <c r="V838" s="430"/>
      <c r="W838" s="430"/>
      <c r="X838" s="430"/>
      <c r="Y838" s="430"/>
      <c r="Z838" s="430"/>
      <c r="AA838" s="430"/>
      <c r="AB838" s="430"/>
      <c r="AC838" s="430"/>
      <c r="AD838" s="430"/>
      <c r="AE838" s="430"/>
      <c r="AF838" s="430"/>
      <c r="AG838" s="430"/>
      <c r="AH838" s="430"/>
      <c r="AI838" s="430"/>
      <c r="AJ838" s="430"/>
      <c r="AK838" s="430"/>
      <c r="AL838" s="430"/>
      <c r="AM838" s="430"/>
      <c r="AN838" s="430"/>
      <c r="AO838" s="430"/>
      <c r="AP838" s="430"/>
      <c r="AQ838" s="430"/>
      <c r="AR838" s="430"/>
      <c r="AS838" s="430"/>
      <c r="AT838" s="430"/>
      <c r="AU838" s="430"/>
      <c r="AV838" s="430"/>
      <c r="AW838" s="430"/>
      <c r="AX838" s="430"/>
      <c r="AY838" s="430"/>
      <c r="AZ838" s="430"/>
      <c r="BA838" s="430"/>
      <c r="BB838" s="430"/>
      <c r="BC838" s="430"/>
      <c r="BD838" s="430"/>
      <c r="BE838" s="430"/>
    </row>
    <row r="839" spans="1:57" ht="15.75" customHeight="1">
      <c r="A839" s="430"/>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0"/>
      <c r="AL839" s="430"/>
      <c r="AM839" s="430"/>
      <c r="AN839" s="430"/>
      <c r="AO839" s="430"/>
      <c r="AP839" s="430"/>
      <c r="AQ839" s="430"/>
      <c r="AR839" s="430"/>
      <c r="AS839" s="430"/>
      <c r="AT839" s="430"/>
      <c r="AU839" s="430"/>
      <c r="AV839" s="430"/>
      <c r="AW839" s="430"/>
      <c r="AX839" s="430"/>
      <c r="AY839" s="430"/>
      <c r="AZ839" s="430"/>
      <c r="BA839" s="430"/>
      <c r="BB839" s="430"/>
      <c r="BC839" s="430"/>
      <c r="BD839" s="430"/>
      <c r="BE839" s="430"/>
    </row>
    <row r="840" spans="1:57" ht="15.75" customHeight="1">
      <c r="A840" s="430"/>
      <c r="B840" s="430"/>
      <c r="C840" s="430"/>
      <c r="D840" s="430"/>
      <c r="E840" s="430"/>
      <c r="F840" s="430"/>
      <c r="G840" s="430"/>
      <c r="H840" s="430"/>
      <c r="I840" s="430"/>
      <c r="J840" s="430"/>
      <c r="K840" s="430"/>
      <c r="L840" s="430"/>
      <c r="M840" s="430"/>
      <c r="N840" s="430"/>
      <c r="O840" s="430"/>
      <c r="P840" s="430"/>
      <c r="Q840" s="430"/>
      <c r="R840" s="430"/>
      <c r="S840" s="430"/>
      <c r="T840" s="430"/>
      <c r="U840" s="430"/>
      <c r="V840" s="430"/>
      <c r="W840" s="430"/>
      <c r="X840" s="430"/>
      <c r="Y840" s="430"/>
      <c r="Z840" s="430"/>
      <c r="AA840" s="430"/>
      <c r="AB840" s="430"/>
      <c r="AC840" s="430"/>
      <c r="AD840" s="430"/>
      <c r="AE840" s="430"/>
      <c r="AF840" s="430"/>
      <c r="AG840" s="430"/>
      <c r="AH840" s="430"/>
      <c r="AI840" s="430"/>
      <c r="AJ840" s="430"/>
      <c r="AK840" s="430"/>
      <c r="AL840" s="430"/>
      <c r="AM840" s="430"/>
      <c r="AN840" s="430"/>
      <c r="AO840" s="430"/>
      <c r="AP840" s="430"/>
      <c r="AQ840" s="430"/>
      <c r="AR840" s="430"/>
      <c r="AS840" s="430"/>
      <c r="AT840" s="430"/>
      <c r="AU840" s="430"/>
      <c r="AV840" s="430"/>
      <c r="AW840" s="430"/>
      <c r="AX840" s="430"/>
      <c r="AY840" s="430"/>
      <c r="AZ840" s="430"/>
      <c r="BA840" s="430"/>
      <c r="BB840" s="430"/>
      <c r="BC840" s="430"/>
      <c r="BD840" s="430"/>
      <c r="BE840" s="430"/>
    </row>
    <row r="841" spans="1:57" ht="15.75" customHeight="1">
      <c r="A841" s="430"/>
      <c r="B841" s="430"/>
      <c r="C841" s="430"/>
      <c r="D841" s="430"/>
      <c r="E841" s="430"/>
      <c r="F841" s="430"/>
      <c r="G841" s="430"/>
      <c r="H841" s="430"/>
      <c r="I841" s="430"/>
      <c r="J841" s="430"/>
      <c r="K841" s="430"/>
      <c r="L841" s="430"/>
      <c r="M841" s="430"/>
      <c r="N841" s="430"/>
      <c r="O841" s="430"/>
      <c r="P841" s="430"/>
      <c r="Q841" s="430"/>
      <c r="R841" s="430"/>
      <c r="S841" s="430"/>
      <c r="T841" s="430"/>
      <c r="U841" s="430"/>
      <c r="V841" s="430"/>
      <c r="W841" s="430"/>
      <c r="X841" s="430"/>
      <c r="Y841" s="430"/>
      <c r="Z841" s="430"/>
      <c r="AA841" s="430"/>
      <c r="AB841" s="430"/>
      <c r="AC841" s="430"/>
      <c r="AD841" s="430"/>
      <c r="AE841" s="430"/>
      <c r="AF841" s="430"/>
      <c r="AG841" s="430"/>
      <c r="AH841" s="430"/>
      <c r="AI841" s="430"/>
      <c r="AJ841" s="430"/>
      <c r="AK841" s="430"/>
      <c r="AL841" s="430"/>
      <c r="AM841" s="430"/>
      <c r="AN841" s="430"/>
      <c r="AO841" s="430"/>
      <c r="AP841" s="430"/>
      <c r="AQ841" s="430"/>
      <c r="AR841" s="430"/>
      <c r="AS841" s="430"/>
      <c r="AT841" s="430"/>
      <c r="AU841" s="430"/>
      <c r="AV841" s="430"/>
      <c r="AW841" s="430"/>
      <c r="AX841" s="430"/>
      <c r="AY841" s="430"/>
      <c r="AZ841" s="430"/>
      <c r="BA841" s="430"/>
      <c r="BB841" s="430"/>
      <c r="BC841" s="430"/>
      <c r="BD841" s="430"/>
      <c r="BE841" s="430"/>
    </row>
    <row r="842" spans="1:57" ht="15.75" customHeight="1">
      <c r="A842" s="430"/>
      <c r="B842" s="430"/>
      <c r="C842" s="430"/>
      <c r="D842" s="430"/>
      <c r="E842" s="430"/>
      <c r="F842" s="430"/>
      <c r="G842" s="430"/>
      <c r="H842" s="430"/>
      <c r="I842" s="430"/>
      <c r="J842" s="430"/>
      <c r="K842" s="430"/>
      <c r="L842" s="430"/>
      <c r="M842" s="430"/>
      <c r="N842" s="430"/>
      <c r="O842" s="430"/>
      <c r="P842" s="430"/>
      <c r="Q842" s="430"/>
      <c r="R842" s="430"/>
      <c r="S842" s="430"/>
      <c r="T842" s="430"/>
      <c r="U842" s="430"/>
      <c r="V842" s="430"/>
      <c r="W842" s="430"/>
      <c r="X842" s="430"/>
      <c r="Y842" s="430"/>
      <c r="Z842" s="430"/>
      <c r="AA842" s="430"/>
      <c r="AB842" s="430"/>
      <c r="AC842" s="430"/>
      <c r="AD842" s="430"/>
      <c r="AE842" s="430"/>
      <c r="AF842" s="430"/>
      <c r="AG842" s="430"/>
      <c r="AH842" s="430"/>
      <c r="AI842" s="430"/>
      <c r="AJ842" s="430"/>
      <c r="AK842" s="430"/>
      <c r="AL842" s="430"/>
      <c r="AM842" s="430"/>
      <c r="AN842" s="430"/>
      <c r="AO842" s="430"/>
      <c r="AP842" s="430"/>
      <c r="AQ842" s="430"/>
      <c r="AR842" s="430"/>
      <c r="AS842" s="430"/>
      <c r="AT842" s="430"/>
      <c r="AU842" s="430"/>
      <c r="AV842" s="430"/>
      <c r="AW842" s="430"/>
      <c r="AX842" s="430"/>
      <c r="AY842" s="430"/>
      <c r="AZ842" s="430"/>
      <c r="BA842" s="430"/>
      <c r="BB842" s="430"/>
      <c r="BC842" s="430"/>
      <c r="BD842" s="430"/>
      <c r="BE842" s="430"/>
    </row>
    <row r="843" spans="1:57" ht="15.75" customHeight="1">
      <c r="A843" s="430"/>
      <c r="B843" s="430"/>
      <c r="C843" s="430"/>
      <c r="D843" s="430"/>
      <c r="E843" s="430"/>
      <c r="F843" s="430"/>
      <c r="G843" s="430"/>
      <c r="H843" s="430"/>
      <c r="I843" s="430"/>
      <c r="J843" s="430"/>
      <c r="K843" s="430"/>
      <c r="L843" s="430"/>
      <c r="M843" s="430"/>
      <c r="N843" s="430"/>
      <c r="O843" s="430"/>
      <c r="P843" s="430"/>
      <c r="Q843" s="430"/>
      <c r="R843" s="430"/>
      <c r="S843" s="430"/>
      <c r="T843" s="430"/>
      <c r="U843" s="430"/>
      <c r="V843" s="430"/>
      <c r="W843" s="430"/>
      <c r="X843" s="430"/>
      <c r="Y843" s="430"/>
      <c r="Z843" s="430"/>
      <c r="AA843" s="430"/>
      <c r="AB843" s="430"/>
      <c r="AC843" s="430"/>
      <c r="AD843" s="430"/>
      <c r="AE843" s="430"/>
      <c r="AF843" s="430"/>
      <c r="AG843" s="430"/>
      <c r="AH843" s="430"/>
      <c r="AI843" s="430"/>
      <c r="AJ843" s="430"/>
      <c r="AK843" s="430"/>
      <c r="AL843" s="430"/>
      <c r="AM843" s="430"/>
      <c r="AN843" s="430"/>
      <c r="AO843" s="430"/>
      <c r="AP843" s="430"/>
      <c r="AQ843" s="430"/>
      <c r="AR843" s="430"/>
      <c r="AS843" s="430"/>
      <c r="AT843" s="430"/>
      <c r="AU843" s="430"/>
      <c r="AV843" s="430"/>
      <c r="AW843" s="430"/>
      <c r="AX843" s="430"/>
      <c r="AY843" s="430"/>
      <c r="AZ843" s="430"/>
      <c r="BA843" s="430"/>
      <c r="BB843" s="430"/>
      <c r="BC843" s="430"/>
      <c r="BD843" s="430"/>
      <c r="BE843" s="430"/>
    </row>
    <row r="844" spans="1:57" ht="15.75" customHeight="1">
      <c r="A844" s="430"/>
      <c r="B844" s="430"/>
      <c r="C844" s="430"/>
      <c r="D844" s="430"/>
      <c r="E844" s="430"/>
      <c r="F844" s="430"/>
      <c r="G844" s="430"/>
      <c r="H844" s="430"/>
      <c r="I844" s="430"/>
      <c r="J844" s="430"/>
      <c r="K844" s="430"/>
      <c r="L844" s="430"/>
      <c r="M844" s="430"/>
      <c r="N844" s="430"/>
      <c r="O844" s="430"/>
      <c r="P844" s="430"/>
      <c r="Q844" s="430"/>
      <c r="R844" s="430"/>
      <c r="S844" s="430"/>
      <c r="T844" s="430"/>
      <c r="U844" s="430"/>
      <c r="V844" s="430"/>
      <c r="W844" s="430"/>
      <c r="X844" s="430"/>
      <c r="Y844" s="430"/>
      <c r="Z844" s="430"/>
      <c r="AA844" s="430"/>
      <c r="AB844" s="430"/>
      <c r="AC844" s="430"/>
      <c r="AD844" s="430"/>
      <c r="AE844" s="430"/>
      <c r="AF844" s="430"/>
      <c r="AG844" s="430"/>
      <c r="AH844" s="430"/>
      <c r="AI844" s="430"/>
      <c r="AJ844" s="430"/>
      <c r="AK844" s="430"/>
      <c r="AL844" s="430"/>
      <c r="AM844" s="430"/>
      <c r="AN844" s="430"/>
      <c r="AO844" s="430"/>
      <c r="AP844" s="430"/>
      <c r="AQ844" s="430"/>
      <c r="AR844" s="430"/>
      <c r="AS844" s="430"/>
      <c r="AT844" s="430"/>
      <c r="AU844" s="430"/>
      <c r="AV844" s="430"/>
      <c r="AW844" s="430"/>
      <c r="AX844" s="430"/>
      <c r="AY844" s="430"/>
      <c r="AZ844" s="430"/>
      <c r="BA844" s="430"/>
      <c r="BB844" s="430"/>
      <c r="BC844" s="430"/>
      <c r="BD844" s="430"/>
      <c r="BE844" s="430"/>
    </row>
    <row r="845" spans="1:57" ht="15.75" customHeight="1">
      <c r="A845" s="430"/>
      <c r="B845" s="430"/>
      <c r="C845" s="430"/>
      <c r="D845" s="430"/>
      <c r="E845" s="430"/>
      <c r="F845" s="430"/>
      <c r="G845" s="430"/>
      <c r="H845" s="430"/>
      <c r="I845" s="430"/>
      <c r="J845" s="430"/>
      <c r="K845" s="430"/>
      <c r="L845" s="430"/>
      <c r="M845" s="430"/>
      <c r="N845" s="430"/>
      <c r="O845" s="430"/>
      <c r="P845" s="430"/>
      <c r="Q845" s="430"/>
      <c r="R845" s="430"/>
      <c r="S845" s="430"/>
      <c r="T845" s="430"/>
      <c r="U845" s="430"/>
      <c r="V845" s="430"/>
      <c r="W845" s="430"/>
      <c r="X845" s="430"/>
      <c r="Y845" s="430"/>
      <c r="Z845" s="430"/>
      <c r="AA845" s="430"/>
      <c r="AB845" s="430"/>
      <c r="AC845" s="430"/>
      <c r="AD845" s="430"/>
      <c r="AE845" s="430"/>
      <c r="AF845" s="430"/>
      <c r="AG845" s="430"/>
      <c r="AH845" s="430"/>
      <c r="AI845" s="430"/>
      <c r="AJ845" s="430"/>
      <c r="AK845" s="430"/>
      <c r="AL845" s="430"/>
      <c r="AM845" s="430"/>
      <c r="AN845" s="430"/>
      <c r="AO845" s="430"/>
      <c r="AP845" s="430"/>
      <c r="AQ845" s="430"/>
      <c r="AR845" s="430"/>
      <c r="AS845" s="430"/>
      <c r="AT845" s="430"/>
      <c r="AU845" s="430"/>
      <c r="AV845" s="430"/>
      <c r="AW845" s="430"/>
      <c r="AX845" s="430"/>
      <c r="AY845" s="430"/>
      <c r="AZ845" s="430"/>
      <c r="BA845" s="430"/>
      <c r="BB845" s="430"/>
      <c r="BC845" s="430"/>
      <c r="BD845" s="430"/>
      <c r="BE845" s="430"/>
    </row>
    <row r="846" spans="1:57" ht="15.75" customHeight="1">
      <c r="A846" s="430"/>
      <c r="B846" s="430"/>
      <c r="C846" s="430"/>
      <c r="D846" s="430"/>
      <c r="E846" s="430"/>
      <c r="F846" s="430"/>
      <c r="G846" s="430"/>
      <c r="H846" s="430"/>
      <c r="I846" s="430"/>
      <c r="J846" s="430"/>
      <c r="K846" s="430"/>
      <c r="L846" s="430"/>
      <c r="M846" s="430"/>
      <c r="N846" s="430"/>
      <c r="O846" s="430"/>
      <c r="P846" s="430"/>
      <c r="Q846" s="430"/>
      <c r="R846" s="430"/>
      <c r="S846" s="430"/>
      <c r="T846" s="430"/>
      <c r="U846" s="430"/>
      <c r="V846" s="430"/>
      <c r="W846" s="430"/>
      <c r="X846" s="430"/>
      <c r="Y846" s="430"/>
      <c r="Z846" s="430"/>
      <c r="AA846" s="430"/>
      <c r="AB846" s="430"/>
      <c r="AC846" s="430"/>
      <c r="AD846" s="430"/>
      <c r="AE846" s="430"/>
      <c r="AF846" s="430"/>
      <c r="AG846" s="430"/>
      <c r="AH846" s="430"/>
      <c r="AI846" s="430"/>
      <c r="AJ846" s="430"/>
      <c r="AK846" s="430"/>
      <c r="AL846" s="430"/>
      <c r="AM846" s="430"/>
      <c r="AN846" s="430"/>
      <c r="AO846" s="430"/>
      <c r="AP846" s="430"/>
      <c r="AQ846" s="430"/>
      <c r="AR846" s="430"/>
      <c r="AS846" s="430"/>
      <c r="AT846" s="430"/>
      <c r="AU846" s="430"/>
      <c r="AV846" s="430"/>
      <c r="AW846" s="430"/>
      <c r="AX846" s="430"/>
      <c r="AY846" s="430"/>
      <c r="AZ846" s="430"/>
      <c r="BA846" s="430"/>
      <c r="BB846" s="430"/>
      <c r="BC846" s="430"/>
      <c r="BD846" s="430"/>
      <c r="BE846" s="430"/>
    </row>
    <row r="847" spans="1:57" ht="15.75" customHeight="1">
      <c r="A847" s="430"/>
      <c r="B847" s="430"/>
      <c r="C847" s="430"/>
      <c r="D847" s="430"/>
      <c r="E847" s="430"/>
      <c r="F847" s="430"/>
      <c r="G847" s="430"/>
      <c r="H847" s="430"/>
      <c r="I847" s="430"/>
      <c r="J847" s="430"/>
      <c r="K847" s="430"/>
      <c r="L847" s="430"/>
      <c r="M847" s="430"/>
      <c r="N847" s="430"/>
      <c r="O847" s="430"/>
      <c r="P847" s="430"/>
      <c r="Q847" s="430"/>
      <c r="R847" s="430"/>
      <c r="S847" s="430"/>
      <c r="T847" s="430"/>
      <c r="U847" s="430"/>
      <c r="V847" s="430"/>
      <c r="W847" s="430"/>
      <c r="X847" s="430"/>
      <c r="Y847" s="430"/>
      <c r="Z847" s="430"/>
      <c r="AA847" s="430"/>
      <c r="AB847" s="430"/>
      <c r="AC847" s="430"/>
      <c r="AD847" s="430"/>
      <c r="AE847" s="430"/>
      <c r="AF847" s="430"/>
      <c r="AG847" s="430"/>
      <c r="AH847" s="430"/>
      <c r="AI847" s="430"/>
      <c r="AJ847" s="430"/>
      <c r="AK847" s="430"/>
      <c r="AL847" s="430"/>
      <c r="AM847" s="430"/>
      <c r="AN847" s="430"/>
      <c r="AO847" s="430"/>
      <c r="AP847" s="430"/>
      <c r="AQ847" s="430"/>
      <c r="AR847" s="430"/>
      <c r="AS847" s="430"/>
      <c r="AT847" s="430"/>
      <c r="AU847" s="430"/>
      <c r="AV847" s="430"/>
      <c r="AW847" s="430"/>
      <c r="AX847" s="430"/>
      <c r="AY847" s="430"/>
      <c r="AZ847" s="430"/>
      <c r="BA847" s="430"/>
      <c r="BB847" s="430"/>
      <c r="BC847" s="430"/>
      <c r="BD847" s="430"/>
      <c r="BE847" s="430"/>
    </row>
    <row r="848" spans="1:57" ht="15.75" customHeight="1">
      <c r="A848" s="430"/>
      <c r="B848" s="430"/>
      <c r="C848" s="430"/>
      <c r="D848" s="430"/>
      <c r="E848" s="430"/>
      <c r="F848" s="430"/>
      <c r="G848" s="430"/>
      <c r="H848" s="430"/>
      <c r="I848" s="430"/>
      <c r="J848" s="430"/>
      <c r="K848" s="430"/>
      <c r="L848" s="430"/>
      <c r="M848" s="430"/>
      <c r="N848" s="430"/>
      <c r="O848" s="430"/>
      <c r="P848" s="430"/>
      <c r="Q848" s="430"/>
      <c r="R848" s="430"/>
      <c r="S848" s="430"/>
      <c r="T848" s="430"/>
      <c r="U848" s="430"/>
      <c r="V848" s="430"/>
      <c r="W848" s="430"/>
      <c r="X848" s="430"/>
      <c r="Y848" s="430"/>
      <c r="Z848" s="430"/>
      <c r="AA848" s="430"/>
      <c r="AB848" s="430"/>
      <c r="AC848" s="430"/>
      <c r="AD848" s="430"/>
      <c r="AE848" s="430"/>
      <c r="AF848" s="430"/>
      <c r="AG848" s="430"/>
      <c r="AH848" s="430"/>
      <c r="AI848" s="430"/>
      <c r="AJ848" s="430"/>
      <c r="AK848" s="430"/>
      <c r="AL848" s="430"/>
      <c r="AM848" s="430"/>
      <c r="AN848" s="430"/>
      <c r="AO848" s="430"/>
      <c r="AP848" s="430"/>
      <c r="AQ848" s="430"/>
      <c r="AR848" s="430"/>
      <c r="AS848" s="430"/>
      <c r="AT848" s="430"/>
      <c r="AU848" s="430"/>
      <c r="AV848" s="430"/>
      <c r="AW848" s="430"/>
      <c r="AX848" s="430"/>
      <c r="AY848" s="430"/>
      <c r="AZ848" s="430"/>
      <c r="BA848" s="430"/>
      <c r="BB848" s="430"/>
      <c r="BC848" s="430"/>
      <c r="BD848" s="430"/>
      <c r="BE848" s="430"/>
    </row>
    <row r="849" spans="1:57" ht="15.75" customHeight="1">
      <c r="A849" s="430"/>
      <c r="B849" s="430"/>
      <c r="C849" s="430"/>
      <c r="D849" s="430"/>
      <c r="E849" s="430"/>
      <c r="F849" s="430"/>
      <c r="G849" s="430"/>
      <c r="H849" s="430"/>
      <c r="I849" s="430"/>
      <c r="J849" s="430"/>
      <c r="K849" s="430"/>
      <c r="L849" s="430"/>
      <c r="M849" s="430"/>
      <c r="N849" s="430"/>
      <c r="O849" s="430"/>
      <c r="P849" s="430"/>
      <c r="Q849" s="430"/>
      <c r="R849" s="430"/>
      <c r="S849" s="430"/>
      <c r="T849" s="430"/>
      <c r="U849" s="430"/>
      <c r="V849" s="430"/>
      <c r="W849" s="430"/>
      <c r="X849" s="430"/>
      <c r="Y849" s="430"/>
      <c r="Z849" s="430"/>
      <c r="AA849" s="430"/>
      <c r="AB849" s="430"/>
      <c r="AC849" s="430"/>
      <c r="AD849" s="430"/>
      <c r="AE849" s="430"/>
      <c r="AF849" s="430"/>
      <c r="AG849" s="430"/>
      <c r="AH849" s="430"/>
      <c r="AI849" s="430"/>
      <c r="AJ849" s="430"/>
      <c r="AK849" s="430"/>
      <c r="AL849" s="430"/>
      <c r="AM849" s="430"/>
      <c r="AN849" s="430"/>
      <c r="AO849" s="430"/>
      <c r="AP849" s="430"/>
      <c r="AQ849" s="430"/>
      <c r="AR849" s="430"/>
      <c r="AS849" s="430"/>
      <c r="AT849" s="430"/>
      <c r="AU849" s="430"/>
      <c r="AV849" s="430"/>
      <c r="AW849" s="430"/>
      <c r="AX849" s="430"/>
      <c r="AY849" s="430"/>
      <c r="AZ849" s="430"/>
      <c r="BA849" s="430"/>
      <c r="BB849" s="430"/>
      <c r="BC849" s="430"/>
      <c r="BD849" s="430"/>
      <c r="BE849" s="430"/>
    </row>
    <row r="850" spans="1:57" ht="15.75" customHeight="1">
      <c r="A850" s="430"/>
      <c r="B850" s="430"/>
      <c r="C850" s="430"/>
      <c r="D850" s="430"/>
      <c r="E850" s="430"/>
      <c r="F850" s="430"/>
      <c r="G850" s="430"/>
      <c r="H850" s="430"/>
      <c r="I850" s="430"/>
      <c r="J850" s="430"/>
      <c r="K850" s="430"/>
      <c r="L850" s="430"/>
      <c r="M850" s="430"/>
      <c r="N850" s="430"/>
      <c r="O850" s="430"/>
      <c r="P850" s="430"/>
      <c r="Q850" s="430"/>
      <c r="R850" s="430"/>
      <c r="S850" s="430"/>
      <c r="T850" s="430"/>
      <c r="U850" s="430"/>
      <c r="V850" s="430"/>
      <c r="W850" s="430"/>
      <c r="X850" s="430"/>
      <c r="Y850" s="430"/>
      <c r="Z850" s="430"/>
      <c r="AA850" s="430"/>
      <c r="AB850" s="430"/>
      <c r="AC850" s="430"/>
      <c r="AD850" s="430"/>
      <c r="AE850" s="430"/>
      <c r="AF850" s="430"/>
      <c r="AG850" s="430"/>
      <c r="AH850" s="430"/>
      <c r="AI850" s="430"/>
      <c r="AJ850" s="430"/>
      <c r="AK850" s="430"/>
      <c r="AL850" s="430"/>
      <c r="AM850" s="430"/>
      <c r="AN850" s="430"/>
      <c r="AO850" s="430"/>
      <c r="AP850" s="430"/>
      <c r="AQ850" s="430"/>
      <c r="AR850" s="430"/>
      <c r="AS850" s="430"/>
      <c r="AT850" s="430"/>
      <c r="AU850" s="430"/>
      <c r="AV850" s="430"/>
      <c r="AW850" s="430"/>
      <c r="AX850" s="430"/>
      <c r="AY850" s="430"/>
      <c r="AZ850" s="430"/>
      <c r="BA850" s="430"/>
      <c r="BB850" s="430"/>
      <c r="BC850" s="430"/>
      <c r="BD850" s="430"/>
      <c r="BE850" s="430"/>
    </row>
    <row r="851" spans="1:57" ht="15.75" customHeight="1">
      <c r="A851" s="430"/>
      <c r="B851" s="430"/>
      <c r="C851" s="430"/>
      <c r="D851" s="430"/>
      <c r="E851" s="430"/>
      <c r="F851" s="430"/>
      <c r="G851" s="430"/>
      <c r="H851" s="430"/>
      <c r="I851" s="430"/>
      <c r="J851" s="430"/>
      <c r="K851" s="430"/>
      <c r="L851" s="430"/>
      <c r="M851" s="430"/>
      <c r="N851" s="430"/>
      <c r="O851" s="430"/>
      <c r="P851" s="430"/>
      <c r="Q851" s="430"/>
      <c r="R851" s="430"/>
      <c r="S851" s="430"/>
      <c r="T851" s="430"/>
      <c r="U851" s="430"/>
      <c r="V851" s="430"/>
      <c r="W851" s="430"/>
      <c r="X851" s="430"/>
      <c r="Y851" s="430"/>
      <c r="Z851" s="430"/>
      <c r="AA851" s="430"/>
      <c r="AB851" s="430"/>
      <c r="AC851" s="430"/>
      <c r="AD851" s="430"/>
      <c r="AE851" s="430"/>
      <c r="AF851" s="430"/>
      <c r="AG851" s="430"/>
      <c r="AH851" s="430"/>
      <c r="AI851" s="430"/>
      <c r="AJ851" s="430"/>
      <c r="AK851" s="430"/>
      <c r="AL851" s="430"/>
      <c r="AM851" s="430"/>
      <c r="AN851" s="430"/>
      <c r="AO851" s="430"/>
      <c r="AP851" s="430"/>
      <c r="AQ851" s="430"/>
      <c r="AR851" s="430"/>
      <c r="AS851" s="430"/>
      <c r="AT851" s="430"/>
      <c r="AU851" s="430"/>
      <c r="AV851" s="430"/>
      <c r="AW851" s="430"/>
      <c r="AX851" s="430"/>
      <c r="AY851" s="430"/>
      <c r="AZ851" s="430"/>
      <c r="BA851" s="430"/>
      <c r="BB851" s="430"/>
      <c r="BC851" s="430"/>
      <c r="BD851" s="430"/>
      <c r="BE851" s="430"/>
    </row>
    <row r="852" spans="1:57" ht="15.75" customHeight="1">
      <c r="A852" s="430"/>
      <c r="B852" s="430"/>
      <c r="C852" s="430"/>
      <c r="D852" s="430"/>
      <c r="E852" s="430"/>
      <c r="F852" s="430"/>
      <c r="G852" s="430"/>
      <c r="H852" s="430"/>
      <c r="I852" s="430"/>
      <c r="J852" s="430"/>
      <c r="K852" s="430"/>
      <c r="L852" s="430"/>
      <c r="M852" s="430"/>
      <c r="N852" s="430"/>
      <c r="O852" s="430"/>
      <c r="P852" s="430"/>
      <c r="Q852" s="430"/>
      <c r="R852" s="430"/>
      <c r="S852" s="430"/>
      <c r="T852" s="430"/>
      <c r="U852" s="430"/>
      <c r="V852" s="430"/>
      <c r="W852" s="430"/>
      <c r="X852" s="430"/>
      <c r="Y852" s="430"/>
      <c r="Z852" s="430"/>
      <c r="AA852" s="430"/>
      <c r="AB852" s="430"/>
      <c r="AC852" s="430"/>
      <c r="AD852" s="430"/>
      <c r="AE852" s="430"/>
      <c r="AF852" s="430"/>
      <c r="AG852" s="430"/>
      <c r="AH852" s="430"/>
      <c r="AI852" s="430"/>
      <c r="AJ852" s="430"/>
      <c r="AK852" s="430"/>
      <c r="AL852" s="430"/>
      <c r="AM852" s="430"/>
      <c r="AN852" s="430"/>
      <c r="AO852" s="430"/>
      <c r="AP852" s="430"/>
      <c r="AQ852" s="430"/>
      <c r="AR852" s="430"/>
      <c r="AS852" s="430"/>
      <c r="AT852" s="430"/>
      <c r="AU852" s="430"/>
      <c r="AV852" s="430"/>
      <c r="AW852" s="430"/>
      <c r="AX852" s="430"/>
      <c r="AY852" s="430"/>
      <c r="AZ852" s="430"/>
      <c r="BA852" s="430"/>
      <c r="BB852" s="430"/>
      <c r="BC852" s="430"/>
      <c r="BD852" s="430"/>
      <c r="BE852" s="430"/>
    </row>
    <row r="853" spans="1:57" ht="15.75" customHeight="1">
      <c r="A853" s="430"/>
      <c r="B853" s="430"/>
      <c r="C853" s="430"/>
      <c r="D853" s="430"/>
      <c r="E853" s="430"/>
      <c r="F853" s="430"/>
      <c r="G853" s="430"/>
      <c r="H853" s="430"/>
      <c r="I853" s="430"/>
      <c r="J853" s="430"/>
      <c r="K853" s="430"/>
      <c r="L853" s="430"/>
      <c r="M853" s="430"/>
      <c r="N853" s="430"/>
      <c r="O853" s="430"/>
      <c r="P853" s="430"/>
      <c r="Q853" s="430"/>
      <c r="R853" s="430"/>
      <c r="S853" s="430"/>
      <c r="T853" s="430"/>
      <c r="U853" s="430"/>
      <c r="V853" s="430"/>
      <c r="W853" s="430"/>
      <c r="X853" s="430"/>
      <c r="Y853" s="430"/>
      <c r="Z853" s="430"/>
      <c r="AA853" s="430"/>
      <c r="AB853" s="430"/>
      <c r="AC853" s="430"/>
      <c r="AD853" s="430"/>
      <c r="AE853" s="430"/>
      <c r="AF853" s="430"/>
      <c r="AG853" s="430"/>
      <c r="AH853" s="430"/>
      <c r="AI853" s="430"/>
      <c r="AJ853" s="430"/>
      <c r="AK853" s="430"/>
      <c r="AL853" s="430"/>
      <c r="AM853" s="430"/>
      <c r="AN853" s="430"/>
      <c r="AO853" s="430"/>
      <c r="AP853" s="430"/>
      <c r="AQ853" s="430"/>
      <c r="AR853" s="430"/>
      <c r="AS853" s="430"/>
      <c r="AT853" s="430"/>
      <c r="AU853" s="430"/>
      <c r="AV853" s="430"/>
      <c r="AW853" s="430"/>
      <c r="AX853" s="430"/>
      <c r="AY853" s="430"/>
      <c r="AZ853" s="430"/>
      <c r="BA853" s="430"/>
      <c r="BB853" s="430"/>
      <c r="BC853" s="430"/>
      <c r="BD853" s="430"/>
      <c r="BE853" s="430"/>
    </row>
    <row r="854" spans="1:57" ht="15.75" customHeight="1">
      <c r="A854" s="430"/>
      <c r="B854" s="430"/>
      <c r="C854" s="430"/>
      <c r="D854" s="430"/>
      <c r="E854" s="430"/>
      <c r="F854" s="430"/>
      <c r="G854" s="430"/>
      <c r="H854" s="430"/>
      <c r="I854" s="430"/>
      <c r="J854" s="430"/>
      <c r="K854" s="430"/>
      <c r="L854" s="430"/>
      <c r="M854" s="430"/>
      <c r="N854" s="430"/>
      <c r="O854" s="430"/>
      <c r="P854" s="430"/>
      <c r="Q854" s="430"/>
      <c r="R854" s="430"/>
      <c r="S854" s="430"/>
      <c r="T854" s="430"/>
      <c r="U854" s="430"/>
      <c r="V854" s="430"/>
      <c r="W854" s="430"/>
      <c r="X854" s="430"/>
      <c r="Y854" s="430"/>
      <c r="Z854" s="430"/>
      <c r="AA854" s="430"/>
      <c r="AB854" s="430"/>
      <c r="AC854" s="430"/>
      <c r="AD854" s="430"/>
      <c r="AE854" s="430"/>
      <c r="AF854" s="430"/>
      <c r="AG854" s="430"/>
      <c r="AH854" s="430"/>
      <c r="AI854" s="430"/>
      <c r="AJ854" s="430"/>
      <c r="AK854" s="430"/>
      <c r="AL854" s="430"/>
      <c r="AM854" s="430"/>
      <c r="AN854" s="430"/>
      <c r="AO854" s="430"/>
      <c r="AP854" s="430"/>
      <c r="AQ854" s="430"/>
      <c r="AR854" s="430"/>
      <c r="AS854" s="430"/>
      <c r="AT854" s="430"/>
      <c r="AU854" s="430"/>
      <c r="AV854" s="430"/>
      <c r="AW854" s="430"/>
      <c r="AX854" s="430"/>
      <c r="AY854" s="430"/>
      <c r="AZ854" s="430"/>
      <c r="BA854" s="430"/>
      <c r="BB854" s="430"/>
      <c r="BC854" s="430"/>
      <c r="BD854" s="430"/>
      <c r="BE854" s="430"/>
    </row>
    <row r="855" spans="1:57" ht="15.75" customHeight="1">
      <c r="A855" s="430"/>
      <c r="B855" s="430"/>
      <c r="C855" s="430"/>
      <c r="D855" s="430"/>
      <c r="E855" s="430"/>
      <c r="F855" s="430"/>
      <c r="G855" s="430"/>
      <c r="H855" s="430"/>
      <c r="I855" s="430"/>
      <c r="J855" s="430"/>
      <c r="K855" s="430"/>
      <c r="L855" s="430"/>
      <c r="M855" s="430"/>
      <c r="N855" s="430"/>
      <c r="O855" s="430"/>
      <c r="P855" s="430"/>
      <c r="Q855" s="430"/>
      <c r="R855" s="430"/>
      <c r="S855" s="430"/>
      <c r="T855" s="430"/>
      <c r="U855" s="430"/>
      <c r="V855" s="430"/>
      <c r="W855" s="430"/>
      <c r="X855" s="430"/>
      <c r="Y855" s="430"/>
      <c r="Z855" s="430"/>
      <c r="AA855" s="430"/>
      <c r="AB855" s="430"/>
      <c r="AC855" s="430"/>
      <c r="AD855" s="430"/>
      <c r="AE855" s="430"/>
      <c r="AF855" s="430"/>
      <c r="AG855" s="430"/>
      <c r="AH855" s="430"/>
      <c r="AI855" s="430"/>
      <c r="AJ855" s="430"/>
      <c r="AK855" s="430"/>
      <c r="AL855" s="430"/>
      <c r="AM855" s="430"/>
      <c r="AN855" s="430"/>
      <c r="AO855" s="430"/>
      <c r="AP855" s="430"/>
      <c r="AQ855" s="430"/>
      <c r="AR855" s="430"/>
      <c r="AS855" s="430"/>
      <c r="AT855" s="430"/>
      <c r="AU855" s="430"/>
      <c r="AV855" s="430"/>
      <c r="AW855" s="430"/>
      <c r="AX855" s="430"/>
      <c r="AY855" s="430"/>
      <c r="AZ855" s="430"/>
      <c r="BA855" s="430"/>
      <c r="BB855" s="430"/>
      <c r="BC855" s="430"/>
      <c r="BD855" s="430"/>
      <c r="BE855" s="430"/>
    </row>
    <row r="856" spans="1:57" ht="15.75" customHeight="1">
      <c r="A856" s="430"/>
      <c r="B856" s="430"/>
      <c r="C856" s="430"/>
      <c r="D856" s="430"/>
      <c r="E856" s="430"/>
      <c r="F856" s="430"/>
      <c r="G856" s="430"/>
      <c r="H856" s="430"/>
      <c r="I856" s="430"/>
      <c r="J856" s="430"/>
      <c r="K856" s="430"/>
      <c r="L856" s="430"/>
      <c r="M856" s="430"/>
      <c r="N856" s="430"/>
      <c r="O856" s="430"/>
      <c r="P856" s="430"/>
      <c r="Q856" s="430"/>
      <c r="R856" s="430"/>
      <c r="S856" s="430"/>
      <c r="T856" s="430"/>
      <c r="U856" s="430"/>
      <c r="V856" s="430"/>
      <c r="W856" s="430"/>
      <c r="X856" s="430"/>
      <c r="Y856" s="430"/>
      <c r="Z856" s="430"/>
      <c r="AA856" s="430"/>
      <c r="AB856" s="430"/>
      <c r="AC856" s="430"/>
      <c r="AD856" s="430"/>
      <c r="AE856" s="430"/>
      <c r="AF856" s="430"/>
      <c r="AG856" s="430"/>
      <c r="AH856" s="430"/>
      <c r="AI856" s="430"/>
      <c r="AJ856" s="430"/>
      <c r="AK856" s="430"/>
      <c r="AL856" s="430"/>
      <c r="AM856" s="430"/>
      <c r="AN856" s="430"/>
      <c r="AO856" s="430"/>
      <c r="AP856" s="430"/>
      <c r="AQ856" s="430"/>
      <c r="AR856" s="430"/>
      <c r="AS856" s="430"/>
      <c r="AT856" s="430"/>
      <c r="AU856" s="430"/>
      <c r="AV856" s="430"/>
      <c r="AW856" s="430"/>
      <c r="AX856" s="430"/>
      <c r="AY856" s="430"/>
      <c r="AZ856" s="430"/>
      <c r="BA856" s="430"/>
      <c r="BB856" s="430"/>
      <c r="BC856" s="430"/>
      <c r="BD856" s="430"/>
      <c r="BE856" s="430"/>
    </row>
    <row r="857" spans="1:57" ht="15.75" customHeight="1">
      <c r="A857" s="430"/>
      <c r="B857" s="430"/>
      <c r="C857" s="430"/>
      <c r="D857" s="430"/>
      <c r="E857" s="430"/>
      <c r="F857" s="430"/>
      <c r="G857" s="430"/>
      <c r="H857" s="430"/>
      <c r="I857" s="430"/>
      <c r="J857" s="430"/>
      <c r="K857" s="430"/>
      <c r="L857" s="430"/>
      <c r="M857" s="430"/>
      <c r="N857" s="430"/>
      <c r="O857" s="430"/>
      <c r="P857" s="430"/>
      <c r="Q857" s="430"/>
      <c r="R857" s="430"/>
      <c r="S857" s="430"/>
      <c r="T857" s="430"/>
      <c r="U857" s="430"/>
      <c r="V857" s="430"/>
      <c r="W857" s="430"/>
      <c r="X857" s="430"/>
      <c r="Y857" s="430"/>
      <c r="Z857" s="430"/>
      <c r="AA857" s="430"/>
      <c r="AB857" s="430"/>
      <c r="AC857" s="430"/>
      <c r="AD857" s="430"/>
      <c r="AE857" s="430"/>
      <c r="AF857" s="430"/>
      <c r="AG857" s="430"/>
      <c r="AH857" s="430"/>
      <c r="AI857" s="430"/>
      <c r="AJ857" s="430"/>
      <c r="AK857" s="430"/>
      <c r="AL857" s="430"/>
      <c r="AM857" s="430"/>
      <c r="AN857" s="430"/>
      <c r="AO857" s="430"/>
      <c r="AP857" s="430"/>
      <c r="AQ857" s="430"/>
      <c r="AR857" s="430"/>
      <c r="AS857" s="430"/>
      <c r="AT857" s="430"/>
      <c r="AU857" s="430"/>
      <c r="AV857" s="430"/>
      <c r="AW857" s="430"/>
      <c r="AX857" s="430"/>
      <c r="AY857" s="430"/>
      <c r="AZ857" s="430"/>
      <c r="BA857" s="430"/>
      <c r="BB857" s="430"/>
      <c r="BC857" s="430"/>
      <c r="BD857" s="430"/>
      <c r="BE857" s="430"/>
    </row>
    <row r="858" spans="1:57" ht="15.75" customHeight="1">
      <c r="A858" s="430"/>
      <c r="B858" s="430"/>
      <c r="C858" s="430"/>
      <c r="D858" s="430"/>
      <c r="E858" s="430"/>
      <c r="F858" s="430"/>
      <c r="G858" s="430"/>
      <c r="H858" s="430"/>
      <c r="I858" s="430"/>
      <c r="J858" s="430"/>
      <c r="K858" s="430"/>
      <c r="L858" s="430"/>
      <c r="M858" s="430"/>
      <c r="N858" s="430"/>
      <c r="O858" s="430"/>
      <c r="P858" s="430"/>
      <c r="Q858" s="430"/>
      <c r="R858" s="430"/>
      <c r="S858" s="430"/>
      <c r="T858" s="430"/>
      <c r="U858" s="430"/>
      <c r="V858" s="430"/>
      <c r="W858" s="430"/>
      <c r="X858" s="430"/>
      <c r="Y858" s="430"/>
      <c r="Z858" s="430"/>
      <c r="AA858" s="430"/>
      <c r="AB858" s="430"/>
      <c r="AC858" s="430"/>
      <c r="AD858" s="430"/>
      <c r="AE858" s="430"/>
      <c r="AF858" s="430"/>
      <c r="AG858" s="430"/>
      <c r="AH858" s="430"/>
      <c r="AI858" s="430"/>
      <c r="AJ858" s="430"/>
      <c r="AK858" s="430"/>
      <c r="AL858" s="430"/>
      <c r="AM858" s="430"/>
      <c r="AN858" s="430"/>
      <c r="AO858" s="430"/>
      <c r="AP858" s="430"/>
      <c r="AQ858" s="430"/>
      <c r="AR858" s="430"/>
      <c r="AS858" s="430"/>
      <c r="AT858" s="430"/>
      <c r="AU858" s="430"/>
      <c r="AV858" s="430"/>
      <c r="AW858" s="430"/>
      <c r="AX858" s="430"/>
      <c r="AY858" s="430"/>
      <c r="AZ858" s="430"/>
      <c r="BA858" s="430"/>
      <c r="BB858" s="430"/>
      <c r="BC858" s="430"/>
      <c r="BD858" s="430"/>
      <c r="BE858" s="430"/>
    </row>
    <row r="859" spans="1:57" ht="15.75" customHeight="1">
      <c r="A859" s="430"/>
      <c r="B859" s="430"/>
      <c r="C859" s="430"/>
      <c r="D859" s="430"/>
      <c r="E859" s="430"/>
      <c r="F859" s="430"/>
      <c r="G859" s="430"/>
      <c r="H859" s="430"/>
      <c r="I859" s="430"/>
      <c r="J859" s="430"/>
      <c r="K859" s="430"/>
      <c r="L859" s="430"/>
      <c r="M859" s="430"/>
      <c r="N859" s="430"/>
      <c r="O859" s="430"/>
      <c r="P859" s="430"/>
      <c r="Q859" s="430"/>
      <c r="R859" s="430"/>
      <c r="S859" s="430"/>
      <c r="T859" s="430"/>
      <c r="U859" s="430"/>
      <c r="V859" s="430"/>
      <c r="W859" s="430"/>
      <c r="X859" s="430"/>
      <c r="Y859" s="430"/>
      <c r="Z859" s="430"/>
      <c r="AA859" s="430"/>
      <c r="AB859" s="430"/>
      <c r="AC859" s="430"/>
      <c r="AD859" s="430"/>
      <c r="AE859" s="430"/>
      <c r="AF859" s="430"/>
      <c r="AG859" s="430"/>
      <c r="AH859" s="430"/>
      <c r="AI859" s="430"/>
      <c r="AJ859" s="430"/>
      <c r="AK859" s="430"/>
      <c r="AL859" s="430"/>
      <c r="AM859" s="430"/>
      <c r="AN859" s="430"/>
      <c r="AO859" s="430"/>
      <c r="AP859" s="430"/>
      <c r="AQ859" s="430"/>
      <c r="AR859" s="430"/>
      <c r="AS859" s="430"/>
      <c r="AT859" s="430"/>
      <c r="AU859" s="430"/>
      <c r="AV859" s="430"/>
      <c r="AW859" s="430"/>
      <c r="AX859" s="430"/>
      <c r="AY859" s="430"/>
      <c r="AZ859" s="430"/>
      <c r="BA859" s="430"/>
      <c r="BB859" s="430"/>
      <c r="BC859" s="430"/>
      <c r="BD859" s="430"/>
      <c r="BE859" s="430"/>
    </row>
    <row r="860" spans="1:57" ht="15.75" customHeight="1">
      <c r="A860" s="430"/>
      <c r="B860" s="430"/>
      <c r="C860" s="430"/>
      <c r="D860" s="430"/>
      <c r="E860" s="430"/>
      <c r="F860" s="430"/>
      <c r="G860" s="430"/>
      <c r="H860" s="430"/>
      <c r="I860" s="430"/>
      <c r="J860" s="430"/>
      <c r="K860" s="430"/>
      <c r="L860" s="430"/>
      <c r="M860" s="430"/>
      <c r="N860" s="430"/>
      <c r="O860" s="430"/>
      <c r="P860" s="430"/>
      <c r="Q860" s="430"/>
      <c r="R860" s="430"/>
      <c r="S860" s="430"/>
      <c r="T860" s="430"/>
      <c r="U860" s="430"/>
      <c r="V860" s="430"/>
      <c r="W860" s="430"/>
      <c r="X860" s="430"/>
      <c r="Y860" s="430"/>
      <c r="Z860" s="430"/>
      <c r="AA860" s="430"/>
      <c r="AB860" s="430"/>
      <c r="AC860" s="430"/>
      <c r="AD860" s="430"/>
      <c r="AE860" s="430"/>
      <c r="AF860" s="430"/>
      <c r="AG860" s="430"/>
      <c r="AH860" s="430"/>
      <c r="AI860" s="430"/>
      <c r="AJ860" s="430"/>
      <c r="AK860" s="430"/>
      <c r="AL860" s="430"/>
      <c r="AM860" s="430"/>
      <c r="AN860" s="430"/>
      <c r="AO860" s="430"/>
      <c r="AP860" s="430"/>
      <c r="AQ860" s="430"/>
      <c r="AR860" s="430"/>
      <c r="AS860" s="430"/>
      <c r="AT860" s="430"/>
      <c r="AU860" s="430"/>
      <c r="AV860" s="430"/>
      <c r="AW860" s="430"/>
      <c r="AX860" s="430"/>
      <c r="AY860" s="430"/>
      <c r="AZ860" s="430"/>
      <c r="BA860" s="430"/>
      <c r="BB860" s="430"/>
      <c r="BC860" s="430"/>
      <c r="BD860" s="430"/>
      <c r="BE860" s="430"/>
    </row>
    <row r="861" spans="1:57" ht="15.75" customHeight="1">
      <c r="A861" s="430"/>
      <c r="B861" s="430"/>
      <c r="C861" s="430"/>
      <c r="D861" s="430"/>
      <c r="E861" s="430"/>
      <c r="F861" s="430"/>
      <c r="G861" s="430"/>
      <c r="H861" s="430"/>
      <c r="I861" s="430"/>
      <c r="J861" s="430"/>
      <c r="K861" s="430"/>
      <c r="L861" s="430"/>
      <c r="M861" s="430"/>
      <c r="N861" s="430"/>
      <c r="O861" s="430"/>
      <c r="P861" s="430"/>
      <c r="Q861" s="430"/>
      <c r="R861" s="430"/>
      <c r="S861" s="430"/>
      <c r="T861" s="430"/>
      <c r="U861" s="430"/>
      <c r="V861" s="430"/>
      <c r="W861" s="430"/>
      <c r="X861" s="430"/>
      <c r="Y861" s="430"/>
      <c r="Z861" s="430"/>
      <c r="AA861" s="430"/>
      <c r="AB861" s="430"/>
      <c r="AC861" s="430"/>
      <c r="AD861" s="430"/>
      <c r="AE861" s="430"/>
      <c r="AF861" s="430"/>
      <c r="AG861" s="430"/>
      <c r="AH861" s="430"/>
      <c r="AI861" s="430"/>
      <c r="AJ861" s="430"/>
      <c r="AK861" s="430"/>
      <c r="AL861" s="430"/>
      <c r="AM861" s="430"/>
      <c r="AN861" s="430"/>
      <c r="AO861" s="430"/>
      <c r="AP861" s="430"/>
      <c r="AQ861" s="430"/>
      <c r="AR861" s="430"/>
      <c r="AS861" s="430"/>
      <c r="AT861" s="430"/>
      <c r="AU861" s="430"/>
      <c r="AV861" s="430"/>
      <c r="AW861" s="430"/>
      <c r="AX861" s="430"/>
      <c r="AY861" s="430"/>
      <c r="AZ861" s="430"/>
      <c r="BA861" s="430"/>
      <c r="BB861" s="430"/>
      <c r="BC861" s="430"/>
      <c r="BD861" s="430"/>
      <c r="BE861" s="430"/>
    </row>
    <row r="862" spans="1:57" ht="15.75" customHeight="1">
      <c r="A862" s="430"/>
      <c r="B862" s="430"/>
      <c r="C862" s="430"/>
      <c r="D862" s="430"/>
      <c r="E862" s="430"/>
      <c r="F862" s="430"/>
      <c r="G862" s="430"/>
      <c r="H862" s="430"/>
      <c r="I862" s="430"/>
      <c r="J862" s="430"/>
      <c r="K862" s="430"/>
      <c r="L862" s="430"/>
      <c r="M862" s="430"/>
      <c r="N862" s="430"/>
      <c r="O862" s="430"/>
      <c r="P862" s="430"/>
      <c r="Q862" s="430"/>
      <c r="R862" s="430"/>
      <c r="S862" s="430"/>
      <c r="T862" s="430"/>
      <c r="U862" s="430"/>
      <c r="V862" s="430"/>
      <c r="W862" s="430"/>
      <c r="X862" s="430"/>
      <c r="Y862" s="430"/>
      <c r="Z862" s="430"/>
      <c r="AA862" s="430"/>
      <c r="AB862" s="430"/>
      <c r="AC862" s="430"/>
      <c r="AD862" s="430"/>
      <c r="AE862" s="430"/>
      <c r="AF862" s="430"/>
      <c r="AG862" s="430"/>
      <c r="AH862" s="430"/>
      <c r="AI862" s="430"/>
      <c r="AJ862" s="430"/>
      <c r="AK862" s="430"/>
      <c r="AL862" s="430"/>
      <c r="AM862" s="430"/>
      <c r="AN862" s="430"/>
      <c r="AO862" s="430"/>
      <c r="AP862" s="430"/>
      <c r="AQ862" s="430"/>
      <c r="AR862" s="430"/>
      <c r="AS862" s="430"/>
      <c r="AT862" s="430"/>
      <c r="AU862" s="430"/>
      <c r="AV862" s="430"/>
      <c r="AW862" s="430"/>
      <c r="AX862" s="430"/>
      <c r="AY862" s="430"/>
      <c r="AZ862" s="430"/>
      <c r="BA862" s="430"/>
      <c r="BB862" s="430"/>
      <c r="BC862" s="430"/>
      <c r="BD862" s="430"/>
      <c r="BE862" s="430"/>
    </row>
    <row r="863" spans="1:57" ht="15.75" customHeight="1">
      <c r="A863" s="430"/>
      <c r="B863" s="430"/>
      <c r="C863" s="430"/>
      <c r="D863" s="430"/>
      <c r="E863" s="430"/>
      <c r="F863" s="430"/>
      <c r="G863" s="430"/>
      <c r="H863" s="430"/>
      <c r="I863" s="430"/>
      <c r="J863" s="430"/>
      <c r="K863" s="430"/>
      <c r="L863" s="430"/>
      <c r="M863" s="430"/>
      <c r="N863" s="430"/>
      <c r="O863" s="430"/>
      <c r="P863" s="430"/>
      <c r="Q863" s="430"/>
      <c r="R863" s="430"/>
      <c r="S863" s="430"/>
      <c r="T863" s="430"/>
      <c r="U863" s="430"/>
      <c r="V863" s="430"/>
      <c r="W863" s="430"/>
      <c r="X863" s="430"/>
      <c r="Y863" s="430"/>
      <c r="Z863" s="430"/>
      <c r="AA863" s="430"/>
      <c r="AB863" s="430"/>
      <c r="AC863" s="430"/>
      <c r="AD863" s="430"/>
      <c r="AE863" s="430"/>
      <c r="AF863" s="430"/>
      <c r="AG863" s="430"/>
      <c r="AH863" s="430"/>
      <c r="AI863" s="430"/>
      <c r="AJ863" s="430"/>
      <c r="AK863" s="430"/>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row>
    <row r="864" spans="1:57" ht="15.75" customHeight="1">
      <c r="A864" s="430"/>
      <c r="B864" s="430"/>
      <c r="C864" s="430"/>
      <c r="D864" s="430"/>
      <c r="E864" s="430"/>
      <c r="F864" s="430"/>
      <c r="G864" s="430"/>
      <c r="H864" s="430"/>
      <c r="I864" s="430"/>
      <c r="J864" s="430"/>
      <c r="K864" s="430"/>
      <c r="L864" s="430"/>
      <c r="M864" s="430"/>
      <c r="N864" s="430"/>
      <c r="O864" s="430"/>
      <c r="P864" s="430"/>
      <c r="Q864" s="430"/>
      <c r="R864" s="430"/>
      <c r="S864" s="430"/>
      <c r="T864" s="430"/>
      <c r="U864" s="430"/>
      <c r="V864" s="430"/>
      <c r="W864" s="430"/>
      <c r="X864" s="430"/>
      <c r="Y864" s="430"/>
      <c r="Z864" s="430"/>
      <c r="AA864" s="430"/>
      <c r="AB864" s="430"/>
      <c r="AC864" s="430"/>
      <c r="AD864" s="430"/>
      <c r="AE864" s="430"/>
      <c r="AF864" s="430"/>
      <c r="AG864" s="430"/>
      <c r="AH864" s="430"/>
      <c r="AI864" s="430"/>
      <c r="AJ864" s="430"/>
      <c r="AK864" s="430"/>
      <c r="AL864" s="430"/>
      <c r="AM864" s="430"/>
      <c r="AN864" s="430"/>
      <c r="AO864" s="430"/>
      <c r="AP864" s="430"/>
      <c r="AQ864" s="430"/>
      <c r="AR864" s="430"/>
      <c r="AS864" s="430"/>
      <c r="AT864" s="430"/>
      <c r="AU864" s="430"/>
      <c r="AV864" s="430"/>
      <c r="AW864" s="430"/>
      <c r="AX864" s="430"/>
      <c r="AY864" s="430"/>
      <c r="AZ864" s="430"/>
      <c r="BA864" s="430"/>
      <c r="BB864" s="430"/>
      <c r="BC864" s="430"/>
      <c r="BD864" s="430"/>
      <c r="BE864" s="430"/>
    </row>
    <row r="865" spans="1:57" ht="15.75" customHeight="1">
      <c r="A865" s="430"/>
      <c r="B865" s="430"/>
      <c r="C865" s="430"/>
      <c r="D865" s="430"/>
      <c r="E865" s="430"/>
      <c r="F865" s="430"/>
      <c r="G865" s="430"/>
      <c r="H865" s="430"/>
      <c r="I865" s="430"/>
      <c r="J865" s="430"/>
      <c r="K865" s="430"/>
      <c r="L865" s="430"/>
      <c r="M865" s="430"/>
      <c r="N865" s="430"/>
      <c r="O865" s="430"/>
      <c r="P865" s="430"/>
      <c r="Q865" s="430"/>
      <c r="R865" s="430"/>
      <c r="S865" s="430"/>
      <c r="T865" s="430"/>
      <c r="U865" s="430"/>
      <c r="V865" s="430"/>
      <c r="W865" s="430"/>
      <c r="X865" s="430"/>
      <c r="Y865" s="430"/>
      <c r="Z865" s="430"/>
      <c r="AA865" s="430"/>
      <c r="AB865" s="430"/>
      <c r="AC865" s="430"/>
      <c r="AD865" s="430"/>
      <c r="AE865" s="430"/>
      <c r="AF865" s="430"/>
      <c r="AG865" s="430"/>
      <c r="AH865" s="430"/>
      <c r="AI865" s="430"/>
      <c r="AJ865" s="430"/>
      <c r="AK865" s="430"/>
      <c r="AL865" s="430"/>
      <c r="AM865" s="430"/>
      <c r="AN865" s="430"/>
      <c r="AO865" s="430"/>
      <c r="AP865" s="430"/>
      <c r="AQ865" s="430"/>
      <c r="AR865" s="430"/>
      <c r="AS865" s="430"/>
      <c r="AT865" s="430"/>
      <c r="AU865" s="430"/>
      <c r="AV865" s="430"/>
      <c r="AW865" s="430"/>
      <c r="AX865" s="430"/>
      <c r="AY865" s="430"/>
      <c r="AZ865" s="430"/>
      <c r="BA865" s="430"/>
      <c r="BB865" s="430"/>
      <c r="BC865" s="430"/>
      <c r="BD865" s="430"/>
      <c r="BE865" s="430"/>
    </row>
    <row r="866" spans="1:57" ht="15.75" customHeight="1">
      <c r="A866" s="430"/>
      <c r="B866" s="430"/>
      <c r="C866" s="430"/>
      <c r="D866" s="430"/>
      <c r="E866" s="430"/>
      <c r="F866" s="430"/>
      <c r="G866" s="430"/>
      <c r="H866" s="430"/>
      <c r="I866" s="430"/>
      <c r="J866" s="430"/>
      <c r="K866" s="430"/>
      <c r="L866" s="430"/>
      <c r="M866" s="430"/>
      <c r="N866" s="430"/>
      <c r="O866" s="430"/>
      <c r="P866" s="430"/>
      <c r="Q866" s="430"/>
      <c r="R866" s="430"/>
      <c r="S866" s="430"/>
      <c r="T866" s="430"/>
      <c r="U866" s="430"/>
      <c r="V866" s="430"/>
      <c r="W866" s="430"/>
      <c r="X866" s="430"/>
      <c r="Y866" s="430"/>
      <c r="Z866" s="430"/>
      <c r="AA866" s="430"/>
      <c r="AB866" s="430"/>
      <c r="AC866" s="430"/>
      <c r="AD866" s="430"/>
      <c r="AE866" s="430"/>
      <c r="AF866" s="430"/>
      <c r="AG866" s="430"/>
      <c r="AH866" s="430"/>
      <c r="AI866" s="430"/>
      <c r="AJ866" s="430"/>
      <c r="AK866" s="430"/>
      <c r="AL866" s="430"/>
      <c r="AM866" s="430"/>
      <c r="AN866" s="430"/>
      <c r="AO866" s="430"/>
      <c r="AP866" s="430"/>
      <c r="AQ866" s="430"/>
      <c r="AR866" s="430"/>
      <c r="AS866" s="430"/>
      <c r="AT866" s="430"/>
      <c r="AU866" s="430"/>
      <c r="AV866" s="430"/>
      <c r="AW866" s="430"/>
      <c r="AX866" s="430"/>
      <c r="AY866" s="430"/>
      <c r="AZ866" s="430"/>
      <c r="BA866" s="430"/>
      <c r="BB866" s="430"/>
      <c r="BC866" s="430"/>
      <c r="BD866" s="430"/>
      <c r="BE866" s="430"/>
    </row>
    <row r="867" spans="1:57" ht="15.75" customHeight="1">
      <c r="A867" s="430"/>
      <c r="B867" s="430"/>
      <c r="C867" s="430"/>
      <c r="D867" s="430"/>
      <c r="E867" s="430"/>
      <c r="F867" s="430"/>
      <c r="G867" s="430"/>
      <c r="H867" s="430"/>
      <c r="I867" s="430"/>
      <c r="J867" s="430"/>
      <c r="K867" s="430"/>
      <c r="L867" s="430"/>
      <c r="M867" s="430"/>
      <c r="N867" s="430"/>
      <c r="O867" s="430"/>
      <c r="P867" s="430"/>
      <c r="Q867" s="430"/>
      <c r="R867" s="430"/>
      <c r="S867" s="430"/>
      <c r="T867" s="430"/>
      <c r="U867" s="430"/>
      <c r="V867" s="430"/>
      <c r="W867" s="430"/>
      <c r="X867" s="430"/>
      <c r="Y867" s="430"/>
      <c r="Z867" s="430"/>
      <c r="AA867" s="430"/>
      <c r="AB867" s="430"/>
      <c r="AC867" s="430"/>
      <c r="AD867" s="430"/>
      <c r="AE867" s="430"/>
      <c r="AF867" s="430"/>
      <c r="AG867" s="430"/>
      <c r="AH867" s="430"/>
      <c r="AI867" s="430"/>
      <c r="AJ867" s="430"/>
      <c r="AK867" s="430"/>
      <c r="AL867" s="430"/>
      <c r="AM867" s="430"/>
      <c r="AN867" s="430"/>
      <c r="AO867" s="430"/>
      <c r="AP867" s="430"/>
      <c r="AQ867" s="430"/>
      <c r="AR867" s="430"/>
      <c r="AS867" s="430"/>
      <c r="AT867" s="430"/>
      <c r="AU867" s="430"/>
      <c r="AV867" s="430"/>
      <c r="AW867" s="430"/>
      <c r="AX867" s="430"/>
      <c r="AY867" s="430"/>
      <c r="AZ867" s="430"/>
      <c r="BA867" s="430"/>
      <c r="BB867" s="430"/>
      <c r="BC867" s="430"/>
      <c r="BD867" s="430"/>
      <c r="BE867" s="430"/>
    </row>
    <row r="868" spans="1:57" ht="15.75" customHeight="1">
      <c r="A868" s="430"/>
      <c r="B868" s="430"/>
      <c r="C868" s="430"/>
      <c r="D868" s="430"/>
      <c r="E868" s="430"/>
      <c r="F868" s="430"/>
      <c r="G868" s="430"/>
      <c r="H868" s="430"/>
      <c r="I868" s="430"/>
      <c r="J868" s="430"/>
      <c r="K868" s="430"/>
      <c r="L868" s="430"/>
      <c r="M868" s="430"/>
      <c r="N868" s="430"/>
      <c r="O868" s="430"/>
      <c r="P868" s="430"/>
      <c r="Q868" s="430"/>
      <c r="R868" s="430"/>
      <c r="S868" s="430"/>
      <c r="T868" s="430"/>
      <c r="U868" s="430"/>
      <c r="V868" s="430"/>
      <c r="W868" s="430"/>
      <c r="X868" s="430"/>
      <c r="Y868" s="430"/>
      <c r="Z868" s="430"/>
      <c r="AA868" s="430"/>
      <c r="AB868" s="430"/>
      <c r="AC868" s="430"/>
      <c r="AD868" s="430"/>
      <c r="AE868" s="430"/>
      <c r="AF868" s="430"/>
      <c r="AG868" s="430"/>
      <c r="AH868" s="430"/>
      <c r="AI868" s="430"/>
      <c r="AJ868" s="430"/>
      <c r="AK868" s="430"/>
      <c r="AL868" s="430"/>
      <c r="AM868" s="430"/>
      <c r="AN868" s="430"/>
      <c r="AO868" s="430"/>
      <c r="AP868" s="430"/>
      <c r="AQ868" s="430"/>
      <c r="AR868" s="430"/>
      <c r="AS868" s="430"/>
      <c r="AT868" s="430"/>
      <c r="AU868" s="430"/>
      <c r="AV868" s="430"/>
      <c r="AW868" s="430"/>
      <c r="AX868" s="430"/>
      <c r="AY868" s="430"/>
      <c r="AZ868" s="430"/>
      <c r="BA868" s="430"/>
      <c r="BB868" s="430"/>
      <c r="BC868" s="430"/>
      <c r="BD868" s="430"/>
      <c r="BE868" s="430"/>
    </row>
    <row r="869" spans="1:57" ht="15.75" customHeight="1">
      <c r="A869" s="430"/>
      <c r="B869" s="430"/>
      <c r="C869" s="430"/>
      <c r="D869" s="430"/>
      <c r="E869" s="430"/>
      <c r="F869" s="430"/>
      <c r="G869" s="430"/>
      <c r="H869" s="430"/>
      <c r="I869" s="430"/>
      <c r="J869" s="430"/>
      <c r="K869" s="430"/>
      <c r="L869" s="430"/>
      <c r="M869" s="430"/>
      <c r="N869" s="430"/>
      <c r="O869" s="430"/>
      <c r="P869" s="430"/>
      <c r="Q869" s="430"/>
      <c r="R869" s="430"/>
      <c r="S869" s="430"/>
      <c r="T869" s="430"/>
      <c r="U869" s="430"/>
      <c r="V869" s="430"/>
      <c r="W869" s="430"/>
      <c r="X869" s="430"/>
      <c r="Y869" s="430"/>
      <c r="Z869" s="430"/>
      <c r="AA869" s="430"/>
      <c r="AB869" s="430"/>
      <c r="AC869" s="430"/>
      <c r="AD869" s="430"/>
      <c r="AE869" s="430"/>
      <c r="AF869" s="430"/>
      <c r="AG869" s="430"/>
      <c r="AH869" s="430"/>
      <c r="AI869" s="430"/>
      <c r="AJ869" s="430"/>
      <c r="AK869" s="430"/>
      <c r="AL869" s="430"/>
      <c r="AM869" s="430"/>
      <c r="AN869" s="430"/>
      <c r="AO869" s="430"/>
      <c r="AP869" s="430"/>
      <c r="AQ869" s="430"/>
      <c r="AR869" s="430"/>
      <c r="AS869" s="430"/>
      <c r="AT869" s="430"/>
      <c r="AU869" s="430"/>
      <c r="AV869" s="430"/>
      <c r="AW869" s="430"/>
      <c r="AX869" s="430"/>
      <c r="AY869" s="430"/>
      <c r="AZ869" s="430"/>
      <c r="BA869" s="430"/>
      <c r="BB869" s="430"/>
      <c r="BC869" s="430"/>
      <c r="BD869" s="430"/>
      <c r="BE869" s="430"/>
    </row>
    <row r="870" spans="1:57" ht="15.75" customHeight="1">
      <c r="A870" s="430"/>
      <c r="B870" s="430"/>
      <c r="C870" s="430"/>
      <c r="D870" s="430"/>
      <c r="E870" s="430"/>
      <c r="F870" s="430"/>
      <c r="G870" s="430"/>
      <c r="H870" s="430"/>
      <c r="I870" s="430"/>
      <c r="J870" s="430"/>
      <c r="K870" s="430"/>
      <c r="L870" s="430"/>
      <c r="M870" s="430"/>
      <c r="N870" s="430"/>
      <c r="O870" s="430"/>
      <c r="P870" s="430"/>
      <c r="Q870" s="430"/>
      <c r="R870" s="430"/>
      <c r="S870" s="430"/>
      <c r="T870" s="430"/>
      <c r="U870" s="430"/>
      <c r="V870" s="430"/>
      <c r="W870" s="430"/>
      <c r="X870" s="430"/>
      <c r="Y870" s="430"/>
      <c r="Z870" s="430"/>
      <c r="AA870" s="430"/>
      <c r="AB870" s="430"/>
      <c r="AC870" s="430"/>
      <c r="AD870" s="430"/>
      <c r="AE870" s="430"/>
      <c r="AF870" s="430"/>
      <c r="AG870" s="430"/>
      <c r="AH870" s="430"/>
      <c r="AI870" s="430"/>
      <c r="AJ870" s="430"/>
      <c r="AK870" s="430"/>
      <c r="AL870" s="430"/>
      <c r="AM870" s="430"/>
      <c r="AN870" s="430"/>
      <c r="AO870" s="430"/>
      <c r="AP870" s="430"/>
      <c r="AQ870" s="430"/>
      <c r="AR870" s="430"/>
      <c r="AS870" s="430"/>
      <c r="AT870" s="430"/>
      <c r="AU870" s="430"/>
      <c r="AV870" s="430"/>
      <c r="AW870" s="430"/>
      <c r="AX870" s="430"/>
      <c r="AY870" s="430"/>
      <c r="AZ870" s="430"/>
      <c r="BA870" s="430"/>
      <c r="BB870" s="430"/>
      <c r="BC870" s="430"/>
      <c r="BD870" s="430"/>
      <c r="BE870" s="430"/>
    </row>
    <row r="871" spans="1:57" ht="15.75" customHeight="1">
      <c r="A871" s="430"/>
      <c r="B871" s="430"/>
      <c r="C871" s="430"/>
      <c r="D871" s="430"/>
      <c r="E871" s="430"/>
      <c r="F871" s="430"/>
      <c r="G871" s="430"/>
      <c r="H871" s="430"/>
      <c r="I871" s="430"/>
      <c r="J871" s="430"/>
      <c r="K871" s="430"/>
      <c r="L871" s="430"/>
      <c r="M871" s="430"/>
      <c r="N871" s="430"/>
      <c r="O871" s="430"/>
      <c r="P871" s="430"/>
      <c r="Q871" s="430"/>
      <c r="R871" s="430"/>
      <c r="S871" s="430"/>
      <c r="T871" s="430"/>
      <c r="U871" s="430"/>
      <c r="V871" s="430"/>
      <c r="W871" s="430"/>
      <c r="X871" s="430"/>
      <c r="Y871" s="430"/>
      <c r="Z871" s="430"/>
      <c r="AA871" s="430"/>
      <c r="AB871" s="430"/>
      <c r="AC871" s="430"/>
      <c r="AD871" s="430"/>
      <c r="AE871" s="430"/>
      <c r="AF871" s="430"/>
      <c r="AG871" s="430"/>
      <c r="AH871" s="430"/>
      <c r="AI871" s="430"/>
      <c r="AJ871" s="430"/>
      <c r="AK871" s="430"/>
      <c r="AL871" s="430"/>
      <c r="AM871" s="430"/>
      <c r="AN871" s="430"/>
      <c r="AO871" s="430"/>
      <c r="AP871" s="430"/>
      <c r="AQ871" s="430"/>
      <c r="AR871" s="430"/>
      <c r="AS871" s="430"/>
      <c r="AT871" s="430"/>
      <c r="AU871" s="430"/>
      <c r="AV871" s="430"/>
      <c r="AW871" s="430"/>
      <c r="AX871" s="430"/>
      <c r="AY871" s="430"/>
      <c r="AZ871" s="430"/>
      <c r="BA871" s="430"/>
      <c r="BB871" s="430"/>
      <c r="BC871" s="430"/>
      <c r="BD871" s="430"/>
      <c r="BE871" s="430"/>
    </row>
    <row r="872" spans="1:57" ht="15.75" customHeight="1">
      <c r="A872" s="430"/>
      <c r="B872" s="430"/>
      <c r="C872" s="430"/>
      <c r="D872" s="430"/>
      <c r="E872" s="430"/>
      <c r="F872" s="430"/>
      <c r="G872" s="430"/>
      <c r="H872" s="430"/>
      <c r="I872" s="430"/>
      <c r="J872" s="430"/>
      <c r="K872" s="430"/>
      <c r="L872" s="430"/>
      <c r="M872" s="430"/>
      <c r="N872" s="430"/>
      <c r="O872" s="430"/>
      <c r="P872" s="430"/>
      <c r="Q872" s="430"/>
      <c r="R872" s="430"/>
      <c r="S872" s="430"/>
      <c r="T872" s="430"/>
      <c r="U872" s="430"/>
      <c r="V872" s="430"/>
      <c r="W872" s="430"/>
      <c r="X872" s="430"/>
      <c r="Y872" s="430"/>
      <c r="Z872" s="430"/>
      <c r="AA872" s="430"/>
      <c r="AB872" s="430"/>
      <c r="AC872" s="430"/>
      <c r="AD872" s="430"/>
      <c r="AE872" s="430"/>
      <c r="AF872" s="430"/>
      <c r="AG872" s="430"/>
      <c r="AH872" s="430"/>
      <c r="AI872" s="430"/>
      <c r="AJ872" s="430"/>
      <c r="AK872" s="430"/>
      <c r="AL872" s="430"/>
      <c r="AM872" s="430"/>
      <c r="AN872" s="430"/>
      <c r="AO872" s="430"/>
      <c r="AP872" s="430"/>
      <c r="AQ872" s="430"/>
      <c r="AR872" s="430"/>
      <c r="AS872" s="430"/>
      <c r="AT872" s="430"/>
      <c r="AU872" s="430"/>
      <c r="AV872" s="430"/>
      <c r="AW872" s="430"/>
      <c r="AX872" s="430"/>
      <c r="AY872" s="430"/>
      <c r="AZ872" s="430"/>
      <c r="BA872" s="430"/>
      <c r="BB872" s="430"/>
      <c r="BC872" s="430"/>
      <c r="BD872" s="430"/>
      <c r="BE872" s="430"/>
    </row>
    <row r="873" spans="1:57" ht="15.75" customHeight="1">
      <c r="A873" s="430"/>
      <c r="B873" s="430"/>
      <c r="C873" s="430"/>
      <c r="D873" s="430"/>
      <c r="E873" s="430"/>
      <c r="F873" s="430"/>
      <c r="G873" s="430"/>
      <c r="H873" s="430"/>
      <c r="I873" s="430"/>
      <c r="J873" s="430"/>
      <c r="K873" s="430"/>
      <c r="L873" s="430"/>
      <c r="M873" s="430"/>
      <c r="N873" s="430"/>
      <c r="O873" s="430"/>
      <c r="P873" s="430"/>
      <c r="Q873" s="430"/>
      <c r="R873" s="430"/>
      <c r="S873" s="430"/>
      <c r="T873" s="430"/>
      <c r="U873" s="430"/>
      <c r="V873" s="430"/>
      <c r="W873" s="430"/>
      <c r="X873" s="430"/>
      <c r="Y873" s="430"/>
      <c r="Z873" s="430"/>
      <c r="AA873" s="430"/>
      <c r="AB873" s="430"/>
      <c r="AC873" s="430"/>
      <c r="AD873" s="430"/>
      <c r="AE873" s="430"/>
      <c r="AF873" s="430"/>
      <c r="AG873" s="430"/>
      <c r="AH873" s="430"/>
      <c r="AI873" s="430"/>
      <c r="AJ873" s="430"/>
      <c r="AK873" s="430"/>
      <c r="AL873" s="430"/>
      <c r="AM873" s="430"/>
      <c r="AN873" s="430"/>
      <c r="AO873" s="430"/>
      <c r="AP873" s="430"/>
      <c r="AQ873" s="430"/>
      <c r="AR873" s="430"/>
      <c r="AS873" s="430"/>
      <c r="AT873" s="430"/>
      <c r="AU873" s="430"/>
      <c r="AV873" s="430"/>
      <c r="AW873" s="430"/>
      <c r="AX873" s="430"/>
      <c r="AY873" s="430"/>
      <c r="AZ873" s="430"/>
      <c r="BA873" s="430"/>
      <c r="BB873" s="430"/>
      <c r="BC873" s="430"/>
      <c r="BD873" s="430"/>
      <c r="BE873" s="430"/>
    </row>
    <row r="874" spans="1:57" ht="15.75" customHeight="1">
      <c r="A874" s="430"/>
      <c r="B874" s="430"/>
      <c r="C874" s="430"/>
      <c r="D874" s="430"/>
      <c r="E874" s="430"/>
      <c r="F874" s="430"/>
      <c r="G874" s="430"/>
      <c r="H874" s="430"/>
      <c r="I874" s="430"/>
      <c r="J874" s="430"/>
      <c r="K874" s="430"/>
      <c r="L874" s="430"/>
      <c r="M874" s="430"/>
      <c r="N874" s="430"/>
      <c r="O874" s="430"/>
      <c r="P874" s="430"/>
      <c r="Q874" s="430"/>
      <c r="R874" s="430"/>
      <c r="S874" s="430"/>
      <c r="T874" s="430"/>
      <c r="U874" s="430"/>
      <c r="V874" s="430"/>
      <c r="W874" s="430"/>
      <c r="X874" s="430"/>
      <c r="Y874" s="430"/>
      <c r="Z874" s="430"/>
      <c r="AA874" s="430"/>
      <c r="AB874" s="430"/>
      <c r="AC874" s="430"/>
      <c r="AD874" s="430"/>
      <c r="AE874" s="430"/>
      <c r="AF874" s="430"/>
      <c r="AG874" s="430"/>
      <c r="AH874" s="430"/>
      <c r="AI874" s="430"/>
      <c r="AJ874" s="430"/>
      <c r="AK874" s="430"/>
      <c r="AL874" s="430"/>
      <c r="AM874" s="430"/>
      <c r="AN874" s="430"/>
      <c r="AO874" s="430"/>
      <c r="AP874" s="430"/>
      <c r="AQ874" s="430"/>
      <c r="AR874" s="430"/>
      <c r="AS874" s="430"/>
      <c r="AT874" s="430"/>
      <c r="AU874" s="430"/>
      <c r="AV874" s="430"/>
      <c r="AW874" s="430"/>
      <c r="AX874" s="430"/>
      <c r="AY874" s="430"/>
      <c r="AZ874" s="430"/>
      <c r="BA874" s="430"/>
      <c r="BB874" s="430"/>
      <c r="BC874" s="430"/>
      <c r="BD874" s="430"/>
      <c r="BE874" s="430"/>
    </row>
    <row r="875" spans="1:57" ht="15.75" customHeight="1">
      <c r="A875" s="430"/>
      <c r="B875" s="430"/>
      <c r="C875" s="430"/>
      <c r="D875" s="430"/>
      <c r="E875" s="430"/>
      <c r="F875" s="430"/>
      <c r="G875" s="430"/>
      <c r="H875" s="430"/>
      <c r="I875" s="430"/>
      <c r="J875" s="430"/>
      <c r="K875" s="430"/>
      <c r="L875" s="430"/>
      <c r="M875" s="430"/>
      <c r="N875" s="430"/>
      <c r="O875" s="430"/>
      <c r="P875" s="430"/>
      <c r="Q875" s="430"/>
      <c r="R875" s="430"/>
      <c r="S875" s="430"/>
      <c r="T875" s="430"/>
      <c r="U875" s="430"/>
      <c r="V875" s="430"/>
      <c r="W875" s="430"/>
      <c r="X875" s="430"/>
      <c r="Y875" s="430"/>
      <c r="Z875" s="430"/>
      <c r="AA875" s="430"/>
      <c r="AB875" s="430"/>
      <c r="AC875" s="430"/>
      <c r="AD875" s="430"/>
      <c r="AE875" s="430"/>
      <c r="AF875" s="430"/>
      <c r="AG875" s="430"/>
      <c r="AH875" s="430"/>
      <c r="AI875" s="430"/>
      <c r="AJ875" s="430"/>
      <c r="AK875" s="430"/>
      <c r="AL875" s="430"/>
      <c r="AM875" s="430"/>
      <c r="AN875" s="430"/>
      <c r="AO875" s="430"/>
      <c r="AP875" s="430"/>
      <c r="AQ875" s="430"/>
      <c r="AR875" s="430"/>
      <c r="AS875" s="430"/>
      <c r="AT875" s="430"/>
      <c r="AU875" s="430"/>
      <c r="AV875" s="430"/>
      <c r="AW875" s="430"/>
      <c r="AX875" s="430"/>
      <c r="AY875" s="430"/>
      <c r="AZ875" s="430"/>
      <c r="BA875" s="430"/>
      <c r="BB875" s="430"/>
      <c r="BC875" s="430"/>
      <c r="BD875" s="430"/>
      <c r="BE875" s="430"/>
    </row>
    <row r="876" spans="1:57" ht="15.75" customHeight="1">
      <c r="A876" s="430"/>
      <c r="B876" s="430"/>
      <c r="C876" s="430"/>
      <c r="D876" s="430"/>
      <c r="E876" s="430"/>
      <c r="F876" s="430"/>
      <c r="G876" s="430"/>
      <c r="H876" s="430"/>
      <c r="I876" s="430"/>
      <c r="J876" s="430"/>
      <c r="K876" s="430"/>
      <c r="L876" s="430"/>
      <c r="M876" s="430"/>
      <c r="N876" s="430"/>
      <c r="O876" s="430"/>
      <c r="P876" s="430"/>
      <c r="Q876" s="430"/>
      <c r="R876" s="430"/>
      <c r="S876" s="430"/>
      <c r="T876" s="430"/>
      <c r="U876" s="430"/>
      <c r="V876" s="430"/>
      <c r="W876" s="430"/>
      <c r="X876" s="430"/>
      <c r="Y876" s="430"/>
      <c r="Z876" s="430"/>
      <c r="AA876" s="430"/>
      <c r="AB876" s="430"/>
      <c r="AC876" s="430"/>
      <c r="AD876" s="430"/>
      <c r="AE876" s="430"/>
      <c r="AF876" s="430"/>
      <c r="AG876" s="430"/>
      <c r="AH876" s="430"/>
      <c r="AI876" s="430"/>
      <c r="AJ876" s="430"/>
      <c r="AK876" s="430"/>
      <c r="AL876" s="430"/>
      <c r="AM876" s="430"/>
      <c r="AN876" s="430"/>
      <c r="AO876" s="430"/>
      <c r="AP876" s="430"/>
      <c r="AQ876" s="430"/>
      <c r="AR876" s="430"/>
      <c r="AS876" s="430"/>
      <c r="AT876" s="430"/>
      <c r="AU876" s="430"/>
      <c r="AV876" s="430"/>
      <c r="AW876" s="430"/>
      <c r="AX876" s="430"/>
      <c r="AY876" s="430"/>
      <c r="AZ876" s="430"/>
      <c r="BA876" s="430"/>
      <c r="BB876" s="430"/>
      <c r="BC876" s="430"/>
      <c r="BD876" s="430"/>
      <c r="BE876" s="430"/>
    </row>
    <row r="877" spans="1:57" ht="15.75" customHeight="1">
      <c r="A877" s="430"/>
      <c r="B877" s="430"/>
      <c r="C877" s="430"/>
      <c r="D877" s="430"/>
      <c r="E877" s="430"/>
      <c r="F877" s="430"/>
      <c r="G877" s="430"/>
      <c r="H877" s="430"/>
      <c r="I877" s="430"/>
      <c r="J877" s="430"/>
      <c r="K877" s="430"/>
      <c r="L877" s="430"/>
      <c r="M877" s="430"/>
      <c r="N877" s="430"/>
      <c r="O877" s="430"/>
      <c r="P877" s="430"/>
      <c r="Q877" s="430"/>
      <c r="R877" s="430"/>
      <c r="S877" s="430"/>
      <c r="T877" s="430"/>
      <c r="U877" s="430"/>
      <c r="V877" s="430"/>
      <c r="W877" s="430"/>
      <c r="X877" s="430"/>
      <c r="Y877" s="430"/>
      <c r="Z877" s="430"/>
      <c r="AA877" s="430"/>
      <c r="AB877" s="430"/>
      <c r="AC877" s="430"/>
      <c r="AD877" s="430"/>
      <c r="AE877" s="430"/>
      <c r="AF877" s="430"/>
      <c r="AG877" s="430"/>
      <c r="AH877" s="430"/>
      <c r="AI877" s="430"/>
      <c r="AJ877" s="430"/>
      <c r="AK877" s="430"/>
      <c r="AL877" s="430"/>
      <c r="AM877" s="430"/>
      <c r="AN877" s="430"/>
      <c r="AO877" s="430"/>
      <c r="AP877" s="430"/>
      <c r="AQ877" s="430"/>
      <c r="AR877" s="430"/>
      <c r="AS877" s="430"/>
      <c r="AT877" s="430"/>
      <c r="AU877" s="430"/>
      <c r="AV877" s="430"/>
      <c r="AW877" s="430"/>
      <c r="AX877" s="430"/>
      <c r="AY877" s="430"/>
      <c r="AZ877" s="430"/>
      <c r="BA877" s="430"/>
      <c r="BB877" s="430"/>
      <c r="BC877" s="430"/>
      <c r="BD877" s="430"/>
      <c r="BE877" s="430"/>
    </row>
    <row r="878" spans="1:57" ht="15.75" customHeight="1">
      <c r="A878" s="430"/>
      <c r="B878" s="430"/>
      <c r="C878" s="430"/>
      <c r="D878" s="430"/>
      <c r="E878" s="430"/>
      <c r="F878" s="430"/>
      <c r="G878" s="430"/>
      <c r="H878" s="430"/>
      <c r="I878" s="430"/>
      <c r="J878" s="430"/>
      <c r="K878" s="430"/>
      <c r="L878" s="430"/>
      <c r="M878" s="430"/>
      <c r="N878" s="430"/>
      <c r="O878" s="430"/>
      <c r="P878" s="430"/>
      <c r="Q878" s="430"/>
      <c r="R878" s="430"/>
      <c r="S878" s="430"/>
      <c r="T878" s="430"/>
      <c r="U878" s="430"/>
      <c r="V878" s="430"/>
      <c r="W878" s="430"/>
      <c r="X878" s="430"/>
      <c r="Y878" s="430"/>
      <c r="Z878" s="430"/>
      <c r="AA878" s="430"/>
      <c r="AB878" s="430"/>
      <c r="AC878" s="430"/>
      <c r="AD878" s="430"/>
      <c r="AE878" s="430"/>
      <c r="AF878" s="430"/>
      <c r="AG878" s="430"/>
      <c r="AH878" s="430"/>
      <c r="AI878" s="430"/>
      <c r="AJ878" s="430"/>
      <c r="AK878" s="430"/>
      <c r="AL878" s="430"/>
      <c r="AM878" s="430"/>
      <c r="AN878" s="430"/>
      <c r="AO878" s="430"/>
      <c r="AP878" s="430"/>
      <c r="AQ878" s="430"/>
      <c r="AR878" s="430"/>
      <c r="AS878" s="430"/>
      <c r="AT878" s="430"/>
      <c r="AU878" s="430"/>
      <c r="AV878" s="430"/>
      <c r="AW878" s="430"/>
      <c r="AX878" s="430"/>
      <c r="AY878" s="430"/>
      <c r="AZ878" s="430"/>
      <c r="BA878" s="430"/>
      <c r="BB878" s="430"/>
      <c r="BC878" s="430"/>
      <c r="BD878" s="430"/>
      <c r="BE878" s="430"/>
    </row>
    <row r="879" spans="1:57" ht="15.75" customHeight="1">
      <c r="A879" s="430"/>
      <c r="B879" s="430"/>
      <c r="C879" s="430"/>
      <c r="D879" s="430"/>
      <c r="E879" s="430"/>
      <c r="F879" s="430"/>
      <c r="G879" s="430"/>
      <c r="H879" s="430"/>
      <c r="I879" s="430"/>
      <c r="J879" s="430"/>
      <c r="K879" s="430"/>
      <c r="L879" s="430"/>
      <c r="M879" s="430"/>
      <c r="N879" s="430"/>
      <c r="O879" s="430"/>
      <c r="P879" s="430"/>
      <c r="Q879" s="430"/>
      <c r="R879" s="430"/>
      <c r="S879" s="430"/>
      <c r="T879" s="430"/>
      <c r="U879" s="430"/>
      <c r="V879" s="430"/>
      <c r="W879" s="430"/>
      <c r="X879" s="430"/>
      <c r="Y879" s="430"/>
      <c r="Z879" s="430"/>
      <c r="AA879" s="430"/>
      <c r="AB879" s="430"/>
      <c r="AC879" s="430"/>
      <c r="AD879" s="430"/>
      <c r="AE879" s="430"/>
      <c r="AF879" s="430"/>
      <c r="AG879" s="430"/>
      <c r="AH879" s="430"/>
      <c r="AI879" s="430"/>
      <c r="AJ879" s="430"/>
      <c r="AK879" s="430"/>
      <c r="AL879" s="430"/>
      <c r="AM879" s="430"/>
      <c r="AN879" s="430"/>
      <c r="AO879" s="430"/>
      <c r="AP879" s="430"/>
      <c r="AQ879" s="430"/>
      <c r="AR879" s="430"/>
      <c r="AS879" s="430"/>
      <c r="AT879" s="430"/>
      <c r="AU879" s="430"/>
      <c r="AV879" s="430"/>
      <c r="AW879" s="430"/>
      <c r="AX879" s="430"/>
      <c r="AY879" s="430"/>
      <c r="AZ879" s="430"/>
      <c r="BA879" s="430"/>
      <c r="BB879" s="430"/>
      <c r="BC879" s="430"/>
      <c r="BD879" s="430"/>
      <c r="BE879" s="430"/>
    </row>
    <row r="880" spans="1:57" ht="15.75" customHeight="1">
      <c r="A880" s="430"/>
      <c r="B880" s="430"/>
      <c r="C880" s="430"/>
      <c r="D880" s="430"/>
      <c r="E880" s="430"/>
      <c r="F880" s="430"/>
      <c r="G880" s="430"/>
      <c r="H880" s="430"/>
      <c r="I880" s="430"/>
      <c r="J880" s="430"/>
      <c r="K880" s="430"/>
      <c r="L880" s="430"/>
      <c r="M880" s="430"/>
      <c r="N880" s="430"/>
      <c r="O880" s="430"/>
      <c r="P880" s="430"/>
      <c r="Q880" s="430"/>
      <c r="R880" s="430"/>
      <c r="S880" s="430"/>
      <c r="T880" s="430"/>
      <c r="U880" s="430"/>
      <c r="V880" s="430"/>
      <c r="W880" s="430"/>
      <c r="X880" s="430"/>
      <c r="Y880" s="430"/>
      <c r="Z880" s="430"/>
      <c r="AA880" s="430"/>
      <c r="AB880" s="430"/>
      <c r="AC880" s="430"/>
      <c r="AD880" s="430"/>
      <c r="AE880" s="430"/>
      <c r="AF880" s="430"/>
      <c r="AG880" s="430"/>
      <c r="AH880" s="430"/>
      <c r="AI880" s="430"/>
      <c r="AJ880" s="430"/>
      <c r="AK880" s="430"/>
      <c r="AL880" s="430"/>
      <c r="AM880" s="430"/>
      <c r="AN880" s="430"/>
      <c r="AO880" s="430"/>
      <c r="AP880" s="430"/>
      <c r="AQ880" s="430"/>
      <c r="AR880" s="430"/>
      <c r="AS880" s="430"/>
      <c r="AT880" s="430"/>
      <c r="AU880" s="430"/>
      <c r="AV880" s="430"/>
      <c r="AW880" s="430"/>
      <c r="AX880" s="430"/>
      <c r="AY880" s="430"/>
      <c r="AZ880" s="430"/>
      <c r="BA880" s="430"/>
      <c r="BB880" s="430"/>
      <c r="BC880" s="430"/>
      <c r="BD880" s="430"/>
      <c r="BE880" s="430"/>
    </row>
    <row r="881" spans="1:57" ht="15.75" customHeight="1">
      <c r="A881" s="430"/>
      <c r="B881" s="430"/>
      <c r="C881" s="430"/>
      <c r="D881" s="430"/>
      <c r="E881" s="430"/>
      <c r="F881" s="430"/>
      <c r="G881" s="430"/>
      <c r="H881" s="430"/>
      <c r="I881" s="430"/>
      <c r="J881" s="430"/>
      <c r="K881" s="430"/>
      <c r="L881" s="430"/>
      <c r="M881" s="430"/>
      <c r="N881" s="430"/>
      <c r="O881" s="430"/>
      <c r="P881" s="430"/>
      <c r="Q881" s="430"/>
      <c r="R881" s="430"/>
      <c r="S881" s="430"/>
      <c r="T881" s="430"/>
      <c r="U881" s="430"/>
      <c r="V881" s="430"/>
      <c r="W881" s="430"/>
      <c r="X881" s="430"/>
      <c r="Y881" s="430"/>
      <c r="Z881" s="430"/>
      <c r="AA881" s="430"/>
      <c r="AB881" s="430"/>
      <c r="AC881" s="430"/>
      <c r="AD881" s="430"/>
      <c r="AE881" s="430"/>
      <c r="AF881" s="430"/>
      <c r="AG881" s="430"/>
      <c r="AH881" s="430"/>
      <c r="AI881" s="430"/>
      <c r="AJ881" s="430"/>
      <c r="AK881" s="430"/>
      <c r="AL881" s="430"/>
      <c r="AM881" s="430"/>
      <c r="AN881" s="430"/>
      <c r="AO881" s="430"/>
      <c r="AP881" s="430"/>
      <c r="AQ881" s="430"/>
      <c r="AR881" s="430"/>
      <c r="AS881" s="430"/>
      <c r="AT881" s="430"/>
      <c r="AU881" s="430"/>
      <c r="AV881" s="430"/>
      <c r="AW881" s="430"/>
      <c r="AX881" s="430"/>
      <c r="AY881" s="430"/>
      <c r="AZ881" s="430"/>
      <c r="BA881" s="430"/>
      <c r="BB881" s="430"/>
      <c r="BC881" s="430"/>
      <c r="BD881" s="430"/>
      <c r="BE881" s="430"/>
    </row>
    <row r="882" spans="1:57" ht="15.75" customHeight="1">
      <c r="A882" s="430"/>
      <c r="B882" s="430"/>
      <c r="C882" s="430"/>
      <c r="D882" s="430"/>
      <c r="E882" s="430"/>
      <c r="F882" s="430"/>
      <c r="G882" s="430"/>
      <c r="H882" s="430"/>
      <c r="I882" s="430"/>
      <c r="J882" s="430"/>
      <c r="K882" s="430"/>
      <c r="L882" s="430"/>
      <c r="M882" s="430"/>
      <c r="N882" s="430"/>
      <c r="O882" s="430"/>
      <c r="P882" s="430"/>
      <c r="Q882" s="430"/>
      <c r="R882" s="430"/>
      <c r="S882" s="430"/>
      <c r="T882" s="430"/>
      <c r="U882" s="430"/>
      <c r="V882" s="430"/>
      <c r="W882" s="430"/>
      <c r="X882" s="430"/>
      <c r="Y882" s="430"/>
      <c r="Z882" s="430"/>
      <c r="AA882" s="430"/>
      <c r="AB882" s="430"/>
      <c r="AC882" s="430"/>
      <c r="AD882" s="430"/>
      <c r="AE882" s="430"/>
      <c r="AF882" s="430"/>
      <c r="AG882" s="430"/>
      <c r="AH882" s="430"/>
      <c r="AI882" s="430"/>
      <c r="AJ882" s="430"/>
      <c r="AK882" s="430"/>
      <c r="AL882" s="430"/>
      <c r="AM882" s="430"/>
      <c r="AN882" s="430"/>
      <c r="AO882" s="430"/>
      <c r="AP882" s="430"/>
      <c r="AQ882" s="430"/>
      <c r="AR882" s="430"/>
      <c r="AS882" s="430"/>
      <c r="AT882" s="430"/>
      <c r="AU882" s="430"/>
      <c r="AV882" s="430"/>
      <c r="AW882" s="430"/>
      <c r="AX882" s="430"/>
      <c r="AY882" s="430"/>
      <c r="AZ882" s="430"/>
      <c r="BA882" s="430"/>
      <c r="BB882" s="430"/>
      <c r="BC882" s="430"/>
      <c r="BD882" s="430"/>
      <c r="BE882" s="430"/>
    </row>
    <row r="883" spans="1:57" ht="15.75" customHeight="1">
      <c r="A883" s="430"/>
      <c r="B883" s="430"/>
      <c r="C883" s="430"/>
      <c r="D883" s="430"/>
      <c r="E883" s="430"/>
      <c r="F883" s="430"/>
      <c r="G883" s="430"/>
      <c r="H883" s="430"/>
      <c r="I883" s="430"/>
      <c r="J883" s="430"/>
      <c r="K883" s="430"/>
      <c r="L883" s="430"/>
      <c r="M883" s="430"/>
      <c r="N883" s="430"/>
      <c r="O883" s="430"/>
      <c r="P883" s="430"/>
      <c r="Q883" s="430"/>
      <c r="R883" s="430"/>
      <c r="S883" s="430"/>
      <c r="T883" s="430"/>
      <c r="U883" s="430"/>
      <c r="V883" s="430"/>
      <c r="W883" s="430"/>
      <c r="X883" s="430"/>
      <c r="Y883" s="430"/>
      <c r="Z883" s="430"/>
      <c r="AA883" s="430"/>
      <c r="AB883" s="430"/>
      <c r="AC883" s="430"/>
      <c r="AD883" s="430"/>
      <c r="AE883" s="430"/>
      <c r="AF883" s="430"/>
      <c r="AG883" s="430"/>
      <c r="AH883" s="430"/>
      <c r="AI883" s="430"/>
      <c r="AJ883" s="430"/>
      <c r="AK883" s="430"/>
      <c r="AL883" s="430"/>
      <c r="AM883" s="430"/>
      <c r="AN883" s="430"/>
      <c r="AO883" s="430"/>
      <c r="AP883" s="430"/>
      <c r="AQ883" s="430"/>
      <c r="AR883" s="430"/>
      <c r="AS883" s="430"/>
      <c r="AT883" s="430"/>
      <c r="AU883" s="430"/>
      <c r="AV883" s="430"/>
      <c r="AW883" s="430"/>
      <c r="AX883" s="430"/>
      <c r="AY883" s="430"/>
      <c r="AZ883" s="430"/>
      <c r="BA883" s="430"/>
      <c r="BB883" s="430"/>
      <c r="BC883" s="430"/>
      <c r="BD883" s="430"/>
      <c r="BE883" s="430"/>
    </row>
    <row r="884" spans="1:57" ht="15.75" customHeight="1">
      <c r="A884" s="430"/>
      <c r="B884" s="430"/>
      <c r="C884" s="430"/>
      <c r="D884" s="430"/>
      <c r="E884" s="430"/>
      <c r="F884" s="430"/>
      <c r="G884" s="430"/>
      <c r="H884" s="430"/>
      <c r="I884" s="430"/>
      <c r="J884" s="430"/>
      <c r="K884" s="430"/>
      <c r="L884" s="430"/>
      <c r="M884" s="430"/>
      <c r="N884" s="430"/>
      <c r="O884" s="430"/>
      <c r="P884" s="430"/>
      <c r="Q884" s="430"/>
      <c r="R884" s="430"/>
      <c r="S884" s="430"/>
      <c r="T884" s="430"/>
      <c r="U884" s="430"/>
      <c r="V884" s="430"/>
      <c r="W884" s="430"/>
      <c r="X884" s="430"/>
      <c r="Y884" s="430"/>
      <c r="Z884" s="430"/>
      <c r="AA884" s="430"/>
      <c r="AB884" s="430"/>
      <c r="AC884" s="430"/>
      <c r="AD884" s="430"/>
      <c r="AE884" s="430"/>
      <c r="AF884" s="430"/>
      <c r="AG884" s="430"/>
      <c r="AH884" s="430"/>
      <c r="AI884" s="430"/>
      <c r="AJ884" s="430"/>
      <c r="AK884" s="430"/>
      <c r="AL884" s="430"/>
      <c r="AM884" s="430"/>
      <c r="AN884" s="430"/>
      <c r="AO884" s="430"/>
      <c r="AP884" s="430"/>
      <c r="AQ884" s="430"/>
      <c r="AR884" s="430"/>
      <c r="AS884" s="430"/>
      <c r="AT884" s="430"/>
      <c r="AU884" s="430"/>
      <c r="AV884" s="430"/>
      <c r="AW884" s="430"/>
      <c r="AX884" s="430"/>
      <c r="AY884" s="430"/>
      <c r="AZ884" s="430"/>
      <c r="BA884" s="430"/>
      <c r="BB884" s="430"/>
      <c r="BC884" s="430"/>
      <c r="BD884" s="430"/>
      <c r="BE884" s="430"/>
    </row>
    <row r="885" spans="1:57" ht="15.75" customHeight="1">
      <c r="A885" s="430"/>
      <c r="B885" s="430"/>
      <c r="C885" s="430"/>
      <c r="D885" s="430"/>
      <c r="E885" s="430"/>
      <c r="F885" s="430"/>
      <c r="G885" s="430"/>
      <c r="H885" s="430"/>
      <c r="I885" s="430"/>
      <c r="J885" s="430"/>
      <c r="K885" s="430"/>
      <c r="L885" s="430"/>
      <c r="M885" s="430"/>
      <c r="N885" s="430"/>
      <c r="O885" s="430"/>
      <c r="P885" s="430"/>
      <c r="Q885" s="430"/>
      <c r="R885" s="430"/>
      <c r="S885" s="430"/>
      <c r="T885" s="430"/>
      <c r="U885" s="430"/>
      <c r="V885" s="430"/>
      <c r="W885" s="430"/>
      <c r="X885" s="430"/>
      <c r="Y885" s="430"/>
      <c r="Z885" s="430"/>
      <c r="AA885" s="430"/>
      <c r="AB885" s="430"/>
      <c r="AC885" s="430"/>
      <c r="AD885" s="430"/>
      <c r="AE885" s="430"/>
      <c r="AF885" s="430"/>
      <c r="AG885" s="430"/>
      <c r="AH885" s="430"/>
      <c r="AI885" s="430"/>
      <c r="AJ885" s="430"/>
      <c r="AK885" s="430"/>
      <c r="AL885" s="430"/>
      <c r="AM885" s="430"/>
      <c r="AN885" s="430"/>
      <c r="AO885" s="430"/>
      <c r="AP885" s="430"/>
      <c r="AQ885" s="430"/>
      <c r="AR885" s="430"/>
      <c r="AS885" s="430"/>
      <c r="AT885" s="430"/>
      <c r="AU885" s="430"/>
      <c r="AV885" s="430"/>
      <c r="AW885" s="430"/>
      <c r="AX885" s="430"/>
      <c r="AY885" s="430"/>
      <c r="AZ885" s="430"/>
      <c r="BA885" s="430"/>
      <c r="BB885" s="430"/>
      <c r="BC885" s="430"/>
      <c r="BD885" s="430"/>
      <c r="BE885" s="430"/>
    </row>
    <row r="886" spans="1:57" ht="15.75" customHeight="1">
      <c r="A886" s="430"/>
      <c r="B886" s="430"/>
      <c r="C886" s="430"/>
      <c r="D886" s="430"/>
      <c r="E886" s="430"/>
      <c r="F886" s="430"/>
      <c r="G886" s="430"/>
      <c r="H886" s="430"/>
      <c r="I886" s="430"/>
      <c r="J886" s="430"/>
      <c r="K886" s="430"/>
      <c r="L886" s="430"/>
      <c r="M886" s="430"/>
      <c r="N886" s="430"/>
      <c r="O886" s="430"/>
      <c r="P886" s="430"/>
      <c r="Q886" s="430"/>
      <c r="R886" s="430"/>
      <c r="S886" s="430"/>
      <c r="T886" s="430"/>
      <c r="U886" s="430"/>
      <c r="V886" s="430"/>
      <c r="W886" s="430"/>
      <c r="X886" s="430"/>
      <c r="Y886" s="430"/>
      <c r="Z886" s="430"/>
      <c r="AA886" s="430"/>
      <c r="AB886" s="430"/>
      <c r="AC886" s="430"/>
      <c r="AD886" s="430"/>
      <c r="AE886" s="430"/>
      <c r="AF886" s="430"/>
      <c r="AG886" s="430"/>
      <c r="AH886" s="430"/>
      <c r="AI886" s="430"/>
      <c r="AJ886" s="430"/>
      <c r="AK886" s="430"/>
      <c r="AL886" s="430"/>
      <c r="AM886" s="430"/>
      <c r="AN886" s="430"/>
      <c r="AO886" s="430"/>
      <c r="AP886" s="430"/>
      <c r="AQ886" s="430"/>
      <c r="AR886" s="430"/>
      <c r="AS886" s="430"/>
      <c r="AT886" s="430"/>
      <c r="AU886" s="430"/>
      <c r="AV886" s="430"/>
      <c r="AW886" s="430"/>
      <c r="AX886" s="430"/>
      <c r="AY886" s="430"/>
      <c r="AZ886" s="430"/>
      <c r="BA886" s="430"/>
      <c r="BB886" s="430"/>
      <c r="BC886" s="430"/>
      <c r="BD886" s="430"/>
      <c r="BE886" s="430"/>
    </row>
    <row r="887" spans="1:57" ht="15.75" customHeight="1">
      <c r="A887" s="430"/>
      <c r="B887" s="430"/>
      <c r="C887" s="430"/>
      <c r="D887" s="430"/>
      <c r="E887" s="430"/>
      <c r="F887" s="430"/>
      <c r="G887" s="430"/>
      <c r="H887" s="430"/>
      <c r="I887" s="430"/>
      <c r="J887" s="430"/>
      <c r="K887" s="430"/>
      <c r="L887" s="430"/>
      <c r="M887" s="430"/>
      <c r="N887" s="430"/>
      <c r="O887" s="430"/>
      <c r="P887" s="430"/>
      <c r="Q887" s="430"/>
      <c r="R887" s="430"/>
      <c r="S887" s="430"/>
      <c r="T887" s="430"/>
      <c r="U887" s="430"/>
      <c r="V887" s="430"/>
      <c r="W887" s="430"/>
      <c r="X887" s="430"/>
      <c r="Y887" s="430"/>
      <c r="Z887" s="430"/>
      <c r="AA887" s="430"/>
      <c r="AB887" s="430"/>
      <c r="AC887" s="430"/>
      <c r="AD887" s="430"/>
      <c r="AE887" s="430"/>
      <c r="AF887" s="430"/>
      <c r="AG887" s="430"/>
      <c r="AH887" s="430"/>
      <c r="AI887" s="430"/>
      <c r="AJ887" s="430"/>
      <c r="AK887" s="430"/>
      <c r="AL887" s="430"/>
      <c r="AM887" s="430"/>
      <c r="AN887" s="430"/>
      <c r="AO887" s="430"/>
      <c r="AP887" s="430"/>
      <c r="AQ887" s="430"/>
      <c r="AR887" s="430"/>
      <c r="AS887" s="430"/>
      <c r="AT887" s="430"/>
      <c r="AU887" s="430"/>
      <c r="AV887" s="430"/>
      <c r="AW887" s="430"/>
      <c r="AX887" s="430"/>
      <c r="AY887" s="430"/>
      <c r="AZ887" s="430"/>
      <c r="BA887" s="430"/>
      <c r="BB887" s="430"/>
      <c r="BC887" s="430"/>
      <c r="BD887" s="430"/>
      <c r="BE887" s="430"/>
    </row>
    <row r="888" spans="1:57" ht="15.75" customHeight="1">
      <c r="A888" s="430"/>
      <c r="B888" s="430"/>
      <c r="C888" s="430"/>
      <c r="D888" s="430"/>
      <c r="E888" s="430"/>
      <c r="F888" s="430"/>
      <c r="G888" s="430"/>
      <c r="H888" s="430"/>
      <c r="I888" s="430"/>
      <c r="J888" s="430"/>
      <c r="K888" s="430"/>
      <c r="L888" s="430"/>
      <c r="M888" s="430"/>
      <c r="N888" s="430"/>
      <c r="O888" s="430"/>
      <c r="P888" s="430"/>
      <c r="Q888" s="430"/>
      <c r="R888" s="430"/>
      <c r="S888" s="430"/>
      <c r="T888" s="430"/>
      <c r="U888" s="430"/>
      <c r="V888" s="430"/>
      <c r="W888" s="430"/>
      <c r="X888" s="430"/>
      <c r="Y888" s="430"/>
      <c r="Z888" s="430"/>
      <c r="AA888" s="430"/>
      <c r="AB888" s="430"/>
      <c r="AC888" s="430"/>
      <c r="AD888" s="430"/>
      <c r="AE888" s="430"/>
      <c r="AF888" s="430"/>
      <c r="AG888" s="430"/>
      <c r="AH888" s="430"/>
      <c r="AI888" s="430"/>
      <c r="AJ888" s="430"/>
      <c r="AK888" s="430"/>
      <c r="AL888" s="430"/>
      <c r="AM888" s="430"/>
      <c r="AN888" s="430"/>
      <c r="AO888" s="430"/>
      <c r="AP888" s="430"/>
      <c r="AQ888" s="430"/>
      <c r="AR888" s="430"/>
      <c r="AS888" s="430"/>
      <c r="AT888" s="430"/>
      <c r="AU888" s="430"/>
      <c r="AV888" s="430"/>
      <c r="AW888" s="430"/>
      <c r="AX888" s="430"/>
      <c r="AY888" s="430"/>
      <c r="AZ888" s="430"/>
      <c r="BA888" s="430"/>
      <c r="BB888" s="430"/>
      <c r="BC888" s="430"/>
      <c r="BD888" s="430"/>
      <c r="BE888" s="430"/>
    </row>
    <row r="889" spans="1:57" ht="15.75" customHeight="1">
      <c r="A889" s="430"/>
      <c r="B889" s="430"/>
      <c r="C889" s="430"/>
      <c r="D889" s="430"/>
      <c r="E889" s="430"/>
      <c r="F889" s="430"/>
      <c r="G889" s="430"/>
      <c r="H889" s="430"/>
      <c r="I889" s="430"/>
      <c r="J889" s="430"/>
      <c r="K889" s="430"/>
      <c r="L889" s="430"/>
      <c r="M889" s="430"/>
      <c r="N889" s="430"/>
      <c r="O889" s="430"/>
      <c r="P889" s="430"/>
      <c r="Q889" s="430"/>
      <c r="R889" s="430"/>
      <c r="S889" s="430"/>
      <c r="T889" s="430"/>
      <c r="U889" s="430"/>
      <c r="V889" s="430"/>
      <c r="W889" s="430"/>
      <c r="X889" s="430"/>
      <c r="Y889" s="430"/>
      <c r="Z889" s="430"/>
      <c r="AA889" s="430"/>
      <c r="AB889" s="430"/>
      <c r="AC889" s="430"/>
      <c r="AD889" s="430"/>
      <c r="AE889" s="430"/>
      <c r="AF889" s="430"/>
      <c r="AG889" s="430"/>
      <c r="AH889" s="430"/>
      <c r="AI889" s="430"/>
      <c r="AJ889" s="430"/>
      <c r="AK889" s="430"/>
      <c r="AL889" s="430"/>
      <c r="AM889" s="430"/>
      <c r="AN889" s="430"/>
      <c r="AO889" s="430"/>
      <c r="AP889" s="430"/>
      <c r="AQ889" s="430"/>
      <c r="AR889" s="430"/>
      <c r="AS889" s="430"/>
      <c r="AT889" s="430"/>
      <c r="AU889" s="430"/>
      <c r="AV889" s="430"/>
      <c r="AW889" s="430"/>
      <c r="AX889" s="430"/>
      <c r="AY889" s="430"/>
      <c r="AZ889" s="430"/>
      <c r="BA889" s="430"/>
      <c r="BB889" s="430"/>
      <c r="BC889" s="430"/>
      <c r="BD889" s="430"/>
      <c r="BE889" s="430"/>
    </row>
    <row r="890" spans="1:57" ht="15.75" customHeight="1">
      <c r="A890" s="430"/>
      <c r="B890" s="430"/>
      <c r="C890" s="430"/>
      <c r="D890" s="430"/>
      <c r="E890" s="430"/>
      <c r="F890" s="430"/>
      <c r="G890" s="430"/>
      <c r="H890" s="430"/>
      <c r="I890" s="430"/>
      <c r="J890" s="430"/>
      <c r="K890" s="430"/>
      <c r="L890" s="430"/>
      <c r="M890" s="430"/>
      <c r="N890" s="430"/>
      <c r="O890" s="430"/>
      <c r="P890" s="430"/>
      <c r="Q890" s="430"/>
      <c r="R890" s="430"/>
      <c r="S890" s="430"/>
      <c r="T890" s="430"/>
      <c r="U890" s="430"/>
      <c r="V890" s="430"/>
      <c r="W890" s="430"/>
      <c r="X890" s="430"/>
      <c r="Y890" s="430"/>
      <c r="Z890" s="430"/>
      <c r="AA890" s="430"/>
      <c r="AB890" s="430"/>
      <c r="AC890" s="430"/>
      <c r="AD890" s="430"/>
      <c r="AE890" s="430"/>
      <c r="AF890" s="430"/>
      <c r="AG890" s="430"/>
      <c r="AH890" s="430"/>
      <c r="AI890" s="430"/>
      <c r="AJ890" s="430"/>
      <c r="AK890" s="430"/>
      <c r="AL890" s="430"/>
      <c r="AM890" s="430"/>
      <c r="AN890" s="430"/>
      <c r="AO890" s="430"/>
      <c r="AP890" s="430"/>
      <c r="AQ890" s="430"/>
      <c r="AR890" s="430"/>
      <c r="AS890" s="430"/>
      <c r="AT890" s="430"/>
      <c r="AU890" s="430"/>
      <c r="AV890" s="430"/>
      <c r="AW890" s="430"/>
      <c r="AX890" s="430"/>
      <c r="AY890" s="430"/>
      <c r="AZ890" s="430"/>
      <c r="BA890" s="430"/>
      <c r="BB890" s="430"/>
      <c r="BC890" s="430"/>
      <c r="BD890" s="430"/>
      <c r="BE890" s="430"/>
    </row>
    <row r="891" spans="1:57" ht="15.75" customHeight="1">
      <c r="A891" s="430"/>
      <c r="B891" s="430"/>
      <c r="C891" s="430"/>
      <c r="D891" s="430"/>
      <c r="E891" s="430"/>
      <c r="F891" s="430"/>
      <c r="G891" s="430"/>
      <c r="H891" s="430"/>
      <c r="I891" s="430"/>
      <c r="J891" s="430"/>
      <c r="K891" s="430"/>
      <c r="L891" s="430"/>
      <c r="M891" s="430"/>
      <c r="N891" s="430"/>
      <c r="O891" s="430"/>
      <c r="P891" s="430"/>
      <c r="Q891" s="430"/>
      <c r="R891" s="430"/>
      <c r="S891" s="430"/>
      <c r="T891" s="430"/>
      <c r="U891" s="430"/>
      <c r="V891" s="430"/>
      <c r="W891" s="430"/>
      <c r="X891" s="430"/>
      <c r="Y891" s="430"/>
      <c r="Z891" s="430"/>
      <c r="AA891" s="430"/>
      <c r="AB891" s="430"/>
      <c r="AC891" s="430"/>
      <c r="AD891" s="430"/>
      <c r="AE891" s="430"/>
      <c r="AF891" s="430"/>
      <c r="AG891" s="430"/>
      <c r="AH891" s="430"/>
      <c r="AI891" s="430"/>
      <c r="AJ891" s="430"/>
      <c r="AK891" s="430"/>
      <c r="AL891" s="430"/>
      <c r="AM891" s="430"/>
      <c r="AN891" s="430"/>
      <c r="AO891" s="430"/>
      <c r="AP891" s="430"/>
      <c r="AQ891" s="430"/>
      <c r="AR891" s="430"/>
      <c r="AS891" s="430"/>
      <c r="AT891" s="430"/>
      <c r="AU891" s="430"/>
      <c r="AV891" s="430"/>
      <c r="AW891" s="430"/>
      <c r="AX891" s="430"/>
      <c r="AY891" s="430"/>
      <c r="AZ891" s="430"/>
      <c r="BA891" s="430"/>
      <c r="BB891" s="430"/>
      <c r="BC891" s="430"/>
      <c r="BD891" s="430"/>
      <c r="BE891" s="430"/>
    </row>
    <row r="892" spans="1:57" ht="15.75" customHeight="1">
      <c r="A892" s="430"/>
      <c r="B892" s="430"/>
      <c r="C892" s="430"/>
      <c r="D892" s="430"/>
      <c r="E892" s="430"/>
      <c r="F892" s="430"/>
      <c r="G892" s="430"/>
      <c r="H892" s="430"/>
      <c r="I892" s="430"/>
      <c r="J892" s="430"/>
      <c r="K892" s="430"/>
      <c r="L892" s="430"/>
      <c r="M892" s="430"/>
      <c r="N892" s="430"/>
      <c r="O892" s="430"/>
      <c r="P892" s="430"/>
      <c r="Q892" s="430"/>
      <c r="R892" s="430"/>
      <c r="S892" s="430"/>
      <c r="T892" s="430"/>
      <c r="U892" s="430"/>
      <c r="V892" s="430"/>
      <c r="W892" s="430"/>
      <c r="X892" s="430"/>
      <c r="Y892" s="430"/>
      <c r="Z892" s="430"/>
      <c r="AA892" s="430"/>
      <c r="AB892" s="430"/>
      <c r="AC892" s="430"/>
      <c r="AD892" s="430"/>
      <c r="AE892" s="430"/>
      <c r="AF892" s="430"/>
      <c r="AG892" s="430"/>
      <c r="AH892" s="430"/>
      <c r="AI892" s="430"/>
      <c r="AJ892" s="430"/>
      <c r="AK892" s="430"/>
      <c r="AL892" s="430"/>
      <c r="AM892" s="430"/>
      <c r="AN892" s="430"/>
      <c r="AO892" s="430"/>
      <c r="AP892" s="430"/>
      <c r="AQ892" s="430"/>
      <c r="AR892" s="430"/>
      <c r="AS892" s="430"/>
      <c r="AT892" s="430"/>
      <c r="AU892" s="430"/>
      <c r="AV892" s="430"/>
      <c r="AW892" s="430"/>
      <c r="AX892" s="430"/>
      <c r="AY892" s="430"/>
      <c r="AZ892" s="430"/>
      <c r="BA892" s="430"/>
      <c r="BB892" s="430"/>
      <c r="BC892" s="430"/>
      <c r="BD892" s="430"/>
      <c r="BE892" s="430"/>
    </row>
    <row r="893" spans="1:57" ht="15.75" customHeight="1">
      <c r="A893" s="430"/>
      <c r="B893" s="430"/>
      <c r="C893" s="430"/>
      <c r="D893" s="430"/>
      <c r="E893" s="430"/>
      <c r="F893" s="430"/>
      <c r="G893" s="430"/>
      <c r="H893" s="430"/>
      <c r="I893" s="430"/>
      <c r="J893" s="430"/>
      <c r="K893" s="430"/>
      <c r="L893" s="430"/>
      <c r="M893" s="430"/>
      <c r="N893" s="430"/>
      <c r="O893" s="430"/>
      <c r="P893" s="430"/>
      <c r="Q893" s="430"/>
      <c r="R893" s="430"/>
      <c r="S893" s="430"/>
      <c r="T893" s="430"/>
      <c r="U893" s="430"/>
      <c r="V893" s="430"/>
      <c r="W893" s="430"/>
      <c r="X893" s="430"/>
      <c r="Y893" s="430"/>
      <c r="Z893" s="430"/>
      <c r="AA893" s="430"/>
      <c r="AB893" s="430"/>
      <c r="AC893" s="430"/>
      <c r="AD893" s="430"/>
      <c r="AE893" s="430"/>
      <c r="AF893" s="430"/>
      <c r="AG893" s="430"/>
      <c r="AH893" s="430"/>
      <c r="AI893" s="430"/>
      <c r="AJ893" s="430"/>
      <c r="AK893" s="430"/>
      <c r="AL893" s="430"/>
      <c r="AM893" s="430"/>
      <c r="AN893" s="430"/>
      <c r="AO893" s="430"/>
      <c r="AP893" s="430"/>
      <c r="AQ893" s="430"/>
      <c r="AR893" s="430"/>
      <c r="AS893" s="430"/>
      <c r="AT893" s="430"/>
      <c r="AU893" s="430"/>
      <c r="AV893" s="430"/>
      <c r="AW893" s="430"/>
      <c r="AX893" s="430"/>
      <c r="AY893" s="430"/>
      <c r="AZ893" s="430"/>
      <c r="BA893" s="430"/>
      <c r="BB893" s="430"/>
      <c r="BC893" s="430"/>
      <c r="BD893" s="430"/>
      <c r="BE893" s="430"/>
    </row>
    <row r="894" spans="1:57" ht="15.75" customHeight="1">
      <c r="A894" s="430"/>
      <c r="B894" s="430"/>
      <c r="C894" s="430"/>
      <c r="D894" s="430"/>
      <c r="E894" s="430"/>
      <c r="F894" s="430"/>
      <c r="G894" s="430"/>
      <c r="H894" s="430"/>
      <c r="I894" s="430"/>
      <c r="J894" s="430"/>
      <c r="K894" s="430"/>
      <c r="L894" s="430"/>
      <c r="M894" s="430"/>
      <c r="N894" s="430"/>
      <c r="O894" s="430"/>
      <c r="P894" s="430"/>
      <c r="Q894" s="430"/>
      <c r="R894" s="430"/>
      <c r="S894" s="430"/>
      <c r="T894" s="430"/>
      <c r="U894" s="430"/>
      <c r="V894" s="430"/>
      <c r="W894" s="430"/>
      <c r="X894" s="430"/>
      <c r="Y894" s="430"/>
      <c r="Z894" s="430"/>
      <c r="AA894" s="430"/>
      <c r="AB894" s="430"/>
      <c r="AC894" s="430"/>
      <c r="AD894" s="430"/>
      <c r="AE894" s="430"/>
      <c r="AF894" s="430"/>
      <c r="AG894" s="430"/>
      <c r="AH894" s="430"/>
      <c r="AI894" s="430"/>
      <c r="AJ894" s="430"/>
      <c r="AK894" s="430"/>
      <c r="AL894" s="430"/>
      <c r="AM894" s="430"/>
      <c r="AN894" s="430"/>
      <c r="AO894" s="430"/>
      <c r="AP894" s="430"/>
      <c r="AQ894" s="430"/>
      <c r="AR894" s="430"/>
      <c r="AS894" s="430"/>
      <c r="AT894" s="430"/>
      <c r="AU894" s="430"/>
      <c r="AV894" s="430"/>
      <c r="AW894" s="430"/>
      <c r="AX894" s="430"/>
      <c r="AY894" s="430"/>
      <c r="AZ894" s="430"/>
      <c r="BA894" s="430"/>
      <c r="BB894" s="430"/>
      <c r="BC894" s="430"/>
      <c r="BD894" s="430"/>
      <c r="BE894" s="430"/>
    </row>
    <row r="895" spans="1:57" ht="15.75" customHeight="1">
      <c r="A895" s="430"/>
      <c r="B895" s="430"/>
      <c r="C895" s="430"/>
      <c r="D895" s="430"/>
      <c r="E895" s="430"/>
      <c r="F895" s="430"/>
      <c r="G895" s="430"/>
      <c r="H895" s="430"/>
      <c r="I895" s="430"/>
      <c r="J895" s="430"/>
      <c r="K895" s="430"/>
      <c r="L895" s="430"/>
      <c r="M895" s="430"/>
      <c r="N895" s="430"/>
      <c r="O895" s="430"/>
      <c r="P895" s="430"/>
      <c r="Q895" s="430"/>
      <c r="R895" s="430"/>
      <c r="S895" s="430"/>
      <c r="T895" s="430"/>
      <c r="U895" s="430"/>
      <c r="V895" s="430"/>
      <c r="W895" s="430"/>
      <c r="X895" s="430"/>
      <c r="Y895" s="430"/>
      <c r="Z895" s="430"/>
      <c r="AA895" s="430"/>
      <c r="AB895" s="430"/>
      <c r="AC895" s="430"/>
      <c r="AD895" s="430"/>
      <c r="AE895" s="430"/>
      <c r="AF895" s="430"/>
      <c r="AG895" s="430"/>
      <c r="AH895" s="430"/>
      <c r="AI895" s="430"/>
      <c r="AJ895" s="430"/>
      <c r="AK895" s="430"/>
      <c r="AL895" s="430"/>
      <c r="AM895" s="430"/>
      <c r="AN895" s="430"/>
      <c r="AO895" s="430"/>
      <c r="AP895" s="430"/>
      <c r="AQ895" s="430"/>
      <c r="AR895" s="430"/>
      <c r="AS895" s="430"/>
      <c r="AT895" s="430"/>
      <c r="AU895" s="430"/>
      <c r="AV895" s="430"/>
      <c r="AW895" s="430"/>
      <c r="AX895" s="430"/>
      <c r="AY895" s="430"/>
      <c r="AZ895" s="430"/>
      <c r="BA895" s="430"/>
      <c r="BB895" s="430"/>
      <c r="BC895" s="430"/>
      <c r="BD895" s="430"/>
      <c r="BE895" s="430"/>
    </row>
    <row r="896" spans="1:57" ht="15.75" customHeight="1">
      <c r="A896" s="430"/>
      <c r="B896" s="430"/>
      <c r="C896" s="430"/>
      <c r="D896" s="430"/>
      <c r="E896" s="430"/>
      <c r="F896" s="430"/>
      <c r="G896" s="430"/>
      <c r="H896" s="430"/>
      <c r="I896" s="430"/>
      <c r="J896" s="430"/>
      <c r="K896" s="430"/>
      <c r="L896" s="430"/>
      <c r="M896" s="430"/>
      <c r="N896" s="430"/>
      <c r="O896" s="430"/>
      <c r="P896" s="430"/>
      <c r="Q896" s="430"/>
      <c r="R896" s="430"/>
      <c r="S896" s="430"/>
      <c r="T896" s="430"/>
      <c r="U896" s="430"/>
      <c r="V896" s="430"/>
      <c r="W896" s="430"/>
      <c r="X896" s="430"/>
      <c r="Y896" s="430"/>
      <c r="Z896" s="430"/>
      <c r="AA896" s="430"/>
      <c r="AB896" s="430"/>
      <c r="AC896" s="430"/>
      <c r="AD896" s="430"/>
      <c r="AE896" s="430"/>
      <c r="AF896" s="430"/>
      <c r="AG896" s="430"/>
      <c r="AH896" s="430"/>
      <c r="AI896" s="430"/>
      <c r="AJ896" s="430"/>
      <c r="AK896" s="430"/>
      <c r="AL896" s="430"/>
      <c r="AM896" s="430"/>
      <c r="AN896" s="430"/>
      <c r="AO896" s="430"/>
      <c r="AP896" s="430"/>
      <c r="AQ896" s="430"/>
      <c r="AR896" s="430"/>
      <c r="AS896" s="430"/>
      <c r="AT896" s="430"/>
      <c r="AU896" s="430"/>
      <c r="AV896" s="430"/>
      <c r="AW896" s="430"/>
      <c r="AX896" s="430"/>
      <c r="AY896" s="430"/>
      <c r="AZ896" s="430"/>
      <c r="BA896" s="430"/>
      <c r="BB896" s="430"/>
      <c r="BC896" s="430"/>
      <c r="BD896" s="430"/>
      <c r="BE896" s="430"/>
    </row>
    <row r="897" spans="1:57" ht="15.75" customHeight="1">
      <c r="A897" s="430"/>
      <c r="B897" s="430"/>
      <c r="C897" s="430"/>
      <c r="D897" s="430"/>
      <c r="E897" s="430"/>
      <c r="F897" s="430"/>
      <c r="G897" s="430"/>
      <c r="H897" s="430"/>
      <c r="I897" s="430"/>
      <c r="J897" s="430"/>
      <c r="K897" s="430"/>
      <c r="L897" s="430"/>
      <c r="M897" s="430"/>
      <c r="N897" s="430"/>
      <c r="O897" s="430"/>
      <c r="P897" s="430"/>
      <c r="Q897" s="430"/>
      <c r="R897" s="430"/>
      <c r="S897" s="430"/>
      <c r="T897" s="430"/>
      <c r="U897" s="430"/>
      <c r="V897" s="430"/>
      <c r="W897" s="430"/>
      <c r="X897" s="430"/>
      <c r="Y897" s="430"/>
      <c r="Z897" s="430"/>
      <c r="AA897" s="430"/>
      <c r="AB897" s="430"/>
      <c r="AC897" s="430"/>
      <c r="AD897" s="430"/>
      <c r="AE897" s="430"/>
      <c r="AF897" s="430"/>
      <c r="AG897" s="430"/>
      <c r="AH897" s="430"/>
      <c r="AI897" s="430"/>
      <c r="AJ897" s="430"/>
      <c r="AK897" s="430"/>
      <c r="AL897" s="430"/>
      <c r="AM897" s="430"/>
      <c r="AN897" s="430"/>
      <c r="AO897" s="430"/>
      <c r="AP897" s="430"/>
      <c r="AQ897" s="430"/>
      <c r="AR897" s="430"/>
      <c r="AS897" s="430"/>
      <c r="AT897" s="430"/>
      <c r="AU897" s="430"/>
      <c r="AV897" s="430"/>
      <c r="AW897" s="430"/>
      <c r="AX897" s="430"/>
      <c r="AY897" s="430"/>
      <c r="AZ897" s="430"/>
      <c r="BA897" s="430"/>
      <c r="BB897" s="430"/>
      <c r="BC897" s="430"/>
      <c r="BD897" s="430"/>
      <c r="BE897" s="430"/>
    </row>
    <row r="898" spans="1:57" ht="15.75" customHeight="1">
      <c r="A898" s="430"/>
      <c r="B898" s="430"/>
      <c r="C898" s="430"/>
      <c r="D898" s="430"/>
      <c r="E898" s="430"/>
      <c r="F898" s="430"/>
      <c r="G898" s="430"/>
      <c r="H898" s="430"/>
      <c r="I898" s="430"/>
      <c r="J898" s="430"/>
      <c r="K898" s="430"/>
      <c r="L898" s="430"/>
      <c r="M898" s="430"/>
      <c r="N898" s="430"/>
      <c r="O898" s="430"/>
      <c r="P898" s="430"/>
      <c r="Q898" s="430"/>
      <c r="R898" s="430"/>
      <c r="S898" s="430"/>
      <c r="T898" s="430"/>
      <c r="U898" s="430"/>
      <c r="V898" s="430"/>
      <c r="W898" s="430"/>
      <c r="X898" s="430"/>
      <c r="Y898" s="430"/>
      <c r="Z898" s="430"/>
      <c r="AA898" s="430"/>
      <c r="AB898" s="430"/>
      <c r="AC898" s="430"/>
      <c r="AD898" s="430"/>
      <c r="AE898" s="430"/>
      <c r="AF898" s="430"/>
      <c r="AG898" s="430"/>
      <c r="AH898" s="430"/>
      <c r="AI898" s="430"/>
      <c r="AJ898" s="430"/>
      <c r="AK898" s="430"/>
      <c r="AL898" s="430"/>
      <c r="AM898" s="430"/>
      <c r="AN898" s="430"/>
      <c r="AO898" s="430"/>
      <c r="AP898" s="430"/>
      <c r="AQ898" s="430"/>
      <c r="AR898" s="430"/>
      <c r="AS898" s="430"/>
      <c r="AT898" s="430"/>
      <c r="AU898" s="430"/>
      <c r="AV898" s="430"/>
      <c r="AW898" s="430"/>
      <c r="AX898" s="430"/>
      <c r="AY898" s="430"/>
      <c r="AZ898" s="430"/>
      <c r="BA898" s="430"/>
      <c r="BB898" s="430"/>
      <c r="BC898" s="430"/>
      <c r="BD898" s="430"/>
      <c r="BE898" s="430"/>
    </row>
    <row r="899" spans="1:57" ht="15.75" customHeight="1">
      <c r="A899" s="430"/>
      <c r="B899" s="430"/>
      <c r="C899" s="430"/>
      <c r="D899" s="430"/>
      <c r="E899" s="430"/>
      <c r="F899" s="430"/>
      <c r="G899" s="430"/>
      <c r="H899" s="430"/>
      <c r="I899" s="430"/>
      <c r="J899" s="430"/>
      <c r="K899" s="430"/>
      <c r="L899" s="430"/>
      <c r="M899" s="430"/>
      <c r="N899" s="430"/>
      <c r="O899" s="430"/>
      <c r="P899" s="430"/>
      <c r="Q899" s="430"/>
      <c r="R899" s="430"/>
      <c r="S899" s="430"/>
      <c r="T899" s="430"/>
      <c r="U899" s="430"/>
      <c r="V899" s="430"/>
      <c r="W899" s="430"/>
      <c r="X899" s="430"/>
      <c r="Y899" s="430"/>
      <c r="Z899" s="430"/>
      <c r="AA899" s="430"/>
      <c r="AB899" s="430"/>
      <c r="AC899" s="430"/>
      <c r="AD899" s="430"/>
      <c r="AE899" s="430"/>
      <c r="AF899" s="430"/>
      <c r="AG899" s="430"/>
      <c r="AH899" s="430"/>
      <c r="AI899" s="430"/>
      <c r="AJ899" s="430"/>
      <c r="AK899" s="430"/>
      <c r="AL899" s="430"/>
      <c r="AM899" s="430"/>
      <c r="AN899" s="430"/>
      <c r="AO899" s="430"/>
      <c r="AP899" s="430"/>
      <c r="AQ899" s="430"/>
      <c r="AR899" s="430"/>
      <c r="AS899" s="430"/>
      <c r="AT899" s="430"/>
      <c r="AU899" s="430"/>
      <c r="AV899" s="430"/>
      <c r="AW899" s="430"/>
      <c r="AX899" s="430"/>
      <c r="AY899" s="430"/>
      <c r="AZ899" s="430"/>
      <c r="BA899" s="430"/>
      <c r="BB899" s="430"/>
      <c r="BC899" s="430"/>
      <c r="BD899" s="430"/>
      <c r="BE899" s="430"/>
    </row>
    <row r="900" spans="1:57" ht="15.75" customHeight="1">
      <c r="A900" s="430"/>
      <c r="B900" s="430"/>
      <c r="C900" s="430"/>
      <c r="D900" s="430"/>
      <c r="E900" s="430"/>
      <c r="F900" s="430"/>
      <c r="G900" s="430"/>
      <c r="H900" s="430"/>
      <c r="I900" s="430"/>
      <c r="J900" s="430"/>
      <c r="K900" s="430"/>
      <c r="L900" s="430"/>
      <c r="M900" s="430"/>
      <c r="N900" s="430"/>
      <c r="O900" s="430"/>
      <c r="P900" s="430"/>
      <c r="Q900" s="430"/>
      <c r="R900" s="430"/>
      <c r="S900" s="430"/>
      <c r="T900" s="430"/>
      <c r="U900" s="430"/>
      <c r="V900" s="430"/>
      <c r="W900" s="430"/>
      <c r="X900" s="430"/>
      <c r="Y900" s="430"/>
      <c r="Z900" s="430"/>
      <c r="AA900" s="430"/>
      <c r="AB900" s="430"/>
      <c r="AC900" s="430"/>
      <c r="AD900" s="430"/>
      <c r="AE900" s="430"/>
      <c r="AF900" s="430"/>
      <c r="AG900" s="430"/>
      <c r="AH900" s="430"/>
      <c r="AI900" s="430"/>
      <c r="AJ900" s="430"/>
      <c r="AK900" s="430"/>
      <c r="AL900" s="430"/>
      <c r="AM900" s="430"/>
      <c r="AN900" s="430"/>
      <c r="AO900" s="430"/>
      <c r="AP900" s="430"/>
      <c r="AQ900" s="430"/>
      <c r="AR900" s="430"/>
      <c r="AS900" s="430"/>
      <c r="AT900" s="430"/>
      <c r="AU900" s="430"/>
      <c r="AV900" s="430"/>
      <c r="AW900" s="430"/>
      <c r="AX900" s="430"/>
      <c r="AY900" s="430"/>
      <c r="AZ900" s="430"/>
      <c r="BA900" s="430"/>
      <c r="BB900" s="430"/>
      <c r="BC900" s="430"/>
      <c r="BD900" s="430"/>
      <c r="BE900" s="430"/>
    </row>
    <row r="901" spans="1:57" ht="15.75" customHeight="1">
      <c r="A901" s="430"/>
      <c r="B901" s="430"/>
      <c r="C901" s="430"/>
      <c r="D901" s="430"/>
      <c r="E901" s="430"/>
      <c r="F901" s="430"/>
      <c r="G901" s="430"/>
      <c r="H901" s="430"/>
      <c r="I901" s="430"/>
      <c r="J901" s="430"/>
      <c r="K901" s="430"/>
      <c r="L901" s="430"/>
      <c r="M901" s="430"/>
      <c r="N901" s="430"/>
      <c r="O901" s="430"/>
      <c r="P901" s="430"/>
      <c r="Q901" s="430"/>
      <c r="R901" s="430"/>
      <c r="S901" s="430"/>
      <c r="T901" s="430"/>
      <c r="U901" s="430"/>
      <c r="V901" s="430"/>
      <c r="W901" s="430"/>
      <c r="X901" s="430"/>
      <c r="Y901" s="430"/>
      <c r="Z901" s="430"/>
      <c r="AA901" s="430"/>
      <c r="AB901" s="430"/>
      <c r="AC901" s="430"/>
      <c r="AD901" s="430"/>
      <c r="AE901" s="430"/>
      <c r="AF901" s="430"/>
      <c r="AG901" s="430"/>
      <c r="AH901" s="430"/>
      <c r="AI901" s="430"/>
      <c r="AJ901" s="430"/>
      <c r="AK901" s="430"/>
      <c r="AL901" s="430"/>
      <c r="AM901" s="430"/>
      <c r="AN901" s="430"/>
      <c r="AO901" s="430"/>
      <c r="AP901" s="430"/>
      <c r="AQ901" s="430"/>
      <c r="AR901" s="430"/>
      <c r="AS901" s="430"/>
      <c r="AT901" s="430"/>
      <c r="AU901" s="430"/>
      <c r="AV901" s="430"/>
      <c r="AW901" s="430"/>
      <c r="AX901" s="430"/>
      <c r="AY901" s="430"/>
      <c r="AZ901" s="430"/>
      <c r="BA901" s="430"/>
      <c r="BB901" s="430"/>
      <c r="BC901" s="430"/>
      <c r="BD901" s="430"/>
      <c r="BE901" s="430"/>
    </row>
    <row r="902" spans="1:57" ht="15.75" customHeight="1">
      <c r="A902" s="430"/>
      <c r="B902" s="430"/>
      <c r="C902" s="430"/>
      <c r="D902" s="430"/>
      <c r="E902" s="430"/>
      <c r="F902" s="430"/>
      <c r="G902" s="430"/>
      <c r="H902" s="430"/>
      <c r="I902" s="430"/>
      <c r="J902" s="430"/>
      <c r="K902" s="430"/>
      <c r="L902" s="430"/>
      <c r="M902" s="430"/>
      <c r="N902" s="430"/>
      <c r="O902" s="430"/>
      <c r="P902" s="430"/>
      <c r="Q902" s="430"/>
      <c r="R902" s="430"/>
      <c r="S902" s="430"/>
      <c r="T902" s="430"/>
      <c r="U902" s="430"/>
      <c r="V902" s="430"/>
      <c r="W902" s="430"/>
      <c r="X902" s="430"/>
      <c r="Y902" s="430"/>
      <c r="Z902" s="430"/>
      <c r="AA902" s="430"/>
      <c r="AB902" s="430"/>
      <c r="AC902" s="430"/>
      <c r="AD902" s="430"/>
      <c r="AE902" s="430"/>
      <c r="AF902" s="430"/>
      <c r="AG902" s="430"/>
      <c r="AH902" s="430"/>
      <c r="AI902" s="430"/>
      <c r="AJ902" s="430"/>
      <c r="AK902" s="430"/>
      <c r="AL902" s="430"/>
      <c r="AM902" s="430"/>
      <c r="AN902" s="430"/>
      <c r="AO902" s="430"/>
      <c r="AP902" s="430"/>
      <c r="AQ902" s="430"/>
      <c r="AR902" s="430"/>
      <c r="AS902" s="430"/>
      <c r="AT902" s="430"/>
      <c r="AU902" s="430"/>
      <c r="AV902" s="430"/>
      <c r="AW902" s="430"/>
      <c r="AX902" s="430"/>
      <c r="AY902" s="430"/>
      <c r="AZ902" s="430"/>
      <c r="BA902" s="430"/>
      <c r="BB902" s="430"/>
      <c r="BC902" s="430"/>
      <c r="BD902" s="430"/>
      <c r="BE902" s="430"/>
    </row>
    <row r="903" spans="1:57" ht="15.75" customHeight="1">
      <c r="A903" s="430"/>
      <c r="B903" s="430"/>
      <c r="C903" s="430"/>
      <c r="D903" s="430"/>
      <c r="E903" s="430"/>
      <c r="F903" s="430"/>
      <c r="G903" s="430"/>
      <c r="H903" s="430"/>
      <c r="I903" s="430"/>
      <c r="J903" s="430"/>
      <c r="K903" s="430"/>
      <c r="L903" s="430"/>
      <c r="M903" s="430"/>
      <c r="N903" s="430"/>
      <c r="O903" s="430"/>
      <c r="P903" s="430"/>
      <c r="Q903" s="430"/>
      <c r="R903" s="430"/>
      <c r="S903" s="430"/>
      <c r="T903" s="430"/>
      <c r="U903" s="430"/>
      <c r="V903" s="430"/>
      <c r="W903" s="430"/>
      <c r="X903" s="430"/>
      <c r="Y903" s="430"/>
      <c r="Z903" s="430"/>
      <c r="AA903" s="430"/>
      <c r="AB903" s="430"/>
      <c r="AC903" s="430"/>
      <c r="AD903" s="430"/>
      <c r="AE903" s="430"/>
      <c r="AF903" s="430"/>
      <c r="AG903" s="430"/>
      <c r="AH903" s="430"/>
      <c r="AI903" s="430"/>
      <c r="AJ903" s="430"/>
      <c r="AK903" s="430"/>
      <c r="AL903" s="430"/>
      <c r="AM903" s="430"/>
      <c r="AN903" s="430"/>
      <c r="AO903" s="430"/>
      <c r="AP903" s="430"/>
      <c r="AQ903" s="430"/>
      <c r="AR903" s="430"/>
      <c r="AS903" s="430"/>
      <c r="AT903" s="430"/>
      <c r="AU903" s="430"/>
      <c r="AV903" s="430"/>
      <c r="AW903" s="430"/>
      <c r="AX903" s="430"/>
      <c r="AY903" s="430"/>
      <c r="AZ903" s="430"/>
      <c r="BA903" s="430"/>
      <c r="BB903" s="430"/>
      <c r="BC903" s="430"/>
      <c r="BD903" s="430"/>
      <c r="BE903" s="430"/>
    </row>
    <row r="904" spans="1:57" ht="15.75" customHeight="1">
      <c r="A904" s="430"/>
      <c r="B904" s="430"/>
      <c r="C904" s="430"/>
      <c r="D904" s="430"/>
      <c r="E904" s="430"/>
      <c r="F904" s="430"/>
      <c r="G904" s="430"/>
      <c r="H904" s="430"/>
      <c r="I904" s="430"/>
      <c r="J904" s="430"/>
      <c r="K904" s="430"/>
      <c r="L904" s="430"/>
      <c r="M904" s="430"/>
      <c r="N904" s="430"/>
      <c r="O904" s="430"/>
      <c r="P904" s="430"/>
      <c r="Q904" s="430"/>
      <c r="R904" s="430"/>
      <c r="S904" s="430"/>
      <c r="T904" s="430"/>
      <c r="U904" s="430"/>
      <c r="V904" s="430"/>
      <c r="W904" s="430"/>
      <c r="X904" s="430"/>
      <c r="Y904" s="430"/>
      <c r="Z904" s="430"/>
      <c r="AA904" s="430"/>
      <c r="AB904" s="430"/>
      <c r="AC904" s="430"/>
      <c r="AD904" s="430"/>
      <c r="AE904" s="430"/>
      <c r="AF904" s="430"/>
      <c r="AG904" s="430"/>
      <c r="AH904" s="430"/>
      <c r="AI904" s="430"/>
      <c r="AJ904" s="430"/>
      <c r="AK904" s="430"/>
      <c r="AL904" s="430"/>
      <c r="AM904" s="430"/>
      <c r="AN904" s="430"/>
      <c r="AO904" s="430"/>
      <c r="AP904" s="430"/>
      <c r="AQ904" s="430"/>
      <c r="AR904" s="430"/>
      <c r="AS904" s="430"/>
      <c r="AT904" s="430"/>
      <c r="AU904" s="430"/>
      <c r="AV904" s="430"/>
      <c r="AW904" s="430"/>
      <c r="AX904" s="430"/>
      <c r="AY904" s="430"/>
      <c r="AZ904" s="430"/>
      <c r="BA904" s="430"/>
      <c r="BB904" s="430"/>
      <c r="BC904" s="430"/>
      <c r="BD904" s="430"/>
      <c r="BE904" s="430"/>
    </row>
    <row r="905" spans="1:57" ht="15.75" customHeight="1">
      <c r="A905" s="430"/>
      <c r="B905" s="430"/>
      <c r="C905" s="430"/>
      <c r="D905" s="430"/>
      <c r="E905" s="430"/>
      <c r="F905" s="430"/>
      <c r="G905" s="430"/>
      <c r="H905" s="430"/>
      <c r="I905" s="430"/>
      <c r="J905" s="430"/>
      <c r="K905" s="430"/>
      <c r="L905" s="430"/>
      <c r="M905" s="430"/>
      <c r="N905" s="430"/>
      <c r="O905" s="430"/>
      <c r="P905" s="430"/>
      <c r="Q905" s="430"/>
      <c r="R905" s="430"/>
      <c r="S905" s="430"/>
      <c r="T905" s="430"/>
      <c r="U905" s="430"/>
      <c r="V905" s="430"/>
      <c r="W905" s="430"/>
      <c r="X905" s="430"/>
      <c r="Y905" s="430"/>
      <c r="Z905" s="430"/>
      <c r="AA905" s="430"/>
      <c r="AB905" s="430"/>
      <c r="AC905" s="430"/>
      <c r="AD905" s="430"/>
      <c r="AE905" s="430"/>
      <c r="AF905" s="430"/>
      <c r="AG905" s="430"/>
      <c r="AH905" s="430"/>
      <c r="AI905" s="430"/>
      <c r="AJ905" s="430"/>
      <c r="AK905" s="430"/>
      <c r="AL905" s="430"/>
      <c r="AM905" s="430"/>
      <c r="AN905" s="430"/>
      <c r="AO905" s="430"/>
      <c r="AP905" s="430"/>
      <c r="AQ905" s="430"/>
      <c r="AR905" s="430"/>
      <c r="AS905" s="430"/>
      <c r="AT905" s="430"/>
      <c r="AU905" s="430"/>
      <c r="AV905" s="430"/>
      <c r="AW905" s="430"/>
      <c r="AX905" s="430"/>
      <c r="AY905" s="430"/>
      <c r="AZ905" s="430"/>
      <c r="BA905" s="430"/>
      <c r="BB905" s="430"/>
      <c r="BC905" s="430"/>
      <c r="BD905" s="430"/>
      <c r="BE905" s="430"/>
    </row>
    <row r="906" spans="1:57" ht="15.75" customHeight="1">
      <c r="A906" s="430"/>
      <c r="B906" s="430"/>
      <c r="C906" s="430"/>
      <c r="D906" s="430"/>
      <c r="E906" s="430"/>
      <c r="F906" s="430"/>
      <c r="G906" s="430"/>
      <c r="H906" s="430"/>
      <c r="I906" s="430"/>
      <c r="J906" s="430"/>
      <c r="K906" s="430"/>
      <c r="L906" s="430"/>
      <c r="M906" s="430"/>
      <c r="N906" s="430"/>
      <c r="O906" s="430"/>
      <c r="P906" s="430"/>
      <c r="Q906" s="430"/>
      <c r="R906" s="430"/>
      <c r="S906" s="430"/>
      <c r="T906" s="430"/>
      <c r="U906" s="430"/>
      <c r="V906" s="430"/>
      <c r="W906" s="430"/>
      <c r="X906" s="430"/>
      <c r="Y906" s="430"/>
      <c r="Z906" s="430"/>
      <c r="AA906" s="430"/>
      <c r="AB906" s="430"/>
      <c r="AC906" s="430"/>
      <c r="AD906" s="430"/>
      <c r="AE906" s="430"/>
      <c r="AF906" s="430"/>
      <c r="AG906" s="430"/>
      <c r="AH906" s="430"/>
      <c r="AI906" s="430"/>
      <c r="AJ906" s="430"/>
      <c r="AK906" s="430"/>
      <c r="AL906" s="430"/>
      <c r="AM906" s="430"/>
      <c r="AN906" s="430"/>
      <c r="AO906" s="430"/>
      <c r="AP906" s="430"/>
      <c r="AQ906" s="430"/>
      <c r="AR906" s="430"/>
      <c r="AS906" s="430"/>
      <c r="AT906" s="430"/>
      <c r="AU906" s="430"/>
      <c r="AV906" s="430"/>
      <c r="AW906" s="430"/>
      <c r="AX906" s="430"/>
      <c r="AY906" s="430"/>
      <c r="AZ906" s="430"/>
      <c r="BA906" s="430"/>
      <c r="BB906" s="430"/>
      <c r="BC906" s="430"/>
      <c r="BD906" s="430"/>
      <c r="BE906" s="430"/>
    </row>
    <row r="907" spans="1:57" ht="15.75" customHeight="1">
      <c r="A907" s="430"/>
      <c r="B907" s="430"/>
      <c r="C907" s="430"/>
      <c r="D907" s="430"/>
      <c r="E907" s="430"/>
      <c r="F907" s="430"/>
      <c r="G907" s="430"/>
      <c r="H907" s="430"/>
      <c r="I907" s="430"/>
      <c r="J907" s="430"/>
      <c r="K907" s="430"/>
      <c r="L907" s="430"/>
      <c r="M907" s="430"/>
      <c r="N907" s="430"/>
      <c r="O907" s="430"/>
      <c r="P907" s="430"/>
      <c r="Q907" s="430"/>
      <c r="R907" s="430"/>
      <c r="S907" s="430"/>
      <c r="T907" s="430"/>
      <c r="U907" s="430"/>
      <c r="V907" s="430"/>
      <c r="W907" s="430"/>
      <c r="X907" s="430"/>
      <c r="Y907" s="430"/>
      <c r="Z907" s="430"/>
      <c r="AA907" s="430"/>
      <c r="AB907" s="430"/>
      <c r="AC907" s="430"/>
      <c r="AD907" s="430"/>
      <c r="AE907" s="430"/>
      <c r="AF907" s="430"/>
      <c r="AG907" s="430"/>
      <c r="AH907" s="430"/>
      <c r="AI907" s="430"/>
      <c r="AJ907" s="430"/>
      <c r="AK907" s="430"/>
      <c r="AL907" s="430"/>
      <c r="AM907" s="430"/>
      <c r="AN907" s="430"/>
      <c r="AO907" s="430"/>
      <c r="AP907" s="430"/>
      <c r="AQ907" s="430"/>
      <c r="AR907" s="430"/>
      <c r="AS907" s="430"/>
      <c r="AT907" s="430"/>
      <c r="AU907" s="430"/>
      <c r="AV907" s="430"/>
      <c r="AW907" s="430"/>
      <c r="AX907" s="430"/>
      <c r="AY907" s="430"/>
      <c r="AZ907" s="430"/>
      <c r="BA907" s="430"/>
      <c r="BB907" s="430"/>
      <c r="BC907" s="430"/>
      <c r="BD907" s="430"/>
      <c r="BE907" s="430"/>
    </row>
    <row r="908" spans="1:57" ht="15.75" customHeight="1">
      <c r="A908" s="430"/>
      <c r="B908" s="430"/>
      <c r="C908" s="430"/>
      <c r="D908" s="430"/>
      <c r="E908" s="430"/>
      <c r="F908" s="430"/>
      <c r="G908" s="430"/>
      <c r="H908" s="430"/>
      <c r="I908" s="430"/>
      <c r="J908" s="430"/>
      <c r="K908" s="430"/>
      <c r="L908" s="430"/>
      <c r="M908" s="430"/>
      <c r="N908" s="430"/>
      <c r="O908" s="430"/>
      <c r="P908" s="430"/>
      <c r="Q908" s="430"/>
      <c r="R908" s="430"/>
      <c r="S908" s="430"/>
      <c r="T908" s="430"/>
      <c r="U908" s="430"/>
      <c r="V908" s="430"/>
      <c r="W908" s="430"/>
      <c r="X908" s="430"/>
      <c r="Y908" s="430"/>
      <c r="Z908" s="430"/>
      <c r="AA908" s="430"/>
      <c r="AB908" s="430"/>
      <c r="AC908" s="430"/>
      <c r="AD908" s="430"/>
      <c r="AE908" s="430"/>
      <c r="AF908" s="430"/>
      <c r="AG908" s="430"/>
      <c r="AH908" s="430"/>
      <c r="AI908" s="430"/>
      <c r="AJ908" s="430"/>
      <c r="AK908" s="430"/>
      <c r="AL908" s="430"/>
      <c r="AM908" s="430"/>
      <c r="AN908" s="430"/>
      <c r="AO908" s="430"/>
      <c r="AP908" s="430"/>
      <c r="AQ908" s="430"/>
      <c r="AR908" s="430"/>
      <c r="AS908" s="430"/>
      <c r="AT908" s="430"/>
      <c r="AU908" s="430"/>
      <c r="AV908" s="430"/>
      <c r="AW908" s="430"/>
      <c r="AX908" s="430"/>
      <c r="AY908" s="430"/>
      <c r="AZ908" s="430"/>
      <c r="BA908" s="430"/>
      <c r="BB908" s="430"/>
      <c r="BC908" s="430"/>
      <c r="BD908" s="430"/>
      <c r="BE908" s="430"/>
    </row>
    <row r="909" spans="1:57" ht="15.75" customHeight="1">
      <c r="A909" s="430"/>
      <c r="B909" s="430"/>
      <c r="C909" s="430"/>
      <c r="D909" s="430"/>
      <c r="E909" s="430"/>
      <c r="F909" s="430"/>
      <c r="G909" s="430"/>
      <c r="H909" s="430"/>
      <c r="I909" s="430"/>
      <c r="J909" s="430"/>
      <c r="K909" s="430"/>
      <c r="L909" s="430"/>
      <c r="M909" s="430"/>
      <c r="N909" s="430"/>
      <c r="O909" s="430"/>
      <c r="P909" s="430"/>
      <c r="Q909" s="430"/>
      <c r="R909" s="430"/>
      <c r="S909" s="430"/>
      <c r="T909" s="430"/>
      <c r="U909" s="430"/>
      <c r="V909" s="430"/>
      <c r="W909" s="430"/>
      <c r="X909" s="430"/>
      <c r="Y909" s="430"/>
      <c r="Z909" s="430"/>
      <c r="AA909" s="430"/>
      <c r="AB909" s="430"/>
      <c r="AC909" s="430"/>
      <c r="AD909" s="430"/>
      <c r="AE909" s="430"/>
      <c r="AF909" s="430"/>
      <c r="AG909" s="430"/>
      <c r="AH909" s="430"/>
      <c r="AI909" s="430"/>
      <c r="AJ909" s="430"/>
      <c r="AK909" s="430"/>
      <c r="AL909" s="430"/>
      <c r="AM909" s="430"/>
      <c r="AN909" s="430"/>
      <c r="AO909" s="430"/>
      <c r="AP909" s="430"/>
      <c r="AQ909" s="430"/>
      <c r="AR909" s="430"/>
      <c r="AS909" s="430"/>
      <c r="AT909" s="430"/>
      <c r="AU909" s="430"/>
      <c r="AV909" s="430"/>
      <c r="AW909" s="430"/>
      <c r="AX909" s="430"/>
      <c r="AY909" s="430"/>
      <c r="AZ909" s="430"/>
      <c r="BA909" s="430"/>
      <c r="BB909" s="430"/>
      <c r="BC909" s="430"/>
      <c r="BD909" s="430"/>
      <c r="BE909" s="430"/>
    </row>
    <row r="910" spans="1:57" ht="15.75" customHeight="1">
      <c r="A910" s="430"/>
      <c r="B910" s="430"/>
      <c r="C910" s="430"/>
      <c r="D910" s="430"/>
      <c r="E910" s="430"/>
      <c r="F910" s="430"/>
      <c r="G910" s="430"/>
      <c r="H910" s="430"/>
      <c r="I910" s="430"/>
      <c r="J910" s="430"/>
      <c r="K910" s="430"/>
      <c r="L910" s="430"/>
      <c r="M910" s="430"/>
      <c r="N910" s="430"/>
      <c r="O910" s="430"/>
      <c r="P910" s="430"/>
      <c r="Q910" s="430"/>
      <c r="R910" s="430"/>
      <c r="S910" s="430"/>
      <c r="T910" s="430"/>
      <c r="U910" s="430"/>
      <c r="V910" s="430"/>
      <c r="W910" s="430"/>
      <c r="X910" s="430"/>
      <c r="Y910" s="430"/>
      <c r="Z910" s="430"/>
      <c r="AA910" s="430"/>
      <c r="AB910" s="430"/>
      <c r="AC910" s="430"/>
      <c r="AD910" s="430"/>
      <c r="AE910" s="430"/>
      <c r="AF910" s="430"/>
      <c r="AG910" s="430"/>
      <c r="AH910" s="430"/>
      <c r="AI910" s="430"/>
      <c r="AJ910" s="430"/>
      <c r="AK910" s="430"/>
      <c r="AL910" s="430"/>
      <c r="AM910" s="430"/>
      <c r="AN910" s="430"/>
      <c r="AO910" s="430"/>
      <c r="AP910" s="430"/>
      <c r="AQ910" s="430"/>
      <c r="AR910" s="430"/>
      <c r="AS910" s="430"/>
      <c r="AT910" s="430"/>
      <c r="AU910" s="430"/>
      <c r="AV910" s="430"/>
      <c r="AW910" s="430"/>
      <c r="AX910" s="430"/>
      <c r="AY910" s="430"/>
      <c r="AZ910" s="430"/>
      <c r="BA910" s="430"/>
      <c r="BB910" s="430"/>
      <c r="BC910" s="430"/>
      <c r="BD910" s="430"/>
      <c r="BE910" s="430"/>
    </row>
    <row r="911" spans="1:57" ht="15.75" customHeight="1">
      <c r="A911" s="430"/>
      <c r="B911" s="430"/>
      <c r="C911" s="430"/>
      <c r="D911" s="430"/>
      <c r="E911" s="430"/>
      <c r="F911" s="430"/>
      <c r="G911" s="430"/>
      <c r="H911" s="430"/>
      <c r="I911" s="430"/>
      <c r="J911" s="430"/>
      <c r="K911" s="430"/>
      <c r="L911" s="430"/>
      <c r="M911" s="430"/>
      <c r="N911" s="430"/>
      <c r="O911" s="430"/>
      <c r="P911" s="430"/>
      <c r="Q911" s="430"/>
      <c r="R911" s="430"/>
      <c r="S911" s="430"/>
      <c r="T911" s="430"/>
      <c r="U911" s="430"/>
      <c r="V911" s="430"/>
      <c r="W911" s="430"/>
      <c r="X911" s="430"/>
      <c r="Y911" s="430"/>
      <c r="Z911" s="430"/>
      <c r="AA911" s="430"/>
      <c r="AB911" s="430"/>
      <c r="AC911" s="430"/>
      <c r="AD911" s="430"/>
      <c r="AE911" s="430"/>
      <c r="AF911" s="430"/>
      <c r="AG911" s="430"/>
      <c r="AH911" s="430"/>
      <c r="AI911" s="430"/>
      <c r="AJ911" s="430"/>
      <c r="AK911" s="430"/>
      <c r="AL911" s="430"/>
      <c r="AM911" s="430"/>
      <c r="AN911" s="430"/>
      <c r="AO911" s="430"/>
      <c r="AP911" s="430"/>
      <c r="AQ911" s="430"/>
      <c r="AR911" s="430"/>
      <c r="AS911" s="430"/>
      <c r="AT911" s="430"/>
      <c r="AU911" s="430"/>
      <c r="AV911" s="430"/>
      <c r="AW911" s="430"/>
      <c r="AX911" s="430"/>
      <c r="AY911" s="430"/>
      <c r="AZ911" s="430"/>
      <c r="BA911" s="430"/>
      <c r="BB911" s="430"/>
      <c r="BC911" s="430"/>
      <c r="BD911" s="430"/>
      <c r="BE911" s="430"/>
    </row>
    <row r="912" spans="1:57" ht="15.75" customHeight="1">
      <c r="A912" s="430"/>
      <c r="B912" s="430"/>
      <c r="C912" s="430"/>
      <c r="D912" s="430"/>
      <c r="E912" s="430"/>
      <c r="F912" s="430"/>
      <c r="G912" s="430"/>
      <c r="H912" s="430"/>
      <c r="I912" s="430"/>
      <c r="J912" s="430"/>
      <c r="K912" s="430"/>
      <c r="L912" s="430"/>
      <c r="M912" s="430"/>
      <c r="N912" s="430"/>
      <c r="O912" s="430"/>
      <c r="P912" s="430"/>
      <c r="Q912" s="430"/>
      <c r="R912" s="430"/>
      <c r="S912" s="430"/>
      <c r="T912" s="430"/>
      <c r="U912" s="430"/>
      <c r="V912" s="430"/>
      <c r="W912" s="430"/>
      <c r="X912" s="430"/>
      <c r="Y912" s="430"/>
      <c r="Z912" s="430"/>
      <c r="AA912" s="430"/>
      <c r="AB912" s="430"/>
      <c r="AC912" s="430"/>
      <c r="AD912" s="430"/>
      <c r="AE912" s="430"/>
      <c r="AF912" s="430"/>
      <c r="AG912" s="430"/>
      <c r="AH912" s="430"/>
      <c r="AI912" s="430"/>
      <c r="AJ912" s="430"/>
      <c r="AK912" s="430"/>
      <c r="AL912" s="430"/>
      <c r="AM912" s="430"/>
      <c r="AN912" s="430"/>
      <c r="AO912" s="430"/>
      <c r="AP912" s="430"/>
      <c r="AQ912" s="430"/>
      <c r="AR912" s="430"/>
      <c r="AS912" s="430"/>
      <c r="AT912" s="430"/>
      <c r="AU912" s="430"/>
      <c r="AV912" s="430"/>
      <c r="AW912" s="430"/>
      <c r="AX912" s="430"/>
      <c r="AY912" s="430"/>
      <c r="AZ912" s="430"/>
      <c r="BA912" s="430"/>
      <c r="BB912" s="430"/>
      <c r="BC912" s="430"/>
      <c r="BD912" s="430"/>
      <c r="BE912" s="430"/>
    </row>
    <row r="913" spans="1:57" ht="15.75" customHeight="1">
      <c r="A913" s="430"/>
      <c r="B913" s="430"/>
      <c r="C913" s="430"/>
      <c r="D913" s="430"/>
      <c r="E913" s="430"/>
      <c r="F913" s="430"/>
      <c r="G913" s="430"/>
      <c r="H913" s="430"/>
      <c r="I913" s="430"/>
      <c r="J913" s="430"/>
      <c r="K913" s="430"/>
      <c r="L913" s="430"/>
      <c r="M913" s="430"/>
      <c r="N913" s="430"/>
      <c r="O913" s="430"/>
      <c r="P913" s="430"/>
      <c r="Q913" s="430"/>
      <c r="R913" s="430"/>
      <c r="S913" s="430"/>
      <c r="T913" s="430"/>
      <c r="U913" s="430"/>
      <c r="V913" s="430"/>
      <c r="W913" s="430"/>
      <c r="X913" s="430"/>
      <c r="Y913" s="430"/>
      <c r="Z913" s="430"/>
      <c r="AA913" s="430"/>
      <c r="AB913" s="430"/>
      <c r="AC913" s="430"/>
      <c r="AD913" s="430"/>
      <c r="AE913" s="430"/>
      <c r="AF913" s="430"/>
      <c r="AG913" s="430"/>
      <c r="AH913" s="430"/>
      <c r="AI913" s="430"/>
      <c r="AJ913" s="430"/>
      <c r="AK913" s="430"/>
      <c r="AL913" s="430"/>
      <c r="AM913" s="430"/>
      <c r="AN913" s="430"/>
      <c r="AO913" s="430"/>
      <c r="AP913" s="430"/>
      <c r="AQ913" s="430"/>
      <c r="AR913" s="430"/>
      <c r="AS913" s="430"/>
      <c r="AT913" s="430"/>
      <c r="AU913" s="430"/>
      <c r="AV913" s="430"/>
      <c r="AW913" s="430"/>
      <c r="AX913" s="430"/>
      <c r="AY913" s="430"/>
      <c r="AZ913" s="430"/>
      <c r="BA913" s="430"/>
      <c r="BB913" s="430"/>
      <c r="BC913" s="430"/>
      <c r="BD913" s="430"/>
      <c r="BE913" s="430"/>
    </row>
    <row r="914" spans="1:57" ht="15.75" customHeight="1">
      <c r="A914" s="430"/>
      <c r="B914" s="430"/>
      <c r="C914" s="430"/>
      <c r="D914" s="430"/>
      <c r="E914" s="430"/>
      <c r="F914" s="430"/>
      <c r="G914" s="430"/>
      <c r="H914" s="430"/>
      <c r="I914" s="430"/>
      <c r="J914" s="430"/>
      <c r="K914" s="430"/>
      <c r="L914" s="430"/>
      <c r="M914" s="430"/>
      <c r="N914" s="430"/>
      <c r="O914" s="430"/>
      <c r="P914" s="430"/>
      <c r="Q914" s="430"/>
      <c r="R914" s="430"/>
      <c r="S914" s="430"/>
      <c r="T914" s="430"/>
      <c r="U914" s="430"/>
      <c r="V914" s="430"/>
      <c r="W914" s="430"/>
      <c r="X914" s="430"/>
      <c r="Y914" s="430"/>
      <c r="Z914" s="430"/>
      <c r="AA914" s="430"/>
      <c r="AB914" s="430"/>
      <c r="AC914" s="430"/>
      <c r="AD914" s="430"/>
      <c r="AE914" s="430"/>
      <c r="AF914" s="430"/>
      <c r="AG914" s="430"/>
      <c r="AH914" s="430"/>
      <c r="AI914" s="430"/>
      <c r="AJ914" s="430"/>
      <c r="AK914" s="430"/>
      <c r="AL914" s="430"/>
      <c r="AM914" s="430"/>
      <c r="AN914" s="430"/>
      <c r="AO914" s="430"/>
      <c r="AP914" s="430"/>
      <c r="AQ914" s="430"/>
      <c r="AR914" s="430"/>
      <c r="AS914" s="430"/>
      <c r="AT914" s="430"/>
      <c r="AU914" s="430"/>
      <c r="AV914" s="430"/>
      <c r="AW914" s="430"/>
      <c r="AX914" s="430"/>
      <c r="AY914" s="430"/>
      <c r="AZ914" s="430"/>
      <c r="BA914" s="430"/>
      <c r="BB914" s="430"/>
      <c r="BC914" s="430"/>
      <c r="BD914" s="430"/>
      <c r="BE914" s="430"/>
    </row>
    <row r="915" spans="1:57" ht="15.75" customHeight="1">
      <c r="A915" s="430"/>
      <c r="B915" s="430"/>
      <c r="C915" s="430"/>
      <c r="D915" s="430"/>
      <c r="E915" s="430"/>
      <c r="F915" s="430"/>
      <c r="G915" s="430"/>
      <c r="H915" s="430"/>
      <c r="I915" s="430"/>
      <c r="J915" s="430"/>
      <c r="K915" s="430"/>
      <c r="L915" s="430"/>
      <c r="M915" s="430"/>
      <c r="N915" s="430"/>
      <c r="O915" s="430"/>
      <c r="P915" s="430"/>
      <c r="Q915" s="430"/>
      <c r="R915" s="430"/>
      <c r="S915" s="430"/>
      <c r="T915" s="430"/>
      <c r="U915" s="430"/>
      <c r="V915" s="430"/>
      <c r="W915" s="430"/>
      <c r="X915" s="430"/>
      <c r="Y915" s="430"/>
      <c r="Z915" s="430"/>
      <c r="AA915" s="430"/>
      <c r="AB915" s="430"/>
      <c r="AC915" s="430"/>
      <c r="AD915" s="430"/>
      <c r="AE915" s="430"/>
      <c r="AF915" s="430"/>
      <c r="AG915" s="430"/>
      <c r="AH915" s="430"/>
      <c r="AI915" s="430"/>
      <c r="AJ915" s="430"/>
      <c r="AK915" s="430"/>
      <c r="AL915" s="430"/>
      <c r="AM915" s="430"/>
      <c r="AN915" s="430"/>
      <c r="AO915" s="430"/>
      <c r="AP915" s="430"/>
      <c r="AQ915" s="430"/>
      <c r="AR915" s="430"/>
      <c r="AS915" s="430"/>
      <c r="AT915" s="430"/>
      <c r="AU915" s="430"/>
      <c r="AV915" s="430"/>
      <c r="AW915" s="430"/>
      <c r="AX915" s="430"/>
      <c r="AY915" s="430"/>
      <c r="AZ915" s="430"/>
      <c r="BA915" s="430"/>
      <c r="BB915" s="430"/>
      <c r="BC915" s="430"/>
      <c r="BD915" s="430"/>
      <c r="BE915" s="430"/>
    </row>
    <row r="916" spans="1:57" ht="15.75" customHeight="1">
      <c r="A916" s="430"/>
      <c r="B916" s="430"/>
      <c r="C916" s="430"/>
      <c r="D916" s="430"/>
      <c r="E916" s="430"/>
      <c r="F916" s="430"/>
      <c r="G916" s="430"/>
      <c r="H916" s="430"/>
      <c r="I916" s="430"/>
      <c r="J916" s="430"/>
      <c r="K916" s="430"/>
      <c r="L916" s="430"/>
      <c r="M916" s="430"/>
      <c r="N916" s="430"/>
      <c r="O916" s="430"/>
      <c r="P916" s="430"/>
      <c r="Q916" s="430"/>
      <c r="R916" s="430"/>
      <c r="S916" s="430"/>
      <c r="T916" s="430"/>
      <c r="U916" s="430"/>
      <c r="V916" s="430"/>
      <c r="W916" s="430"/>
      <c r="X916" s="430"/>
      <c r="Y916" s="430"/>
      <c r="Z916" s="430"/>
      <c r="AA916" s="430"/>
      <c r="AB916" s="430"/>
      <c r="AC916" s="430"/>
      <c r="AD916" s="430"/>
      <c r="AE916" s="430"/>
      <c r="AF916" s="430"/>
      <c r="AG916" s="430"/>
      <c r="AH916" s="430"/>
      <c r="AI916" s="430"/>
      <c r="AJ916" s="430"/>
      <c r="AK916" s="430"/>
      <c r="AL916" s="430"/>
      <c r="AM916" s="430"/>
      <c r="AN916" s="430"/>
      <c r="AO916" s="430"/>
      <c r="AP916" s="430"/>
      <c r="AQ916" s="430"/>
      <c r="AR916" s="430"/>
      <c r="AS916" s="430"/>
      <c r="AT916" s="430"/>
      <c r="AU916" s="430"/>
      <c r="AV916" s="430"/>
      <c r="AW916" s="430"/>
      <c r="AX916" s="430"/>
      <c r="AY916" s="430"/>
      <c r="AZ916" s="430"/>
      <c r="BA916" s="430"/>
      <c r="BB916" s="430"/>
      <c r="BC916" s="430"/>
      <c r="BD916" s="430"/>
      <c r="BE916" s="430"/>
    </row>
    <row r="917" spans="1:57" ht="15.75" customHeight="1">
      <c r="A917" s="430"/>
      <c r="B917" s="430"/>
      <c r="C917" s="430"/>
      <c r="D917" s="430"/>
      <c r="E917" s="430"/>
      <c r="F917" s="430"/>
      <c r="G917" s="430"/>
      <c r="H917" s="430"/>
      <c r="I917" s="430"/>
      <c r="J917" s="430"/>
      <c r="K917" s="430"/>
      <c r="L917" s="430"/>
      <c r="M917" s="430"/>
      <c r="N917" s="430"/>
      <c r="O917" s="430"/>
      <c r="P917" s="430"/>
      <c r="Q917" s="430"/>
      <c r="R917" s="430"/>
      <c r="S917" s="430"/>
      <c r="T917" s="430"/>
      <c r="U917" s="430"/>
      <c r="V917" s="430"/>
      <c r="W917" s="430"/>
      <c r="X917" s="430"/>
      <c r="Y917" s="430"/>
      <c r="Z917" s="430"/>
      <c r="AA917" s="430"/>
      <c r="AB917" s="430"/>
      <c r="AC917" s="430"/>
      <c r="AD917" s="430"/>
      <c r="AE917" s="430"/>
      <c r="AF917" s="430"/>
      <c r="AG917" s="430"/>
      <c r="AH917" s="430"/>
      <c r="AI917" s="430"/>
      <c r="AJ917" s="430"/>
      <c r="AK917" s="430"/>
      <c r="AL917" s="430"/>
      <c r="AM917" s="430"/>
      <c r="AN917" s="430"/>
      <c r="AO917" s="430"/>
      <c r="AP917" s="430"/>
      <c r="AQ917" s="430"/>
      <c r="AR917" s="430"/>
      <c r="AS917" s="430"/>
      <c r="AT917" s="430"/>
      <c r="AU917" s="430"/>
      <c r="AV917" s="430"/>
      <c r="AW917" s="430"/>
      <c r="AX917" s="430"/>
      <c r="AY917" s="430"/>
      <c r="AZ917" s="430"/>
      <c r="BA917" s="430"/>
      <c r="BB917" s="430"/>
      <c r="BC917" s="430"/>
      <c r="BD917" s="430"/>
      <c r="BE917" s="430"/>
    </row>
    <row r="918" spans="1:57" ht="15.75" customHeight="1">
      <c r="A918" s="430"/>
      <c r="B918" s="430"/>
      <c r="C918" s="430"/>
      <c r="D918" s="430"/>
      <c r="E918" s="430"/>
      <c r="F918" s="430"/>
      <c r="G918" s="430"/>
      <c r="H918" s="430"/>
      <c r="I918" s="430"/>
      <c r="J918" s="430"/>
      <c r="K918" s="430"/>
      <c r="L918" s="430"/>
      <c r="M918" s="430"/>
      <c r="N918" s="430"/>
      <c r="O918" s="430"/>
      <c r="P918" s="430"/>
      <c r="Q918" s="430"/>
      <c r="R918" s="430"/>
      <c r="S918" s="430"/>
      <c r="T918" s="430"/>
      <c r="U918" s="430"/>
      <c r="V918" s="430"/>
      <c r="W918" s="430"/>
      <c r="X918" s="430"/>
      <c r="Y918" s="430"/>
      <c r="Z918" s="430"/>
      <c r="AA918" s="430"/>
      <c r="AB918" s="430"/>
      <c r="AC918" s="430"/>
      <c r="AD918" s="430"/>
      <c r="AE918" s="430"/>
      <c r="AF918" s="430"/>
      <c r="AG918" s="430"/>
      <c r="AH918" s="430"/>
      <c r="AI918" s="430"/>
      <c r="AJ918" s="430"/>
      <c r="AK918" s="430"/>
      <c r="AL918" s="430"/>
      <c r="AM918" s="430"/>
      <c r="AN918" s="430"/>
      <c r="AO918" s="430"/>
      <c r="AP918" s="430"/>
      <c r="AQ918" s="430"/>
      <c r="AR918" s="430"/>
      <c r="AS918" s="430"/>
      <c r="AT918" s="430"/>
      <c r="AU918" s="430"/>
      <c r="AV918" s="430"/>
      <c r="AW918" s="430"/>
      <c r="AX918" s="430"/>
      <c r="AY918" s="430"/>
      <c r="AZ918" s="430"/>
      <c r="BA918" s="430"/>
      <c r="BB918" s="430"/>
      <c r="BC918" s="430"/>
      <c r="BD918" s="430"/>
      <c r="BE918" s="430"/>
    </row>
    <row r="919" spans="1:57" ht="15.75" customHeight="1">
      <c r="A919" s="430"/>
      <c r="B919" s="430"/>
      <c r="C919" s="430"/>
      <c r="D919" s="430"/>
      <c r="E919" s="430"/>
      <c r="F919" s="430"/>
      <c r="G919" s="430"/>
      <c r="H919" s="430"/>
      <c r="I919" s="430"/>
      <c r="J919" s="430"/>
      <c r="K919" s="430"/>
      <c r="L919" s="430"/>
      <c r="M919" s="430"/>
      <c r="N919" s="430"/>
      <c r="O919" s="430"/>
      <c r="P919" s="430"/>
      <c r="Q919" s="430"/>
      <c r="R919" s="430"/>
      <c r="S919" s="430"/>
      <c r="T919" s="430"/>
      <c r="U919" s="430"/>
      <c r="V919" s="430"/>
      <c r="W919" s="430"/>
      <c r="X919" s="430"/>
      <c r="Y919" s="430"/>
      <c r="Z919" s="430"/>
      <c r="AA919" s="430"/>
      <c r="AB919" s="430"/>
      <c r="AC919" s="430"/>
      <c r="AD919" s="430"/>
      <c r="AE919" s="430"/>
      <c r="AF919" s="430"/>
      <c r="AG919" s="430"/>
      <c r="AH919" s="430"/>
      <c r="AI919" s="430"/>
      <c r="AJ919" s="430"/>
      <c r="AK919" s="430"/>
      <c r="AL919" s="430"/>
      <c r="AM919" s="430"/>
      <c r="AN919" s="430"/>
      <c r="AO919" s="430"/>
      <c r="AP919" s="430"/>
      <c r="AQ919" s="430"/>
      <c r="AR919" s="430"/>
      <c r="AS919" s="430"/>
      <c r="AT919" s="430"/>
      <c r="AU919" s="430"/>
      <c r="AV919" s="430"/>
      <c r="AW919" s="430"/>
      <c r="AX919" s="430"/>
      <c r="AY919" s="430"/>
      <c r="AZ919" s="430"/>
      <c r="BA919" s="430"/>
      <c r="BB919" s="430"/>
      <c r="BC919" s="430"/>
      <c r="BD919" s="430"/>
      <c r="BE919" s="430"/>
    </row>
    <row r="920" spans="1:57" ht="15.75" customHeight="1">
      <c r="A920" s="430"/>
      <c r="B920" s="430"/>
      <c r="C920" s="430"/>
      <c r="D920" s="430"/>
      <c r="E920" s="430"/>
      <c r="F920" s="430"/>
      <c r="G920" s="430"/>
      <c r="H920" s="430"/>
      <c r="I920" s="430"/>
      <c r="J920" s="430"/>
      <c r="K920" s="430"/>
      <c r="L920" s="430"/>
      <c r="M920" s="430"/>
      <c r="N920" s="430"/>
      <c r="O920" s="430"/>
      <c r="P920" s="430"/>
      <c r="Q920" s="430"/>
      <c r="R920" s="430"/>
      <c r="S920" s="430"/>
      <c r="T920" s="430"/>
      <c r="U920" s="430"/>
      <c r="V920" s="430"/>
      <c r="W920" s="430"/>
      <c r="X920" s="430"/>
      <c r="Y920" s="430"/>
      <c r="Z920" s="430"/>
      <c r="AA920" s="430"/>
      <c r="AB920" s="430"/>
      <c r="AC920" s="430"/>
      <c r="AD920" s="430"/>
      <c r="AE920" s="430"/>
      <c r="AF920" s="430"/>
      <c r="AG920" s="430"/>
      <c r="AH920" s="430"/>
      <c r="AI920" s="430"/>
      <c r="AJ920" s="430"/>
      <c r="AK920" s="430"/>
      <c r="AL920" s="430"/>
      <c r="AM920" s="430"/>
      <c r="AN920" s="430"/>
      <c r="AO920" s="430"/>
      <c r="AP920" s="430"/>
      <c r="AQ920" s="430"/>
      <c r="AR920" s="430"/>
      <c r="AS920" s="430"/>
      <c r="AT920" s="430"/>
      <c r="AU920" s="430"/>
      <c r="AV920" s="430"/>
      <c r="AW920" s="430"/>
      <c r="AX920" s="430"/>
      <c r="AY920" s="430"/>
      <c r="AZ920" s="430"/>
      <c r="BA920" s="430"/>
      <c r="BB920" s="430"/>
      <c r="BC920" s="430"/>
      <c r="BD920" s="430"/>
      <c r="BE920" s="430"/>
    </row>
    <row r="921" spans="1:57" ht="15.75" customHeight="1">
      <c r="A921" s="430"/>
      <c r="B921" s="430"/>
      <c r="C921" s="430"/>
      <c r="D921" s="430"/>
      <c r="E921" s="430"/>
      <c r="F921" s="430"/>
      <c r="G921" s="430"/>
      <c r="H921" s="430"/>
      <c r="I921" s="430"/>
      <c r="J921" s="430"/>
      <c r="K921" s="430"/>
      <c r="L921" s="430"/>
      <c r="M921" s="430"/>
      <c r="N921" s="430"/>
      <c r="O921" s="430"/>
      <c r="P921" s="430"/>
      <c r="Q921" s="430"/>
      <c r="R921" s="430"/>
      <c r="S921" s="430"/>
      <c r="T921" s="430"/>
      <c r="U921" s="430"/>
      <c r="V921" s="430"/>
      <c r="W921" s="430"/>
      <c r="X921" s="430"/>
      <c r="Y921" s="430"/>
      <c r="Z921" s="430"/>
      <c r="AA921" s="430"/>
      <c r="AB921" s="430"/>
      <c r="AC921" s="430"/>
      <c r="AD921" s="430"/>
      <c r="AE921" s="430"/>
      <c r="AF921" s="430"/>
      <c r="AG921" s="430"/>
      <c r="AH921" s="430"/>
      <c r="AI921" s="430"/>
      <c r="AJ921" s="430"/>
      <c r="AK921" s="430"/>
      <c r="AL921" s="430"/>
      <c r="AM921" s="430"/>
      <c r="AN921" s="430"/>
      <c r="AO921" s="430"/>
      <c r="AP921" s="430"/>
      <c r="AQ921" s="430"/>
      <c r="AR921" s="430"/>
      <c r="AS921" s="430"/>
      <c r="AT921" s="430"/>
      <c r="AU921" s="430"/>
      <c r="AV921" s="430"/>
      <c r="AW921" s="430"/>
      <c r="AX921" s="430"/>
      <c r="AY921" s="430"/>
      <c r="AZ921" s="430"/>
      <c r="BA921" s="430"/>
      <c r="BB921" s="430"/>
      <c r="BC921" s="430"/>
      <c r="BD921" s="430"/>
      <c r="BE921" s="430"/>
    </row>
    <row r="922" spans="1:57" ht="15.75" customHeight="1">
      <c r="A922" s="430"/>
      <c r="B922" s="430"/>
      <c r="C922" s="430"/>
      <c r="D922" s="430"/>
      <c r="E922" s="430"/>
      <c r="F922" s="430"/>
      <c r="G922" s="430"/>
      <c r="H922" s="430"/>
      <c r="I922" s="430"/>
      <c r="J922" s="430"/>
      <c r="K922" s="430"/>
      <c r="L922" s="430"/>
      <c r="M922" s="430"/>
      <c r="N922" s="430"/>
      <c r="O922" s="430"/>
      <c r="P922" s="430"/>
      <c r="Q922" s="430"/>
      <c r="R922" s="430"/>
      <c r="S922" s="430"/>
      <c r="T922" s="430"/>
      <c r="U922" s="430"/>
      <c r="V922" s="430"/>
      <c r="W922" s="430"/>
      <c r="X922" s="430"/>
      <c r="Y922" s="430"/>
      <c r="Z922" s="430"/>
      <c r="AA922" s="430"/>
      <c r="AB922" s="430"/>
      <c r="AC922" s="430"/>
      <c r="AD922" s="430"/>
      <c r="AE922" s="430"/>
      <c r="AF922" s="430"/>
      <c r="AG922" s="430"/>
      <c r="AH922" s="430"/>
      <c r="AI922" s="430"/>
      <c r="AJ922" s="430"/>
      <c r="AK922" s="430"/>
      <c r="AL922" s="430"/>
      <c r="AM922" s="430"/>
      <c r="AN922" s="430"/>
      <c r="AO922" s="430"/>
      <c r="AP922" s="430"/>
      <c r="AQ922" s="430"/>
      <c r="AR922" s="430"/>
      <c r="AS922" s="430"/>
      <c r="AT922" s="430"/>
      <c r="AU922" s="430"/>
      <c r="AV922" s="430"/>
      <c r="AW922" s="430"/>
      <c r="AX922" s="430"/>
      <c r="AY922" s="430"/>
      <c r="AZ922" s="430"/>
      <c r="BA922" s="430"/>
      <c r="BB922" s="430"/>
      <c r="BC922" s="430"/>
      <c r="BD922" s="430"/>
      <c r="BE922" s="430"/>
    </row>
    <row r="923" spans="1:57" ht="15.75" customHeight="1">
      <c r="A923" s="430"/>
      <c r="B923" s="430"/>
      <c r="C923" s="430"/>
      <c r="D923" s="430"/>
      <c r="E923" s="430"/>
      <c r="F923" s="430"/>
      <c r="G923" s="430"/>
      <c r="H923" s="430"/>
      <c r="I923" s="430"/>
      <c r="J923" s="430"/>
      <c r="K923" s="430"/>
      <c r="L923" s="430"/>
      <c r="M923" s="430"/>
      <c r="N923" s="430"/>
      <c r="O923" s="430"/>
      <c r="P923" s="430"/>
      <c r="Q923" s="430"/>
      <c r="R923" s="430"/>
      <c r="S923" s="430"/>
      <c r="T923" s="430"/>
      <c r="U923" s="430"/>
      <c r="V923" s="430"/>
      <c r="W923" s="430"/>
      <c r="X923" s="430"/>
      <c r="Y923" s="430"/>
      <c r="Z923" s="430"/>
      <c r="AA923" s="430"/>
      <c r="AB923" s="430"/>
      <c r="AC923" s="430"/>
      <c r="AD923" s="430"/>
      <c r="AE923" s="430"/>
      <c r="AF923" s="430"/>
      <c r="AG923" s="430"/>
      <c r="AH923" s="430"/>
      <c r="AI923" s="430"/>
      <c r="AJ923" s="430"/>
      <c r="AK923" s="430"/>
      <c r="AL923" s="430"/>
      <c r="AM923" s="430"/>
      <c r="AN923" s="430"/>
      <c r="AO923" s="430"/>
      <c r="AP923" s="430"/>
      <c r="AQ923" s="430"/>
      <c r="AR923" s="430"/>
      <c r="AS923" s="430"/>
      <c r="AT923" s="430"/>
      <c r="AU923" s="430"/>
      <c r="AV923" s="430"/>
      <c r="AW923" s="430"/>
      <c r="AX923" s="430"/>
      <c r="AY923" s="430"/>
      <c r="AZ923" s="430"/>
      <c r="BA923" s="430"/>
      <c r="BB923" s="430"/>
      <c r="BC923" s="430"/>
      <c r="BD923" s="430"/>
      <c r="BE923" s="430"/>
    </row>
    <row r="924" spans="1:57" ht="15.75" customHeight="1">
      <c r="A924" s="430"/>
      <c r="B924" s="430"/>
      <c r="C924" s="430"/>
      <c r="D924" s="430"/>
      <c r="E924" s="430"/>
      <c r="F924" s="430"/>
      <c r="G924" s="430"/>
      <c r="H924" s="430"/>
      <c r="I924" s="430"/>
      <c r="J924" s="430"/>
      <c r="K924" s="430"/>
      <c r="L924" s="430"/>
      <c r="M924" s="430"/>
      <c r="N924" s="430"/>
      <c r="O924" s="430"/>
      <c r="P924" s="430"/>
      <c r="Q924" s="430"/>
      <c r="R924" s="430"/>
      <c r="S924" s="430"/>
      <c r="T924" s="430"/>
      <c r="U924" s="430"/>
      <c r="V924" s="430"/>
      <c r="W924" s="430"/>
      <c r="X924" s="430"/>
      <c r="Y924" s="430"/>
      <c r="Z924" s="430"/>
      <c r="AA924" s="430"/>
      <c r="AB924" s="430"/>
      <c r="AC924" s="430"/>
      <c r="AD924" s="430"/>
      <c r="AE924" s="430"/>
      <c r="AF924" s="430"/>
      <c r="AG924" s="430"/>
      <c r="AH924" s="430"/>
      <c r="AI924" s="430"/>
      <c r="AJ924" s="430"/>
      <c r="AK924" s="430"/>
      <c r="AL924" s="430"/>
      <c r="AM924" s="430"/>
      <c r="AN924" s="430"/>
      <c r="AO924" s="430"/>
      <c r="AP924" s="430"/>
      <c r="AQ924" s="430"/>
      <c r="AR924" s="430"/>
      <c r="AS924" s="430"/>
      <c r="AT924" s="430"/>
      <c r="AU924" s="430"/>
      <c r="AV924" s="430"/>
      <c r="AW924" s="430"/>
      <c r="AX924" s="430"/>
      <c r="AY924" s="430"/>
      <c r="AZ924" s="430"/>
      <c r="BA924" s="430"/>
      <c r="BB924" s="430"/>
      <c r="BC924" s="430"/>
      <c r="BD924" s="430"/>
      <c r="BE924" s="430"/>
    </row>
    <row r="925" spans="1:57" ht="15.75" customHeight="1">
      <c r="A925" s="430"/>
      <c r="B925" s="430"/>
      <c r="C925" s="430"/>
      <c r="D925" s="430"/>
      <c r="E925" s="430"/>
      <c r="F925" s="430"/>
      <c r="G925" s="430"/>
      <c r="H925" s="430"/>
      <c r="I925" s="430"/>
      <c r="J925" s="430"/>
      <c r="K925" s="430"/>
      <c r="L925" s="430"/>
      <c r="M925" s="430"/>
      <c r="N925" s="430"/>
      <c r="O925" s="430"/>
      <c r="P925" s="430"/>
      <c r="Q925" s="430"/>
      <c r="R925" s="430"/>
      <c r="S925" s="430"/>
      <c r="T925" s="430"/>
      <c r="U925" s="430"/>
      <c r="V925" s="430"/>
      <c r="W925" s="430"/>
      <c r="X925" s="430"/>
      <c r="Y925" s="430"/>
      <c r="Z925" s="430"/>
      <c r="AA925" s="430"/>
      <c r="AB925" s="430"/>
      <c r="AC925" s="430"/>
      <c r="AD925" s="430"/>
      <c r="AE925" s="430"/>
      <c r="AF925" s="430"/>
      <c r="AG925" s="430"/>
      <c r="AH925" s="430"/>
      <c r="AI925" s="430"/>
      <c r="AJ925" s="430"/>
      <c r="AK925" s="430"/>
      <c r="AL925" s="430"/>
      <c r="AM925" s="430"/>
      <c r="AN925" s="430"/>
      <c r="AO925" s="430"/>
      <c r="AP925" s="430"/>
      <c r="AQ925" s="430"/>
      <c r="AR925" s="430"/>
      <c r="AS925" s="430"/>
      <c r="AT925" s="430"/>
      <c r="AU925" s="430"/>
      <c r="AV925" s="430"/>
      <c r="AW925" s="430"/>
      <c r="AX925" s="430"/>
      <c r="AY925" s="430"/>
      <c r="AZ925" s="430"/>
      <c r="BA925" s="430"/>
      <c r="BB925" s="430"/>
      <c r="BC925" s="430"/>
      <c r="BD925" s="430"/>
      <c r="BE925" s="430"/>
    </row>
    <row r="926" spans="1:57" ht="15.75" customHeight="1">
      <c r="A926" s="430"/>
      <c r="B926" s="430"/>
      <c r="C926" s="430"/>
      <c r="D926" s="430"/>
      <c r="E926" s="430"/>
      <c r="F926" s="430"/>
      <c r="G926" s="430"/>
      <c r="H926" s="430"/>
      <c r="I926" s="430"/>
      <c r="J926" s="430"/>
      <c r="K926" s="430"/>
      <c r="L926" s="430"/>
      <c r="M926" s="430"/>
      <c r="N926" s="430"/>
      <c r="O926" s="430"/>
      <c r="P926" s="430"/>
      <c r="Q926" s="430"/>
      <c r="R926" s="430"/>
      <c r="S926" s="430"/>
      <c r="T926" s="430"/>
      <c r="U926" s="430"/>
      <c r="V926" s="430"/>
      <c r="W926" s="430"/>
      <c r="X926" s="430"/>
      <c r="Y926" s="430"/>
      <c r="Z926" s="430"/>
      <c r="AA926" s="430"/>
      <c r="AB926" s="430"/>
      <c r="AC926" s="430"/>
      <c r="AD926" s="430"/>
      <c r="AE926" s="430"/>
      <c r="AF926" s="430"/>
      <c r="AG926" s="430"/>
      <c r="AH926" s="430"/>
      <c r="AI926" s="430"/>
      <c r="AJ926" s="430"/>
      <c r="AK926" s="430"/>
      <c r="AL926" s="430"/>
      <c r="AM926" s="430"/>
      <c r="AN926" s="430"/>
      <c r="AO926" s="430"/>
      <c r="AP926" s="430"/>
      <c r="AQ926" s="430"/>
      <c r="AR926" s="430"/>
      <c r="AS926" s="430"/>
      <c r="AT926" s="430"/>
      <c r="AU926" s="430"/>
      <c r="AV926" s="430"/>
      <c r="AW926" s="430"/>
      <c r="AX926" s="430"/>
      <c r="AY926" s="430"/>
      <c r="AZ926" s="430"/>
      <c r="BA926" s="430"/>
      <c r="BB926" s="430"/>
      <c r="BC926" s="430"/>
      <c r="BD926" s="430"/>
      <c r="BE926" s="430"/>
    </row>
    <row r="927" spans="1:57" ht="15.75" customHeight="1">
      <c r="A927" s="430"/>
      <c r="B927" s="430"/>
      <c r="C927" s="430"/>
      <c r="D927" s="430"/>
      <c r="E927" s="430"/>
      <c r="F927" s="430"/>
      <c r="G927" s="430"/>
      <c r="H927" s="430"/>
      <c r="I927" s="430"/>
      <c r="J927" s="430"/>
      <c r="K927" s="430"/>
      <c r="L927" s="430"/>
      <c r="M927" s="430"/>
      <c r="N927" s="430"/>
      <c r="O927" s="430"/>
      <c r="P927" s="430"/>
      <c r="Q927" s="430"/>
      <c r="R927" s="430"/>
      <c r="S927" s="430"/>
      <c r="T927" s="430"/>
      <c r="U927" s="430"/>
      <c r="V927" s="430"/>
      <c r="W927" s="430"/>
      <c r="X927" s="430"/>
      <c r="Y927" s="430"/>
      <c r="Z927" s="430"/>
      <c r="AA927" s="430"/>
      <c r="AB927" s="430"/>
      <c r="AC927" s="430"/>
      <c r="AD927" s="430"/>
      <c r="AE927" s="430"/>
      <c r="AF927" s="430"/>
      <c r="AG927" s="430"/>
      <c r="AH927" s="430"/>
      <c r="AI927" s="430"/>
      <c r="AJ927" s="430"/>
      <c r="AK927" s="430"/>
      <c r="AL927" s="430"/>
      <c r="AM927" s="430"/>
      <c r="AN927" s="430"/>
      <c r="AO927" s="430"/>
      <c r="AP927" s="430"/>
      <c r="AQ927" s="430"/>
      <c r="AR927" s="430"/>
      <c r="AS927" s="430"/>
      <c r="AT927" s="430"/>
      <c r="AU927" s="430"/>
      <c r="AV927" s="430"/>
      <c r="AW927" s="430"/>
      <c r="AX927" s="430"/>
      <c r="AY927" s="430"/>
      <c r="AZ927" s="430"/>
      <c r="BA927" s="430"/>
      <c r="BB927" s="430"/>
      <c r="BC927" s="430"/>
      <c r="BD927" s="430"/>
      <c r="BE927" s="430"/>
    </row>
    <row r="928" spans="1:57" ht="15.75" customHeight="1">
      <c r="A928" s="430"/>
      <c r="B928" s="430"/>
      <c r="C928" s="430"/>
      <c r="D928" s="430"/>
      <c r="E928" s="430"/>
      <c r="F928" s="430"/>
      <c r="G928" s="430"/>
      <c r="H928" s="430"/>
      <c r="I928" s="430"/>
      <c r="J928" s="430"/>
      <c r="K928" s="430"/>
      <c r="L928" s="430"/>
      <c r="M928" s="430"/>
      <c r="N928" s="430"/>
      <c r="O928" s="430"/>
      <c r="P928" s="430"/>
      <c r="Q928" s="430"/>
      <c r="R928" s="430"/>
      <c r="S928" s="430"/>
      <c r="T928" s="430"/>
      <c r="U928" s="430"/>
      <c r="V928" s="430"/>
      <c r="W928" s="430"/>
      <c r="X928" s="430"/>
      <c r="Y928" s="430"/>
      <c r="Z928" s="430"/>
      <c r="AA928" s="430"/>
      <c r="AB928" s="430"/>
      <c r="AC928" s="430"/>
      <c r="AD928" s="430"/>
      <c r="AE928" s="430"/>
      <c r="AF928" s="430"/>
      <c r="AG928" s="430"/>
      <c r="AH928" s="430"/>
      <c r="AI928" s="430"/>
      <c r="AJ928" s="430"/>
      <c r="AK928" s="430"/>
      <c r="AL928" s="430"/>
      <c r="AM928" s="430"/>
      <c r="AN928" s="430"/>
      <c r="AO928" s="430"/>
      <c r="AP928" s="430"/>
      <c r="AQ928" s="430"/>
      <c r="AR928" s="430"/>
      <c r="AS928" s="430"/>
      <c r="AT928" s="430"/>
      <c r="AU928" s="430"/>
      <c r="AV928" s="430"/>
      <c r="AW928" s="430"/>
      <c r="AX928" s="430"/>
      <c r="AY928" s="430"/>
      <c r="AZ928" s="430"/>
      <c r="BA928" s="430"/>
      <c r="BB928" s="430"/>
      <c r="BC928" s="430"/>
      <c r="BD928" s="430"/>
      <c r="BE928" s="430"/>
    </row>
    <row r="929" spans="1:57" ht="15.75" customHeight="1">
      <c r="A929" s="430"/>
      <c r="B929" s="430"/>
      <c r="C929" s="430"/>
      <c r="D929" s="430"/>
      <c r="E929" s="430"/>
      <c r="F929" s="430"/>
      <c r="G929" s="430"/>
      <c r="H929" s="430"/>
      <c r="I929" s="430"/>
      <c r="J929" s="430"/>
      <c r="K929" s="430"/>
      <c r="L929" s="430"/>
      <c r="M929" s="430"/>
      <c r="N929" s="430"/>
      <c r="O929" s="430"/>
      <c r="P929" s="430"/>
      <c r="Q929" s="430"/>
      <c r="R929" s="430"/>
      <c r="S929" s="430"/>
      <c r="T929" s="430"/>
      <c r="U929" s="430"/>
      <c r="V929" s="430"/>
      <c r="W929" s="430"/>
      <c r="X929" s="430"/>
      <c r="Y929" s="430"/>
      <c r="Z929" s="430"/>
      <c r="AA929" s="430"/>
      <c r="AB929" s="430"/>
      <c r="AC929" s="430"/>
      <c r="AD929" s="430"/>
      <c r="AE929" s="430"/>
      <c r="AF929" s="430"/>
      <c r="AG929" s="430"/>
      <c r="AH929" s="430"/>
      <c r="AI929" s="430"/>
      <c r="AJ929" s="430"/>
      <c r="AK929" s="430"/>
      <c r="AL929" s="430"/>
      <c r="AM929" s="430"/>
      <c r="AN929" s="430"/>
      <c r="AO929" s="430"/>
      <c r="AP929" s="430"/>
      <c r="AQ929" s="430"/>
      <c r="AR929" s="430"/>
      <c r="AS929" s="430"/>
      <c r="AT929" s="430"/>
      <c r="AU929" s="430"/>
      <c r="AV929" s="430"/>
      <c r="AW929" s="430"/>
      <c r="AX929" s="430"/>
      <c r="AY929" s="430"/>
      <c r="AZ929" s="430"/>
      <c r="BA929" s="430"/>
      <c r="BB929" s="430"/>
      <c r="BC929" s="430"/>
      <c r="BD929" s="430"/>
      <c r="BE929" s="430"/>
    </row>
    <row r="930" spans="1:57" ht="15.75" customHeight="1">
      <c r="A930" s="430"/>
      <c r="B930" s="430"/>
      <c r="C930" s="430"/>
      <c r="D930" s="430"/>
      <c r="E930" s="430"/>
      <c r="F930" s="430"/>
      <c r="G930" s="430"/>
      <c r="H930" s="430"/>
      <c r="I930" s="430"/>
      <c r="J930" s="430"/>
      <c r="K930" s="430"/>
      <c r="L930" s="430"/>
      <c r="M930" s="430"/>
      <c r="N930" s="430"/>
      <c r="O930" s="430"/>
      <c r="P930" s="430"/>
      <c r="Q930" s="430"/>
      <c r="R930" s="430"/>
      <c r="S930" s="430"/>
      <c r="T930" s="430"/>
      <c r="U930" s="430"/>
      <c r="V930" s="430"/>
      <c r="W930" s="430"/>
      <c r="X930" s="430"/>
      <c r="Y930" s="430"/>
      <c r="Z930" s="430"/>
      <c r="AA930" s="430"/>
      <c r="AB930" s="430"/>
      <c r="AC930" s="430"/>
      <c r="AD930" s="430"/>
      <c r="AE930" s="430"/>
      <c r="AF930" s="430"/>
      <c r="AG930" s="430"/>
      <c r="AH930" s="430"/>
      <c r="AI930" s="430"/>
      <c r="AJ930" s="430"/>
      <c r="AK930" s="430"/>
      <c r="AL930" s="430"/>
      <c r="AM930" s="430"/>
      <c r="AN930" s="430"/>
      <c r="AO930" s="430"/>
      <c r="AP930" s="430"/>
      <c r="AQ930" s="430"/>
      <c r="AR930" s="430"/>
      <c r="AS930" s="430"/>
      <c r="AT930" s="430"/>
      <c r="AU930" s="430"/>
      <c r="AV930" s="430"/>
      <c r="AW930" s="430"/>
      <c r="AX930" s="430"/>
      <c r="AY930" s="430"/>
      <c r="AZ930" s="430"/>
      <c r="BA930" s="430"/>
      <c r="BB930" s="430"/>
      <c r="BC930" s="430"/>
      <c r="BD930" s="430"/>
      <c r="BE930" s="430"/>
    </row>
    <row r="931" spans="1:57" ht="15.75" customHeight="1">
      <c r="A931" s="430"/>
      <c r="B931" s="430"/>
      <c r="C931" s="430"/>
      <c r="D931" s="430"/>
      <c r="E931" s="430"/>
      <c r="F931" s="430"/>
      <c r="G931" s="430"/>
      <c r="H931" s="430"/>
      <c r="I931" s="430"/>
      <c r="J931" s="430"/>
      <c r="K931" s="430"/>
      <c r="L931" s="430"/>
      <c r="M931" s="430"/>
      <c r="N931" s="430"/>
      <c r="O931" s="430"/>
      <c r="P931" s="430"/>
      <c r="Q931" s="430"/>
      <c r="R931" s="430"/>
      <c r="S931" s="430"/>
      <c r="T931" s="430"/>
      <c r="U931" s="430"/>
      <c r="V931" s="430"/>
      <c r="W931" s="430"/>
      <c r="X931" s="430"/>
      <c r="Y931" s="430"/>
      <c r="Z931" s="430"/>
      <c r="AA931" s="430"/>
      <c r="AB931" s="430"/>
      <c r="AC931" s="430"/>
      <c r="AD931" s="430"/>
      <c r="AE931" s="430"/>
      <c r="AF931" s="430"/>
      <c r="AG931" s="430"/>
      <c r="AH931" s="430"/>
      <c r="AI931" s="430"/>
      <c r="AJ931" s="430"/>
      <c r="AK931" s="430"/>
      <c r="AL931" s="430"/>
      <c r="AM931" s="430"/>
      <c r="AN931" s="430"/>
      <c r="AO931" s="430"/>
      <c r="AP931" s="430"/>
      <c r="AQ931" s="430"/>
      <c r="AR931" s="430"/>
      <c r="AS931" s="430"/>
      <c r="AT931" s="430"/>
      <c r="AU931" s="430"/>
      <c r="AV931" s="430"/>
      <c r="AW931" s="430"/>
      <c r="AX931" s="430"/>
      <c r="AY931" s="430"/>
      <c r="AZ931" s="430"/>
      <c r="BA931" s="430"/>
      <c r="BB931" s="430"/>
      <c r="BC931" s="430"/>
      <c r="BD931" s="430"/>
      <c r="BE931" s="430"/>
    </row>
    <row r="932" spans="1:57" ht="15.75" customHeight="1">
      <c r="A932" s="430"/>
      <c r="B932" s="430"/>
      <c r="C932" s="430"/>
      <c r="D932" s="430"/>
      <c r="E932" s="430"/>
      <c r="F932" s="430"/>
      <c r="G932" s="430"/>
      <c r="H932" s="430"/>
      <c r="I932" s="430"/>
      <c r="J932" s="430"/>
      <c r="K932" s="430"/>
      <c r="L932" s="430"/>
      <c r="M932" s="430"/>
      <c r="N932" s="430"/>
      <c r="O932" s="430"/>
      <c r="P932" s="430"/>
      <c r="Q932" s="430"/>
      <c r="R932" s="430"/>
      <c r="S932" s="430"/>
      <c r="T932" s="430"/>
      <c r="U932" s="430"/>
      <c r="V932" s="430"/>
      <c r="W932" s="430"/>
      <c r="X932" s="430"/>
      <c r="Y932" s="430"/>
      <c r="Z932" s="430"/>
      <c r="AA932" s="430"/>
      <c r="AB932" s="430"/>
      <c r="AC932" s="430"/>
      <c r="AD932" s="430"/>
      <c r="AE932" s="430"/>
      <c r="AF932" s="430"/>
      <c r="AG932" s="430"/>
      <c r="AH932" s="430"/>
      <c r="AI932" s="430"/>
      <c r="AJ932" s="430"/>
      <c r="AK932" s="430"/>
      <c r="AL932" s="430"/>
      <c r="AM932" s="430"/>
      <c r="AN932" s="430"/>
      <c r="AO932" s="430"/>
      <c r="AP932" s="430"/>
      <c r="AQ932" s="430"/>
      <c r="AR932" s="430"/>
      <c r="AS932" s="430"/>
      <c r="AT932" s="430"/>
      <c r="AU932" s="430"/>
      <c r="AV932" s="430"/>
      <c r="AW932" s="430"/>
      <c r="AX932" s="430"/>
      <c r="AY932" s="430"/>
      <c r="AZ932" s="430"/>
      <c r="BA932" s="430"/>
      <c r="BB932" s="430"/>
      <c r="BC932" s="430"/>
      <c r="BD932" s="430"/>
      <c r="BE932" s="430"/>
    </row>
    <row r="933" spans="1:57" ht="15.75" customHeight="1">
      <c r="A933" s="430"/>
      <c r="B933" s="430"/>
      <c r="C933" s="430"/>
      <c r="D933" s="430"/>
      <c r="E933" s="430"/>
      <c r="F933" s="430"/>
      <c r="G933" s="430"/>
      <c r="H933" s="430"/>
      <c r="I933" s="430"/>
      <c r="J933" s="430"/>
      <c r="K933" s="430"/>
      <c r="L933" s="430"/>
      <c r="M933" s="430"/>
      <c r="N933" s="430"/>
      <c r="O933" s="430"/>
      <c r="P933" s="430"/>
      <c r="Q933" s="430"/>
      <c r="R933" s="430"/>
      <c r="S933" s="430"/>
      <c r="T933" s="430"/>
      <c r="U933" s="430"/>
      <c r="V933" s="430"/>
      <c r="W933" s="430"/>
      <c r="X933" s="430"/>
      <c r="Y933" s="430"/>
      <c r="Z933" s="430"/>
      <c r="AA933" s="430"/>
      <c r="AB933" s="430"/>
      <c r="AC933" s="430"/>
      <c r="AD933" s="430"/>
      <c r="AE933" s="430"/>
      <c r="AF933" s="430"/>
      <c r="AG933" s="430"/>
      <c r="AH933" s="430"/>
      <c r="AI933" s="430"/>
      <c r="AJ933" s="430"/>
      <c r="AK933" s="430"/>
      <c r="AL933" s="430"/>
      <c r="AM933" s="430"/>
      <c r="AN933" s="430"/>
      <c r="AO933" s="430"/>
      <c r="AP933" s="430"/>
      <c r="AQ933" s="430"/>
      <c r="AR933" s="430"/>
      <c r="AS933" s="430"/>
      <c r="AT933" s="430"/>
      <c r="AU933" s="430"/>
      <c r="AV933" s="430"/>
      <c r="AW933" s="430"/>
      <c r="AX933" s="430"/>
      <c r="AY933" s="430"/>
      <c r="AZ933" s="430"/>
      <c r="BA933" s="430"/>
      <c r="BB933" s="430"/>
      <c r="BC933" s="430"/>
      <c r="BD933" s="430"/>
      <c r="BE933" s="430"/>
    </row>
    <row r="934" spans="1:57" ht="15.75" customHeight="1">
      <c r="A934" s="430"/>
      <c r="B934" s="430"/>
      <c r="C934" s="430"/>
      <c r="D934" s="430"/>
      <c r="E934" s="430"/>
      <c r="F934" s="430"/>
      <c r="G934" s="430"/>
      <c r="H934" s="430"/>
      <c r="I934" s="430"/>
      <c r="J934" s="430"/>
      <c r="K934" s="430"/>
      <c r="L934" s="430"/>
      <c r="M934" s="430"/>
      <c r="N934" s="430"/>
      <c r="O934" s="430"/>
      <c r="P934" s="430"/>
      <c r="Q934" s="430"/>
      <c r="R934" s="430"/>
      <c r="S934" s="430"/>
      <c r="T934" s="430"/>
      <c r="U934" s="430"/>
      <c r="V934" s="430"/>
      <c r="W934" s="430"/>
      <c r="X934" s="430"/>
      <c r="Y934" s="430"/>
      <c r="Z934" s="430"/>
      <c r="AA934" s="430"/>
      <c r="AB934" s="430"/>
      <c r="AC934" s="430"/>
      <c r="AD934" s="430"/>
      <c r="AE934" s="430"/>
      <c r="AF934" s="430"/>
      <c r="AG934" s="430"/>
      <c r="AH934" s="430"/>
      <c r="AI934" s="430"/>
      <c r="AJ934" s="430"/>
      <c r="AK934" s="430"/>
      <c r="AL934" s="430"/>
      <c r="AM934" s="430"/>
      <c r="AN934" s="430"/>
      <c r="AO934" s="430"/>
      <c r="AP934" s="430"/>
      <c r="AQ934" s="430"/>
      <c r="AR934" s="430"/>
      <c r="AS934" s="430"/>
      <c r="AT934" s="430"/>
      <c r="AU934" s="430"/>
      <c r="AV934" s="430"/>
      <c r="AW934" s="430"/>
      <c r="AX934" s="430"/>
      <c r="AY934" s="430"/>
      <c r="AZ934" s="430"/>
      <c r="BA934" s="430"/>
      <c r="BB934" s="430"/>
      <c r="BC934" s="430"/>
      <c r="BD934" s="430"/>
      <c r="BE934" s="430"/>
    </row>
    <row r="935" spans="1:57" ht="15.75" customHeight="1">
      <c r="A935" s="430"/>
      <c r="B935" s="430"/>
      <c r="C935" s="430"/>
      <c r="D935" s="430"/>
      <c r="E935" s="430"/>
      <c r="F935" s="430"/>
      <c r="G935" s="430"/>
      <c r="H935" s="430"/>
      <c r="I935" s="430"/>
      <c r="J935" s="430"/>
      <c r="K935" s="430"/>
      <c r="L935" s="430"/>
      <c r="M935" s="430"/>
      <c r="N935" s="430"/>
      <c r="O935" s="430"/>
      <c r="P935" s="430"/>
      <c r="Q935" s="430"/>
      <c r="R935" s="430"/>
      <c r="S935" s="430"/>
      <c r="T935" s="430"/>
      <c r="U935" s="430"/>
      <c r="V935" s="430"/>
      <c r="W935" s="430"/>
      <c r="X935" s="430"/>
      <c r="Y935" s="430"/>
      <c r="Z935" s="430"/>
      <c r="AA935" s="430"/>
      <c r="AB935" s="430"/>
      <c r="AC935" s="430"/>
      <c r="AD935" s="430"/>
      <c r="AE935" s="430"/>
      <c r="AF935" s="430"/>
      <c r="AG935" s="430"/>
      <c r="AH935" s="430"/>
      <c r="AI935" s="430"/>
      <c r="AJ935" s="430"/>
      <c r="AK935" s="430"/>
      <c r="AL935" s="430"/>
      <c r="AM935" s="430"/>
      <c r="AN935" s="430"/>
      <c r="AO935" s="430"/>
      <c r="AP935" s="430"/>
      <c r="AQ935" s="430"/>
      <c r="AR935" s="430"/>
      <c r="AS935" s="430"/>
      <c r="AT935" s="430"/>
      <c r="AU935" s="430"/>
      <c r="AV935" s="430"/>
      <c r="AW935" s="430"/>
      <c r="AX935" s="430"/>
      <c r="AY935" s="430"/>
      <c r="AZ935" s="430"/>
      <c r="BA935" s="430"/>
      <c r="BB935" s="430"/>
      <c r="BC935" s="430"/>
      <c r="BD935" s="430"/>
      <c r="BE935" s="430"/>
    </row>
    <row r="936" spans="1:57" ht="15.75" customHeight="1">
      <c r="A936" s="430"/>
      <c r="B936" s="430"/>
      <c r="C936" s="430"/>
      <c r="D936" s="430"/>
      <c r="E936" s="430"/>
      <c r="F936" s="430"/>
      <c r="G936" s="430"/>
      <c r="H936" s="430"/>
      <c r="I936" s="430"/>
      <c r="J936" s="430"/>
      <c r="K936" s="430"/>
      <c r="L936" s="430"/>
      <c r="M936" s="430"/>
      <c r="N936" s="430"/>
      <c r="O936" s="430"/>
      <c r="P936" s="430"/>
      <c r="Q936" s="430"/>
      <c r="R936" s="430"/>
      <c r="S936" s="430"/>
      <c r="T936" s="430"/>
      <c r="U936" s="430"/>
      <c r="V936" s="430"/>
      <c r="W936" s="430"/>
      <c r="X936" s="430"/>
      <c r="Y936" s="430"/>
      <c r="Z936" s="430"/>
      <c r="AA936" s="430"/>
      <c r="AB936" s="430"/>
      <c r="AC936" s="430"/>
      <c r="AD936" s="430"/>
      <c r="AE936" s="430"/>
      <c r="AF936" s="430"/>
      <c r="AG936" s="430"/>
      <c r="AH936" s="430"/>
      <c r="AI936" s="430"/>
      <c r="AJ936" s="430"/>
      <c r="AK936" s="430"/>
      <c r="AL936" s="430"/>
      <c r="AM936" s="430"/>
      <c r="AN936" s="430"/>
      <c r="AO936" s="430"/>
      <c r="AP936" s="430"/>
      <c r="AQ936" s="430"/>
      <c r="AR936" s="430"/>
      <c r="AS936" s="430"/>
      <c r="AT936" s="430"/>
      <c r="AU936" s="430"/>
      <c r="AV936" s="430"/>
      <c r="AW936" s="430"/>
      <c r="AX936" s="430"/>
      <c r="AY936" s="430"/>
      <c r="AZ936" s="430"/>
      <c r="BA936" s="430"/>
      <c r="BB936" s="430"/>
      <c r="BC936" s="430"/>
      <c r="BD936" s="430"/>
      <c r="BE936" s="430"/>
    </row>
    <row r="937" spans="1:57" ht="15.75" customHeight="1">
      <c r="A937" s="430"/>
      <c r="B937" s="430"/>
      <c r="C937" s="430"/>
      <c r="D937" s="430"/>
      <c r="E937" s="430"/>
      <c r="F937" s="430"/>
      <c r="G937" s="430"/>
      <c r="H937" s="430"/>
      <c r="I937" s="430"/>
      <c r="J937" s="430"/>
      <c r="K937" s="430"/>
      <c r="L937" s="430"/>
      <c r="M937" s="430"/>
      <c r="N937" s="430"/>
      <c r="O937" s="430"/>
      <c r="P937" s="430"/>
      <c r="Q937" s="430"/>
      <c r="R937" s="430"/>
      <c r="S937" s="430"/>
      <c r="T937" s="430"/>
      <c r="U937" s="430"/>
      <c r="V937" s="430"/>
      <c r="W937" s="430"/>
      <c r="X937" s="430"/>
      <c r="Y937" s="430"/>
      <c r="Z937" s="430"/>
      <c r="AA937" s="430"/>
      <c r="AB937" s="430"/>
      <c r="AC937" s="430"/>
      <c r="AD937" s="430"/>
      <c r="AE937" s="430"/>
      <c r="AF937" s="430"/>
      <c r="AG937" s="430"/>
      <c r="AH937" s="430"/>
      <c r="AI937" s="430"/>
      <c r="AJ937" s="430"/>
      <c r="AK937" s="430"/>
      <c r="AL937" s="430"/>
      <c r="AM937" s="430"/>
      <c r="AN937" s="430"/>
      <c r="AO937" s="430"/>
      <c r="AP937" s="430"/>
      <c r="AQ937" s="430"/>
      <c r="AR937" s="430"/>
      <c r="AS937" s="430"/>
      <c r="AT937" s="430"/>
      <c r="AU937" s="430"/>
      <c r="AV937" s="430"/>
      <c r="AW937" s="430"/>
      <c r="AX937" s="430"/>
      <c r="AY937" s="430"/>
      <c r="AZ937" s="430"/>
      <c r="BA937" s="430"/>
      <c r="BB937" s="430"/>
      <c r="BC937" s="430"/>
      <c r="BD937" s="430"/>
      <c r="BE937" s="430"/>
    </row>
    <row r="938" spans="1:57" ht="15.75" customHeight="1">
      <c r="A938" s="430"/>
      <c r="B938" s="430"/>
      <c r="C938" s="430"/>
      <c r="D938" s="430"/>
      <c r="E938" s="430"/>
      <c r="F938" s="430"/>
      <c r="G938" s="430"/>
      <c r="H938" s="430"/>
      <c r="I938" s="430"/>
      <c r="J938" s="430"/>
      <c r="K938" s="430"/>
      <c r="L938" s="430"/>
      <c r="M938" s="430"/>
      <c r="N938" s="430"/>
      <c r="O938" s="430"/>
      <c r="P938" s="430"/>
      <c r="Q938" s="430"/>
      <c r="R938" s="430"/>
      <c r="S938" s="430"/>
      <c r="T938" s="430"/>
      <c r="U938" s="430"/>
      <c r="V938" s="430"/>
      <c r="W938" s="430"/>
      <c r="X938" s="430"/>
      <c r="Y938" s="430"/>
      <c r="Z938" s="430"/>
      <c r="AA938" s="430"/>
      <c r="AB938" s="430"/>
      <c r="AC938" s="430"/>
      <c r="AD938" s="430"/>
      <c r="AE938" s="430"/>
      <c r="AF938" s="430"/>
      <c r="AG938" s="430"/>
      <c r="AH938" s="430"/>
      <c r="AI938" s="430"/>
      <c r="AJ938" s="430"/>
      <c r="AK938" s="430"/>
      <c r="AL938" s="430"/>
      <c r="AM938" s="430"/>
      <c r="AN938" s="430"/>
      <c r="AO938" s="430"/>
      <c r="AP938" s="430"/>
      <c r="AQ938" s="430"/>
      <c r="AR938" s="430"/>
      <c r="AS938" s="430"/>
      <c r="AT938" s="430"/>
      <c r="AU938" s="430"/>
      <c r="AV938" s="430"/>
      <c r="AW938" s="430"/>
      <c r="AX938" s="430"/>
      <c r="AY938" s="430"/>
      <c r="AZ938" s="430"/>
      <c r="BA938" s="430"/>
      <c r="BB938" s="430"/>
      <c r="BC938" s="430"/>
      <c r="BD938" s="430"/>
      <c r="BE938" s="430"/>
    </row>
    <row r="939" spans="1:57" ht="15.75" customHeight="1">
      <c r="A939" s="430"/>
      <c r="B939" s="430"/>
      <c r="C939" s="430"/>
      <c r="D939" s="430"/>
      <c r="E939" s="430"/>
      <c r="F939" s="430"/>
      <c r="G939" s="430"/>
      <c r="H939" s="430"/>
      <c r="I939" s="430"/>
      <c r="J939" s="430"/>
      <c r="K939" s="430"/>
      <c r="L939" s="430"/>
      <c r="M939" s="430"/>
      <c r="N939" s="430"/>
      <c r="O939" s="430"/>
      <c r="P939" s="430"/>
      <c r="Q939" s="430"/>
      <c r="R939" s="430"/>
      <c r="S939" s="430"/>
      <c r="T939" s="430"/>
      <c r="U939" s="430"/>
      <c r="V939" s="430"/>
      <c r="W939" s="430"/>
      <c r="X939" s="430"/>
      <c r="Y939" s="430"/>
      <c r="Z939" s="430"/>
      <c r="AA939" s="430"/>
      <c r="AB939" s="430"/>
      <c r="AC939" s="430"/>
      <c r="AD939" s="430"/>
      <c r="AE939" s="430"/>
      <c r="AF939" s="430"/>
      <c r="AG939" s="430"/>
      <c r="AH939" s="430"/>
      <c r="AI939" s="430"/>
      <c r="AJ939" s="430"/>
      <c r="AK939" s="430"/>
      <c r="AL939" s="430"/>
      <c r="AM939" s="430"/>
      <c r="AN939" s="430"/>
      <c r="AO939" s="430"/>
      <c r="AP939" s="430"/>
      <c r="AQ939" s="430"/>
      <c r="AR939" s="430"/>
      <c r="AS939" s="430"/>
      <c r="AT939" s="430"/>
      <c r="AU939" s="430"/>
      <c r="AV939" s="430"/>
      <c r="AW939" s="430"/>
      <c r="AX939" s="430"/>
      <c r="AY939" s="430"/>
      <c r="AZ939" s="430"/>
      <c r="BA939" s="430"/>
      <c r="BB939" s="430"/>
      <c r="BC939" s="430"/>
      <c r="BD939" s="430"/>
      <c r="BE939" s="430"/>
    </row>
    <row r="940" spans="1:57" ht="15.75" customHeight="1">
      <c r="A940" s="430"/>
      <c r="B940" s="430"/>
      <c r="C940" s="430"/>
      <c r="D940" s="430"/>
      <c r="E940" s="430"/>
      <c r="F940" s="430"/>
      <c r="G940" s="430"/>
      <c r="H940" s="430"/>
      <c r="I940" s="430"/>
      <c r="J940" s="430"/>
      <c r="K940" s="430"/>
      <c r="L940" s="430"/>
      <c r="M940" s="430"/>
      <c r="N940" s="430"/>
      <c r="O940" s="430"/>
      <c r="P940" s="430"/>
      <c r="Q940" s="430"/>
      <c r="R940" s="430"/>
      <c r="S940" s="430"/>
      <c r="T940" s="430"/>
      <c r="U940" s="430"/>
      <c r="V940" s="430"/>
      <c r="W940" s="430"/>
      <c r="X940" s="430"/>
      <c r="Y940" s="430"/>
      <c r="Z940" s="430"/>
      <c r="AA940" s="430"/>
      <c r="AB940" s="430"/>
      <c r="AC940" s="430"/>
      <c r="AD940" s="430"/>
      <c r="AE940" s="430"/>
      <c r="AF940" s="430"/>
      <c r="AG940" s="430"/>
      <c r="AH940" s="430"/>
      <c r="AI940" s="430"/>
      <c r="AJ940" s="430"/>
      <c r="AK940" s="430"/>
      <c r="AL940" s="430"/>
      <c r="AM940" s="430"/>
      <c r="AN940" s="430"/>
      <c r="AO940" s="430"/>
      <c r="AP940" s="430"/>
      <c r="AQ940" s="430"/>
      <c r="AR940" s="430"/>
      <c r="AS940" s="430"/>
      <c r="AT940" s="430"/>
      <c r="AU940" s="430"/>
      <c r="AV940" s="430"/>
      <c r="AW940" s="430"/>
      <c r="AX940" s="430"/>
      <c r="AY940" s="430"/>
      <c r="AZ940" s="430"/>
      <c r="BA940" s="430"/>
      <c r="BB940" s="430"/>
      <c r="BC940" s="430"/>
      <c r="BD940" s="430"/>
      <c r="BE940" s="430"/>
    </row>
    <row r="941" spans="1:57" ht="15.75" customHeight="1">
      <c r="A941" s="430"/>
      <c r="B941" s="430"/>
      <c r="C941" s="430"/>
      <c r="D941" s="430"/>
      <c r="E941" s="430"/>
      <c r="F941" s="430"/>
      <c r="G941" s="430"/>
      <c r="H941" s="430"/>
      <c r="I941" s="430"/>
      <c r="J941" s="430"/>
      <c r="K941" s="430"/>
      <c r="L941" s="430"/>
      <c r="M941" s="430"/>
      <c r="N941" s="430"/>
      <c r="O941" s="430"/>
      <c r="P941" s="430"/>
      <c r="Q941" s="430"/>
      <c r="R941" s="430"/>
      <c r="S941" s="430"/>
      <c r="T941" s="430"/>
      <c r="U941" s="430"/>
      <c r="V941" s="430"/>
      <c r="W941" s="430"/>
      <c r="X941" s="430"/>
      <c r="Y941" s="430"/>
      <c r="Z941" s="430"/>
      <c r="AA941" s="430"/>
      <c r="AB941" s="430"/>
      <c r="AC941" s="430"/>
      <c r="AD941" s="430"/>
      <c r="AE941" s="430"/>
      <c r="AF941" s="430"/>
      <c r="AG941" s="430"/>
      <c r="AH941" s="430"/>
      <c r="AI941" s="430"/>
      <c r="AJ941" s="430"/>
      <c r="AK941" s="430"/>
      <c r="AL941" s="430"/>
      <c r="AM941" s="430"/>
      <c r="AN941" s="430"/>
      <c r="AO941" s="430"/>
      <c r="AP941" s="430"/>
      <c r="AQ941" s="430"/>
      <c r="AR941" s="430"/>
      <c r="AS941" s="430"/>
      <c r="AT941" s="430"/>
      <c r="AU941" s="430"/>
      <c r="AV941" s="430"/>
      <c r="AW941" s="430"/>
      <c r="AX941" s="430"/>
      <c r="AY941" s="430"/>
      <c r="AZ941" s="430"/>
      <c r="BA941" s="430"/>
      <c r="BB941" s="430"/>
      <c r="BC941" s="430"/>
      <c r="BD941" s="430"/>
      <c r="BE941" s="430"/>
    </row>
    <row r="942" spans="1:57" ht="15.75" customHeight="1">
      <c r="A942" s="430"/>
      <c r="B942" s="430"/>
      <c r="C942" s="430"/>
      <c r="D942" s="430"/>
      <c r="E942" s="430"/>
      <c r="F942" s="430"/>
      <c r="G942" s="430"/>
      <c r="H942" s="430"/>
      <c r="I942" s="430"/>
      <c r="J942" s="430"/>
      <c r="K942" s="430"/>
      <c r="L942" s="430"/>
      <c r="M942" s="430"/>
      <c r="N942" s="430"/>
      <c r="O942" s="430"/>
      <c r="P942" s="430"/>
      <c r="Q942" s="430"/>
      <c r="R942" s="430"/>
      <c r="S942" s="430"/>
      <c r="T942" s="430"/>
      <c r="U942" s="430"/>
      <c r="V942" s="430"/>
      <c r="W942" s="430"/>
      <c r="X942" s="430"/>
      <c r="Y942" s="430"/>
      <c r="Z942" s="430"/>
      <c r="AA942" s="430"/>
      <c r="AB942" s="430"/>
      <c r="AC942" s="430"/>
      <c r="AD942" s="430"/>
      <c r="AE942" s="430"/>
      <c r="AF942" s="430"/>
      <c r="AG942" s="430"/>
      <c r="AH942" s="430"/>
      <c r="AI942" s="430"/>
      <c r="AJ942" s="430"/>
      <c r="AK942" s="430"/>
      <c r="AL942" s="430"/>
      <c r="AM942" s="430"/>
      <c r="AN942" s="430"/>
      <c r="AO942" s="430"/>
      <c r="AP942" s="430"/>
      <c r="AQ942" s="430"/>
      <c r="AR942" s="430"/>
      <c r="AS942" s="430"/>
      <c r="AT942" s="430"/>
      <c r="AU942" s="430"/>
      <c r="AV942" s="430"/>
      <c r="AW942" s="430"/>
      <c r="AX942" s="430"/>
      <c r="AY942" s="430"/>
      <c r="AZ942" s="430"/>
      <c r="BA942" s="430"/>
      <c r="BB942" s="430"/>
      <c r="BC942" s="430"/>
      <c r="BD942" s="430"/>
      <c r="BE942" s="430"/>
    </row>
    <row r="943" spans="1:57" ht="15.75" customHeight="1">
      <c r="A943" s="430"/>
      <c r="B943" s="430"/>
      <c r="C943" s="430"/>
      <c r="D943" s="430"/>
      <c r="E943" s="430"/>
      <c r="F943" s="430"/>
      <c r="G943" s="430"/>
      <c r="H943" s="430"/>
      <c r="I943" s="430"/>
      <c r="J943" s="430"/>
      <c r="K943" s="430"/>
      <c r="L943" s="430"/>
      <c r="M943" s="430"/>
      <c r="N943" s="430"/>
      <c r="O943" s="430"/>
      <c r="P943" s="430"/>
      <c r="Q943" s="430"/>
      <c r="R943" s="430"/>
      <c r="S943" s="430"/>
      <c r="T943" s="430"/>
      <c r="U943" s="430"/>
      <c r="V943" s="430"/>
      <c r="W943" s="430"/>
      <c r="X943" s="430"/>
      <c r="Y943" s="430"/>
      <c r="Z943" s="430"/>
      <c r="AA943" s="430"/>
      <c r="AB943" s="430"/>
      <c r="AC943" s="430"/>
      <c r="AD943" s="430"/>
      <c r="AE943" s="430"/>
      <c r="AF943" s="430"/>
      <c r="AG943" s="430"/>
      <c r="AH943" s="430"/>
      <c r="AI943" s="430"/>
      <c r="AJ943" s="430"/>
      <c r="AK943" s="430"/>
      <c r="AL943" s="430"/>
      <c r="AM943" s="430"/>
      <c r="AN943" s="430"/>
      <c r="AO943" s="430"/>
      <c r="AP943" s="430"/>
      <c r="AQ943" s="430"/>
      <c r="AR943" s="430"/>
      <c r="AS943" s="430"/>
      <c r="AT943" s="430"/>
      <c r="AU943" s="430"/>
      <c r="AV943" s="430"/>
      <c r="AW943" s="430"/>
      <c r="AX943" s="430"/>
      <c r="AY943" s="430"/>
      <c r="AZ943" s="430"/>
      <c r="BA943" s="430"/>
      <c r="BB943" s="430"/>
      <c r="BC943" s="430"/>
      <c r="BD943" s="430"/>
      <c r="BE943" s="430"/>
    </row>
    <row r="944" spans="1:57" ht="15.75" customHeight="1">
      <c r="A944" s="430"/>
      <c r="B944" s="430"/>
      <c r="C944" s="430"/>
      <c r="D944" s="430"/>
      <c r="E944" s="430"/>
      <c r="F944" s="430"/>
      <c r="G944" s="430"/>
      <c r="H944" s="430"/>
      <c r="I944" s="430"/>
      <c r="J944" s="430"/>
      <c r="K944" s="430"/>
      <c r="L944" s="430"/>
      <c r="M944" s="430"/>
      <c r="N944" s="430"/>
      <c r="O944" s="430"/>
      <c r="P944" s="430"/>
      <c r="Q944" s="430"/>
      <c r="R944" s="430"/>
      <c r="S944" s="430"/>
      <c r="T944" s="430"/>
      <c r="U944" s="430"/>
      <c r="V944" s="430"/>
      <c r="W944" s="430"/>
      <c r="X944" s="430"/>
      <c r="Y944" s="430"/>
      <c r="Z944" s="430"/>
      <c r="AA944" s="430"/>
      <c r="AB944" s="430"/>
      <c r="AC944" s="430"/>
      <c r="AD944" s="430"/>
      <c r="AE944" s="430"/>
      <c r="AF944" s="430"/>
      <c r="AG944" s="430"/>
      <c r="AH944" s="430"/>
      <c r="AI944" s="430"/>
      <c r="AJ944" s="430"/>
      <c r="AK944" s="430"/>
      <c r="AL944" s="430"/>
      <c r="AM944" s="430"/>
      <c r="AN944" s="430"/>
      <c r="AO944" s="430"/>
      <c r="AP944" s="430"/>
      <c r="AQ944" s="430"/>
      <c r="AR944" s="430"/>
      <c r="AS944" s="430"/>
      <c r="AT944" s="430"/>
      <c r="AU944" s="430"/>
      <c r="AV944" s="430"/>
      <c r="AW944" s="430"/>
      <c r="AX944" s="430"/>
      <c r="AY944" s="430"/>
      <c r="AZ944" s="430"/>
      <c r="BA944" s="430"/>
      <c r="BB944" s="430"/>
      <c r="BC944" s="430"/>
      <c r="BD944" s="430"/>
      <c r="BE944" s="430"/>
    </row>
    <row r="945" spans="1:57" ht="15.75" customHeight="1">
      <c r="A945" s="430"/>
      <c r="B945" s="430"/>
      <c r="C945" s="430"/>
      <c r="D945" s="430"/>
      <c r="E945" s="430"/>
      <c r="F945" s="430"/>
      <c r="G945" s="430"/>
      <c r="H945" s="430"/>
      <c r="I945" s="430"/>
      <c r="J945" s="430"/>
      <c r="K945" s="430"/>
      <c r="L945" s="430"/>
      <c r="M945" s="430"/>
      <c r="N945" s="430"/>
      <c r="O945" s="430"/>
      <c r="P945" s="430"/>
      <c r="Q945" s="430"/>
      <c r="R945" s="430"/>
      <c r="S945" s="430"/>
      <c r="T945" s="430"/>
      <c r="U945" s="430"/>
      <c r="V945" s="430"/>
      <c r="W945" s="430"/>
      <c r="X945" s="430"/>
      <c r="Y945" s="430"/>
      <c r="Z945" s="430"/>
      <c r="AA945" s="430"/>
      <c r="AB945" s="430"/>
      <c r="AC945" s="430"/>
      <c r="AD945" s="430"/>
      <c r="AE945" s="430"/>
      <c r="AF945" s="430"/>
      <c r="AG945" s="430"/>
      <c r="AH945" s="430"/>
      <c r="AI945" s="430"/>
      <c r="AJ945" s="430"/>
      <c r="AK945" s="430"/>
      <c r="AL945" s="430"/>
      <c r="AM945" s="430"/>
      <c r="AN945" s="430"/>
      <c r="AO945" s="430"/>
      <c r="AP945" s="430"/>
      <c r="AQ945" s="430"/>
      <c r="AR945" s="430"/>
      <c r="AS945" s="430"/>
      <c r="AT945" s="430"/>
      <c r="AU945" s="430"/>
      <c r="AV945" s="430"/>
      <c r="AW945" s="430"/>
      <c r="AX945" s="430"/>
      <c r="AY945" s="430"/>
      <c r="AZ945" s="430"/>
      <c r="BA945" s="430"/>
      <c r="BB945" s="430"/>
      <c r="BC945" s="430"/>
      <c r="BD945" s="430"/>
      <c r="BE945" s="430"/>
    </row>
    <row r="946" spans="1:57" ht="15.75" customHeight="1">
      <c r="A946" s="430"/>
      <c r="B946" s="430"/>
      <c r="C946" s="430"/>
      <c r="D946" s="430"/>
      <c r="E946" s="430"/>
      <c r="F946" s="430"/>
      <c r="G946" s="430"/>
      <c r="H946" s="430"/>
      <c r="I946" s="430"/>
      <c r="J946" s="430"/>
      <c r="K946" s="430"/>
      <c r="L946" s="430"/>
      <c r="M946" s="430"/>
      <c r="N946" s="430"/>
      <c r="O946" s="430"/>
      <c r="P946" s="430"/>
      <c r="Q946" s="430"/>
      <c r="R946" s="430"/>
      <c r="S946" s="430"/>
      <c r="T946" s="430"/>
      <c r="U946" s="430"/>
      <c r="V946" s="430"/>
      <c r="W946" s="430"/>
      <c r="X946" s="430"/>
      <c r="Y946" s="430"/>
      <c r="Z946" s="430"/>
      <c r="AA946" s="430"/>
      <c r="AB946" s="430"/>
      <c r="AC946" s="430"/>
      <c r="AD946" s="430"/>
      <c r="AE946" s="430"/>
      <c r="AF946" s="430"/>
      <c r="AG946" s="430"/>
      <c r="AH946" s="430"/>
      <c r="AI946" s="430"/>
      <c r="AJ946" s="430"/>
      <c r="AK946" s="430"/>
      <c r="AL946" s="430"/>
      <c r="AM946" s="430"/>
      <c r="AN946" s="430"/>
      <c r="AO946" s="430"/>
      <c r="AP946" s="430"/>
      <c r="AQ946" s="430"/>
      <c r="AR946" s="430"/>
      <c r="AS946" s="430"/>
      <c r="AT946" s="430"/>
      <c r="AU946" s="430"/>
      <c r="AV946" s="430"/>
      <c r="AW946" s="430"/>
      <c r="AX946" s="430"/>
      <c r="AY946" s="430"/>
      <c r="AZ946" s="430"/>
      <c r="BA946" s="430"/>
      <c r="BB946" s="430"/>
      <c r="BC946" s="430"/>
      <c r="BD946" s="430"/>
      <c r="BE946" s="430"/>
    </row>
    <row r="947" spans="1:57" ht="15.75" customHeight="1">
      <c r="A947" s="430"/>
      <c r="B947" s="430"/>
      <c r="C947" s="430"/>
      <c r="D947" s="430"/>
      <c r="E947" s="430"/>
      <c r="F947" s="430"/>
      <c r="G947" s="430"/>
      <c r="H947" s="430"/>
      <c r="I947" s="430"/>
      <c r="J947" s="430"/>
      <c r="K947" s="430"/>
      <c r="L947" s="430"/>
      <c r="M947" s="430"/>
      <c r="N947" s="430"/>
      <c r="O947" s="430"/>
      <c r="P947" s="430"/>
      <c r="Q947" s="430"/>
      <c r="R947" s="430"/>
      <c r="S947" s="430"/>
      <c r="T947" s="430"/>
      <c r="U947" s="430"/>
      <c r="V947" s="430"/>
      <c r="W947" s="430"/>
      <c r="X947" s="430"/>
      <c r="Y947" s="430"/>
      <c r="Z947" s="430"/>
      <c r="AA947" s="430"/>
      <c r="AB947" s="430"/>
      <c r="AC947" s="430"/>
      <c r="AD947" s="430"/>
      <c r="AE947" s="430"/>
      <c r="AF947" s="430"/>
      <c r="AG947" s="430"/>
      <c r="AH947" s="430"/>
      <c r="AI947" s="430"/>
      <c r="AJ947" s="430"/>
      <c r="AK947" s="430"/>
      <c r="AL947" s="430"/>
      <c r="AM947" s="430"/>
      <c r="AN947" s="430"/>
      <c r="AO947" s="430"/>
      <c r="AP947" s="430"/>
      <c r="AQ947" s="430"/>
      <c r="AR947" s="430"/>
      <c r="AS947" s="430"/>
      <c r="AT947" s="430"/>
      <c r="AU947" s="430"/>
      <c r="AV947" s="430"/>
      <c r="AW947" s="430"/>
      <c r="AX947" s="430"/>
      <c r="AY947" s="430"/>
      <c r="AZ947" s="430"/>
      <c r="BA947" s="430"/>
      <c r="BB947" s="430"/>
      <c r="BC947" s="430"/>
      <c r="BD947" s="430"/>
      <c r="BE947" s="430"/>
    </row>
    <row r="948" spans="1:57" ht="15.75" customHeight="1">
      <c r="A948" s="430"/>
      <c r="B948" s="430"/>
      <c r="C948" s="430"/>
      <c r="D948" s="430"/>
      <c r="E948" s="430"/>
      <c r="F948" s="430"/>
      <c r="G948" s="430"/>
      <c r="H948" s="430"/>
      <c r="I948" s="430"/>
      <c r="J948" s="430"/>
      <c r="K948" s="430"/>
      <c r="L948" s="430"/>
      <c r="M948" s="430"/>
      <c r="N948" s="430"/>
      <c r="O948" s="430"/>
      <c r="P948" s="430"/>
      <c r="Q948" s="430"/>
      <c r="R948" s="430"/>
      <c r="S948" s="430"/>
      <c r="T948" s="430"/>
      <c r="U948" s="430"/>
      <c r="V948" s="430"/>
      <c r="W948" s="430"/>
      <c r="X948" s="430"/>
      <c r="Y948" s="430"/>
      <c r="Z948" s="430"/>
      <c r="AA948" s="430"/>
      <c r="AB948" s="430"/>
      <c r="AC948" s="430"/>
      <c r="AD948" s="430"/>
      <c r="AE948" s="430"/>
      <c r="AF948" s="430"/>
      <c r="AG948" s="430"/>
      <c r="AH948" s="430"/>
      <c r="AI948" s="430"/>
      <c r="AJ948" s="430"/>
      <c r="AK948" s="430"/>
      <c r="AL948" s="430"/>
      <c r="AM948" s="430"/>
      <c r="AN948" s="430"/>
      <c r="AO948" s="430"/>
      <c r="AP948" s="430"/>
      <c r="AQ948" s="430"/>
      <c r="AR948" s="430"/>
      <c r="AS948" s="430"/>
      <c r="AT948" s="430"/>
      <c r="AU948" s="430"/>
      <c r="AV948" s="430"/>
      <c r="AW948" s="430"/>
      <c r="AX948" s="430"/>
      <c r="AY948" s="430"/>
      <c r="AZ948" s="430"/>
      <c r="BA948" s="430"/>
      <c r="BB948" s="430"/>
      <c r="BC948" s="430"/>
      <c r="BD948" s="430"/>
      <c r="BE948" s="430"/>
    </row>
    <row r="949" spans="1:57" ht="15.75" customHeight="1">
      <c r="A949" s="430"/>
      <c r="B949" s="430"/>
      <c r="C949" s="430"/>
      <c r="D949" s="430"/>
      <c r="E949" s="430"/>
      <c r="F949" s="430"/>
      <c r="G949" s="430"/>
      <c r="H949" s="430"/>
      <c r="I949" s="430"/>
      <c r="J949" s="430"/>
      <c r="K949" s="430"/>
      <c r="L949" s="430"/>
      <c r="M949" s="430"/>
      <c r="N949" s="430"/>
      <c r="O949" s="430"/>
      <c r="P949" s="430"/>
      <c r="Q949" s="430"/>
      <c r="R949" s="430"/>
      <c r="S949" s="430"/>
      <c r="T949" s="430"/>
      <c r="U949" s="430"/>
      <c r="V949" s="430"/>
      <c r="W949" s="430"/>
      <c r="X949" s="430"/>
      <c r="Y949" s="430"/>
      <c r="Z949" s="430"/>
      <c r="AA949" s="430"/>
      <c r="AB949" s="430"/>
      <c r="AC949" s="430"/>
      <c r="AD949" s="430"/>
      <c r="AE949" s="430"/>
      <c r="AF949" s="430"/>
      <c r="AG949" s="430"/>
      <c r="AH949" s="430"/>
      <c r="AI949" s="430"/>
      <c r="AJ949" s="430"/>
      <c r="AK949" s="430"/>
      <c r="AL949" s="430"/>
      <c r="AM949" s="430"/>
      <c r="AN949" s="430"/>
      <c r="AO949" s="430"/>
      <c r="AP949" s="430"/>
      <c r="AQ949" s="430"/>
      <c r="AR949" s="430"/>
      <c r="AS949" s="430"/>
      <c r="AT949" s="430"/>
      <c r="AU949" s="430"/>
      <c r="AV949" s="430"/>
      <c r="AW949" s="430"/>
      <c r="AX949" s="430"/>
      <c r="AY949" s="430"/>
      <c r="AZ949" s="430"/>
      <c r="BA949" s="430"/>
      <c r="BB949" s="430"/>
      <c r="BC949" s="430"/>
      <c r="BD949" s="430"/>
      <c r="BE949" s="430"/>
    </row>
    <row r="950" spans="1:57" ht="15.75" customHeight="1">
      <c r="A950" s="430"/>
      <c r="B950" s="430"/>
      <c r="C950" s="430"/>
      <c r="D950" s="430"/>
      <c r="E950" s="430"/>
      <c r="F950" s="430"/>
      <c r="G950" s="430"/>
      <c r="H950" s="430"/>
      <c r="I950" s="430"/>
      <c r="J950" s="430"/>
      <c r="K950" s="430"/>
      <c r="L950" s="430"/>
      <c r="M950" s="430"/>
      <c r="N950" s="430"/>
      <c r="O950" s="430"/>
      <c r="P950" s="430"/>
      <c r="Q950" s="430"/>
      <c r="R950" s="430"/>
      <c r="S950" s="430"/>
      <c r="T950" s="430"/>
      <c r="U950" s="430"/>
      <c r="V950" s="430"/>
      <c r="W950" s="430"/>
      <c r="X950" s="430"/>
      <c r="Y950" s="430"/>
      <c r="Z950" s="430"/>
      <c r="AA950" s="430"/>
      <c r="AB950" s="430"/>
      <c r="AC950" s="430"/>
      <c r="AD950" s="430"/>
      <c r="AE950" s="430"/>
      <c r="AF950" s="430"/>
      <c r="AG950" s="430"/>
      <c r="AH950" s="430"/>
      <c r="AI950" s="430"/>
      <c r="AJ950" s="430"/>
      <c r="AK950" s="430"/>
      <c r="AL950" s="430"/>
      <c r="AM950" s="430"/>
      <c r="AN950" s="430"/>
      <c r="AO950" s="430"/>
      <c r="AP950" s="430"/>
      <c r="AQ950" s="430"/>
      <c r="AR950" s="430"/>
      <c r="AS950" s="430"/>
      <c r="AT950" s="430"/>
      <c r="AU950" s="430"/>
      <c r="AV950" s="430"/>
      <c r="AW950" s="430"/>
      <c r="AX950" s="430"/>
      <c r="AY950" s="430"/>
      <c r="AZ950" s="430"/>
      <c r="BA950" s="430"/>
      <c r="BB950" s="430"/>
      <c r="BC950" s="430"/>
      <c r="BD950" s="430"/>
      <c r="BE950" s="430"/>
    </row>
    <row r="951" spans="1:57" ht="15.75" customHeight="1">
      <c r="A951" s="430"/>
      <c r="B951" s="430"/>
      <c r="C951" s="430"/>
      <c r="D951" s="430"/>
      <c r="E951" s="430"/>
      <c r="F951" s="430"/>
      <c r="G951" s="430"/>
      <c r="H951" s="430"/>
      <c r="I951" s="430"/>
      <c r="J951" s="430"/>
      <c r="K951" s="430"/>
      <c r="L951" s="430"/>
      <c r="M951" s="430"/>
      <c r="N951" s="430"/>
      <c r="O951" s="430"/>
      <c r="P951" s="430"/>
      <c r="Q951" s="430"/>
      <c r="R951" s="430"/>
      <c r="S951" s="430"/>
      <c r="T951" s="430"/>
      <c r="U951" s="430"/>
      <c r="V951" s="430"/>
      <c r="W951" s="430"/>
      <c r="X951" s="430"/>
      <c r="Y951" s="430"/>
      <c r="Z951" s="430"/>
      <c r="AA951" s="430"/>
      <c r="AB951" s="430"/>
      <c r="AC951" s="430"/>
      <c r="AD951" s="430"/>
      <c r="AE951" s="430"/>
      <c r="AF951" s="430"/>
      <c r="AG951" s="430"/>
      <c r="AH951" s="430"/>
      <c r="AI951" s="430"/>
      <c r="AJ951" s="430"/>
      <c r="AK951" s="430"/>
      <c r="AL951" s="430"/>
      <c r="AM951" s="430"/>
      <c r="AN951" s="430"/>
      <c r="AO951" s="430"/>
      <c r="AP951" s="430"/>
      <c r="AQ951" s="430"/>
      <c r="AR951" s="430"/>
      <c r="AS951" s="430"/>
      <c r="AT951" s="430"/>
      <c r="AU951" s="430"/>
      <c r="AV951" s="430"/>
      <c r="AW951" s="430"/>
      <c r="AX951" s="430"/>
      <c r="AY951" s="430"/>
      <c r="AZ951" s="430"/>
      <c r="BA951" s="430"/>
      <c r="BB951" s="430"/>
      <c r="BC951" s="430"/>
      <c r="BD951" s="430"/>
      <c r="BE951" s="430"/>
    </row>
    <row r="952" spans="1:57" ht="15.75" customHeight="1">
      <c r="A952" s="430"/>
      <c r="B952" s="430"/>
      <c r="C952" s="430"/>
      <c r="D952" s="430"/>
      <c r="E952" s="430"/>
      <c r="F952" s="430"/>
      <c r="G952" s="430"/>
      <c r="H952" s="430"/>
      <c r="I952" s="430"/>
      <c r="J952" s="430"/>
      <c r="K952" s="430"/>
      <c r="L952" s="430"/>
      <c r="M952" s="430"/>
      <c r="N952" s="430"/>
      <c r="O952" s="430"/>
      <c r="P952" s="430"/>
      <c r="Q952" s="430"/>
      <c r="R952" s="430"/>
      <c r="S952" s="430"/>
      <c r="T952" s="430"/>
      <c r="U952" s="430"/>
      <c r="V952" s="430"/>
      <c r="W952" s="430"/>
      <c r="X952" s="430"/>
      <c r="Y952" s="430"/>
      <c r="Z952" s="430"/>
      <c r="AA952" s="430"/>
      <c r="AB952" s="430"/>
      <c r="AC952" s="430"/>
      <c r="AD952" s="430"/>
      <c r="AE952" s="430"/>
      <c r="AF952" s="430"/>
      <c r="AG952" s="430"/>
      <c r="AH952" s="430"/>
      <c r="AI952" s="430"/>
      <c r="AJ952" s="430"/>
      <c r="AK952" s="430"/>
      <c r="AL952" s="430"/>
      <c r="AM952" s="430"/>
      <c r="AN952" s="430"/>
      <c r="AO952" s="430"/>
      <c r="AP952" s="430"/>
      <c r="AQ952" s="430"/>
      <c r="AR952" s="430"/>
      <c r="AS952" s="430"/>
      <c r="AT952" s="430"/>
      <c r="AU952" s="430"/>
      <c r="AV952" s="430"/>
      <c r="AW952" s="430"/>
      <c r="AX952" s="430"/>
      <c r="AY952" s="430"/>
      <c r="AZ952" s="430"/>
      <c r="BA952" s="430"/>
      <c r="BB952" s="430"/>
      <c r="BC952" s="430"/>
      <c r="BD952" s="430"/>
      <c r="BE952" s="430"/>
    </row>
    <row r="953" spans="1:57" ht="15.75" customHeight="1">
      <c r="A953" s="430"/>
      <c r="B953" s="430"/>
      <c r="C953" s="430"/>
      <c r="D953" s="430"/>
      <c r="E953" s="430"/>
      <c r="F953" s="430"/>
      <c r="G953" s="430"/>
      <c r="H953" s="430"/>
      <c r="I953" s="430"/>
      <c r="J953" s="430"/>
      <c r="K953" s="430"/>
      <c r="L953" s="430"/>
      <c r="M953" s="430"/>
      <c r="N953" s="430"/>
      <c r="O953" s="430"/>
      <c r="P953" s="430"/>
      <c r="Q953" s="430"/>
      <c r="R953" s="430"/>
      <c r="S953" s="430"/>
      <c r="T953" s="430"/>
      <c r="U953" s="430"/>
      <c r="V953" s="430"/>
      <c r="W953" s="430"/>
      <c r="X953" s="430"/>
      <c r="Y953" s="430"/>
      <c r="Z953" s="430"/>
      <c r="AA953" s="430"/>
      <c r="AB953" s="430"/>
      <c r="AC953" s="430"/>
      <c r="AD953" s="430"/>
      <c r="AE953" s="430"/>
      <c r="AF953" s="430"/>
      <c r="AG953" s="430"/>
      <c r="AH953" s="430"/>
      <c r="AI953" s="430"/>
      <c r="AJ953" s="430"/>
      <c r="AK953" s="430"/>
      <c r="AL953" s="430"/>
      <c r="AM953" s="430"/>
      <c r="AN953" s="430"/>
      <c r="AO953" s="430"/>
      <c r="AP953" s="430"/>
      <c r="AQ953" s="430"/>
      <c r="AR953" s="430"/>
      <c r="AS953" s="430"/>
      <c r="AT953" s="430"/>
      <c r="AU953" s="430"/>
      <c r="AV953" s="430"/>
      <c r="AW953" s="430"/>
      <c r="AX953" s="430"/>
      <c r="AY953" s="430"/>
      <c r="AZ953" s="430"/>
      <c r="BA953" s="430"/>
      <c r="BB953" s="430"/>
      <c r="BC953" s="430"/>
      <c r="BD953" s="430"/>
      <c r="BE953" s="430"/>
    </row>
    <row r="954" spans="1:57" ht="15.75" customHeight="1">
      <c r="A954" s="430"/>
      <c r="B954" s="430"/>
      <c r="C954" s="430"/>
      <c r="D954" s="430"/>
      <c r="E954" s="430"/>
      <c r="F954" s="430"/>
      <c r="G954" s="430"/>
      <c r="H954" s="430"/>
      <c r="I954" s="430"/>
      <c r="J954" s="430"/>
      <c r="K954" s="430"/>
      <c r="L954" s="430"/>
      <c r="M954" s="430"/>
      <c r="N954" s="430"/>
      <c r="O954" s="430"/>
      <c r="P954" s="430"/>
      <c r="Q954" s="430"/>
      <c r="R954" s="430"/>
      <c r="S954" s="430"/>
      <c r="T954" s="430"/>
      <c r="U954" s="430"/>
      <c r="V954" s="430"/>
      <c r="W954" s="430"/>
      <c r="X954" s="430"/>
      <c r="Y954" s="430"/>
      <c r="Z954" s="430"/>
      <c r="AA954" s="430"/>
      <c r="AB954" s="430"/>
      <c r="AC954" s="430"/>
      <c r="AD954" s="430"/>
      <c r="AE954" s="430"/>
      <c r="AF954" s="430"/>
      <c r="AG954" s="430"/>
      <c r="AH954" s="430"/>
      <c r="AI954" s="430"/>
      <c r="AJ954" s="430"/>
      <c r="AK954" s="430"/>
      <c r="AL954" s="430"/>
      <c r="AM954" s="430"/>
      <c r="AN954" s="430"/>
      <c r="AO954" s="430"/>
      <c r="AP954" s="430"/>
      <c r="AQ954" s="430"/>
      <c r="AR954" s="430"/>
      <c r="AS954" s="430"/>
      <c r="AT954" s="430"/>
      <c r="AU954" s="430"/>
      <c r="AV954" s="430"/>
      <c r="AW954" s="430"/>
      <c r="AX954" s="430"/>
      <c r="AY954" s="430"/>
      <c r="AZ954" s="430"/>
      <c r="BA954" s="430"/>
      <c r="BB954" s="430"/>
      <c r="BC954" s="430"/>
      <c r="BD954" s="430"/>
      <c r="BE954" s="430"/>
    </row>
    <row r="955" spans="1:57" ht="15.75" customHeight="1">
      <c r="A955" s="430"/>
      <c r="B955" s="430"/>
      <c r="C955" s="430"/>
      <c r="D955" s="430"/>
      <c r="E955" s="430"/>
      <c r="F955" s="430"/>
      <c r="G955" s="430"/>
      <c r="H955" s="430"/>
      <c r="I955" s="430"/>
      <c r="J955" s="430"/>
      <c r="K955" s="430"/>
      <c r="L955" s="430"/>
      <c r="M955" s="430"/>
      <c r="N955" s="430"/>
      <c r="O955" s="430"/>
      <c r="P955" s="430"/>
      <c r="Q955" s="430"/>
      <c r="R955" s="430"/>
      <c r="S955" s="430"/>
      <c r="T955" s="430"/>
      <c r="U955" s="430"/>
      <c r="V955" s="430"/>
      <c r="W955" s="430"/>
      <c r="X955" s="430"/>
      <c r="Y955" s="430"/>
      <c r="Z955" s="430"/>
      <c r="AA955" s="430"/>
      <c r="AB955" s="430"/>
      <c r="AC955" s="430"/>
      <c r="AD955" s="430"/>
      <c r="AE955" s="430"/>
      <c r="AF955" s="430"/>
      <c r="AG955" s="430"/>
      <c r="AH955" s="430"/>
      <c r="AI955" s="430"/>
      <c r="AJ955" s="430"/>
      <c r="AK955" s="430"/>
      <c r="AL955" s="430"/>
      <c r="AM955" s="430"/>
      <c r="AN955" s="430"/>
      <c r="AO955" s="430"/>
      <c r="AP955" s="430"/>
      <c r="AQ955" s="430"/>
      <c r="AR955" s="430"/>
      <c r="AS955" s="430"/>
      <c r="AT955" s="430"/>
      <c r="AU955" s="430"/>
      <c r="AV955" s="430"/>
      <c r="AW955" s="430"/>
      <c r="AX955" s="430"/>
      <c r="AY955" s="430"/>
      <c r="AZ955" s="430"/>
      <c r="BA955" s="430"/>
      <c r="BB955" s="430"/>
      <c r="BC955" s="430"/>
      <c r="BD955" s="430"/>
      <c r="BE955" s="430"/>
    </row>
    <row r="956" spans="1:57" ht="15.75" customHeight="1">
      <c r="A956" s="430"/>
      <c r="B956" s="430"/>
      <c r="C956" s="430"/>
      <c r="D956" s="430"/>
      <c r="E956" s="430"/>
      <c r="F956" s="430"/>
      <c r="G956" s="430"/>
      <c r="H956" s="430"/>
      <c r="I956" s="430"/>
      <c r="J956" s="430"/>
      <c r="K956" s="430"/>
      <c r="L956" s="430"/>
      <c r="M956" s="430"/>
      <c r="N956" s="430"/>
      <c r="O956" s="430"/>
      <c r="P956" s="430"/>
      <c r="Q956" s="430"/>
      <c r="R956" s="430"/>
      <c r="S956" s="430"/>
      <c r="T956" s="430"/>
      <c r="U956" s="430"/>
      <c r="V956" s="430"/>
      <c r="W956" s="430"/>
      <c r="X956" s="430"/>
      <c r="Y956" s="430"/>
      <c r="Z956" s="430"/>
      <c r="AA956" s="430"/>
      <c r="AB956" s="430"/>
      <c r="AC956" s="430"/>
      <c r="AD956" s="430"/>
      <c r="AE956" s="430"/>
      <c r="AF956" s="430"/>
      <c r="AG956" s="430"/>
      <c r="AH956" s="430"/>
      <c r="AI956" s="430"/>
      <c r="AJ956" s="430"/>
      <c r="AK956" s="430"/>
      <c r="AL956" s="430"/>
      <c r="AM956" s="430"/>
      <c r="AN956" s="430"/>
      <c r="AO956" s="430"/>
      <c r="AP956" s="430"/>
      <c r="AQ956" s="430"/>
      <c r="AR956" s="430"/>
      <c r="AS956" s="430"/>
      <c r="AT956" s="430"/>
      <c r="AU956" s="430"/>
      <c r="AV956" s="430"/>
      <c r="AW956" s="430"/>
      <c r="AX956" s="430"/>
      <c r="AY956" s="430"/>
      <c r="AZ956" s="430"/>
      <c r="BA956" s="430"/>
      <c r="BB956" s="430"/>
      <c r="BC956" s="430"/>
      <c r="BD956" s="430"/>
      <c r="BE956" s="430"/>
    </row>
    <row r="957" spans="1:57" ht="15.75" customHeight="1">
      <c r="A957" s="430"/>
      <c r="B957" s="430"/>
      <c r="C957" s="430"/>
      <c r="D957" s="430"/>
      <c r="E957" s="430"/>
      <c r="F957" s="430"/>
      <c r="G957" s="430"/>
      <c r="H957" s="430"/>
      <c r="I957" s="430"/>
      <c r="J957" s="430"/>
      <c r="K957" s="430"/>
      <c r="L957" s="430"/>
      <c r="M957" s="430"/>
      <c r="N957" s="430"/>
      <c r="O957" s="430"/>
      <c r="P957" s="430"/>
      <c r="Q957" s="430"/>
      <c r="R957" s="430"/>
      <c r="S957" s="430"/>
      <c r="T957" s="430"/>
      <c r="U957" s="430"/>
      <c r="V957" s="430"/>
      <c r="W957" s="430"/>
      <c r="X957" s="430"/>
      <c r="Y957" s="430"/>
      <c r="Z957" s="430"/>
      <c r="AA957" s="430"/>
      <c r="AB957" s="430"/>
      <c r="AC957" s="430"/>
      <c r="AD957" s="430"/>
      <c r="AE957" s="430"/>
      <c r="AF957" s="430"/>
      <c r="AG957" s="430"/>
      <c r="AH957" s="430"/>
      <c r="AI957" s="430"/>
      <c r="AJ957" s="430"/>
      <c r="AK957" s="430"/>
      <c r="AL957" s="430"/>
      <c r="AM957" s="430"/>
      <c r="AN957" s="430"/>
      <c r="AO957" s="430"/>
      <c r="AP957" s="430"/>
      <c r="AQ957" s="430"/>
      <c r="AR957" s="430"/>
      <c r="AS957" s="430"/>
      <c r="AT957" s="430"/>
      <c r="AU957" s="430"/>
      <c r="AV957" s="430"/>
      <c r="AW957" s="430"/>
      <c r="AX957" s="430"/>
      <c r="AY957" s="430"/>
      <c r="AZ957" s="430"/>
      <c r="BA957" s="430"/>
      <c r="BB957" s="430"/>
      <c r="BC957" s="430"/>
      <c r="BD957" s="430"/>
      <c r="BE957" s="430"/>
    </row>
    <row r="958" spans="1:57" ht="15.75" customHeight="1">
      <c r="A958" s="430"/>
      <c r="B958" s="430"/>
      <c r="C958" s="430"/>
      <c r="D958" s="430"/>
      <c r="E958" s="430"/>
      <c r="F958" s="430"/>
      <c r="G958" s="430"/>
      <c r="H958" s="430"/>
      <c r="I958" s="430"/>
      <c r="J958" s="430"/>
      <c r="K958" s="430"/>
      <c r="L958" s="430"/>
      <c r="M958" s="430"/>
      <c r="N958" s="430"/>
      <c r="O958" s="430"/>
      <c r="P958" s="430"/>
      <c r="Q958" s="430"/>
      <c r="R958" s="430"/>
      <c r="S958" s="430"/>
      <c r="T958" s="430"/>
      <c r="U958" s="430"/>
      <c r="V958" s="430"/>
      <c r="W958" s="430"/>
      <c r="X958" s="430"/>
      <c r="Y958" s="430"/>
      <c r="Z958" s="430"/>
      <c r="AA958" s="430"/>
      <c r="AB958" s="430"/>
      <c r="AC958" s="430"/>
      <c r="AD958" s="430"/>
      <c r="AE958" s="430"/>
      <c r="AF958" s="430"/>
      <c r="AG958" s="430"/>
      <c r="AH958" s="430"/>
      <c r="AI958" s="430"/>
      <c r="AJ958" s="430"/>
      <c r="AK958" s="430"/>
      <c r="AL958" s="430"/>
      <c r="AM958" s="430"/>
      <c r="AN958" s="430"/>
      <c r="AO958" s="430"/>
      <c r="AP958" s="430"/>
      <c r="AQ958" s="430"/>
      <c r="AR958" s="430"/>
      <c r="AS958" s="430"/>
      <c r="AT958" s="430"/>
      <c r="AU958" s="430"/>
      <c r="AV958" s="430"/>
      <c r="AW958" s="430"/>
      <c r="AX958" s="430"/>
      <c r="AY958" s="430"/>
      <c r="AZ958" s="430"/>
      <c r="BA958" s="430"/>
      <c r="BB958" s="430"/>
      <c r="BC958" s="430"/>
      <c r="BD958" s="430"/>
      <c r="BE958" s="430"/>
    </row>
    <row r="959" spans="1:57" ht="15.75" customHeight="1">
      <c r="A959" s="430"/>
      <c r="B959" s="430"/>
      <c r="C959" s="430"/>
      <c r="D959" s="430"/>
      <c r="E959" s="430"/>
      <c r="F959" s="430"/>
      <c r="G959" s="430"/>
      <c r="H959" s="430"/>
      <c r="I959" s="430"/>
      <c r="J959" s="430"/>
      <c r="K959" s="430"/>
      <c r="L959" s="430"/>
      <c r="M959" s="430"/>
      <c r="N959" s="430"/>
      <c r="O959" s="430"/>
      <c r="P959" s="430"/>
      <c r="Q959" s="430"/>
      <c r="R959" s="430"/>
      <c r="S959" s="430"/>
      <c r="T959" s="430"/>
      <c r="U959" s="430"/>
      <c r="V959" s="430"/>
      <c r="W959" s="430"/>
      <c r="X959" s="430"/>
      <c r="Y959" s="430"/>
      <c r="Z959" s="430"/>
      <c r="AA959" s="430"/>
      <c r="AB959" s="430"/>
      <c r="AC959" s="430"/>
      <c r="AD959" s="430"/>
      <c r="AE959" s="430"/>
      <c r="AF959" s="430"/>
      <c r="AG959" s="430"/>
      <c r="AH959" s="430"/>
      <c r="AI959" s="430"/>
      <c r="AJ959" s="430"/>
      <c r="AK959" s="430"/>
      <c r="AL959" s="430"/>
      <c r="AM959" s="430"/>
      <c r="AN959" s="430"/>
      <c r="AO959" s="430"/>
      <c r="AP959" s="430"/>
      <c r="AQ959" s="430"/>
      <c r="AR959" s="430"/>
      <c r="AS959" s="430"/>
      <c r="AT959" s="430"/>
      <c r="AU959" s="430"/>
      <c r="AV959" s="430"/>
      <c r="AW959" s="430"/>
      <c r="AX959" s="430"/>
      <c r="AY959" s="430"/>
      <c r="AZ959" s="430"/>
      <c r="BA959" s="430"/>
      <c r="BB959" s="430"/>
      <c r="BC959" s="430"/>
      <c r="BD959" s="430"/>
      <c r="BE959" s="430"/>
    </row>
    <row r="960" spans="1:57" ht="15.75" customHeight="1">
      <c r="A960" s="430"/>
      <c r="B960" s="430"/>
      <c r="C960" s="430"/>
      <c r="D960" s="430"/>
      <c r="E960" s="430"/>
      <c r="F960" s="430"/>
      <c r="G960" s="430"/>
      <c r="H960" s="430"/>
      <c r="I960" s="430"/>
      <c r="J960" s="430"/>
      <c r="K960" s="430"/>
      <c r="L960" s="430"/>
      <c r="M960" s="430"/>
      <c r="N960" s="430"/>
      <c r="O960" s="430"/>
      <c r="P960" s="430"/>
      <c r="Q960" s="430"/>
      <c r="R960" s="430"/>
      <c r="S960" s="430"/>
      <c r="T960" s="430"/>
      <c r="U960" s="430"/>
      <c r="V960" s="430"/>
      <c r="W960" s="430"/>
      <c r="X960" s="430"/>
      <c r="Y960" s="430"/>
      <c r="Z960" s="430"/>
      <c r="AA960" s="430"/>
      <c r="AB960" s="430"/>
      <c r="AC960" s="430"/>
      <c r="AD960" s="430"/>
      <c r="AE960" s="430"/>
      <c r="AF960" s="430"/>
      <c r="AG960" s="430"/>
      <c r="AH960" s="430"/>
      <c r="AI960" s="430"/>
      <c r="AJ960" s="430"/>
      <c r="AK960" s="430"/>
      <c r="AL960" s="430"/>
      <c r="AM960" s="430"/>
      <c r="AN960" s="430"/>
      <c r="AO960" s="430"/>
      <c r="AP960" s="430"/>
      <c r="AQ960" s="430"/>
      <c r="AR960" s="430"/>
      <c r="AS960" s="430"/>
      <c r="AT960" s="430"/>
      <c r="AU960" s="430"/>
      <c r="AV960" s="430"/>
      <c r="AW960" s="430"/>
      <c r="AX960" s="430"/>
      <c r="AY960" s="430"/>
      <c r="AZ960" s="430"/>
      <c r="BA960" s="430"/>
      <c r="BB960" s="430"/>
      <c r="BC960" s="430"/>
      <c r="BD960" s="430"/>
      <c r="BE960" s="430"/>
    </row>
    <row r="961" spans="1:57" ht="15.75" customHeight="1">
      <c r="A961" s="430"/>
      <c r="B961" s="430"/>
      <c r="C961" s="430"/>
      <c r="D961" s="430"/>
      <c r="E961" s="430"/>
      <c r="F961" s="430"/>
      <c r="G961" s="430"/>
      <c r="H961" s="430"/>
      <c r="I961" s="430"/>
      <c r="J961" s="430"/>
      <c r="K961" s="430"/>
      <c r="L961" s="430"/>
      <c r="M961" s="430"/>
      <c r="N961" s="430"/>
      <c r="O961" s="430"/>
      <c r="P961" s="430"/>
      <c r="Q961" s="430"/>
      <c r="R961" s="430"/>
      <c r="S961" s="430"/>
      <c r="T961" s="430"/>
      <c r="U961" s="430"/>
      <c r="V961" s="430"/>
      <c r="W961" s="430"/>
      <c r="X961" s="430"/>
      <c r="Y961" s="430"/>
      <c r="Z961" s="430"/>
      <c r="AA961" s="430"/>
      <c r="AB961" s="430"/>
      <c r="AC961" s="430"/>
      <c r="AD961" s="430"/>
      <c r="AE961" s="430"/>
      <c r="AF961" s="430"/>
      <c r="AG961" s="430"/>
      <c r="AH961" s="430"/>
      <c r="AI961" s="430"/>
      <c r="AJ961" s="430"/>
      <c r="AK961" s="430"/>
      <c r="AL961" s="430"/>
      <c r="AM961" s="430"/>
      <c r="AN961" s="430"/>
      <c r="AO961" s="430"/>
      <c r="AP961" s="430"/>
      <c r="AQ961" s="430"/>
      <c r="AR961" s="430"/>
      <c r="AS961" s="430"/>
      <c r="AT961" s="430"/>
      <c r="AU961" s="430"/>
      <c r="AV961" s="430"/>
      <c r="AW961" s="430"/>
      <c r="AX961" s="430"/>
      <c r="AY961" s="430"/>
      <c r="AZ961" s="430"/>
      <c r="BA961" s="430"/>
      <c r="BB961" s="430"/>
      <c r="BC961" s="430"/>
      <c r="BD961" s="430"/>
      <c r="BE961" s="430"/>
    </row>
    <row r="962" spans="1:57" ht="15.75" customHeight="1">
      <c r="A962" s="430"/>
      <c r="B962" s="430"/>
      <c r="C962" s="430"/>
      <c r="D962" s="430"/>
      <c r="E962" s="430"/>
      <c r="F962" s="430"/>
      <c r="G962" s="430"/>
      <c r="H962" s="430"/>
      <c r="I962" s="430"/>
      <c r="J962" s="430"/>
      <c r="K962" s="430"/>
      <c r="L962" s="430"/>
      <c r="M962" s="430"/>
      <c r="N962" s="430"/>
      <c r="O962" s="430"/>
      <c r="P962" s="430"/>
      <c r="Q962" s="430"/>
      <c r="R962" s="430"/>
      <c r="S962" s="430"/>
      <c r="T962" s="430"/>
      <c r="U962" s="430"/>
      <c r="V962" s="430"/>
      <c r="W962" s="430"/>
      <c r="X962" s="430"/>
      <c r="Y962" s="430"/>
      <c r="Z962" s="430"/>
      <c r="AA962" s="430"/>
      <c r="AB962" s="430"/>
      <c r="AC962" s="430"/>
      <c r="AD962" s="430"/>
      <c r="AE962" s="430"/>
      <c r="AF962" s="430"/>
      <c r="AG962" s="430"/>
      <c r="AH962" s="430"/>
      <c r="AI962" s="430"/>
      <c r="AJ962" s="430"/>
      <c r="AK962" s="430"/>
      <c r="AL962" s="430"/>
      <c r="AM962" s="430"/>
      <c r="AN962" s="430"/>
      <c r="AO962" s="430"/>
      <c r="AP962" s="430"/>
      <c r="AQ962" s="430"/>
      <c r="AR962" s="430"/>
      <c r="AS962" s="430"/>
      <c r="AT962" s="430"/>
      <c r="AU962" s="430"/>
      <c r="AV962" s="430"/>
      <c r="AW962" s="430"/>
      <c r="AX962" s="430"/>
      <c r="AY962" s="430"/>
      <c r="AZ962" s="430"/>
      <c r="BA962" s="430"/>
      <c r="BB962" s="430"/>
      <c r="BC962" s="430"/>
      <c r="BD962" s="430"/>
      <c r="BE962" s="430"/>
    </row>
    <row r="963" spans="1:57" ht="15.75" customHeight="1">
      <c r="A963" s="430"/>
      <c r="B963" s="430"/>
      <c r="C963" s="430"/>
      <c r="D963" s="430"/>
      <c r="E963" s="430"/>
      <c r="F963" s="430"/>
      <c r="G963" s="430"/>
      <c r="H963" s="430"/>
      <c r="I963" s="430"/>
      <c r="J963" s="430"/>
      <c r="K963" s="430"/>
      <c r="L963" s="430"/>
      <c r="M963" s="430"/>
      <c r="N963" s="430"/>
      <c r="O963" s="430"/>
      <c r="P963" s="430"/>
      <c r="Q963" s="430"/>
      <c r="R963" s="430"/>
      <c r="S963" s="430"/>
      <c r="T963" s="430"/>
      <c r="U963" s="430"/>
      <c r="V963" s="430"/>
      <c r="W963" s="430"/>
      <c r="X963" s="430"/>
      <c r="Y963" s="430"/>
      <c r="Z963" s="430"/>
      <c r="AA963" s="430"/>
      <c r="AB963" s="430"/>
      <c r="AC963" s="430"/>
      <c r="AD963" s="430"/>
      <c r="AE963" s="430"/>
      <c r="AF963" s="430"/>
      <c r="AG963" s="430"/>
      <c r="AH963" s="430"/>
      <c r="AI963" s="430"/>
      <c r="AJ963" s="430"/>
      <c r="AK963" s="430"/>
      <c r="AL963" s="430"/>
      <c r="AM963" s="430"/>
      <c r="AN963" s="430"/>
      <c r="AO963" s="430"/>
      <c r="AP963" s="430"/>
      <c r="AQ963" s="430"/>
      <c r="AR963" s="430"/>
      <c r="AS963" s="430"/>
      <c r="AT963" s="430"/>
      <c r="AU963" s="430"/>
      <c r="AV963" s="430"/>
      <c r="AW963" s="430"/>
      <c r="AX963" s="430"/>
      <c r="AY963" s="430"/>
      <c r="AZ963" s="430"/>
      <c r="BA963" s="430"/>
      <c r="BB963" s="430"/>
      <c r="BC963" s="430"/>
      <c r="BD963" s="430"/>
      <c r="BE963" s="430"/>
    </row>
    <row r="964" spans="1:57" ht="15.75" customHeight="1">
      <c r="A964" s="430"/>
      <c r="B964" s="430"/>
      <c r="C964" s="430"/>
      <c r="D964" s="430"/>
      <c r="E964" s="430"/>
      <c r="F964" s="430"/>
      <c r="G964" s="430"/>
      <c r="H964" s="430"/>
      <c r="I964" s="430"/>
      <c r="J964" s="430"/>
      <c r="K964" s="430"/>
      <c r="L964" s="430"/>
      <c r="M964" s="430"/>
      <c r="N964" s="430"/>
      <c r="O964" s="430"/>
      <c r="P964" s="430"/>
      <c r="Q964" s="430"/>
      <c r="R964" s="430"/>
      <c r="S964" s="430"/>
      <c r="T964" s="430"/>
      <c r="U964" s="430"/>
      <c r="V964" s="430"/>
      <c r="W964" s="430"/>
      <c r="X964" s="430"/>
      <c r="Y964" s="430"/>
      <c r="Z964" s="430"/>
      <c r="AA964" s="430"/>
      <c r="AB964" s="430"/>
      <c r="AC964" s="430"/>
      <c r="AD964" s="430"/>
      <c r="AE964" s="430"/>
      <c r="AF964" s="430"/>
      <c r="AG964" s="430"/>
      <c r="AH964" s="430"/>
      <c r="AI964" s="430"/>
      <c r="AJ964" s="430"/>
      <c r="AK964" s="430"/>
      <c r="AL964" s="430"/>
      <c r="AM964" s="430"/>
      <c r="AN964" s="430"/>
      <c r="AO964" s="430"/>
      <c r="AP964" s="430"/>
      <c r="AQ964" s="430"/>
      <c r="AR964" s="430"/>
      <c r="AS964" s="430"/>
      <c r="AT964" s="430"/>
      <c r="AU964" s="430"/>
      <c r="AV964" s="430"/>
      <c r="AW964" s="430"/>
      <c r="AX964" s="430"/>
      <c r="AY964" s="430"/>
      <c r="AZ964" s="430"/>
      <c r="BA964" s="430"/>
      <c r="BB964" s="430"/>
      <c r="BC964" s="430"/>
      <c r="BD964" s="430"/>
      <c r="BE964" s="430"/>
    </row>
    <row r="965" spans="1:57" ht="15.75" customHeight="1">
      <c r="A965" s="430"/>
      <c r="B965" s="430"/>
      <c r="C965" s="430"/>
      <c r="D965" s="430"/>
      <c r="E965" s="430"/>
      <c r="F965" s="430"/>
      <c r="G965" s="430"/>
      <c r="H965" s="430"/>
      <c r="I965" s="430"/>
      <c r="J965" s="430"/>
      <c r="K965" s="430"/>
      <c r="L965" s="430"/>
      <c r="M965" s="430"/>
      <c r="N965" s="430"/>
      <c r="O965" s="430"/>
      <c r="P965" s="430"/>
      <c r="Q965" s="430"/>
      <c r="R965" s="430"/>
      <c r="S965" s="430"/>
      <c r="T965" s="430"/>
      <c r="U965" s="430"/>
      <c r="V965" s="430"/>
      <c r="W965" s="430"/>
      <c r="X965" s="430"/>
      <c r="Y965" s="430"/>
      <c r="Z965" s="430"/>
      <c r="AA965" s="430"/>
      <c r="AB965" s="430"/>
      <c r="AC965" s="430"/>
      <c r="AD965" s="430"/>
      <c r="AE965" s="430"/>
      <c r="AF965" s="430"/>
      <c r="AG965" s="430"/>
      <c r="AH965" s="430"/>
      <c r="AI965" s="430"/>
      <c r="AJ965" s="430"/>
      <c r="AK965" s="430"/>
      <c r="AL965" s="430"/>
      <c r="AM965" s="430"/>
      <c r="AN965" s="430"/>
      <c r="AO965" s="430"/>
      <c r="AP965" s="430"/>
      <c r="AQ965" s="430"/>
      <c r="AR965" s="430"/>
      <c r="AS965" s="430"/>
      <c r="AT965" s="430"/>
      <c r="AU965" s="430"/>
      <c r="AV965" s="430"/>
      <c r="AW965" s="430"/>
      <c r="AX965" s="430"/>
      <c r="AY965" s="430"/>
      <c r="AZ965" s="430"/>
      <c r="BA965" s="430"/>
      <c r="BB965" s="430"/>
      <c r="BC965" s="430"/>
      <c r="BD965" s="430"/>
      <c r="BE965" s="430"/>
    </row>
    <row r="966" spans="1:57" ht="15.75" customHeight="1">
      <c r="A966" s="430"/>
      <c r="B966" s="430"/>
      <c r="C966" s="430"/>
      <c r="D966" s="430"/>
      <c r="E966" s="430"/>
      <c r="F966" s="430"/>
      <c r="G966" s="430"/>
      <c r="H966" s="430"/>
      <c r="I966" s="430"/>
      <c r="J966" s="430"/>
      <c r="K966" s="430"/>
      <c r="L966" s="430"/>
      <c r="M966" s="430"/>
      <c r="N966" s="430"/>
      <c r="O966" s="430"/>
      <c r="P966" s="430"/>
      <c r="Q966" s="430"/>
      <c r="R966" s="430"/>
      <c r="S966" s="430"/>
      <c r="T966" s="430"/>
      <c r="U966" s="430"/>
      <c r="V966" s="430"/>
      <c r="W966" s="430"/>
      <c r="X966" s="430"/>
      <c r="Y966" s="430"/>
      <c r="Z966" s="430"/>
      <c r="AA966" s="430"/>
      <c r="AB966" s="430"/>
      <c r="AC966" s="430"/>
      <c r="AD966" s="430"/>
      <c r="AE966" s="430"/>
      <c r="AF966" s="430"/>
      <c r="AG966" s="430"/>
      <c r="AH966" s="430"/>
      <c r="AI966" s="430"/>
      <c r="AJ966" s="430"/>
      <c r="AK966" s="430"/>
      <c r="AL966" s="430"/>
      <c r="AM966" s="430"/>
      <c r="AN966" s="430"/>
      <c r="AO966" s="430"/>
      <c r="AP966" s="430"/>
      <c r="AQ966" s="430"/>
      <c r="AR966" s="430"/>
      <c r="AS966" s="430"/>
      <c r="AT966" s="430"/>
      <c r="AU966" s="430"/>
      <c r="AV966" s="430"/>
      <c r="AW966" s="430"/>
      <c r="AX966" s="430"/>
      <c r="AY966" s="430"/>
      <c r="AZ966" s="430"/>
      <c r="BA966" s="430"/>
      <c r="BB966" s="430"/>
      <c r="BC966" s="430"/>
      <c r="BD966" s="430"/>
      <c r="BE966" s="430"/>
    </row>
    <row r="967" spans="1:57" ht="15.75" customHeight="1">
      <c r="A967" s="430"/>
      <c r="B967" s="430"/>
      <c r="C967" s="430"/>
      <c r="D967" s="430"/>
      <c r="E967" s="430"/>
      <c r="F967" s="430"/>
      <c r="G967" s="430"/>
      <c r="H967" s="430"/>
      <c r="I967" s="430"/>
      <c r="J967" s="430"/>
      <c r="K967" s="430"/>
      <c r="L967" s="430"/>
      <c r="M967" s="430"/>
      <c r="N967" s="430"/>
      <c r="O967" s="430"/>
      <c r="P967" s="430"/>
      <c r="Q967" s="430"/>
      <c r="R967" s="430"/>
      <c r="S967" s="430"/>
      <c r="T967" s="430"/>
      <c r="U967" s="430"/>
      <c r="V967" s="430"/>
      <c r="W967" s="430"/>
      <c r="X967" s="430"/>
      <c r="Y967" s="430"/>
      <c r="Z967" s="430"/>
      <c r="AA967" s="430"/>
      <c r="AB967" s="430"/>
      <c r="AC967" s="430"/>
      <c r="AD967" s="430"/>
      <c r="AE967" s="430"/>
      <c r="AF967" s="430"/>
      <c r="AG967" s="430"/>
      <c r="AH967" s="430"/>
      <c r="AI967" s="430"/>
      <c r="AJ967" s="430"/>
      <c r="AK967" s="430"/>
      <c r="AL967" s="430"/>
      <c r="AM967" s="430"/>
      <c r="AN967" s="430"/>
      <c r="AO967" s="430"/>
      <c r="AP967" s="430"/>
      <c r="AQ967" s="430"/>
      <c r="AR967" s="430"/>
      <c r="AS967" s="430"/>
      <c r="AT967" s="430"/>
      <c r="AU967" s="430"/>
      <c r="AV967" s="430"/>
      <c r="AW967" s="430"/>
      <c r="AX967" s="430"/>
      <c r="AY967" s="430"/>
      <c r="AZ967" s="430"/>
      <c r="BA967" s="430"/>
      <c r="BB967" s="430"/>
      <c r="BC967" s="430"/>
      <c r="BD967" s="430"/>
      <c r="BE967" s="430"/>
    </row>
    <row r="968" spans="1:57" ht="15.75" customHeight="1">
      <c r="A968" s="430"/>
      <c r="B968" s="430"/>
      <c r="C968" s="430"/>
      <c r="D968" s="430"/>
      <c r="E968" s="430"/>
      <c r="F968" s="430"/>
      <c r="G968" s="430"/>
      <c r="H968" s="430"/>
      <c r="I968" s="430"/>
      <c r="J968" s="430"/>
      <c r="K968" s="430"/>
      <c r="L968" s="430"/>
      <c r="M968" s="430"/>
      <c r="N968" s="430"/>
      <c r="O968" s="430"/>
      <c r="P968" s="430"/>
      <c r="Q968" s="430"/>
      <c r="R968" s="430"/>
      <c r="S968" s="430"/>
      <c r="T968" s="430"/>
      <c r="U968" s="430"/>
      <c r="V968" s="430"/>
      <c r="W968" s="430"/>
      <c r="X968" s="430"/>
      <c r="Y968" s="430"/>
      <c r="Z968" s="430"/>
      <c r="AA968" s="430"/>
      <c r="AB968" s="430"/>
      <c r="AC968" s="430"/>
      <c r="AD968" s="430"/>
      <c r="AE968" s="430"/>
      <c r="AF968" s="430"/>
      <c r="AG968" s="430"/>
      <c r="AH968" s="430"/>
      <c r="AI968" s="430"/>
      <c r="AJ968" s="430"/>
      <c r="AK968" s="430"/>
      <c r="AL968" s="430"/>
      <c r="AM968" s="430"/>
      <c r="AN968" s="430"/>
      <c r="AO968" s="430"/>
      <c r="AP968" s="430"/>
      <c r="AQ968" s="430"/>
      <c r="AR968" s="430"/>
      <c r="AS968" s="430"/>
      <c r="AT968" s="430"/>
      <c r="AU968" s="430"/>
      <c r="AV968" s="430"/>
      <c r="AW968" s="430"/>
      <c r="AX968" s="430"/>
      <c r="AY968" s="430"/>
      <c r="AZ968" s="430"/>
      <c r="BA968" s="430"/>
      <c r="BB968" s="430"/>
      <c r="BC968" s="430"/>
      <c r="BD968" s="430"/>
      <c r="BE968" s="430"/>
    </row>
    <row r="969" spans="1:57" ht="15.75" customHeight="1">
      <c r="A969" s="430"/>
      <c r="B969" s="430"/>
      <c r="C969" s="430"/>
      <c r="D969" s="430"/>
      <c r="E969" s="430"/>
      <c r="F969" s="430"/>
      <c r="G969" s="430"/>
      <c r="H969" s="430"/>
      <c r="I969" s="430"/>
      <c r="J969" s="430"/>
      <c r="K969" s="430"/>
      <c r="L969" s="430"/>
      <c r="M969" s="430"/>
      <c r="N969" s="430"/>
      <c r="O969" s="430"/>
      <c r="P969" s="430"/>
      <c r="Q969" s="430"/>
      <c r="R969" s="430"/>
      <c r="S969" s="430"/>
      <c r="T969" s="430"/>
      <c r="U969" s="430"/>
      <c r="V969" s="430"/>
      <c r="W969" s="430"/>
      <c r="X969" s="430"/>
      <c r="Y969" s="430"/>
      <c r="Z969" s="430"/>
      <c r="AA969" s="430"/>
      <c r="AB969" s="430"/>
      <c r="AC969" s="430"/>
      <c r="AD969" s="430"/>
      <c r="AE969" s="430"/>
      <c r="AF969" s="430"/>
      <c r="AG969" s="430"/>
      <c r="AH969" s="430"/>
      <c r="AI969" s="430"/>
      <c r="AJ969" s="430"/>
      <c r="AK969" s="430"/>
      <c r="AL969" s="430"/>
      <c r="AM969" s="430"/>
      <c r="AN969" s="430"/>
      <c r="AO969" s="430"/>
      <c r="AP969" s="430"/>
      <c r="AQ969" s="430"/>
      <c r="AR969" s="430"/>
      <c r="AS969" s="430"/>
      <c r="AT969" s="430"/>
      <c r="AU969" s="430"/>
      <c r="AV969" s="430"/>
      <c r="AW969" s="430"/>
      <c r="AX969" s="430"/>
      <c r="AY969" s="430"/>
      <c r="AZ969" s="430"/>
      <c r="BA969" s="430"/>
      <c r="BB969" s="430"/>
      <c r="BC969" s="430"/>
      <c r="BD969" s="430"/>
      <c r="BE969" s="430"/>
    </row>
    <row r="970" spans="1:57" ht="15.75" customHeight="1">
      <c r="A970" s="430"/>
      <c r="B970" s="430"/>
      <c r="C970" s="430"/>
      <c r="D970" s="430"/>
      <c r="E970" s="430"/>
      <c r="F970" s="430"/>
      <c r="G970" s="430"/>
      <c r="H970" s="430"/>
      <c r="I970" s="430"/>
      <c r="J970" s="430"/>
      <c r="K970" s="430"/>
      <c r="L970" s="430"/>
      <c r="M970" s="430"/>
      <c r="N970" s="430"/>
      <c r="O970" s="430"/>
      <c r="P970" s="430"/>
      <c r="Q970" s="430"/>
      <c r="R970" s="430"/>
      <c r="S970" s="430"/>
      <c r="T970" s="430"/>
      <c r="U970" s="430"/>
      <c r="V970" s="430"/>
      <c r="W970" s="430"/>
      <c r="X970" s="430"/>
      <c r="Y970" s="430"/>
      <c r="Z970" s="430"/>
      <c r="AA970" s="430"/>
      <c r="AB970" s="430"/>
      <c r="AC970" s="430"/>
      <c r="AD970" s="430"/>
      <c r="AE970" s="430"/>
      <c r="AF970" s="430"/>
      <c r="AG970" s="430"/>
      <c r="AH970" s="430"/>
      <c r="AI970" s="430"/>
      <c r="AJ970" s="430"/>
      <c r="AK970" s="430"/>
      <c r="AL970" s="430"/>
      <c r="AM970" s="430"/>
      <c r="AN970" s="430"/>
      <c r="AO970" s="430"/>
      <c r="AP970" s="430"/>
      <c r="AQ970" s="430"/>
      <c r="AR970" s="430"/>
      <c r="AS970" s="430"/>
      <c r="AT970" s="430"/>
      <c r="AU970" s="430"/>
      <c r="AV970" s="430"/>
      <c r="AW970" s="430"/>
      <c r="AX970" s="430"/>
      <c r="AY970" s="430"/>
      <c r="AZ970" s="430"/>
      <c r="BA970" s="430"/>
      <c r="BB970" s="430"/>
      <c r="BC970" s="430"/>
      <c r="BD970" s="430"/>
      <c r="BE970" s="430"/>
    </row>
    <row r="971" spans="1:57" ht="15.75" customHeight="1">
      <c r="A971" s="430"/>
      <c r="B971" s="430"/>
      <c r="C971" s="430"/>
      <c r="D971" s="430"/>
      <c r="E971" s="430"/>
      <c r="F971" s="430"/>
      <c r="G971" s="430"/>
      <c r="H971" s="430"/>
      <c r="I971" s="430"/>
      <c r="J971" s="430"/>
      <c r="K971" s="430"/>
      <c r="L971" s="430"/>
      <c r="M971" s="430"/>
      <c r="N971" s="430"/>
      <c r="O971" s="430"/>
      <c r="P971" s="430"/>
      <c r="Q971" s="430"/>
      <c r="R971" s="430"/>
      <c r="S971" s="430"/>
      <c r="T971" s="430"/>
      <c r="U971" s="430"/>
      <c r="V971" s="430"/>
      <c r="W971" s="430"/>
      <c r="X971" s="430"/>
      <c r="Y971" s="430"/>
      <c r="Z971" s="430"/>
      <c r="AA971" s="430"/>
      <c r="AB971" s="430"/>
      <c r="AC971" s="430"/>
      <c r="AD971" s="430"/>
      <c r="AE971" s="430"/>
      <c r="AF971" s="430"/>
      <c r="AG971" s="430"/>
      <c r="AH971" s="430"/>
      <c r="AI971" s="430"/>
      <c r="AJ971" s="430"/>
      <c r="AK971" s="430"/>
      <c r="AL971" s="430"/>
      <c r="AM971" s="430"/>
      <c r="AN971" s="430"/>
      <c r="AO971" s="430"/>
      <c r="AP971" s="430"/>
      <c r="AQ971" s="430"/>
      <c r="AR971" s="430"/>
      <c r="AS971" s="430"/>
      <c r="AT971" s="430"/>
      <c r="AU971" s="430"/>
      <c r="AV971" s="430"/>
      <c r="AW971" s="430"/>
      <c r="AX971" s="430"/>
      <c r="AY971" s="430"/>
      <c r="AZ971" s="430"/>
      <c r="BA971" s="430"/>
      <c r="BB971" s="430"/>
      <c r="BC971" s="430"/>
      <c r="BD971" s="430"/>
      <c r="BE971" s="430"/>
    </row>
    <row r="972" spans="1:57" ht="15.75" customHeight="1">
      <c r="A972" s="430"/>
      <c r="B972" s="430"/>
      <c r="C972" s="430"/>
      <c r="D972" s="430"/>
      <c r="E972" s="430"/>
      <c r="F972" s="430"/>
      <c r="G972" s="430"/>
      <c r="H972" s="430"/>
      <c r="I972" s="430"/>
      <c r="J972" s="430"/>
      <c r="K972" s="430"/>
      <c r="L972" s="430"/>
      <c r="M972" s="430"/>
      <c r="N972" s="430"/>
      <c r="O972" s="430"/>
      <c r="P972" s="430"/>
      <c r="Q972" s="430"/>
      <c r="R972" s="430"/>
      <c r="S972" s="430"/>
      <c r="T972" s="430"/>
      <c r="U972" s="430"/>
      <c r="V972" s="430"/>
      <c r="W972" s="430"/>
      <c r="X972" s="430"/>
      <c r="Y972" s="430"/>
      <c r="Z972" s="430"/>
      <c r="AA972" s="430"/>
      <c r="AB972" s="430"/>
      <c r="AC972" s="430"/>
      <c r="AD972" s="430"/>
      <c r="AE972" s="430"/>
      <c r="AF972" s="430"/>
      <c r="AG972" s="430"/>
      <c r="AH972" s="430"/>
      <c r="AI972" s="430"/>
      <c r="AJ972" s="430"/>
      <c r="AK972" s="430"/>
      <c r="AL972" s="430"/>
      <c r="AM972" s="430"/>
      <c r="AN972" s="430"/>
      <c r="AO972" s="430"/>
      <c r="AP972" s="430"/>
      <c r="AQ972" s="430"/>
      <c r="AR972" s="430"/>
      <c r="AS972" s="430"/>
      <c r="AT972" s="430"/>
      <c r="AU972" s="430"/>
      <c r="AV972" s="430"/>
      <c r="AW972" s="430"/>
      <c r="AX972" s="430"/>
      <c r="AY972" s="430"/>
      <c r="AZ972" s="430"/>
      <c r="BA972" s="430"/>
      <c r="BB972" s="430"/>
      <c r="BC972" s="430"/>
      <c r="BD972" s="430"/>
      <c r="BE972" s="430"/>
    </row>
    <row r="973" spans="1:57" ht="15.75" customHeight="1">
      <c r="A973" s="430"/>
      <c r="B973" s="430"/>
      <c r="C973" s="430"/>
      <c r="D973" s="430"/>
      <c r="E973" s="430"/>
      <c r="F973" s="430"/>
      <c r="G973" s="430"/>
      <c r="H973" s="430"/>
      <c r="I973" s="430"/>
      <c r="J973" s="430"/>
      <c r="K973" s="430"/>
      <c r="L973" s="430"/>
      <c r="M973" s="430"/>
      <c r="N973" s="430"/>
      <c r="O973" s="430"/>
      <c r="P973" s="430"/>
      <c r="Q973" s="430"/>
      <c r="R973" s="430"/>
      <c r="S973" s="430"/>
      <c r="T973" s="430"/>
      <c r="U973" s="430"/>
      <c r="V973" s="430"/>
      <c r="W973" s="430"/>
      <c r="X973" s="430"/>
      <c r="Y973" s="430"/>
      <c r="Z973" s="430"/>
      <c r="AA973" s="430"/>
      <c r="AB973" s="430"/>
      <c r="AC973" s="430"/>
      <c r="AD973" s="430"/>
      <c r="AE973" s="430"/>
      <c r="AF973" s="430"/>
      <c r="AG973" s="430"/>
      <c r="AH973" s="430"/>
      <c r="AI973" s="430"/>
      <c r="AJ973" s="430"/>
      <c r="AK973" s="430"/>
      <c r="AL973" s="430"/>
      <c r="AM973" s="430"/>
      <c r="AN973" s="430"/>
      <c r="AO973" s="430"/>
      <c r="AP973" s="430"/>
      <c r="AQ973" s="430"/>
      <c r="AR973" s="430"/>
      <c r="AS973" s="430"/>
      <c r="AT973" s="430"/>
      <c r="AU973" s="430"/>
      <c r="AV973" s="430"/>
      <c r="AW973" s="430"/>
      <c r="AX973" s="430"/>
      <c r="AY973" s="430"/>
      <c r="AZ973" s="430"/>
      <c r="BA973" s="430"/>
      <c r="BB973" s="430"/>
      <c r="BC973" s="430"/>
      <c r="BD973" s="430"/>
      <c r="BE973" s="430"/>
    </row>
    <row r="974" spans="1:57" ht="15.75" customHeight="1">
      <c r="A974" s="430"/>
      <c r="B974" s="430"/>
      <c r="C974" s="430"/>
      <c r="D974" s="430"/>
      <c r="E974" s="430"/>
      <c r="F974" s="430"/>
      <c r="G974" s="430"/>
      <c r="H974" s="430"/>
      <c r="I974" s="430"/>
      <c r="J974" s="430"/>
      <c r="K974" s="430"/>
      <c r="L974" s="430"/>
      <c r="M974" s="430"/>
      <c r="N974" s="430"/>
      <c r="O974" s="430"/>
      <c r="P974" s="430"/>
      <c r="Q974" s="430"/>
      <c r="R974" s="430"/>
      <c r="S974" s="430"/>
      <c r="T974" s="430"/>
      <c r="U974" s="430"/>
      <c r="V974" s="430"/>
      <c r="W974" s="430"/>
      <c r="X974" s="430"/>
      <c r="Y974" s="430"/>
      <c r="Z974" s="430"/>
      <c r="AA974" s="430"/>
      <c r="AB974" s="430"/>
      <c r="AC974" s="430"/>
      <c r="AD974" s="430"/>
      <c r="AE974" s="430"/>
      <c r="AF974" s="430"/>
      <c r="AG974" s="430"/>
      <c r="AH974" s="430"/>
      <c r="AI974" s="430"/>
      <c r="AJ974" s="430"/>
      <c r="AK974" s="430"/>
      <c r="AL974" s="430"/>
      <c r="AM974" s="430"/>
      <c r="AN974" s="430"/>
      <c r="AO974" s="430"/>
      <c r="AP974" s="430"/>
      <c r="AQ974" s="430"/>
      <c r="AR974" s="430"/>
      <c r="AS974" s="430"/>
      <c r="AT974" s="430"/>
      <c r="AU974" s="430"/>
      <c r="AV974" s="430"/>
      <c r="AW974" s="430"/>
      <c r="AX974" s="430"/>
      <c r="AY974" s="430"/>
      <c r="AZ974" s="430"/>
      <c r="BA974" s="430"/>
      <c r="BB974" s="430"/>
      <c r="BC974" s="430"/>
      <c r="BD974" s="430"/>
      <c r="BE974" s="430"/>
    </row>
    <row r="975" spans="1:57" ht="15.75" customHeight="1">
      <c r="A975" s="430"/>
      <c r="B975" s="430"/>
      <c r="C975" s="430"/>
      <c r="D975" s="430"/>
      <c r="E975" s="430"/>
      <c r="F975" s="430"/>
      <c r="G975" s="430"/>
      <c r="H975" s="430"/>
      <c r="I975" s="430"/>
      <c r="J975" s="430"/>
      <c r="K975" s="430"/>
      <c r="L975" s="430"/>
      <c r="M975" s="430"/>
      <c r="N975" s="430"/>
      <c r="O975" s="430"/>
      <c r="P975" s="430"/>
      <c r="Q975" s="430"/>
      <c r="R975" s="430"/>
      <c r="S975" s="430"/>
      <c r="T975" s="430"/>
      <c r="U975" s="430"/>
      <c r="V975" s="430"/>
      <c r="W975" s="430"/>
      <c r="X975" s="430"/>
      <c r="Y975" s="430"/>
      <c r="Z975" s="430"/>
      <c r="AA975" s="430"/>
      <c r="AB975" s="430"/>
      <c r="AC975" s="430"/>
      <c r="AD975" s="430"/>
      <c r="AE975" s="430"/>
      <c r="AF975" s="430"/>
      <c r="AG975" s="430"/>
      <c r="AH975" s="430"/>
      <c r="AI975" s="430"/>
      <c r="AJ975" s="430"/>
      <c r="AK975" s="430"/>
      <c r="AL975" s="430"/>
      <c r="AM975" s="430"/>
      <c r="AN975" s="430"/>
      <c r="AO975" s="430"/>
      <c r="AP975" s="430"/>
      <c r="AQ975" s="430"/>
      <c r="AR975" s="430"/>
      <c r="AS975" s="430"/>
      <c r="AT975" s="430"/>
      <c r="AU975" s="430"/>
      <c r="AV975" s="430"/>
      <c r="AW975" s="430"/>
      <c r="AX975" s="430"/>
      <c r="AY975" s="430"/>
      <c r="AZ975" s="430"/>
      <c r="BA975" s="430"/>
      <c r="BB975" s="430"/>
      <c r="BC975" s="430"/>
      <c r="BD975" s="430"/>
      <c r="BE975" s="430"/>
    </row>
    <row r="976" spans="1:57" ht="15.75" customHeight="1">
      <c r="A976" s="430"/>
      <c r="B976" s="430"/>
      <c r="C976" s="430"/>
      <c r="D976" s="430"/>
      <c r="E976" s="430"/>
      <c r="F976" s="430"/>
      <c r="G976" s="430"/>
      <c r="H976" s="430"/>
      <c r="I976" s="430"/>
      <c r="J976" s="430"/>
      <c r="K976" s="430"/>
      <c r="L976" s="430"/>
      <c r="M976" s="430"/>
      <c r="N976" s="430"/>
      <c r="O976" s="430"/>
      <c r="P976" s="430"/>
      <c r="Q976" s="430"/>
      <c r="R976" s="430"/>
      <c r="S976" s="430"/>
      <c r="T976" s="430"/>
      <c r="U976" s="430"/>
      <c r="V976" s="430"/>
      <c r="W976" s="430"/>
      <c r="X976" s="430"/>
      <c r="Y976" s="430"/>
      <c r="Z976" s="430"/>
      <c r="AA976" s="430"/>
      <c r="AB976" s="430"/>
      <c r="AC976" s="430"/>
      <c r="AD976" s="430"/>
      <c r="AE976" s="430"/>
      <c r="AF976" s="430"/>
      <c r="AG976" s="430"/>
      <c r="AH976" s="430"/>
      <c r="AI976" s="430"/>
      <c r="AJ976" s="430"/>
      <c r="AK976" s="430"/>
      <c r="AL976" s="430"/>
      <c r="AM976" s="430"/>
      <c r="AN976" s="430"/>
      <c r="AO976" s="430"/>
      <c r="AP976" s="430"/>
      <c r="AQ976" s="430"/>
      <c r="AR976" s="430"/>
      <c r="AS976" s="430"/>
      <c r="AT976" s="430"/>
      <c r="AU976" s="430"/>
      <c r="AV976" s="430"/>
      <c r="AW976" s="430"/>
      <c r="AX976" s="430"/>
      <c r="AY976" s="430"/>
      <c r="AZ976" s="430"/>
      <c r="BA976" s="430"/>
      <c r="BB976" s="430"/>
      <c r="BC976" s="430"/>
      <c r="BD976" s="430"/>
      <c r="BE976" s="430"/>
    </row>
    <row r="977" spans="1:57" ht="15.75" customHeight="1">
      <c r="A977" s="430"/>
      <c r="B977" s="430"/>
      <c r="C977" s="430"/>
      <c r="D977" s="430"/>
      <c r="E977" s="430"/>
      <c r="F977" s="430"/>
      <c r="G977" s="430"/>
      <c r="H977" s="430"/>
      <c r="I977" s="430"/>
      <c r="J977" s="430"/>
      <c r="K977" s="430"/>
      <c r="L977" s="430"/>
      <c r="M977" s="430"/>
      <c r="N977" s="430"/>
      <c r="O977" s="430"/>
      <c r="P977" s="430"/>
      <c r="Q977" s="430"/>
      <c r="R977" s="430"/>
      <c r="S977" s="430"/>
      <c r="T977" s="430"/>
      <c r="U977" s="430"/>
      <c r="V977" s="430"/>
      <c r="W977" s="430"/>
      <c r="X977" s="430"/>
      <c r="Y977" s="430"/>
      <c r="Z977" s="430"/>
      <c r="AA977" s="430"/>
      <c r="AB977" s="430"/>
      <c r="AC977" s="430"/>
      <c r="AD977" s="430"/>
      <c r="AE977" s="430"/>
      <c r="AF977" s="430"/>
      <c r="AG977" s="430"/>
      <c r="AH977" s="430"/>
      <c r="AI977" s="430"/>
      <c r="AJ977" s="430"/>
      <c r="AK977" s="430"/>
      <c r="AL977" s="430"/>
      <c r="AM977" s="430"/>
      <c r="AN977" s="430"/>
      <c r="AO977" s="430"/>
      <c r="AP977" s="430"/>
      <c r="AQ977" s="430"/>
      <c r="AR977" s="430"/>
      <c r="AS977" s="430"/>
      <c r="AT977" s="430"/>
      <c r="AU977" s="430"/>
      <c r="AV977" s="430"/>
      <c r="AW977" s="430"/>
      <c r="AX977" s="430"/>
      <c r="AY977" s="430"/>
      <c r="AZ977" s="430"/>
      <c r="BA977" s="430"/>
      <c r="BB977" s="430"/>
      <c r="BC977" s="430"/>
      <c r="BD977" s="430"/>
      <c r="BE977" s="430"/>
    </row>
    <row r="978" spans="1:57" ht="15.75" customHeight="1">
      <c r="A978" s="430"/>
      <c r="B978" s="430"/>
      <c r="C978" s="430"/>
      <c r="D978" s="430"/>
      <c r="E978" s="430"/>
      <c r="F978" s="430"/>
      <c r="G978" s="430"/>
      <c r="H978" s="430"/>
      <c r="I978" s="430"/>
      <c r="J978" s="430"/>
      <c r="K978" s="430"/>
      <c r="L978" s="430"/>
      <c r="M978" s="430"/>
      <c r="N978" s="430"/>
      <c r="O978" s="430"/>
      <c r="P978" s="430"/>
      <c r="Q978" s="430"/>
      <c r="R978" s="430"/>
      <c r="S978" s="430"/>
      <c r="T978" s="430"/>
      <c r="U978" s="430"/>
      <c r="V978" s="430"/>
      <c r="W978" s="430"/>
      <c r="X978" s="430"/>
      <c r="Y978" s="430"/>
      <c r="Z978" s="430"/>
      <c r="AA978" s="430"/>
      <c r="AB978" s="430"/>
      <c r="AC978" s="430"/>
      <c r="AD978" s="430"/>
      <c r="AE978" s="430"/>
      <c r="AF978" s="430"/>
      <c r="AG978" s="430"/>
      <c r="AH978" s="430"/>
      <c r="AI978" s="430"/>
      <c r="AJ978" s="430"/>
      <c r="AK978" s="430"/>
      <c r="AL978" s="430"/>
      <c r="AM978" s="430"/>
      <c r="AN978" s="430"/>
      <c r="AO978" s="430"/>
      <c r="AP978" s="430"/>
      <c r="AQ978" s="430"/>
      <c r="AR978" s="430"/>
      <c r="AS978" s="430"/>
      <c r="AT978" s="430"/>
      <c r="AU978" s="430"/>
      <c r="AV978" s="430"/>
      <c r="AW978" s="430"/>
      <c r="AX978" s="430"/>
      <c r="AY978" s="430"/>
      <c r="AZ978" s="430"/>
      <c r="BA978" s="430"/>
      <c r="BB978" s="430"/>
      <c r="BC978" s="430"/>
      <c r="BD978" s="430"/>
      <c r="BE978" s="430"/>
    </row>
    <row r="979" spans="1:57" ht="15.75" customHeight="1">
      <c r="A979" s="430"/>
      <c r="B979" s="430"/>
      <c r="C979" s="430"/>
      <c r="D979" s="430"/>
      <c r="E979" s="430"/>
      <c r="F979" s="430"/>
      <c r="G979" s="430"/>
      <c r="H979" s="430"/>
      <c r="I979" s="430"/>
      <c r="J979" s="430"/>
      <c r="K979" s="430"/>
      <c r="L979" s="430"/>
      <c r="M979" s="430"/>
      <c r="N979" s="430"/>
      <c r="O979" s="430"/>
      <c r="P979" s="430"/>
      <c r="Q979" s="430"/>
      <c r="R979" s="430"/>
      <c r="S979" s="430"/>
      <c r="T979" s="430"/>
      <c r="U979" s="430"/>
      <c r="V979" s="430"/>
      <c r="W979" s="430"/>
      <c r="X979" s="430"/>
      <c r="Y979" s="430"/>
      <c r="Z979" s="430"/>
      <c r="AA979" s="430"/>
      <c r="AB979" s="430"/>
      <c r="AC979" s="430"/>
      <c r="AD979" s="430"/>
      <c r="AE979" s="430"/>
      <c r="AF979" s="430"/>
      <c r="AG979" s="430"/>
      <c r="AH979" s="430"/>
      <c r="AI979" s="430"/>
      <c r="AJ979" s="430"/>
      <c r="AK979" s="430"/>
      <c r="AL979" s="430"/>
      <c r="AM979" s="430"/>
      <c r="AN979" s="430"/>
      <c r="AO979" s="430"/>
      <c r="AP979" s="430"/>
      <c r="AQ979" s="430"/>
      <c r="AR979" s="430"/>
      <c r="AS979" s="430"/>
      <c r="AT979" s="430"/>
      <c r="AU979" s="430"/>
      <c r="AV979" s="430"/>
      <c r="AW979" s="430"/>
      <c r="AX979" s="430"/>
      <c r="AY979" s="430"/>
      <c r="AZ979" s="430"/>
      <c r="BA979" s="430"/>
      <c r="BB979" s="430"/>
      <c r="BC979" s="430"/>
      <c r="BD979" s="430"/>
      <c r="BE979" s="430"/>
    </row>
    <row r="980" spans="1:57" ht="15.75" customHeight="1">
      <c r="A980" s="430"/>
      <c r="B980" s="430"/>
      <c r="C980" s="430"/>
      <c r="D980" s="430"/>
      <c r="E980" s="430"/>
      <c r="F980" s="430"/>
      <c r="G980" s="430"/>
      <c r="H980" s="430"/>
      <c r="I980" s="430"/>
      <c r="J980" s="430"/>
      <c r="K980" s="430"/>
      <c r="L980" s="430"/>
      <c r="M980" s="430"/>
      <c r="N980" s="430"/>
      <c r="O980" s="430"/>
      <c r="P980" s="430"/>
      <c r="Q980" s="430"/>
      <c r="R980" s="430"/>
      <c r="S980" s="430"/>
      <c r="T980" s="430"/>
      <c r="U980" s="430"/>
      <c r="V980" s="430"/>
      <c r="W980" s="430"/>
      <c r="X980" s="430"/>
      <c r="Y980" s="430"/>
      <c r="Z980" s="430"/>
      <c r="AA980" s="430"/>
      <c r="AB980" s="430"/>
      <c r="AC980" s="430"/>
      <c r="AD980" s="430"/>
      <c r="AE980" s="430"/>
      <c r="AF980" s="430"/>
      <c r="AG980" s="430"/>
      <c r="AH980" s="430"/>
      <c r="AI980" s="430"/>
      <c r="AJ980" s="430"/>
      <c r="AK980" s="430"/>
      <c r="AL980" s="430"/>
      <c r="AM980" s="430"/>
      <c r="AN980" s="430"/>
      <c r="AO980" s="430"/>
      <c r="AP980" s="430"/>
      <c r="AQ980" s="430"/>
      <c r="AR980" s="430"/>
      <c r="AS980" s="430"/>
      <c r="AT980" s="430"/>
      <c r="AU980" s="430"/>
      <c r="AV980" s="430"/>
      <c r="AW980" s="430"/>
      <c r="AX980" s="430"/>
      <c r="AY980" s="430"/>
      <c r="AZ980" s="430"/>
      <c r="BA980" s="430"/>
      <c r="BB980" s="430"/>
      <c r="BC980" s="430"/>
      <c r="BD980" s="430"/>
      <c r="BE980" s="430"/>
    </row>
    <row r="981" spans="1:57" ht="15.75" customHeight="1">
      <c r="A981" s="430"/>
      <c r="B981" s="430"/>
      <c r="C981" s="430"/>
      <c r="D981" s="430"/>
      <c r="E981" s="430"/>
      <c r="F981" s="430"/>
      <c r="G981" s="430"/>
      <c r="H981" s="430"/>
      <c r="I981" s="430"/>
      <c r="J981" s="430"/>
      <c r="K981" s="430"/>
      <c r="L981" s="430"/>
      <c r="M981" s="430"/>
      <c r="N981" s="430"/>
      <c r="O981" s="430"/>
      <c r="P981" s="430"/>
      <c r="Q981" s="430"/>
      <c r="R981" s="430"/>
      <c r="S981" s="430"/>
      <c r="T981" s="430"/>
      <c r="U981" s="430"/>
      <c r="V981" s="430"/>
      <c r="W981" s="430"/>
      <c r="X981" s="430"/>
      <c r="Y981" s="430"/>
      <c r="Z981" s="430"/>
      <c r="AA981" s="430"/>
      <c r="AB981" s="430"/>
      <c r="AC981" s="430"/>
      <c r="AD981" s="430"/>
      <c r="AE981" s="430"/>
      <c r="AF981" s="430"/>
      <c r="AG981" s="430"/>
      <c r="AH981" s="430"/>
      <c r="AI981" s="430"/>
      <c r="AJ981" s="430"/>
      <c r="AK981" s="430"/>
      <c r="AL981" s="430"/>
      <c r="AM981" s="430"/>
      <c r="AN981" s="430"/>
      <c r="AO981" s="430"/>
      <c r="AP981" s="430"/>
      <c r="AQ981" s="430"/>
      <c r="AR981" s="430"/>
      <c r="AS981" s="430"/>
      <c r="AT981" s="430"/>
      <c r="AU981" s="430"/>
      <c r="AV981" s="430"/>
      <c r="AW981" s="430"/>
      <c r="AX981" s="430"/>
      <c r="AY981" s="430"/>
      <c r="AZ981" s="430"/>
      <c r="BA981" s="430"/>
      <c r="BB981" s="430"/>
      <c r="BC981" s="430"/>
      <c r="BD981" s="430"/>
      <c r="BE981" s="430"/>
    </row>
    <row r="982" spans="1:57" ht="15.75" customHeight="1">
      <c r="A982" s="430"/>
      <c r="B982" s="430"/>
      <c r="C982" s="430"/>
      <c r="D982" s="430"/>
      <c r="E982" s="430"/>
      <c r="F982" s="430"/>
      <c r="G982" s="430"/>
      <c r="H982" s="430"/>
      <c r="I982" s="430"/>
      <c r="J982" s="430"/>
      <c r="K982" s="430"/>
      <c r="L982" s="430"/>
      <c r="M982" s="430"/>
      <c r="N982" s="430"/>
      <c r="O982" s="430"/>
      <c r="P982" s="430"/>
      <c r="Q982" s="430"/>
      <c r="R982" s="430"/>
      <c r="S982" s="430"/>
      <c r="T982" s="430"/>
      <c r="U982" s="430"/>
      <c r="V982" s="430"/>
      <c r="W982" s="430"/>
      <c r="X982" s="430"/>
      <c r="Y982" s="430"/>
      <c r="Z982" s="430"/>
      <c r="AA982" s="430"/>
      <c r="AB982" s="430"/>
      <c r="AC982" s="430"/>
      <c r="AD982" s="430"/>
      <c r="AE982" s="430"/>
      <c r="AF982" s="430"/>
      <c r="AG982" s="430"/>
      <c r="AH982" s="430"/>
      <c r="AI982" s="430"/>
      <c r="AJ982" s="430"/>
      <c r="AK982" s="430"/>
      <c r="AL982" s="430"/>
      <c r="AM982" s="430"/>
      <c r="AN982" s="430"/>
      <c r="AO982" s="430"/>
      <c r="AP982" s="430"/>
      <c r="AQ982" s="430"/>
      <c r="AR982" s="430"/>
      <c r="AS982" s="430"/>
      <c r="AT982" s="430"/>
      <c r="AU982" s="430"/>
      <c r="AV982" s="430"/>
      <c r="AW982" s="430"/>
      <c r="AX982" s="430"/>
      <c r="AY982" s="430"/>
      <c r="AZ982" s="430"/>
      <c r="BA982" s="430"/>
      <c r="BB982" s="430"/>
      <c r="BC982" s="430"/>
      <c r="BD982" s="430"/>
      <c r="BE982" s="430"/>
    </row>
    <row r="983" spans="1:57" ht="15.75" customHeight="1">
      <c r="A983" s="430"/>
      <c r="B983" s="430"/>
      <c r="C983" s="430"/>
      <c r="D983" s="430"/>
      <c r="E983" s="430"/>
      <c r="F983" s="430"/>
      <c r="G983" s="430"/>
      <c r="H983" s="430"/>
      <c r="I983" s="430"/>
      <c r="J983" s="430"/>
      <c r="K983" s="430"/>
      <c r="L983" s="430"/>
      <c r="M983" s="430"/>
      <c r="N983" s="430"/>
      <c r="O983" s="430"/>
      <c r="P983" s="430"/>
      <c r="Q983" s="430"/>
      <c r="R983" s="430"/>
      <c r="S983" s="430"/>
      <c r="T983" s="430"/>
      <c r="U983" s="430"/>
      <c r="V983" s="430"/>
      <c r="W983" s="430"/>
      <c r="X983" s="430"/>
      <c r="Y983" s="430"/>
      <c r="Z983" s="430"/>
      <c r="AA983" s="430"/>
      <c r="AB983" s="430"/>
      <c r="AC983" s="430"/>
      <c r="AD983" s="430"/>
      <c r="AE983" s="430"/>
      <c r="AF983" s="430"/>
      <c r="AG983" s="430"/>
      <c r="AH983" s="430"/>
      <c r="AI983" s="430"/>
      <c r="AJ983" s="430"/>
      <c r="AK983" s="430"/>
      <c r="AL983" s="430"/>
      <c r="AM983" s="430"/>
      <c r="AN983" s="430"/>
      <c r="AO983" s="430"/>
      <c r="AP983" s="430"/>
      <c r="AQ983" s="430"/>
      <c r="AR983" s="430"/>
      <c r="AS983" s="430"/>
      <c r="AT983" s="430"/>
      <c r="AU983" s="430"/>
      <c r="AV983" s="430"/>
      <c r="AW983" s="430"/>
      <c r="AX983" s="430"/>
      <c r="AY983" s="430"/>
      <c r="AZ983" s="430"/>
      <c r="BA983" s="430"/>
      <c r="BB983" s="430"/>
      <c r="BC983" s="430"/>
      <c r="BD983" s="430"/>
      <c r="BE983" s="430"/>
    </row>
    <row r="984" spans="1:57" ht="15.75" customHeight="1">
      <c r="A984" s="430"/>
      <c r="B984" s="430"/>
      <c r="C984" s="430"/>
      <c r="D984" s="430"/>
      <c r="E984" s="430"/>
      <c r="F984" s="430"/>
      <c r="G984" s="430"/>
      <c r="H984" s="430"/>
      <c r="I984" s="430"/>
      <c r="J984" s="430"/>
      <c r="K984" s="430"/>
      <c r="L984" s="430"/>
      <c r="M984" s="430"/>
      <c r="N984" s="430"/>
      <c r="O984" s="430"/>
      <c r="P984" s="430"/>
      <c r="Q984" s="430"/>
      <c r="R984" s="430"/>
      <c r="S984" s="430"/>
      <c r="T984" s="430"/>
      <c r="U984" s="430"/>
      <c r="V984" s="430"/>
      <c r="W984" s="430"/>
      <c r="X984" s="430"/>
      <c r="Y984" s="430"/>
      <c r="Z984" s="430"/>
      <c r="AA984" s="430"/>
      <c r="AB984" s="430"/>
      <c r="AC984" s="430"/>
      <c r="AD984" s="430"/>
      <c r="AE984" s="430"/>
      <c r="AF984" s="430"/>
      <c r="AG984" s="430"/>
      <c r="AH984" s="430"/>
      <c r="AI984" s="430"/>
      <c r="AJ984" s="430"/>
      <c r="AK984" s="430"/>
      <c r="AL984" s="430"/>
      <c r="AM984" s="430"/>
      <c r="AN984" s="430"/>
      <c r="AO984" s="430"/>
      <c r="AP984" s="430"/>
      <c r="AQ984" s="430"/>
      <c r="AR984" s="430"/>
      <c r="AS984" s="430"/>
      <c r="AT984" s="430"/>
      <c r="AU984" s="430"/>
      <c r="AV984" s="430"/>
      <c r="AW984" s="430"/>
      <c r="AX984" s="430"/>
      <c r="AY984" s="430"/>
      <c r="AZ984" s="430"/>
      <c r="BA984" s="430"/>
      <c r="BB984" s="430"/>
      <c r="BC984" s="430"/>
      <c r="BD984" s="430"/>
      <c r="BE984" s="430"/>
    </row>
    <row r="985" spans="1:57" ht="15.75" customHeight="1">
      <c r="A985" s="430"/>
      <c r="B985" s="430"/>
      <c r="C985" s="430"/>
      <c r="D985" s="430"/>
      <c r="E985" s="430"/>
      <c r="F985" s="430"/>
      <c r="G985" s="430"/>
      <c r="H985" s="430"/>
      <c r="I985" s="430"/>
      <c r="J985" s="430"/>
      <c r="K985" s="430"/>
      <c r="L985" s="430"/>
      <c r="M985" s="430"/>
      <c r="N985" s="430"/>
      <c r="O985" s="430"/>
      <c r="P985" s="430"/>
      <c r="Q985" s="430"/>
      <c r="R985" s="430"/>
      <c r="S985" s="430"/>
      <c r="T985" s="430"/>
      <c r="U985" s="430"/>
      <c r="V985" s="430"/>
      <c r="W985" s="430"/>
      <c r="X985" s="430"/>
      <c r="Y985" s="430"/>
      <c r="Z985" s="430"/>
      <c r="AA985" s="430"/>
      <c r="AB985" s="430"/>
      <c r="AC985" s="430"/>
      <c r="AD985" s="430"/>
      <c r="AE985" s="430"/>
      <c r="AF985" s="430"/>
      <c r="AG985" s="430"/>
      <c r="AH985" s="430"/>
      <c r="AI985" s="430"/>
      <c r="AJ985" s="430"/>
      <c r="AK985" s="430"/>
      <c r="AL985" s="430"/>
      <c r="AM985" s="430"/>
      <c r="AN985" s="430"/>
      <c r="AO985" s="430"/>
      <c r="AP985" s="430"/>
      <c r="AQ985" s="430"/>
      <c r="AR985" s="430"/>
      <c r="AS985" s="430"/>
      <c r="AT985" s="430"/>
      <c r="AU985" s="430"/>
      <c r="AV985" s="430"/>
      <c r="AW985" s="430"/>
      <c r="AX985" s="430"/>
      <c r="AY985" s="430"/>
      <c r="AZ985" s="430"/>
      <c r="BA985" s="430"/>
      <c r="BB985" s="430"/>
      <c r="BC985" s="430"/>
      <c r="BD985" s="430"/>
      <c r="BE985" s="430"/>
    </row>
    <row r="986" spans="1:57" ht="15.75" customHeight="1">
      <c r="A986" s="430"/>
      <c r="B986" s="430"/>
      <c r="C986" s="430"/>
      <c r="D986" s="430"/>
      <c r="E986" s="430"/>
      <c r="F986" s="430"/>
      <c r="G986" s="430"/>
      <c r="H986" s="430"/>
      <c r="I986" s="430"/>
      <c r="J986" s="430"/>
      <c r="K986" s="430"/>
      <c r="L986" s="430"/>
      <c r="M986" s="430"/>
      <c r="N986" s="430"/>
      <c r="O986" s="430"/>
      <c r="P986" s="430"/>
      <c r="Q986" s="430"/>
      <c r="R986" s="430"/>
      <c r="S986" s="430"/>
      <c r="T986" s="430"/>
      <c r="U986" s="430"/>
      <c r="V986" s="430"/>
      <c r="W986" s="430"/>
      <c r="X986" s="430"/>
      <c r="Y986" s="430"/>
      <c r="Z986" s="430"/>
      <c r="AA986" s="430"/>
      <c r="AB986" s="430"/>
      <c r="AC986" s="430"/>
      <c r="AD986" s="430"/>
      <c r="AE986" s="430"/>
      <c r="AF986" s="430"/>
      <c r="AG986" s="430"/>
      <c r="AH986" s="430"/>
      <c r="AI986" s="430"/>
      <c r="AJ986" s="430"/>
      <c r="AK986" s="430"/>
      <c r="AL986" s="430"/>
      <c r="AM986" s="430"/>
      <c r="AN986" s="430"/>
      <c r="AO986" s="430"/>
      <c r="AP986" s="430"/>
      <c r="AQ986" s="430"/>
      <c r="AR986" s="430"/>
      <c r="AS986" s="430"/>
      <c r="AT986" s="430"/>
      <c r="AU986" s="430"/>
      <c r="AV986" s="430"/>
      <c r="AW986" s="430"/>
      <c r="AX986" s="430"/>
      <c r="AY986" s="430"/>
      <c r="AZ986" s="430"/>
      <c r="BA986" s="430"/>
      <c r="BB986" s="430"/>
      <c r="BC986" s="430"/>
      <c r="BD986" s="430"/>
      <c r="BE986" s="430"/>
    </row>
    <row r="987" spans="1:57" ht="15.75" customHeight="1">
      <c r="A987" s="430"/>
      <c r="B987" s="430"/>
      <c r="C987" s="430"/>
      <c r="D987" s="430"/>
      <c r="E987" s="430"/>
      <c r="F987" s="430"/>
      <c r="G987" s="430"/>
      <c r="H987" s="430"/>
      <c r="I987" s="430"/>
      <c r="J987" s="430"/>
      <c r="K987" s="430"/>
      <c r="L987" s="430"/>
      <c r="M987" s="430"/>
      <c r="N987" s="430"/>
      <c r="O987" s="430"/>
      <c r="P987" s="430"/>
      <c r="Q987" s="430"/>
      <c r="R987" s="430"/>
      <c r="S987" s="430"/>
      <c r="T987" s="430"/>
      <c r="U987" s="430"/>
      <c r="V987" s="430"/>
      <c r="W987" s="430"/>
      <c r="X987" s="430"/>
      <c r="Y987" s="430"/>
      <c r="Z987" s="430"/>
      <c r="AA987" s="430"/>
      <c r="AB987" s="430"/>
      <c r="AC987" s="430"/>
      <c r="AD987" s="430"/>
      <c r="AE987" s="430"/>
      <c r="AF987" s="430"/>
      <c r="AG987" s="430"/>
      <c r="AH987" s="430"/>
      <c r="AI987" s="430"/>
      <c r="AJ987" s="430"/>
      <c r="AK987" s="430"/>
      <c r="AL987" s="430"/>
      <c r="AM987" s="430"/>
      <c r="AN987" s="430"/>
      <c r="AO987" s="430"/>
      <c r="AP987" s="430"/>
      <c r="AQ987" s="430"/>
      <c r="AR987" s="430"/>
      <c r="AS987" s="430"/>
      <c r="AT987" s="430"/>
      <c r="AU987" s="430"/>
      <c r="AV987" s="430"/>
      <c r="AW987" s="430"/>
      <c r="AX987" s="430"/>
      <c r="AY987" s="430"/>
      <c r="AZ987" s="430"/>
      <c r="BA987" s="430"/>
      <c r="BB987" s="430"/>
      <c r="BC987" s="430"/>
      <c r="BD987" s="430"/>
      <c r="BE987" s="430"/>
    </row>
    <row r="988" spans="1:57" ht="15.75" customHeight="1">
      <c r="A988" s="430"/>
      <c r="B988" s="430"/>
      <c r="C988" s="430"/>
      <c r="D988" s="430"/>
      <c r="E988" s="430"/>
      <c r="F988" s="430"/>
      <c r="G988" s="430"/>
      <c r="H988" s="430"/>
      <c r="I988" s="430"/>
      <c r="J988" s="430"/>
      <c r="K988" s="430"/>
      <c r="L988" s="430"/>
      <c r="M988" s="430"/>
      <c r="N988" s="430"/>
      <c r="O988" s="430"/>
      <c r="P988" s="430"/>
      <c r="Q988" s="430"/>
      <c r="R988" s="430"/>
      <c r="S988" s="430"/>
      <c r="T988" s="430"/>
      <c r="U988" s="430"/>
      <c r="V988" s="430"/>
      <c r="W988" s="430"/>
      <c r="X988" s="430"/>
      <c r="Y988" s="430"/>
      <c r="Z988" s="430"/>
      <c r="AA988" s="430"/>
      <c r="AB988" s="430"/>
      <c r="AC988" s="430"/>
      <c r="AD988" s="430"/>
      <c r="AE988" s="430"/>
      <c r="AF988" s="430"/>
      <c r="AG988" s="430"/>
      <c r="AH988" s="430"/>
      <c r="AI988" s="430"/>
      <c r="AJ988" s="430"/>
      <c r="AK988" s="430"/>
      <c r="AL988" s="430"/>
      <c r="AM988" s="430"/>
      <c r="AN988" s="430"/>
      <c r="AO988" s="430"/>
      <c r="AP988" s="430"/>
      <c r="AQ988" s="430"/>
      <c r="AR988" s="430"/>
      <c r="AS988" s="430"/>
      <c r="AT988" s="430"/>
      <c r="AU988" s="430"/>
      <c r="AV988" s="430"/>
      <c r="AW988" s="430"/>
      <c r="AX988" s="430"/>
      <c r="AY988" s="430"/>
      <c r="AZ988" s="430"/>
      <c r="BA988" s="430"/>
      <c r="BB988" s="430"/>
      <c r="BC988" s="430"/>
      <c r="BD988" s="430"/>
      <c r="BE988" s="430"/>
    </row>
    <row r="989" spans="1:57" ht="15.75" customHeight="1">
      <c r="A989" s="430"/>
      <c r="B989" s="430"/>
      <c r="C989" s="430"/>
      <c r="D989" s="430"/>
      <c r="E989" s="430"/>
      <c r="F989" s="430"/>
      <c r="G989" s="430"/>
      <c r="H989" s="430"/>
      <c r="I989" s="430"/>
      <c r="J989" s="430"/>
      <c r="K989" s="430"/>
      <c r="L989" s="430"/>
      <c r="M989" s="430"/>
      <c r="N989" s="430"/>
      <c r="O989" s="430"/>
      <c r="P989" s="430"/>
      <c r="Q989" s="430"/>
      <c r="R989" s="430"/>
      <c r="S989" s="430"/>
      <c r="T989" s="430"/>
      <c r="U989" s="430"/>
      <c r="V989" s="430"/>
      <c r="W989" s="430"/>
      <c r="X989" s="430"/>
      <c r="Y989" s="430"/>
      <c r="Z989" s="430"/>
      <c r="AA989" s="430"/>
      <c r="AB989" s="430"/>
      <c r="AC989" s="430"/>
      <c r="AD989" s="430"/>
      <c r="AE989" s="430"/>
      <c r="AF989" s="430"/>
      <c r="AG989" s="430"/>
      <c r="AH989" s="430"/>
      <c r="AI989" s="430"/>
      <c r="AJ989" s="430"/>
      <c r="AK989" s="430"/>
      <c r="AL989" s="430"/>
      <c r="AM989" s="430"/>
      <c r="AN989" s="430"/>
      <c r="AO989" s="430"/>
      <c r="AP989" s="430"/>
      <c r="AQ989" s="430"/>
      <c r="AR989" s="430"/>
      <c r="AS989" s="430"/>
      <c r="AT989" s="430"/>
      <c r="AU989" s="430"/>
      <c r="AV989" s="430"/>
      <c r="AW989" s="430"/>
      <c r="AX989" s="430"/>
      <c r="AY989" s="430"/>
      <c r="AZ989" s="430"/>
      <c r="BA989" s="430"/>
      <c r="BB989" s="430"/>
      <c r="BC989" s="430"/>
      <c r="BD989" s="430"/>
      <c r="BE989" s="430"/>
    </row>
    <row r="990" spans="1:57" ht="15.75" customHeight="1">
      <c r="A990" s="430"/>
      <c r="B990" s="430"/>
      <c r="C990" s="430"/>
      <c r="D990" s="430"/>
      <c r="E990" s="430"/>
      <c r="F990" s="430"/>
      <c r="G990" s="430"/>
      <c r="H990" s="430"/>
      <c r="I990" s="430"/>
      <c r="J990" s="430"/>
      <c r="K990" s="430"/>
      <c r="L990" s="430"/>
      <c r="M990" s="430"/>
      <c r="N990" s="430"/>
      <c r="O990" s="430"/>
      <c r="P990" s="430"/>
      <c r="Q990" s="430"/>
      <c r="R990" s="430"/>
      <c r="S990" s="430"/>
      <c r="T990" s="430"/>
      <c r="U990" s="430"/>
      <c r="V990" s="430"/>
      <c r="W990" s="430"/>
      <c r="X990" s="430"/>
      <c r="Y990" s="430"/>
      <c r="Z990" s="430"/>
      <c r="AA990" s="430"/>
      <c r="AB990" s="430"/>
      <c r="AC990" s="430"/>
      <c r="AD990" s="430"/>
      <c r="AE990" s="430"/>
      <c r="AF990" s="430"/>
      <c r="AG990" s="430"/>
      <c r="AH990" s="430"/>
      <c r="AI990" s="430"/>
      <c r="AJ990" s="430"/>
      <c r="AK990" s="430"/>
      <c r="AL990" s="430"/>
      <c r="AM990" s="430"/>
      <c r="AN990" s="430"/>
      <c r="AO990" s="430"/>
      <c r="AP990" s="430"/>
      <c r="AQ990" s="430"/>
      <c r="AR990" s="430"/>
      <c r="AS990" s="430"/>
      <c r="AT990" s="430"/>
      <c r="AU990" s="430"/>
      <c r="AV990" s="430"/>
      <c r="AW990" s="430"/>
      <c r="AX990" s="430"/>
      <c r="AY990" s="430"/>
      <c r="AZ990" s="430"/>
      <c r="BA990" s="430"/>
      <c r="BB990" s="430"/>
      <c r="BC990" s="430"/>
      <c r="BD990" s="430"/>
      <c r="BE990" s="430"/>
    </row>
    <row r="991" spans="1:57" ht="15.75" customHeight="1">
      <c r="A991" s="430"/>
      <c r="B991" s="430"/>
      <c r="C991" s="430"/>
      <c r="D991" s="430"/>
      <c r="E991" s="430"/>
      <c r="F991" s="430"/>
      <c r="G991" s="430"/>
      <c r="H991" s="430"/>
      <c r="I991" s="430"/>
      <c r="J991" s="430"/>
      <c r="K991" s="430"/>
      <c r="L991" s="430"/>
      <c r="M991" s="430"/>
      <c r="N991" s="430"/>
      <c r="O991" s="430"/>
      <c r="P991" s="430"/>
      <c r="Q991" s="430"/>
      <c r="R991" s="430"/>
      <c r="S991" s="430"/>
      <c r="T991" s="430"/>
      <c r="U991" s="430"/>
      <c r="V991" s="430"/>
      <c r="W991" s="430"/>
      <c r="X991" s="430"/>
      <c r="Y991" s="430"/>
      <c r="Z991" s="430"/>
      <c r="AA991" s="430"/>
      <c r="AB991" s="430"/>
      <c r="AC991" s="430"/>
      <c r="AD991" s="430"/>
      <c r="AE991" s="430"/>
      <c r="AF991" s="430"/>
      <c r="AG991" s="430"/>
      <c r="AH991" s="430"/>
      <c r="AI991" s="430"/>
      <c r="AJ991" s="430"/>
      <c r="AK991" s="430"/>
      <c r="AL991" s="430"/>
      <c r="AM991" s="430"/>
      <c r="AN991" s="430"/>
      <c r="AO991" s="430"/>
      <c r="AP991" s="430"/>
      <c r="AQ991" s="430"/>
      <c r="AR991" s="430"/>
      <c r="AS991" s="430"/>
      <c r="AT991" s="430"/>
      <c r="AU991" s="430"/>
      <c r="AV991" s="430"/>
      <c r="AW991" s="430"/>
      <c r="AX991" s="430"/>
      <c r="AY991" s="430"/>
      <c r="AZ991" s="430"/>
      <c r="BA991" s="430"/>
      <c r="BB991" s="430"/>
      <c r="BC991" s="430"/>
      <c r="BD991" s="430"/>
      <c r="BE991" s="430"/>
    </row>
    <row r="992" spans="1:57" ht="15.75" customHeight="1">
      <c r="A992" s="430"/>
      <c r="B992" s="430"/>
      <c r="C992" s="430"/>
      <c r="D992" s="430"/>
      <c r="E992" s="430"/>
      <c r="F992" s="430"/>
      <c r="G992" s="430"/>
      <c r="H992" s="430"/>
      <c r="I992" s="430"/>
      <c r="J992" s="430"/>
      <c r="K992" s="430"/>
      <c r="L992" s="430"/>
      <c r="M992" s="430"/>
      <c r="N992" s="430"/>
      <c r="O992" s="430"/>
      <c r="P992" s="430"/>
      <c r="Q992" s="430"/>
      <c r="R992" s="430"/>
      <c r="S992" s="430"/>
      <c r="T992" s="430"/>
      <c r="U992" s="430"/>
      <c r="V992" s="430"/>
      <c r="W992" s="430"/>
      <c r="X992" s="430"/>
      <c r="Y992" s="430"/>
      <c r="Z992" s="430"/>
      <c r="AA992" s="430"/>
      <c r="AB992" s="430"/>
      <c r="AC992" s="430"/>
      <c r="AD992" s="430"/>
      <c r="AE992" s="430"/>
      <c r="AF992" s="430"/>
      <c r="AG992" s="430"/>
      <c r="AH992" s="430"/>
      <c r="AI992" s="430"/>
      <c r="AJ992" s="430"/>
      <c r="AK992" s="430"/>
      <c r="AL992" s="430"/>
      <c r="AM992" s="430"/>
      <c r="AN992" s="430"/>
      <c r="AO992" s="430"/>
      <c r="AP992" s="430"/>
      <c r="AQ992" s="430"/>
      <c r="AR992" s="430"/>
      <c r="AS992" s="430"/>
      <c r="AT992" s="430"/>
      <c r="AU992" s="430"/>
      <c r="AV992" s="430"/>
      <c r="AW992" s="430"/>
      <c r="AX992" s="430"/>
      <c r="AY992" s="430"/>
      <c r="AZ992" s="430"/>
      <c r="BA992" s="430"/>
      <c r="BB992" s="430"/>
      <c r="BC992" s="430"/>
      <c r="BD992" s="430"/>
      <c r="BE992" s="430"/>
    </row>
    <row r="993" spans="1:57" ht="15.75" customHeight="1">
      <c r="A993" s="430"/>
      <c r="B993" s="430"/>
      <c r="C993" s="430"/>
      <c r="D993" s="430"/>
      <c r="E993" s="430"/>
      <c r="F993" s="430"/>
      <c r="G993" s="430"/>
      <c r="H993" s="430"/>
      <c r="I993" s="430"/>
      <c r="J993" s="430"/>
      <c r="K993" s="430"/>
      <c r="L993" s="430"/>
      <c r="M993" s="430"/>
      <c r="N993" s="430"/>
      <c r="O993" s="430"/>
      <c r="P993" s="430"/>
      <c r="Q993" s="430"/>
      <c r="R993" s="430"/>
      <c r="S993" s="430"/>
      <c r="T993" s="430"/>
      <c r="U993" s="430"/>
      <c r="V993" s="430"/>
      <c r="W993" s="430"/>
      <c r="X993" s="430"/>
      <c r="Y993" s="430"/>
      <c r="Z993" s="430"/>
      <c r="AA993" s="430"/>
      <c r="AB993" s="430"/>
      <c r="AC993" s="430"/>
      <c r="AD993" s="430"/>
      <c r="AE993" s="430"/>
      <c r="AF993" s="430"/>
      <c r="AG993" s="430"/>
      <c r="AH993" s="430"/>
      <c r="AI993" s="430"/>
      <c r="AJ993" s="430"/>
      <c r="AK993" s="430"/>
      <c r="AL993" s="430"/>
      <c r="AM993" s="430"/>
      <c r="AN993" s="430"/>
      <c r="AO993" s="430"/>
      <c r="AP993" s="430"/>
      <c r="AQ993" s="430"/>
      <c r="AR993" s="430"/>
      <c r="AS993" s="430"/>
      <c r="AT993" s="430"/>
      <c r="AU993" s="430"/>
      <c r="AV993" s="430"/>
      <c r="AW993" s="430"/>
      <c r="AX993" s="430"/>
      <c r="AY993" s="430"/>
      <c r="AZ993" s="430"/>
      <c r="BA993" s="430"/>
      <c r="BB993" s="430"/>
      <c r="BC993" s="430"/>
      <c r="BD993" s="430"/>
      <c r="BE993" s="430"/>
    </row>
    <row r="994" spans="1:57" ht="15.75" customHeight="1">
      <c r="A994" s="430"/>
      <c r="B994" s="430"/>
      <c r="C994" s="430"/>
      <c r="D994" s="430"/>
      <c r="E994" s="430"/>
      <c r="F994" s="430"/>
      <c r="G994" s="430"/>
      <c r="H994" s="430"/>
      <c r="I994" s="430"/>
      <c r="J994" s="430"/>
      <c r="K994" s="430"/>
      <c r="L994" s="430"/>
      <c r="M994" s="430"/>
      <c r="N994" s="430"/>
      <c r="O994" s="430"/>
      <c r="P994" s="430"/>
      <c r="Q994" s="430"/>
      <c r="R994" s="430"/>
      <c r="S994" s="430"/>
      <c r="T994" s="430"/>
      <c r="U994" s="430"/>
      <c r="V994" s="430"/>
      <c r="W994" s="430"/>
      <c r="X994" s="430"/>
      <c r="Y994" s="430"/>
      <c r="Z994" s="430"/>
      <c r="AA994" s="430"/>
      <c r="AB994" s="430"/>
      <c r="AC994" s="430"/>
      <c r="AD994" s="430"/>
      <c r="AE994" s="430"/>
      <c r="AF994" s="430"/>
      <c r="AG994" s="430"/>
      <c r="AH994" s="430"/>
      <c r="AI994" s="430"/>
      <c r="AJ994" s="430"/>
      <c r="AK994" s="430"/>
      <c r="AL994" s="430"/>
      <c r="AM994" s="430"/>
      <c r="AN994" s="430"/>
      <c r="AO994" s="430"/>
      <c r="AP994" s="430"/>
      <c r="AQ994" s="430"/>
      <c r="AR994" s="430"/>
      <c r="AS994" s="430"/>
      <c r="AT994" s="430"/>
      <c r="AU994" s="430"/>
      <c r="AV994" s="430"/>
      <c r="AW994" s="430"/>
      <c r="AX994" s="430"/>
      <c r="AY994" s="430"/>
      <c r="AZ994" s="430"/>
      <c r="BA994" s="430"/>
      <c r="BB994" s="430"/>
      <c r="BC994" s="430"/>
      <c r="BD994" s="430"/>
      <c r="BE994" s="430"/>
    </row>
    <row r="995" spans="1:57" ht="15.75" customHeight="1">
      <c r="A995" s="430"/>
      <c r="B995" s="430"/>
      <c r="C995" s="430"/>
      <c r="D995" s="430"/>
      <c r="E995" s="430"/>
      <c r="F995" s="430"/>
      <c r="G995" s="430"/>
      <c r="H995" s="430"/>
      <c r="I995" s="430"/>
      <c r="J995" s="430"/>
      <c r="K995" s="430"/>
      <c r="L995" s="430"/>
      <c r="M995" s="430"/>
      <c r="N995" s="430"/>
      <c r="O995" s="430"/>
      <c r="P995" s="430"/>
      <c r="Q995" s="430"/>
      <c r="R995" s="430"/>
      <c r="S995" s="430"/>
      <c r="T995" s="430"/>
      <c r="U995" s="430"/>
      <c r="V995" s="430"/>
      <c r="W995" s="430"/>
      <c r="X995" s="430"/>
      <c r="Y995" s="430"/>
      <c r="Z995" s="430"/>
      <c r="AA995" s="430"/>
      <c r="AB995" s="430"/>
      <c r="AC995" s="430"/>
      <c r="AD995" s="430"/>
      <c r="AE995" s="430"/>
      <c r="AF995" s="430"/>
      <c r="AG995" s="430"/>
      <c r="AH995" s="430"/>
      <c r="AI995" s="430"/>
      <c r="AJ995" s="430"/>
      <c r="AK995" s="430"/>
      <c r="AL995" s="430"/>
      <c r="AM995" s="430"/>
      <c r="AN995" s="430"/>
      <c r="AO995" s="430"/>
      <c r="AP995" s="430"/>
      <c r="AQ995" s="430"/>
      <c r="AR995" s="430"/>
      <c r="AS995" s="430"/>
      <c r="AT995" s="430"/>
      <c r="AU995" s="430"/>
      <c r="AV995" s="430"/>
      <c r="AW995" s="430"/>
      <c r="AX995" s="430"/>
      <c r="AY995" s="430"/>
      <c r="AZ995" s="430"/>
      <c r="BA995" s="430"/>
      <c r="BB995" s="430"/>
      <c r="BC995" s="430"/>
      <c r="BD995" s="430"/>
      <c r="BE995" s="430"/>
    </row>
    <row r="996" spans="1:57" ht="15.75" customHeight="1">
      <c r="A996" s="430"/>
      <c r="B996" s="430"/>
      <c r="C996" s="430"/>
      <c r="D996" s="430"/>
      <c r="E996" s="430"/>
      <c r="F996" s="430"/>
      <c r="G996" s="430"/>
      <c r="H996" s="430"/>
      <c r="I996" s="430"/>
      <c r="J996" s="430"/>
      <c r="K996" s="430"/>
      <c r="L996" s="430"/>
      <c r="M996" s="430"/>
      <c r="N996" s="430"/>
      <c r="O996" s="430"/>
      <c r="P996" s="430"/>
      <c r="Q996" s="430"/>
      <c r="R996" s="430"/>
      <c r="S996" s="430"/>
      <c r="T996" s="430"/>
      <c r="U996" s="430"/>
      <c r="V996" s="430"/>
      <c r="W996" s="430"/>
      <c r="X996" s="430"/>
      <c r="Y996" s="430"/>
      <c r="Z996" s="430"/>
      <c r="AA996" s="430"/>
      <c r="AB996" s="430"/>
      <c r="AC996" s="430"/>
      <c r="AD996" s="430"/>
      <c r="AE996" s="430"/>
      <c r="AF996" s="430"/>
      <c r="AG996" s="430"/>
      <c r="AH996" s="430"/>
      <c r="AI996" s="430"/>
      <c r="AJ996" s="430"/>
      <c r="AK996" s="430"/>
      <c r="AL996" s="430"/>
      <c r="AM996" s="430"/>
      <c r="AN996" s="430"/>
      <c r="AO996" s="430"/>
      <c r="AP996" s="430"/>
      <c r="AQ996" s="430"/>
      <c r="AR996" s="430"/>
      <c r="AS996" s="430"/>
      <c r="AT996" s="430"/>
      <c r="AU996" s="430"/>
      <c r="AV996" s="430"/>
      <c r="AW996" s="430"/>
      <c r="AX996" s="430"/>
      <c r="AY996" s="430"/>
      <c r="AZ996" s="430"/>
      <c r="BA996" s="430"/>
      <c r="BB996" s="430"/>
      <c r="BC996" s="430"/>
      <c r="BD996" s="430"/>
      <c r="BE996" s="430"/>
    </row>
    <row r="997" spans="1:57" ht="15.75" customHeight="1">
      <c r="A997" s="430"/>
      <c r="B997" s="430"/>
      <c r="C997" s="430"/>
      <c r="D997" s="430"/>
      <c r="E997" s="430"/>
      <c r="F997" s="430"/>
      <c r="G997" s="430"/>
      <c r="H997" s="430"/>
      <c r="I997" s="430"/>
      <c r="J997" s="430"/>
      <c r="K997" s="430"/>
      <c r="L997" s="430"/>
      <c r="M997" s="430"/>
      <c r="N997" s="430"/>
      <c r="O997" s="430"/>
      <c r="P997" s="430"/>
      <c r="Q997" s="430"/>
      <c r="R997" s="430"/>
      <c r="S997" s="430"/>
      <c r="T997" s="430"/>
      <c r="U997" s="430"/>
      <c r="V997" s="430"/>
      <c r="W997" s="430"/>
      <c r="X997" s="430"/>
      <c r="Y997" s="430"/>
      <c r="Z997" s="430"/>
      <c r="AA997" s="430"/>
      <c r="AB997" s="430"/>
      <c r="AC997" s="430"/>
      <c r="AD997" s="430"/>
      <c r="AE997" s="430"/>
      <c r="AF997" s="430"/>
      <c r="AG997" s="430"/>
      <c r="AH997" s="430"/>
      <c r="AI997" s="430"/>
      <c r="AJ997" s="430"/>
      <c r="AK997" s="430"/>
      <c r="AL997" s="430"/>
      <c r="AM997" s="430"/>
      <c r="AN997" s="430"/>
      <c r="AO997" s="430"/>
      <c r="AP997" s="430"/>
      <c r="AQ997" s="430"/>
      <c r="AR997" s="430"/>
      <c r="AS997" s="430"/>
      <c r="AT997" s="430"/>
      <c r="AU997" s="430"/>
      <c r="AV997" s="430"/>
      <c r="AW997" s="430"/>
      <c r="AX997" s="430"/>
      <c r="AY997" s="430"/>
      <c r="AZ997" s="430"/>
      <c r="BA997" s="430"/>
      <c r="BB997" s="430"/>
      <c r="BC997" s="430"/>
      <c r="BD997" s="430"/>
      <c r="BE997" s="430"/>
    </row>
    <row r="998" spans="1:57" ht="15.75" customHeight="1">
      <c r="A998" s="430"/>
      <c r="B998" s="430"/>
      <c r="C998" s="430"/>
      <c r="D998" s="430"/>
      <c r="E998" s="430"/>
      <c r="F998" s="430"/>
      <c r="G998" s="430"/>
      <c r="H998" s="430"/>
      <c r="I998" s="430"/>
      <c r="J998" s="430"/>
      <c r="K998" s="430"/>
      <c r="L998" s="430"/>
      <c r="M998" s="430"/>
      <c r="N998" s="430"/>
      <c r="O998" s="430"/>
      <c r="P998" s="430"/>
      <c r="Q998" s="430"/>
      <c r="R998" s="430"/>
      <c r="S998" s="430"/>
      <c r="T998" s="430"/>
      <c r="U998" s="430"/>
      <c r="V998" s="430"/>
      <c r="W998" s="430"/>
      <c r="X998" s="430"/>
      <c r="Y998" s="430"/>
      <c r="Z998" s="430"/>
      <c r="AA998" s="430"/>
      <c r="AB998" s="430"/>
      <c r="AC998" s="430"/>
      <c r="AD998" s="430"/>
      <c r="AE998" s="430"/>
      <c r="AF998" s="430"/>
      <c r="AG998" s="430"/>
      <c r="AH998" s="430"/>
      <c r="AI998" s="430"/>
      <c r="AJ998" s="430"/>
      <c r="AK998" s="430"/>
      <c r="AL998" s="430"/>
      <c r="AM998" s="430"/>
      <c r="AN998" s="430"/>
      <c r="AO998" s="430"/>
      <c r="AP998" s="430"/>
      <c r="AQ998" s="430"/>
      <c r="AR998" s="430"/>
      <c r="AS998" s="430"/>
      <c r="AT998" s="430"/>
      <c r="AU998" s="430"/>
      <c r="AV998" s="430"/>
      <c r="AW998" s="430"/>
      <c r="AX998" s="430"/>
      <c r="AY998" s="430"/>
      <c r="AZ998" s="430"/>
      <c r="BA998" s="430"/>
      <c r="BB998" s="430"/>
      <c r="BC998" s="430"/>
      <c r="BD998" s="430"/>
      <c r="BE998" s="430"/>
    </row>
    <row r="999" spans="1:57" ht="15.75" customHeight="1">
      <c r="A999" s="430"/>
      <c r="B999" s="430"/>
      <c r="C999" s="430"/>
      <c r="D999" s="430"/>
      <c r="E999" s="430"/>
      <c r="F999" s="430"/>
      <c r="G999" s="430"/>
      <c r="H999" s="430"/>
      <c r="I999" s="430"/>
      <c r="J999" s="430"/>
      <c r="K999" s="430"/>
      <c r="L999" s="430"/>
      <c r="M999" s="430"/>
      <c r="N999" s="430"/>
      <c r="O999" s="430"/>
      <c r="P999" s="430"/>
      <c r="Q999" s="430"/>
      <c r="R999" s="430"/>
      <c r="S999" s="430"/>
      <c r="T999" s="430"/>
      <c r="U999" s="430"/>
      <c r="V999" s="430"/>
      <c r="W999" s="430"/>
      <c r="X999" s="430"/>
      <c r="Y999" s="430"/>
      <c r="Z999" s="430"/>
      <c r="AA999" s="430"/>
      <c r="AB999" s="430"/>
      <c r="AC999" s="430"/>
      <c r="AD999" s="430"/>
      <c r="AE999" s="430"/>
      <c r="AF999" s="430"/>
      <c r="AG999" s="430"/>
      <c r="AH999" s="430"/>
      <c r="AI999" s="430"/>
      <c r="AJ999" s="430"/>
      <c r="AK999" s="430"/>
      <c r="AL999" s="430"/>
      <c r="AM999" s="430"/>
      <c r="AN999" s="430"/>
      <c r="AO999" s="430"/>
      <c r="AP999" s="430"/>
      <c r="AQ999" s="430"/>
      <c r="AR999" s="430"/>
      <c r="AS999" s="430"/>
      <c r="AT999" s="430"/>
      <c r="AU999" s="430"/>
      <c r="AV999" s="430"/>
      <c r="AW999" s="430"/>
      <c r="AX999" s="430"/>
      <c r="AY999" s="430"/>
      <c r="AZ999" s="430"/>
      <c r="BA999" s="430"/>
      <c r="BB999" s="430"/>
      <c r="BC999" s="430"/>
      <c r="BD999" s="430"/>
      <c r="BE999" s="430"/>
    </row>
    <row r="1000" spans="1:57" ht="15.75" customHeight="1">
      <c r="A1000" s="430"/>
      <c r="B1000" s="430"/>
      <c r="C1000" s="430"/>
      <c r="D1000" s="430"/>
      <c r="E1000" s="430"/>
      <c r="F1000" s="430"/>
      <c r="G1000" s="430"/>
      <c r="H1000" s="430"/>
      <c r="I1000" s="430"/>
      <c r="J1000" s="430"/>
      <c r="K1000" s="430"/>
      <c r="L1000" s="430"/>
      <c r="M1000" s="430"/>
      <c r="N1000" s="430"/>
      <c r="O1000" s="430"/>
      <c r="P1000" s="430"/>
      <c r="Q1000" s="430"/>
      <c r="R1000" s="430"/>
      <c r="S1000" s="430"/>
      <c r="T1000" s="430"/>
      <c r="U1000" s="430"/>
      <c r="V1000" s="430"/>
      <c r="W1000" s="430"/>
      <c r="X1000" s="430"/>
      <c r="Y1000" s="430"/>
      <c r="Z1000" s="430"/>
      <c r="AA1000" s="430"/>
      <c r="AB1000" s="430"/>
      <c r="AC1000" s="430"/>
      <c r="AD1000" s="430"/>
      <c r="AE1000" s="430"/>
      <c r="AF1000" s="430"/>
      <c r="AG1000" s="430"/>
      <c r="AH1000" s="430"/>
      <c r="AI1000" s="430"/>
      <c r="AJ1000" s="430"/>
      <c r="AK1000" s="430"/>
      <c r="AL1000" s="430"/>
      <c r="AM1000" s="430"/>
      <c r="AN1000" s="430"/>
      <c r="AO1000" s="430"/>
      <c r="AP1000" s="430"/>
      <c r="AQ1000" s="430"/>
      <c r="AR1000" s="430"/>
      <c r="AS1000" s="430"/>
      <c r="AT1000" s="430"/>
      <c r="AU1000" s="430"/>
      <c r="AV1000" s="430"/>
      <c r="AW1000" s="430"/>
      <c r="AX1000" s="430"/>
      <c r="AY1000" s="430"/>
      <c r="AZ1000" s="430"/>
      <c r="BA1000" s="430"/>
      <c r="BB1000" s="430"/>
      <c r="BC1000" s="430"/>
      <c r="BD1000" s="430"/>
      <c r="BE1000" s="430"/>
    </row>
  </sheetData>
  <mergeCells count="23">
    <mergeCell ref="B2:B5"/>
    <mergeCell ref="C2:I3"/>
    <mergeCell ref="J2:R3"/>
    <mergeCell ref="S2:AB3"/>
    <mergeCell ref="AC2:AM3"/>
    <mergeCell ref="C4:C5"/>
    <mergeCell ref="D4:D5"/>
    <mergeCell ref="E4:E5"/>
    <mergeCell ref="F4:F5"/>
    <mergeCell ref="G4:G5"/>
    <mergeCell ref="H4:H5"/>
    <mergeCell ref="I4:I5"/>
    <mergeCell ref="J4:J5"/>
    <mergeCell ref="K4:K5"/>
    <mergeCell ref="S4:S5"/>
    <mergeCell ref="Z5:AA5"/>
    <mergeCell ref="X5:Y5"/>
    <mergeCell ref="T4:T5"/>
    <mergeCell ref="U4:U5"/>
    <mergeCell ref="L5:M5"/>
    <mergeCell ref="N5:O5"/>
    <mergeCell ref="P5:Q5"/>
    <mergeCell ref="V5:W5"/>
  </mergeCells>
  <pageMargins left="0.7" right="0.7" top="0.75" bottom="0.75" header="0" footer="0"/>
  <pageSetup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E598"/>
    <outlinePr summaryBelow="0" summaryRight="0"/>
  </sheetPr>
  <dimension ref="A1:BE1000"/>
  <sheetViews>
    <sheetView topLeftCell="A3" zoomScale="70" zoomScaleNormal="70" workbookViewId="0">
      <pane xSplit="2" topLeftCell="L1" activePane="topRight" state="frozen"/>
      <selection pane="topRight" activeCell="C42" sqref="C42"/>
    </sheetView>
  </sheetViews>
  <sheetFormatPr defaultColWidth="12.625" defaultRowHeight="15" customHeight="1"/>
  <cols>
    <col min="1" max="1" width="3.125" style="108" customWidth="1"/>
    <col min="2" max="2" width="13" style="108" customWidth="1"/>
    <col min="3" max="3" width="11.125" style="108" customWidth="1"/>
    <col min="4" max="4" width="16.625" style="108" customWidth="1"/>
    <col min="5" max="5" width="13.625" style="108" customWidth="1"/>
    <col min="6" max="6" width="16.625" style="108" customWidth="1"/>
    <col min="7" max="8" width="6.125" style="108" customWidth="1"/>
    <col min="9" max="9" width="8.875" style="108" customWidth="1"/>
    <col min="10" max="10" width="14.625" style="108" customWidth="1"/>
    <col min="11" max="11" width="15.375" style="108" customWidth="1"/>
    <col min="12" max="12" width="11" style="108" customWidth="1"/>
    <col min="13" max="13" width="10.125" style="108" customWidth="1"/>
    <col min="14" max="14" width="9.625" style="108" customWidth="1"/>
    <col min="15" max="15" width="6" style="108" customWidth="1"/>
    <col min="16" max="16" width="8.625" style="108" customWidth="1"/>
    <col min="17" max="17" width="7.625" style="108" customWidth="1"/>
    <col min="18" max="18" width="11.125" style="108" customWidth="1"/>
    <col min="19" max="19" width="16.625" style="108" customWidth="1"/>
    <col min="20" max="20" width="14.625" style="108" customWidth="1"/>
    <col min="21" max="21" width="15.375" style="108" customWidth="1"/>
    <col min="22" max="22" width="8.875" style="108" customWidth="1"/>
    <col min="23" max="23" width="8.625" style="108" customWidth="1"/>
    <col min="24" max="24" width="9.625" style="108" customWidth="1"/>
    <col min="25" max="25" width="6.5" style="108" customWidth="1"/>
    <col min="26" max="26" width="8.625" style="108" customWidth="1"/>
    <col min="27" max="27" width="7.625" style="108" customWidth="1"/>
    <col min="28" max="28" width="10.875" style="108" customWidth="1"/>
    <col min="29" max="29" width="10" style="108" customWidth="1"/>
    <col min="30" max="30" width="9.125" style="108" customWidth="1"/>
    <col min="31" max="31" width="16.125" style="108" customWidth="1"/>
    <col min="32" max="32" width="21.375" style="108" customWidth="1"/>
    <col min="33" max="33" width="23" style="108" customWidth="1"/>
    <col min="34" max="34" width="29.875" style="108" customWidth="1"/>
    <col min="35" max="35" width="24.625" style="108" customWidth="1"/>
    <col min="36" max="36" width="19.125" style="108" customWidth="1"/>
    <col min="37" max="39" width="24" style="108" customWidth="1"/>
    <col min="40" max="40" width="24.625" style="108" customWidth="1"/>
    <col min="41" max="57" width="13" style="108" customWidth="1"/>
    <col min="58" max="16384" width="12.625" style="108"/>
  </cols>
  <sheetData>
    <row r="1" spans="1:57" ht="15.75" customHeight="1" thickBot="1">
      <c r="A1" s="430"/>
      <c r="B1" s="429"/>
      <c r="C1" s="429"/>
      <c r="D1" s="429"/>
      <c r="E1" s="429"/>
      <c r="F1" s="429"/>
      <c r="G1" s="429"/>
      <c r="H1" s="429"/>
      <c r="I1" s="429"/>
      <c r="J1" s="427"/>
      <c r="K1" s="427"/>
      <c r="L1" s="428"/>
      <c r="M1" s="427"/>
      <c r="N1" s="429"/>
      <c r="O1" s="429"/>
      <c r="P1" s="429"/>
      <c r="Q1" s="429"/>
      <c r="R1" s="429"/>
      <c r="S1" s="427"/>
      <c r="T1" s="427"/>
      <c r="U1" s="427"/>
      <c r="V1" s="428"/>
      <c r="W1" s="427"/>
      <c r="X1" s="429"/>
      <c r="Y1" s="429"/>
      <c r="Z1" s="429"/>
      <c r="AA1" s="429"/>
      <c r="AB1" s="429"/>
      <c r="AC1" s="429"/>
      <c r="AD1" s="429"/>
      <c r="AE1" s="429"/>
      <c r="AF1" s="429"/>
      <c r="AG1" s="429"/>
      <c r="AH1" s="429"/>
      <c r="AI1" s="429"/>
      <c r="AJ1" s="429"/>
      <c r="AK1" s="429"/>
      <c r="AL1" s="429"/>
      <c r="AM1" s="429"/>
      <c r="AN1" s="430"/>
      <c r="AO1" s="430"/>
      <c r="AP1" s="430"/>
      <c r="AQ1" s="430"/>
      <c r="AR1" s="430"/>
      <c r="AS1" s="430"/>
      <c r="AT1" s="430"/>
      <c r="AU1" s="430"/>
      <c r="AV1" s="430"/>
      <c r="AW1" s="430"/>
      <c r="AX1" s="430"/>
      <c r="AY1" s="430"/>
      <c r="AZ1" s="430"/>
      <c r="BA1" s="430"/>
      <c r="BB1" s="430"/>
      <c r="BC1" s="430"/>
      <c r="BD1" s="430"/>
      <c r="BE1" s="430"/>
    </row>
    <row r="2" spans="1:57" ht="13.5" customHeight="1">
      <c r="A2" s="430"/>
      <c r="B2" s="1379" t="s">
        <v>496</v>
      </c>
      <c r="C2" s="1382" t="s">
        <v>555</v>
      </c>
      <c r="D2" s="1383"/>
      <c r="E2" s="1383"/>
      <c r="F2" s="1383"/>
      <c r="G2" s="1383"/>
      <c r="H2" s="1383"/>
      <c r="I2" s="1384"/>
      <c r="J2" s="1386" t="s">
        <v>556</v>
      </c>
      <c r="K2" s="1383"/>
      <c r="L2" s="1383"/>
      <c r="M2" s="1383"/>
      <c r="N2" s="1383"/>
      <c r="O2" s="1383"/>
      <c r="P2" s="1383"/>
      <c r="Q2" s="1383"/>
      <c r="R2" s="1384"/>
      <c r="S2" s="1390" t="s">
        <v>557</v>
      </c>
      <c r="T2" s="1383"/>
      <c r="U2" s="1383"/>
      <c r="V2" s="1383"/>
      <c r="W2" s="1383"/>
      <c r="X2" s="1383"/>
      <c r="Y2" s="1383"/>
      <c r="Z2" s="1383"/>
      <c r="AA2" s="1383"/>
      <c r="AB2" s="1384"/>
      <c r="AC2" s="1383"/>
      <c r="AD2" s="1383"/>
      <c r="AE2" s="1383"/>
      <c r="AF2" s="1383"/>
      <c r="AG2" s="1383"/>
      <c r="AH2" s="1383"/>
      <c r="AI2" s="1383"/>
      <c r="AJ2" s="1383"/>
      <c r="AK2" s="1383"/>
      <c r="AL2" s="1383"/>
      <c r="AM2" s="1384"/>
      <c r="AN2" s="668"/>
      <c r="AO2" s="669"/>
      <c r="AP2" s="430"/>
      <c r="AQ2" s="430"/>
      <c r="AR2" s="430"/>
      <c r="AS2" s="430"/>
      <c r="AT2" s="430"/>
      <c r="AU2" s="430"/>
      <c r="AV2" s="430"/>
      <c r="AW2" s="430"/>
      <c r="AX2" s="430"/>
      <c r="AY2" s="430"/>
      <c r="AZ2" s="430"/>
      <c r="BA2" s="430"/>
      <c r="BB2" s="430"/>
      <c r="BC2" s="430"/>
      <c r="BD2" s="430"/>
      <c r="BE2" s="430"/>
    </row>
    <row r="3" spans="1:57" ht="13.5" customHeight="1" thickBot="1">
      <c r="A3" s="670"/>
      <c r="B3" s="1380"/>
      <c r="C3" s="1385"/>
      <c r="D3" s="1370"/>
      <c r="E3" s="1370"/>
      <c r="F3" s="1370"/>
      <c r="G3" s="1370"/>
      <c r="H3" s="1370"/>
      <c r="I3" s="1373"/>
      <c r="J3" s="1387"/>
      <c r="K3" s="1388"/>
      <c r="L3" s="1388"/>
      <c r="M3" s="1388"/>
      <c r="N3" s="1388"/>
      <c r="O3" s="1388"/>
      <c r="P3" s="1388"/>
      <c r="Q3" s="1388"/>
      <c r="R3" s="1389"/>
      <c r="S3" s="1385"/>
      <c r="T3" s="1370"/>
      <c r="U3" s="1370"/>
      <c r="V3" s="1370"/>
      <c r="W3" s="1370"/>
      <c r="X3" s="1370"/>
      <c r="Y3" s="1370"/>
      <c r="Z3" s="1370"/>
      <c r="AA3" s="1370"/>
      <c r="AB3" s="1373"/>
      <c r="AC3" s="1370"/>
      <c r="AD3" s="1370"/>
      <c r="AE3" s="1370"/>
      <c r="AF3" s="1370"/>
      <c r="AG3" s="1370"/>
      <c r="AH3" s="1370"/>
      <c r="AI3" s="1370"/>
      <c r="AJ3" s="1370"/>
      <c r="AK3" s="1370"/>
      <c r="AL3" s="1370"/>
      <c r="AM3" s="1373"/>
      <c r="AN3" s="669"/>
      <c r="AO3" s="669"/>
      <c r="AP3" s="430"/>
      <c r="AQ3" s="430"/>
      <c r="AR3" s="430"/>
      <c r="AS3" s="430"/>
      <c r="AT3" s="430"/>
      <c r="AU3" s="430"/>
      <c r="AV3" s="430"/>
      <c r="AW3" s="430"/>
      <c r="AX3" s="430"/>
      <c r="AY3" s="430"/>
      <c r="AZ3" s="430"/>
      <c r="BA3" s="430"/>
      <c r="BB3" s="430"/>
      <c r="BC3" s="430"/>
      <c r="BD3" s="430"/>
      <c r="BE3" s="430"/>
    </row>
    <row r="4" spans="1:57" ht="13.5" customHeight="1">
      <c r="A4" s="670"/>
      <c r="B4" s="1380"/>
      <c r="C4" s="1391" t="s">
        <v>581</v>
      </c>
      <c r="D4" s="1371" t="s">
        <v>559</v>
      </c>
      <c r="E4" s="1371" t="s">
        <v>560</v>
      </c>
      <c r="F4" s="1371" t="s">
        <v>561</v>
      </c>
      <c r="G4" s="1392" t="s">
        <v>527</v>
      </c>
      <c r="H4" s="1392" t="s">
        <v>526</v>
      </c>
      <c r="I4" s="1372" t="s">
        <v>562</v>
      </c>
      <c r="J4" s="1393" t="s">
        <v>563</v>
      </c>
      <c r="K4" s="1394" t="s">
        <v>564</v>
      </c>
      <c r="L4" s="671" t="s">
        <v>565</v>
      </c>
      <c r="M4" s="672" t="s">
        <v>566</v>
      </c>
      <c r="N4" s="673" t="s">
        <v>565</v>
      </c>
      <c r="O4" s="673" t="s">
        <v>544</v>
      </c>
      <c r="P4" s="674" t="s">
        <v>565</v>
      </c>
      <c r="Q4" s="675" t="s">
        <v>544</v>
      </c>
      <c r="R4" s="673" t="s">
        <v>565</v>
      </c>
      <c r="S4" s="1391" t="s">
        <v>567</v>
      </c>
      <c r="T4" s="1371" t="s">
        <v>563</v>
      </c>
      <c r="U4" s="1372" t="s">
        <v>564</v>
      </c>
      <c r="V4" s="726" t="s">
        <v>565</v>
      </c>
      <c r="W4" s="678" t="s">
        <v>566</v>
      </c>
      <c r="X4" s="1150" t="s">
        <v>565</v>
      </c>
      <c r="Y4" s="1150" t="s">
        <v>544</v>
      </c>
      <c r="Z4" s="679" t="s">
        <v>565</v>
      </c>
      <c r="AA4" s="680" t="s">
        <v>544</v>
      </c>
      <c r="AB4" s="681" t="s">
        <v>565</v>
      </c>
      <c r="AC4" s="673"/>
      <c r="AD4" s="673"/>
      <c r="AE4" s="673"/>
      <c r="AF4" s="673"/>
      <c r="AG4" s="673"/>
      <c r="AH4" s="673"/>
      <c r="AI4" s="673"/>
      <c r="AJ4" s="673"/>
      <c r="AK4" s="673"/>
      <c r="AL4" s="673"/>
      <c r="AM4" s="676"/>
      <c r="AN4" s="669"/>
      <c r="AO4" s="669"/>
      <c r="AP4" s="430"/>
      <c r="AQ4" s="430"/>
      <c r="AR4" s="430"/>
      <c r="AS4" s="430"/>
      <c r="AT4" s="430"/>
      <c r="AU4" s="430"/>
      <c r="AV4" s="430"/>
      <c r="AW4" s="430"/>
      <c r="AX4" s="430"/>
      <c r="AY4" s="430"/>
      <c r="AZ4" s="430"/>
      <c r="BA4" s="430"/>
      <c r="BB4" s="430"/>
      <c r="BC4" s="430"/>
      <c r="BD4" s="430"/>
      <c r="BE4" s="430"/>
    </row>
    <row r="5" spans="1:57" ht="39" customHeight="1" thickBot="1">
      <c r="A5" s="670"/>
      <c r="B5" s="1381"/>
      <c r="C5" s="1385"/>
      <c r="D5" s="1370"/>
      <c r="E5" s="1370"/>
      <c r="F5" s="1370"/>
      <c r="G5" s="1370"/>
      <c r="H5" s="1370"/>
      <c r="I5" s="1373"/>
      <c r="J5" s="1385"/>
      <c r="K5" s="1377"/>
      <c r="L5" s="1374" t="s">
        <v>568</v>
      </c>
      <c r="M5" s="1370"/>
      <c r="N5" s="1375" t="s">
        <v>569</v>
      </c>
      <c r="O5" s="1370"/>
      <c r="P5" s="1376" t="s">
        <v>570</v>
      </c>
      <c r="Q5" s="1377"/>
      <c r="R5" s="1151" t="s">
        <v>571</v>
      </c>
      <c r="S5" s="1385"/>
      <c r="T5" s="1370"/>
      <c r="U5" s="1373"/>
      <c r="V5" s="1396" t="s">
        <v>568</v>
      </c>
      <c r="W5" s="1370"/>
      <c r="X5" s="1369" t="s">
        <v>569</v>
      </c>
      <c r="Y5" s="1370"/>
      <c r="Z5" s="1395" t="s">
        <v>570</v>
      </c>
      <c r="AA5" s="1377"/>
      <c r="AB5" s="683" t="s">
        <v>571</v>
      </c>
      <c r="AC5" s="1151" t="s">
        <v>527</v>
      </c>
      <c r="AD5" s="1151" t="s">
        <v>526</v>
      </c>
      <c r="AE5" s="1151" t="s">
        <v>572</v>
      </c>
      <c r="AF5" s="1151" t="s">
        <v>573</v>
      </c>
      <c r="AG5" s="684" t="s">
        <v>574</v>
      </c>
      <c r="AH5" s="684" t="s">
        <v>553</v>
      </c>
      <c r="AI5" s="684" t="s">
        <v>575</v>
      </c>
      <c r="AJ5" s="684" t="s">
        <v>576</v>
      </c>
      <c r="AK5" s="684" t="s">
        <v>577</v>
      </c>
      <c r="AL5" s="684" t="s">
        <v>578</v>
      </c>
      <c r="AM5" s="685" t="s">
        <v>579</v>
      </c>
      <c r="AN5" s="686"/>
      <c r="AO5" s="669"/>
      <c r="AP5" s="430"/>
      <c r="AQ5" s="430"/>
      <c r="AR5" s="430"/>
      <c r="AS5" s="430"/>
      <c r="AT5" s="430"/>
      <c r="AU5" s="430"/>
      <c r="AV5" s="430"/>
      <c r="AW5" s="430"/>
      <c r="AX5" s="430"/>
      <c r="AY5" s="430"/>
      <c r="AZ5" s="430"/>
      <c r="BA5" s="430"/>
      <c r="BB5" s="430"/>
      <c r="BC5" s="430"/>
      <c r="BD5" s="430"/>
      <c r="BE5" s="430"/>
    </row>
    <row r="6" spans="1:57" ht="15.75" customHeight="1">
      <c r="A6" s="670"/>
      <c r="B6" s="687">
        <v>2014</v>
      </c>
      <c r="C6" s="688">
        <f>Trajectoires!H6</f>
        <v>885.83864771181118</v>
      </c>
      <c r="D6" s="500"/>
      <c r="E6" s="689">
        <f>C6*(Hypothèses!$B$23/Hypothèses!$D$23)</f>
        <v>744.10446407792131</v>
      </c>
      <c r="F6" s="500"/>
      <c r="G6" s="500" t="s">
        <v>580</v>
      </c>
      <c r="H6" s="500">
        <f>I6*Hypothèses!$B$5</f>
        <v>328.35085875184461</v>
      </c>
      <c r="I6" s="690">
        <f>E6/Hypothèses!$B$23</f>
        <v>236.2236393898163</v>
      </c>
      <c r="J6" s="691"/>
      <c r="K6" s="486"/>
      <c r="L6" s="487"/>
      <c r="M6" s="488"/>
      <c r="N6" s="498"/>
      <c r="O6" s="498"/>
      <c r="P6" s="496"/>
      <c r="Q6" s="497"/>
      <c r="R6" s="500"/>
      <c r="S6" s="691"/>
      <c r="T6" s="486"/>
      <c r="U6" s="692"/>
      <c r="V6" s="500"/>
      <c r="W6" s="488"/>
      <c r="X6" s="498"/>
      <c r="Y6" s="498"/>
      <c r="Z6" s="496"/>
      <c r="AA6" s="497"/>
      <c r="AB6" s="690">
        <f t="shared" ref="AB6:AB42" si="0">I6-V6-X6</f>
        <v>236.2236393898163</v>
      </c>
      <c r="AC6" s="498"/>
      <c r="AD6" s="498"/>
      <c r="AE6" s="498"/>
      <c r="AF6" s="498"/>
      <c r="AG6" s="498"/>
      <c r="AH6" s="498"/>
      <c r="AI6" s="498"/>
      <c r="AJ6" s="503">
        <f>(AB6+V6*Prod_Carburant_Alt!$D$75)*Hypothèses!$D$23+AI6</f>
        <v>885.83864771181106</v>
      </c>
      <c r="AK6" s="505">
        <f>(AB6+V6*Prod_Carburant_Alt!$D$75)*Hypothèses!$B$23</f>
        <v>744.10446407792131</v>
      </c>
      <c r="AL6" s="506"/>
      <c r="AM6" s="694"/>
      <c r="AN6" s="695"/>
      <c r="AO6" s="696"/>
      <c r="AP6" s="696"/>
      <c r="AQ6" s="696"/>
      <c r="AR6" s="696"/>
      <c r="AS6" s="696"/>
      <c r="AT6" s="696"/>
      <c r="AU6" s="696"/>
      <c r="AV6" s="696"/>
      <c r="AW6" s="696"/>
      <c r="AX6" s="696"/>
      <c r="AY6" s="696"/>
      <c r="AZ6" s="696"/>
      <c r="BA6" s="696"/>
      <c r="BB6" s="696"/>
      <c r="BC6" s="696"/>
      <c r="BD6" s="696"/>
      <c r="BE6" s="696"/>
    </row>
    <row r="7" spans="1:57" ht="15.75" customHeight="1">
      <c r="A7" s="670"/>
      <c r="B7" s="687">
        <v>2015</v>
      </c>
      <c r="C7" s="688">
        <f>Trajectoires!H7</f>
        <v>930.26844806902204</v>
      </c>
      <c r="D7" s="500"/>
      <c r="E7" s="689">
        <f>C7*(Hypothèses!$B$23/Hypothèses!$D$23)</f>
        <v>781.42549637797845</v>
      </c>
      <c r="F7" s="500"/>
      <c r="G7" s="500" t="s">
        <v>580</v>
      </c>
      <c r="H7" s="500">
        <f>I7*Hypothèses!$B$5</f>
        <v>344.81950475091742</v>
      </c>
      <c r="I7" s="690">
        <f>E7/Hypothèses!$B$23</f>
        <v>248.07158615173918</v>
      </c>
      <c r="J7" s="691"/>
      <c r="K7" s="486"/>
      <c r="L7" s="487"/>
      <c r="M7" s="488"/>
      <c r="N7" s="498"/>
      <c r="O7" s="498"/>
      <c r="P7" s="496"/>
      <c r="Q7" s="497"/>
      <c r="R7" s="500"/>
      <c r="S7" s="691"/>
      <c r="T7" s="486"/>
      <c r="U7" s="692"/>
      <c r="V7" s="500"/>
      <c r="W7" s="488"/>
      <c r="X7" s="498"/>
      <c r="Y7" s="498"/>
      <c r="Z7" s="496"/>
      <c r="AA7" s="497"/>
      <c r="AB7" s="690">
        <f t="shared" si="0"/>
        <v>248.07158615173918</v>
      </c>
      <c r="AC7" s="498"/>
      <c r="AD7" s="498"/>
      <c r="AE7" s="498"/>
      <c r="AF7" s="498"/>
      <c r="AG7" s="498"/>
      <c r="AH7" s="498"/>
      <c r="AI7" s="498"/>
      <c r="AJ7" s="503">
        <f>(AB7+V7*Prod_Carburant_Alt!$D$75)*Hypothèses!$D$23+AI7</f>
        <v>930.26844806902193</v>
      </c>
      <c r="AK7" s="505">
        <f>(AB7+V7*Prod_Carburant_Alt!$D$75)*Hypothèses!$B$23</f>
        <v>781.42549637797845</v>
      </c>
      <c r="AL7" s="506"/>
      <c r="AM7" s="694"/>
      <c r="AN7" s="695"/>
      <c r="AO7" s="696"/>
      <c r="AP7" s="696"/>
      <c r="AQ7" s="696"/>
      <c r="AR7" s="696"/>
      <c r="AS7" s="696"/>
      <c r="AT7" s="696"/>
      <c r="AU7" s="696"/>
      <c r="AV7" s="696"/>
      <c r="AW7" s="696"/>
      <c r="AX7" s="696"/>
      <c r="AY7" s="696"/>
      <c r="AZ7" s="696"/>
      <c r="BA7" s="696"/>
      <c r="BB7" s="696"/>
      <c r="BC7" s="696"/>
      <c r="BD7" s="696"/>
      <c r="BE7" s="696"/>
    </row>
    <row r="8" spans="1:57" ht="15.75" customHeight="1">
      <c r="A8" s="670"/>
      <c r="B8" s="687">
        <v>2016</v>
      </c>
      <c r="C8" s="688">
        <f>Trajectoires!H8</f>
        <v>976.92665329983004</v>
      </c>
      <c r="D8" s="500"/>
      <c r="E8" s="689">
        <f>C8*(Hypothèses!$B$23/Hypothèses!$D$23)</f>
        <v>820.61838877185721</v>
      </c>
      <c r="F8" s="500"/>
      <c r="G8" s="500" t="s">
        <v>580</v>
      </c>
      <c r="H8" s="500">
        <f>I8*Hypothèses!$B$5</f>
        <v>362.11414615647027</v>
      </c>
      <c r="I8" s="690">
        <f>E8/Hypothèses!$B$23</f>
        <v>260.513774213288</v>
      </c>
      <c r="J8" s="691"/>
      <c r="K8" s="486"/>
      <c r="L8" s="487"/>
      <c r="M8" s="488"/>
      <c r="N8" s="498"/>
      <c r="O8" s="498"/>
      <c r="P8" s="496"/>
      <c r="Q8" s="497"/>
      <c r="R8" s="500"/>
      <c r="S8" s="691"/>
      <c r="T8" s="486"/>
      <c r="U8" s="692"/>
      <c r="V8" s="500"/>
      <c r="W8" s="488"/>
      <c r="X8" s="498"/>
      <c r="Y8" s="498"/>
      <c r="Z8" s="496"/>
      <c r="AA8" s="497"/>
      <c r="AB8" s="690">
        <f t="shared" si="0"/>
        <v>260.513774213288</v>
      </c>
      <c r="AC8" s="498"/>
      <c r="AD8" s="498"/>
      <c r="AE8" s="498"/>
      <c r="AF8" s="498"/>
      <c r="AG8" s="498"/>
      <c r="AH8" s="498"/>
      <c r="AI8" s="498"/>
      <c r="AJ8" s="503">
        <f>(AB8+V8*Prod_Carburant_Alt!$D$75)*Hypothèses!$D$23+AI8</f>
        <v>976.92665329983004</v>
      </c>
      <c r="AK8" s="505">
        <f>(AB8+V8*Prod_Carburant_Alt!$D$75)*Hypothèses!$B$23</f>
        <v>820.61838877185721</v>
      </c>
      <c r="AL8" s="506"/>
      <c r="AM8" s="694"/>
      <c r="AN8" s="695"/>
      <c r="AO8" s="696"/>
      <c r="AP8" s="696"/>
      <c r="AQ8" s="696"/>
      <c r="AR8" s="696"/>
      <c r="AS8" s="696"/>
      <c r="AT8" s="696"/>
      <c r="AU8" s="696"/>
      <c r="AV8" s="696"/>
      <c r="AW8" s="696"/>
      <c r="AX8" s="696"/>
      <c r="AY8" s="696"/>
      <c r="AZ8" s="696"/>
      <c r="BA8" s="696"/>
      <c r="BB8" s="696"/>
      <c r="BC8" s="696"/>
      <c r="BD8" s="696"/>
      <c r="BE8" s="696"/>
    </row>
    <row r="9" spans="1:57" ht="15.75" customHeight="1">
      <c r="A9" s="670"/>
      <c r="B9" s="687">
        <v>2017</v>
      </c>
      <c r="C9" s="688">
        <f>Trajectoires!H9</f>
        <v>1025.9250304668988</v>
      </c>
      <c r="D9" s="500"/>
      <c r="E9" s="689">
        <f>C9*(Hypothèses!$B$23/Hypothèses!$D$23)</f>
        <v>861.77702559219495</v>
      </c>
      <c r="F9" s="500"/>
      <c r="G9" s="500" t="s">
        <v>580</v>
      </c>
      <c r="H9" s="500">
        <f>I9*Hypothèses!$B$5</f>
        <v>380.27621129306374</v>
      </c>
      <c r="I9" s="690">
        <f>E9/Hypothèses!$B$23</f>
        <v>273.58000812450632</v>
      </c>
      <c r="J9" s="691"/>
      <c r="K9" s="486"/>
      <c r="L9" s="487"/>
      <c r="M9" s="488"/>
      <c r="N9" s="498"/>
      <c r="O9" s="498"/>
      <c r="P9" s="496"/>
      <c r="Q9" s="497"/>
      <c r="R9" s="500"/>
      <c r="S9" s="691"/>
      <c r="T9" s="486"/>
      <c r="U9" s="692"/>
      <c r="V9" s="500"/>
      <c r="W9" s="488"/>
      <c r="X9" s="498"/>
      <c r="Y9" s="498"/>
      <c r="Z9" s="496"/>
      <c r="AA9" s="497"/>
      <c r="AB9" s="690">
        <f t="shared" si="0"/>
        <v>273.58000812450632</v>
      </c>
      <c r="AC9" s="498"/>
      <c r="AD9" s="498"/>
      <c r="AE9" s="498"/>
      <c r="AF9" s="498"/>
      <c r="AG9" s="498"/>
      <c r="AH9" s="498"/>
      <c r="AI9" s="498"/>
      <c r="AJ9" s="503">
        <f>(AB9+V9*Prod_Carburant_Alt!$D$75)*Hypothèses!$D$23+AI9</f>
        <v>1025.9250304668988</v>
      </c>
      <c r="AK9" s="505">
        <f>(AB9+V9*Prod_Carburant_Alt!$D$75)*Hypothèses!$B$23</f>
        <v>861.77702559219483</v>
      </c>
      <c r="AL9" s="506"/>
      <c r="AM9" s="694"/>
      <c r="AN9" s="695"/>
      <c r="AO9" s="696"/>
      <c r="AP9" s="696"/>
      <c r="AQ9" s="696"/>
      <c r="AR9" s="696"/>
      <c r="AS9" s="696"/>
      <c r="AT9" s="696"/>
      <c r="AU9" s="696"/>
      <c r="AV9" s="696"/>
      <c r="AW9" s="696"/>
      <c r="AX9" s="696"/>
      <c r="AY9" s="696"/>
      <c r="AZ9" s="696"/>
      <c r="BA9" s="696"/>
      <c r="BB9" s="696"/>
      <c r="BC9" s="696"/>
      <c r="BD9" s="696"/>
      <c r="BE9" s="696"/>
    </row>
    <row r="10" spans="1:57" ht="15.75" customHeight="1">
      <c r="A10" s="670"/>
      <c r="B10" s="687">
        <v>2035</v>
      </c>
      <c r="C10" s="688">
        <f>Trajectoires!H10</f>
        <v>1077.3809523809523</v>
      </c>
      <c r="D10" s="500"/>
      <c r="E10" s="689">
        <f>C10*(Hypothèses!$B$23/Hypothèses!$D$23)</f>
        <v>904.99999999999989</v>
      </c>
      <c r="F10" s="500"/>
      <c r="G10" s="500" t="s">
        <v>580</v>
      </c>
      <c r="H10" s="500">
        <f>I10*Hypothèses!$B$5</f>
        <v>399.34920634920633</v>
      </c>
      <c r="I10" s="690">
        <f>E10/Hypothèses!$B$23</f>
        <v>287.30158730158729</v>
      </c>
      <c r="J10" s="691"/>
      <c r="K10" s="486"/>
      <c r="L10" s="487"/>
      <c r="M10" s="488"/>
      <c r="N10" s="498"/>
      <c r="O10" s="498"/>
      <c r="P10" s="496"/>
      <c r="Q10" s="497"/>
      <c r="R10" s="500"/>
      <c r="S10" s="691"/>
      <c r="T10" s="486"/>
      <c r="U10" s="692"/>
      <c r="V10" s="500"/>
      <c r="W10" s="488"/>
      <c r="X10" s="498"/>
      <c r="Y10" s="498"/>
      <c r="Z10" s="496"/>
      <c r="AA10" s="497"/>
      <c r="AB10" s="690">
        <f t="shared" si="0"/>
        <v>287.30158730158729</v>
      </c>
      <c r="AC10" s="498"/>
      <c r="AD10" s="498"/>
      <c r="AE10" s="498"/>
      <c r="AF10" s="498"/>
      <c r="AG10" s="498"/>
      <c r="AH10" s="498"/>
      <c r="AI10" s="498"/>
      <c r="AJ10" s="503">
        <f>(AB10+V10*Prod_Carburant_Alt!$D$75)*Hypothèses!$D$23+AI10</f>
        <v>1077.3809523809523</v>
      </c>
      <c r="AK10" s="505">
        <f>(AB10+V10*Prod_Carburant_Alt!$D$75)*Hypothèses!$B$23</f>
        <v>904.99999999999989</v>
      </c>
      <c r="AL10" s="506"/>
      <c r="AM10" s="694"/>
      <c r="AN10" s="695"/>
      <c r="AO10" s="696"/>
      <c r="AP10" s="696"/>
      <c r="AQ10" s="696"/>
      <c r="AR10" s="696"/>
      <c r="AS10" s="696"/>
      <c r="AT10" s="696"/>
      <c r="AU10" s="696"/>
      <c r="AV10" s="696"/>
      <c r="AW10" s="696"/>
      <c r="AX10" s="696"/>
      <c r="AY10" s="696"/>
      <c r="AZ10" s="696"/>
      <c r="BA10" s="696"/>
      <c r="BB10" s="696"/>
      <c r="BC10" s="696"/>
      <c r="BD10" s="696"/>
      <c r="BE10" s="696"/>
    </row>
    <row r="11" spans="1:57" ht="15.75" customHeight="1">
      <c r="A11" s="670"/>
      <c r="B11" s="687">
        <v>2019</v>
      </c>
      <c r="C11" s="688">
        <f>Trajectoires!H11</f>
        <v>1088.0952380952381</v>
      </c>
      <c r="D11" s="500"/>
      <c r="E11" s="689">
        <f>C11*(Hypothèses!$B$23/Hypothèses!$D$23)</f>
        <v>914</v>
      </c>
      <c r="F11" s="500"/>
      <c r="G11" s="500" t="s">
        <v>580</v>
      </c>
      <c r="H11" s="500">
        <f>I11*Hypothèses!$B$5</f>
        <v>403.32063492063492</v>
      </c>
      <c r="I11" s="690">
        <f>E11/Hypothèses!$B$23</f>
        <v>290.15873015873018</v>
      </c>
      <c r="J11" s="691"/>
      <c r="K11" s="486"/>
      <c r="L11" s="487"/>
      <c r="M11" s="488"/>
      <c r="N11" s="498"/>
      <c r="O11" s="498"/>
      <c r="P11" s="496"/>
      <c r="Q11" s="497"/>
      <c r="R11" s="500"/>
      <c r="S11" s="691"/>
      <c r="T11" s="486"/>
      <c r="U11" s="692"/>
      <c r="V11" s="500"/>
      <c r="W11" s="488"/>
      <c r="X11" s="498"/>
      <c r="Y11" s="498"/>
      <c r="Z11" s="496"/>
      <c r="AA11" s="497"/>
      <c r="AB11" s="690">
        <f t="shared" si="0"/>
        <v>290.15873015873018</v>
      </c>
      <c r="AC11" s="498"/>
      <c r="AD11" s="498"/>
      <c r="AE11" s="498"/>
      <c r="AF11" s="498"/>
      <c r="AG11" s="498"/>
      <c r="AH11" s="498"/>
      <c r="AI11" s="498"/>
      <c r="AJ11" s="505">
        <f>(AB11+V11*Prod_Carburant_Alt!$D$75)*Hypothèses!$D$23+AI11</f>
        <v>1088.0952380952381</v>
      </c>
      <c r="AK11" s="505">
        <f>(AB11+V11*Prod_Carburant_Alt!$D$75)*Hypothèses!$B$23</f>
        <v>914</v>
      </c>
      <c r="AL11" s="506"/>
      <c r="AM11" s="694"/>
      <c r="AN11" s="695"/>
      <c r="AO11" s="696"/>
      <c r="AP11" s="696"/>
      <c r="AQ11" s="696"/>
      <c r="AR11" s="696"/>
      <c r="AS11" s="696"/>
      <c r="AT11" s="696"/>
      <c r="AU11" s="696"/>
      <c r="AV11" s="696"/>
      <c r="AW11" s="696"/>
      <c r="AX11" s="696"/>
      <c r="AY11" s="696"/>
      <c r="AZ11" s="696"/>
      <c r="BA11" s="696"/>
      <c r="BB11" s="696"/>
      <c r="BC11" s="696"/>
      <c r="BD11" s="696"/>
      <c r="BE11" s="696"/>
    </row>
    <row r="12" spans="1:57" ht="15.75" customHeight="1">
      <c r="A12" s="430"/>
      <c r="B12" s="698">
        <v>2020</v>
      </c>
      <c r="C12" s="699">
        <f>Trajectoires!H12</f>
        <v>1108.9866666666667</v>
      </c>
      <c r="D12" s="428">
        <f>C12</f>
        <v>1108.9866666666667</v>
      </c>
      <c r="E12" s="700">
        <f>C12*(Hypothèses!$B$23/Hypothèses!$D$23)</f>
        <v>931.54880000000003</v>
      </c>
      <c r="F12" s="428">
        <f>E12</f>
        <v>931.54880000000003</v>
      </c>
      <c r="G12" s="428" t="s">
        <v>580</v>
      </c>
      <c r="H12" s="428">
        <f>I12*Hypothèses!$B$5</f>
        <v>411.06439111111109</v>
      </c>
      <c r="I12" s="701">
        <f>E12/Hypothèses!$B$23</f>
        <v>295.72977777777777</v>
      </c>
      <c r="J12" s="702">
        <f>I12*0.001</f>
        <v>0.29572977777777776</v>
      </c>
      <c r="K12" s="703">
        <f t="shared" ref="K12:K42" si="1">J12/I12</f>
        <v>1E-3</v>
      </c>
      <c r="L12" s="535">
        <f t="shared" ref="L12:L42" si="2">J12*0.5</f>
        <v>0.14786488888888888</v>
      </c>
      <c r="M12" s="703">
        <f t="shared" ref="M12:M42" si="3">L12/I12</f>
        <v>5.0000000000000001E-4</v>
      </c>
      <c r="N12" s="428">
        <f t="shared" ref="N12:N42" si="4">J12*0.5</f>
        <v>0.14786488888888888</v>
      </c>
      <c r="O12" s="703">
        <f t="shared" ref="O12:O42" si="5">N12/I12</f>
        <v>5.0000000000000001E-4</v>
      </c>
      <c r="P12" s="535" t="s">
        <v>580</v>
      </c>
      <c r="Q12" s="539" t="s">
        <v>580</v>
      </c>
      <c r="R12" s="428">
        <f t="shared" ref="R12:R42" si="6">I12-L12-N12</f>
        <v>295.43404800000002</v>
      </c>
      <c r="S12" s="704">
        <v>0.5</v>
      </c>
      <c r="T12" s="428">
        <f t="shared" ref="T12:T42" si="7">(U12/K12)*J12</f>
        <v>0.29572977777777776</v>
      </c>
      <c r="U12" s="705">
        <f t="shared" ref="U12:U42" si="8">MIN(K12,S12)</f>
        <v>1E-3</v>
      </c>
      <c r="V12" s="428">
        <f t="shared" ref="V12:V42" si="9">(L12/J12)*T12</f>
        <v>0.14786488888888888</v>
      </c>
      <c r="W12" s="703">
        <f t="shared" ref="W12:W42" si="10">V12/T12</f>
        <v>0.5</v>
      </c>
      <c r="X12" s="428">
        <f t="shared" ref="X12:X42" si="11">(N12/J12)*T12</f>
        <v>0.14786488888888888</v>
      </c>
      <c r="Y12" s="703">
        <f t="shared" ref="Y12:Y42" si="12">X12/T12</f>
        <v>0.5</v>
      </c>
      <c r="Z12" s="535">
        <v>0</v>
      </c>
      <c r="AA12" s="707">
        <v>0</v>
      </c>
      <c r="AB12" s="701">
        <f t="shared" si="0"/>
        <v>295.43404800000002</v>
      </c>
      <c r="AC12" s="245"/>
      <c r="AD12" s="428">
        <f>(V12+X12+AB12)*Hypothèses!$B$5+Z12*Hypothèses!$B$10</f>
        <v>411.06439111111109</v>
      </c>
      <c r="AE12" s="245"/>
      <c r="AF12" s="428">
        <f>X12*Prod_Carburant_Alt!$I$61+Z12*Hypothèses!$B$13</f>
        <v>6.6958971990123439</v>
      </c>
      <c r="AG12" s="428">
        <f>AF12*'Synthèse scénarios'!$L$9/'Synthèse scénarios'!$M$9</f>
        <v>3.1025117982612356</v>
      </c>
      <c r="AH12" s="708">
        <f>AG12/'Synthèse scénarios'!$L$9</f>
        <v>4.7657631309696398E-3</v>
      </c>
      <c r="AI12" s="428">
        <f>('Synthèse scénarios'!$K$9/1000)*AF12</f>
        <v>7.3654869189135774E-2</v>
      </c>
      <c r="AJ12" s="505">
        <f>(AB12+V12*Prod_Carburant_Alt!$D$75)*Hypothèses!$D$23+AI12</f>
        <v>1108.0646636126116</v>
      </c>
      <c r="AK12" s="505">
        <f>(AB12+V12*Prod_Carburant_Alt!$D$75)*Hypothèses!$B$23</f>
        <v>930.71244734447487</v>
      </c>
      <c r="AL12" s="505">
        <f t="shared" ref="AL12:AL42" si="13">MAX(0,AK12-$AK$11)</f>
        <v>16.712447344474867</v>
      </c>
      <c r="AM12" s="709">
        <f>AJ12</f>
        <v>1108.0646636126116</v>
      </c>
      <c r="AN12" s="710"/>
      <c r="AO12" s="430"/>
      <c r="AP12" s="430"/>
      <c r="AQ12" s="430"/>
      <c r="AR12" s="430"/>
      <c r="AS12" s="430"/>
      <c r="AT12" s="430"/>
      <c r="AU12" s="430"/>
      <c r="AV12" s="430"/>
      <c r="AW12" s="430"/>
      <c r="AX12" s="430"/>
      <c r="AY12" s="430"/>
      <c r="AZ12" s="430"/>
      <c r="BA12" s="430"/>
      <c r="BB12" s="430"/>
      <c r="BC12" s="430"/>
      <c r="BD12" s="430"/>
      <c r="BE12" s="430"/>
    </row>
    <row r="13" spans="1:57" ht="15.75" customHeight="1">
      <c r="A13" s="430"/>
      <c r="B13" s="698">
        <v>2021</v>
      </c>
      <c r="C13" s="699">
        <f>Trajectoires!H13</f>
        <v>1130.2792106666668</v>
      </c>
      <c r="D13" s="428">
        <f t="shared" ref="D13:D42" si="14">D12+C13</f>
        <v>2239.2658773333333</v>
      </c>
      <c r="E13" s="700">
        <f>C13*(Hypothèses!$B$23/Hypothèses!$D$23)</f>
        <v>949.43453696000006</v>
      </c>
      <c r="F13" s="428">
        <f t="shared" ref="F13:F42" si="15">F12+E13</f>
        <v>1880.9833369600001</v>
      </c>
      <c r="G13" s="428" t="s">
        <v>580</v>
      </c>
      <c r="H13" s="428">
        <f>I13*Hypothèses!$B$5</f>
        <v>418.95682742044448</v>
      </c>
      <c r="I13" s="701">
        <f>E13/Hypothèses!$B$23</f>
        <v>301.40778951111116</v>
      </c>
      <c r="J13" s="706">
        <f t="shared" ref="J13:J16" si="16">J12*($J$17/$J$12)^(1/5)</f>
        <v>0.53994098643349742</v>
      </c>
      <c r="K13" s="703">
        <f t="shared" si="1"/>
        <v>1.7913969221209955E-3</v>
      </c>
      <c r="L13" s="535">
        <f t="shared" si="2"/>
        <v>0.26997049321674871</v>
      </c>
      <c r="M13" s="703">
        <f t="shared" si="3"/>
        <v>8.9569846106049773E-4</v>
      </c>
      <c r="N13" s="428">
        <f t="shared" si="4"/>
        <v>0.26997049321674871</v>
      </c>
      <c r="O13" s="703">
        <f t="shared" si="5"/>
        <v>8.9569846106049773E-4</v>
      </c>
      <c r="P13" s="535" t="s">
        <v>580</v>
      </c>
      <c r="Q13" s="539" t="s">
        <v>580</v>
      </c>
      <c r="R13" s="428">
        <f t="shared" si="6"/>
        <v>300.86784852467764</v>
      </c>
      <c r="S13" s="704">
        <v>0.5</v>
      </c>
      <c r="T13" s="428">
        <f t="shared" si="7"/>
        <v>0.53994098643349742</v>
      </c>
      <c r="U13" s="705">
        <f t="shared" si="8"/>
        <v>1.7913969221209955E-3</v>
      </c>
      <c r="V13" s="428">
        <f t="shared" si="9"/>
        <v>0.26997049321674871</v>
      </c>
      <c r="W13" s="703">
        <f t="shared" si="10"/>
        <v>0.5</v>
      </c>
      <c r="X13" s="428">
        <f t="shared" si="11"/>
        <v>0.26997049321674871</v>
      </c>
      <c r="Y13" s="703">
        <f t="shared" si="12"/>
        <v>0.5</v>
      </c>
      <c r="Z13" s="535">
        <v>0</v>
      </c>
      <c r="AA13" s="707">
        <v>0</v>
      </c>
      <c r="AB13" s="701">
        <f t="shared" si="0"/>
        <v>300.86784852467764</v>
      </c>
      <c r="AC13" s="245"/>
      <c r="AD13" s="428">
        <f>(V13+X13+AB13)*Hypothèses!$B$5+Z13*Hypothèses!$B$10</f>
        <v>418.95682742044448</v>
      </c>
      <c r="AE13" s="245"/>
      <c r="AF13" s="428">
        <f>X13*Prod_Carburant_Alt!$I$61+Z13*Hypothèses!$B$13</f>
        <v>12.225313818105779</v>
      </c>
      <c r="AG13" s="428">
        <f>AF13*'Synthèse scénarios'!$L$9/'Synthèse scénarios'!$M$9</f>
        <v>5.6645404239052404</v>
      </c>
      <c r="AH13" s="708">
        <f>AG13/'Synthèse scénarios'!$L$9</f>
        <v>8.701290973740769E-3</v>
      </c>
      <c r="AI13" s="428">
        <f>('Synthèse scénarios'!$K$9/1000)*AF13</f>
        <v>0.13447845199916356</v>
      </c>
      <c r="AJ13" s="505">
        <f>(AB13+V13*Prod_Carburant_Alt!$D$75)*Hypothèses!$D$23+AI13</f>
        <v>1128.5958251035286</v>
      </c>
      <c r="AK13" s="505">
        <f>(AB13+V13*Prod_Carburant_Alt!$D$75)*Hypothèses!$B$23</f>
        <v>947.90753118728458</v>
      </c>
      <c r="AL13" s="505">
        <f t="shared" si="13"/>
        <v>33.907531187284576</v>
      </c>
      <c r="AM13" s="709">
        <f t="shared" ref="AM13:AM42" si="17">AM12+AJ13</f>
        <v>2236.6604887161402</v>
      </c>
      <c r="AN13" s="710"/>
      <c r="AO13" s="430"/>
      <c r="AP13" s="430"/>
      <c r="AQ13" s="430"/>
      <c r="AR13" s="430"/>
      <c r="AS13" s="430"/>
      <c r="AT13" s="430"/>
      <c r="AU13" s="430"/>
      <c r="AV13" s="430"/>
      <c r="AW13" s="430"/>
      <c r="AX13" s="430"/>
      <c r="AY13" s="430"/>
      <c r="AZ13" s="430"/>
      <c r="BA13" s="430"/>
      <c r="BB13" s="430"/>
      <c r="BC13" s="430"/>
      <c r="BD13" s="430"/>
      <c r="BE13" s="430"/>
    </row>
    <row r="14" spans="1:57" ht="15.75" customHeight="1">
      <c r="A14" s="430"/>
      <c r="B14" s="698">
        <v>2022</v>
      </c>
      <c r="C14" s="699">
        <f>Trajectoires!H14</f>
        <v>1151.9805715114669</v>
      </c>
      <c r="D14" s="428">
        <f t="shared" si="14"/>
        <v>3391.2464488448004</v>
      </c>
      <c r="E14" s="700">
        <f>C14*(Hypothèses!$B$23/Hypothèses!$D$23)</f>
        <v>967.66368006963216</v>
      </c>
      <c r="F14" s="428">
        <f t="shared" si="15"/>
        <v>2848.6470170296325</v>
      </c>
      <c r="G14" s="428" t="s">
        <v>580</v>
      </c>
      <c r="H14" s="428">
        <f>I14*Hypothèses!$B$5</f>
        <v>427.00079850691708</v>
      </c>
      <c r="I14" s="701">
        <f>E14/Hypothèses!$B$23</f>
        <v>307.19481906972453</v>
      </c>
      <c r="J14" s="706">
        <f t="shared" si="16"/>
        <v>0.98581979475144133</v>
      </c>
      <c r="K14" s="703">
        <f t="shared" si="1"/>
        <v>3.2091029325845765E-3</v>
      </c>
      <c r="L14" s="535">
        <f t="shared" si="2"/>
        <v>0.49290989737572066</v>
      </c>
      <c r="M14" s="703">
        <f t="shared" si="3"/>
        <v>1.6045514662922883E-3</v>
      </c>
      <c r="N14" s="428">
        <f t="shared" si="4"/>
        <v>0.49290989737572066</v>
      </c>
      <c r="O14" s="703">
        <f t="shared" si="5"/>
        <v>1.6045514662922883E-3</v>
      </c>
      <c r="P14" s="535" t="s">
        <v>580</v>
      </c>
      <c r="Q14" s="539" t="s">
        <v>580</v>
      </c>
      <c r="R14" s="428">
        <f t="shared" si="6"/>
        <v>306.20899927497305</v>
      </c>
      <c r="S14" s="704">
        <v>0.5</v>
      </c>
      <c r="T14" s="428">
        <f t="shared" si="7"/>
        <v>0.98581979475144133</v>
      </c>
      <c r="U14" s="705">
        <f t="shared" si="8"/>
        <v>3.2091029325845765E-3</v>
      </c>
      <c r="V14" s="428">
        <f t="shared" si="9"/>
        <v>0.49290989737572066</v>
      </c>
      <c r="W14" s="703">
        <f t="shared" si="10"/>
        <v>0.5</v>
      </c>
      <c r="X14" s="428">
        <f t="shared" si="11"/>
        <v>0.49290989737572066</v>
      </c>
      <c r="Y14" s="703">
        <f t="shared" si="12"/>
        <v>0.5</v>
      </c>
      <c r="Z14" s="535">
        <v>0</v>
      </c>
      <c r="AA14" s="707">
        <v>0</v>
      </c>
      <c r="AB14" s="701">
        <f t="shared" si="0"/>
        <v>306.20899927497305</v>
      </c>
      <c r="AC14" s="245"/>
      <c r="AD14" s="428">
        <f>(V14+X14+AB14)*Hypothèses!$B$5+Z14*Hypothèses!$B$10</f>
        <v>427.00079850691696</v>
      </c>
      <c r="AE14" s="245"/>
      <c r="AF14" s="428">
        <f>X14*Prod_Carburant_Alt!$I$61+Z14*Hypothèses!$B$13</f>
        <v>22.320877024995756</v>
      </c>
      <c r="AG14" s="428">
        <f>AF14*'Synthèse scénarios'!$L$9/'Synthèse scénarios'!$M$9</f>
        <v>10.342271134001592</v>
      </c>
      <c r="AH14" s="708">
        <f>AG14/'Synthèse scénarios'!$L$9</f>
        <v>1.5886745213520112E-2</v>
      </c>
      <c r="AI14" s="428">
        <f>('Synthèse scénarios'!$K$9/1000)*AF14</f>
        <v>0.2455296472749533</v>
      </c>
      <c r="AJ14" s="505">
        <f>(AB14+V14*Prod_Carburant_Alt!$D$75)*Hypothèses!$D$23+AI14</f>
        <v>1148.9070600499604</v>
      </c>
      <c r="AK14" s="505">
        <f>(AB14+V14*Prod_Carburant_Alt!$D$75)*Hypothèses!$B$23</f>
        <v>964.87568553825565</v>
      </c>
      <c r="AL14" s="505">
        <f t="shared" si="13"/>
        <v>50.875685538255652</v>
      </c>
      <c r="AM14" s="709">
        <f t="shared" si="17"/>
        <v>3385.5675487661006</v>
      </c>
      <c r="AN14" s="710"/>
      <c r="AO14" s="430"/>
      <c r="AP14" s="430"/>
      <c r="AQ14" s="430"/>
      <c r="AR14" s="430"/>
      <c r="AS14" s="430"/>
      <c r="AT14" s="430"/>
      <c r="AU14" s="430"/>
      <c r="AV14" s="430"/>
      <c r="AW14" s="430"/>
      <c r="AX14" s="430"/>
      <c r="AY14" s="430"/>
      <c r="AZ14" s="430"/>
      <c r="BA14" s="430"/>
      <c r="BB14" s="430"/>
      <c r="BC14" s="430"/>
      <c r="BD14" s="430"/>
      <c r="BE14" s="430"/>
    </row>
    <row r="15" spans="1:57" ht="15.75" customHeight="1">
      <c r="A15" s="430"/>
      <c r="B15" s="698">
        <v>2023</v>
      </c>
      <c r="C15" s="699">
        <f>Trajectoires!H15</f>
        <v>1174.098598484487</v>
      </c>
      <c r="D15" s="428">
        <f t="shared" si="14"/>
        <v>4565.3450473292869</v>
      </c>
      <c r="E15" s="700">
        <f>C15*(Hypothèses!$B$23/Hypothèses!$D$23)</f>
        <v>986.24282272696905</v>
      </c>
      <c r="F15" s="428">
        <f t="shared" si="15"/>
        <v>3834.8898397566018</v>
      </c>
      <c r="G15" s="428" t="s">
        <v>580</v>
      </c>
      <c r="H15" s="428">
        <f>I15*Hypothèses!$B$5</f>
        <v>435.19921383824982</v>
      </c>
      <c r="I15" s="701">
        <f>E15/Hypothèses!$B$23</f>
        <v>313.09295959586319</v>
      </c>
      <c r="J15" s="706">
        <f t="shared" si="16"/>
        <v>1.7999016413684905</v>
      </c>
      <c r="K15" s="703">
        <f t="shared" si="1"/>
        <v>5.7487771162014721E-3</v>
      </c>
      <c r="L15" s="535">
        <f t="shared" si="2"/>
        <v>0.89995082068424526</v>
      </c>
      <c r="M15" s="703">
        <f t="shared" si="3"/>
        <v>2.8743885581007361E-3</v>
      </c>
      <c r="N15" s="428">
        <f t="shared" si="4"/>
        <v>0.89995082068424526</v>
      </c>
      <c r="O15" s="703">
        <f t="shared" si="5"/>
        <v>2.8743885581007361E-3</v>
      </c>
      <c r="P15" s="535" t="s">
        <v>580</v>
      </c>
      <c r="Q15" s="539" t="s">
        <v>580</v>
      </c>
      <c r="R15" s="428">
        <f t="shared" si="6"/>
        <v>311.29305795449471</v>
      </c>
      <c r="S15" s="704">
        <v>0.5</v>
      </c>
      <c r="T15" s="428">
        <f t="shared" si="7"/>
        <v>1.7999016413684905</v>
      </c>
      <c r="U15" s="705">
        <f t="shared" si="8"/>
        <v>5.7487771162014721E-3</v>
      </c>
      <c r="V15" s="428">
        <f t="shared" si="9"/>
        <v>0.89995082068424526</v>
      </c>
      <c r="W15" s="703">
        <f t="shared" si="10"/>
        <v>0.5</v>
      </c>
      <c r="X15" s="428">
        <f t="shared" si="11"/>
        <v>0.89995082068424526</v>
      </c>
      <c r="Y15" s="703">
        <f t="shared" si="12"/>
        <v>0.5</v>
      </c>
      <c r="Z15" s="535">
        <v>0</v>
      </c>
      <c r="AA15" s="707">
        <v>0</v>
      </c>
      <c r="AB15" s="701">
        <f t="shared" si="0"/>
        <v>311.29305795449471</v>
      </c>
      <c r="AC15" s="245"/>
      <c r="AD15" s="428">
        <f>(V15+X15+AB15)*Hypothèses!$B$5+Z15*Hypothèses!$B$10</f>
        <v>435.19921383824982</v>
      </c>
      <c r="AE15" s="245"/>
      <c r="AF15" s="428">
        <f>X15*Prod_Carburant_Alt!$I$61+Z15*Hypothèses!$B$13</f>
        <v>40.753272969329721</v>
      </c>
      <c r="AG15" s="428">
        <f>AF15*'Synthèse scénarios'!$L$9/'Synthèse scénarios'!$M$9</f>
        <v>18.882833240593346</v>
      </c>
      <c r="AH15" s="708">
        <f>AG15/'Synthèse scénarios'!$L$9</f>
        <v>2.900588823439838E-2</v>
      </c>
      <c r="AI15" s="428">
        <f>('Synthèse scénarios'!$K$9/1000)*AF15</f>
        <v>0.44828600266262691</v>
      </c>
      <c r="AJ15" s="505">
        <f>(AB15+V15*Prod_Carburant_Alt!$D$75)*Hypothèses!$D$23+AI15</f>
        <v>1168.4870066359733</v>
      </c>
      <c r="AK15" s="505">
        <f>(AB15+V15*Prod_Carburant_Alt!$D$75)*Hypothèses!$B$23</f>
        <v>981.152525331981</v>
      </c>
      <c r="AL15" s="505">
        <f t="shared" si="13"/>
        <v>67.152525331980996</v>
      </c>
      <c r="AM15" s="709">
        <f t="shared" si="17"/>
        <v>4554.0545554020737</v>
      </c>
      <c r="AN15" s="710"/>
      <c r="AO15" s="430"/>
      <c r="AP15" s="430"/>
      <c r="AQ15" s="430"/>
      <c r="AR15" s="430"/>
      <c r="AS15" s="430"/>
      <c r="AT15" s="430"/>
      <c r="AU15" s="430"/>
      <c r="AV15" s="430"/>
      <c r="AW15" s="430"/>
      <c r="AX15" s="430"/>
      <c r="AY15" s="430"/>
      <c r="AZ15" s="430"/>
      <c r="BA15" s="430"/>
      <c r="BB15" s="430"/>
      <c r="BC15" s="430"/>
      <c r="BD15" s="430"/>
      <c r="BE15" s="430"/>
    </row>
    <row r="16" spans="1:57" ht="15.75" customHeight="1">
      <c r="A16" s="430"/>
      <c r="B16" s="698">
        <v>2024</v>
      </c>
      <c r="C16" s="699">
        <f>Trajectoires!H16</f>
        <v>1196.6412915753892</v>
      </c>
      <c r="D16" s="428">
        <f t="shared" si="14"/>
        <v>5761.9863389046759</v>
      </c>
      <c r="E16" s="700">
        <f>C16*(Hypothèses!$B$23/Hypothèses!$D$23)</f>
        <v>1005.178684923327</v>
      </c>
      <c r="F16" s="428">
        <f t="shared" si="15"/>
        <v>4840.0685246799285</v>
      </c>
      <c r="G16" s="428" t="s">
        <v>580</v>
      </c>
      <c r="H16" s="428">
        <f>I16*Hypothèses!$B$5</f>
        <v>443.55503874394429</v>
      </c>
      <c r="I16" s="701">
        <f>E16/Hypothèses!$B$23</f>
        <v>319.10434442010381</v>
      </c>
      <c r="J16" s="706">
        <f t="shared" si="16"/>
        <v>3.2862455550690286</v>
      </c>
      <c r="K16" s="703">
        <f t="shared" si="1"/>
        <v>1.029834163192293E-2</v>
      </c>
      <c r="L16" s="535">
        <f t="shared" si="2"/>
        <v>1.6431227775345143</v>
      </c>
      <c r="M16" s="703">
        <f t="shared" si="3"/>
        <v>5.1491708159614649E-3</v>
      </c>
      <c r="N16" s="428">
        <f t="shared" si="4"/>
        <v>1.6431227775345143</v>
      </c>
      <c r="O16" s="703">
        <f t="shared" si="5"/>
        <v>5.1491708159614649E-3</v>
      </c>
      <c r="P16" s="535" t="s">
        <v>580</v>
      </c>
      <c r="Q16" s="539" t="s">
        <v>580</v>
      </c>
      <c r="R16" s="428">
        <f t="shared" si="6"/>
        <v>315.81809886503476</v>
      </c>
      <c r="S16" s="704">
        <v>0.5</v>
      </c>
      <c r="T16" s="428">
        <f t="shared" si="7"/>
        <v>3.2862455550690286</v>
      </c>
      <c r="U16" s="705">
        <f t="shared" si="8"/>
        <v>1.029834163192293E-2</v>
      </c>
      <c r="V16" s="428">
        <f t="shared" si="9"/>
        <v>1.6431227775345143</v>
      </c>
      <c r="W16" s="703">
        <f t="shared" si="10"/>
        <v>0.5</v>
      </c>
      <c r="X16" s="428">
        <f t="shared" si="11"/>
        <v>1.6431227775345143</v>
      </c>
      <c r="Y16" s="703">
        <f t="shared" si="12"/>
        <v>0.5</v>
      </c>
      <c r="Z16" s="535">
        <v>0</v>
      </c>
      <c r="AA16" s="707">
        <v>0</v>
      </c>
      <c r="AB16" s="701">
        <f t="shared" si="0"/>
        <v>315.81809886503476</v>
      </c>
      <c r="AC16" s="245"/>
      <c r="AD16" s="428">
        <f>(V16+X16+AB16)*Hypothèses!$B$5+Z16*Hypothèses!$B$10</f>
        <v>443.55503874394418</v>
      </c>
      <c r="AE16" s="245"/>
      <c r="AF16" s="428">
        <f>X16*Prod_Carburant_Alt!$I$61+Z16*Hypothèses!$B$13</f>
        <v>74.406989288675433</v>
      </c>
      <c r="AG16" s="428">
        <f>AF16*'Synthèse scénarios'!$L$9/'Synthèse scénarios'!$M$9</f>
        <v>34.476121015606907</v>
      </c>
      <c r="AH16" s="708">
        <f>AG16/'Synthèse scénarios'!$L$9</f>
        <v>5.2958711237491407E-2</v>
      </c>
      <c r="AI16" s="428">
        <f>('Synthèse scénarios'!$K$9/1000)*AF16</f>
        <v>0.81847688217542969</v>
      </c>
      <c r="AJ16" s="505">
        <f>(AB16+V16*Prod_Carburant_Alt!$D$75)*Hypothèses!$D$23+AI16</f>
        <v>1186.3956935131428</v>
      </c>
      <c r="AK16" s="505">
        <f>(AB16+V16*Prod_Carburant_Alt!$D$75)*Hypothèses!$B$23</f>
        <v>995.88486197001248</v>
      </c>
      <c r="AL16" s="505">
        <f t="shared" si="13"/>
        <v>81.88486197001248</v>
      </c>
      <c r="AM16" s="709">
        <f t="shared" si="17"/>
        <v>5740.4502489152164</v>
      </c>
      <c r="AN16" s="710"/>
      <c r="AO16" s="430"/>
      <c r="AP16" s="430"/>
      <c r="AQ16" s="430"/>
      <c r="AR16" s="430"/>
      <c r="AS16" s="430"/>
      <c r="AT16" s="430"/>
      <c r="AU16" s="430"/>
      <c r="AV16" s="430"/>
      <c r="AW16" s="430"/>
      <c r="AX16" s="430"/>
      <c r="AY16" s="430"/>
      <c r="AZ16" s="430"/>
      <c r="BA16" s="430"/>
      <c r="BB16" s="430"/>
      <c r="BC16" s="430"/>
      <c r="BD16" s="430"/>
      <c r="BE16" s="430"/>
    </row>
    <row r="17" spans="1:57" ht="15.75" customHeight="1">
      <c r="A17" s="430"/>
      <c r="B17" s="698">
        <v>2025</v>
      </c>
      <c r="C17" s="699">
        <f>Trajectoires!H17</f>
        <v>1219.6168043736368</v>
      </c>
      <c r="D17" s="428">
        <f t="shared" si="14"/>
        <v>6981.6031432783129</v>
      </c>
      <c r="E17" s="700">
        <f>C17*(Hypothèses!$B$23/Hypothèses!$D$23)</f>
        <v>1024.478115673855</v>
      </c>
      <c r="F17" s="428">
        <f t="shared" si="15"/>
        <v>5864.546640353783</v>
      </c>
      <c r="G17" s="428" t="s">
        <v>580</v>
      </c>
      <c r="H17" s="428">
        <f>I17*Hypothèses!$B$5</f>
        <v>452.07129548782802</v>
      </c>
      <c r="I17" s="701">
        <f>E17/Hypothèses!$B$23</f>
        <v>325.23114783296984</v>
      </c>
      <c r="J17" s="711">
        <v>6</v>
      </c>
      <c r="K17" s="703">
        <f t="shared" si="1"/>
        <v>1.8448417502377239E-2</v>
      </c>
      <c r="L17" s="535">
        <f t="shared" si="2"/>
        <v>3</v>
      </c>
      <c r="M17" s="703">
        <f t="shared" si="3"/>
        <v>9.2242087511886194E-3</v>
      </c>
      <c r="N17" s="428">
        <f t="shared" si="4"/>
        <v>3</v>
      </c>
      <c r="O17" s="703">
        <f t="shared" si="5"/>
        <v>9.2242087511886194E-3</v>
      </c>
      <c r="P17" s="535" t="s">
        <v>580</v>
      </c>
      <c r="Q17" s="539" t="s">
        <v>580</v>
      </c>
      <c r="R17" s="428">
        <f t="shared" si="6"/>
        <v>319.23114783296984</v>
      </c>
      <c r="S17" s="704">
        <v>0.5</v>
      </c>
      <c r="T17" s="428">
        <f t="shared" si="7"/>
        <v>6</v>
      </c>
      <c r="U17" s="705">
        <f t="shared" si="8"/>
        <v>1.8448417502377239E-2</v>
      </c>
      <c r="V17" s="428">
        <f t="shared" si="9"/>
        <v>3</v>
      </c>
      <c r="W17" s="703">
        <f t="shared" si="10"/>
        <v>0.5</v>
      </c>
      <c r="X17" s="428">
        <f t="shared" si="11"/>
        <v>3</v>
      </c>
      <c r="Y17" s="703">
        <f t="shared" si="12"/>
        <v>0.5</v>
      </c>
      <c r="Z17" s="535">
        <v>0</v>
      </c>
      <c r="AA17" s="707">
        <v>0</v>
      </c>
      <c r="AB17" s="701">
        <f t="shared" si="0"/>
        <v>319.23114783296984</v>
      </c>
      <c r="AC17" s="245"/>
      <c r="AD17" s="428">
        <f>(V17+X17+AB17)*Hypothèses!$B$5+Z17*Hypothèses!$B$10</f>
        <v>452.07129548782802</v>
      </c>
      <c r="AE17" s="245"/>
      <c r="AF17" s="428">
        <f>X17*Prod_Carburant_Alt!$I$61+Z17*Hypothèses!$B$13</f>
        <v>135.85166666666663</v>
      </c>
      <c r="AG17" s="428">
        <f>AF17*'Synthèse scénarios'!$L$9/'Synthèse scénarios'!$M$9</f>
        <v>62.94621708185052</v>
      </c>
      <c r="AH17" s="708">
        <f>AG17/'Synthèse scénarios'!$L$9</f>
        <v>9.6691577698695116E-2</v>
      </c>
      <c r="AI17" s="428">
        <f>('Synthèse scénarios'!$K$9/1000)*AF17</f>
        <v>1.4943683333333329</v>
      </c>
      <c r="AJ17" s="505">
        <f>(AB17+V17*Prod_Carburant_Alt!$D$75)*Hypothèses!$D$23+AI17</f>
        <v>1200.9104760292269</v>
      </c>
      <c r="AK17" s="505">
        <f>(AB17+V17*Prod_Carburant_Alt!$D$75)*Hypothèses!$B$23</f>
        <v>1007.5095304645506</v>
      </c>
      <c r="AL17" s="505">
        <f t="shared" si="13"/>
        <v>93.509530464550608</v>
      </c>
      <c r="AM17" s="709">
        <f t="shared" si="17"/>
        <v>6941.3607249444431</v>
      </c>
      <c r="AN17" s="710"/>
      <c r="AO17" s="430"/>
      <c r="AP17" s="430"/>
      <c r="AQ17" s="430"/>
      <c r="AR17" s="430"/>
      <c r="AS17" s="430"/>
      <c r="AT17" s="430"/>
      <c r="AU17" s="430"/>
      <c r="AV17" s="430"/>
      <c r="AW17" s="430"/>
      <c r="AX17" s="430"/>
      <c r="AY17" s="430"/>
      <c r="AZ17" s="430"/>
      <c r="BA17" s="430"/>
      <c r="BB17" s="430"/>
      <c r="BC17" s="430"/>
      <c r="BD17" s="430"/>
      <c r="BE17" s="430"/>
    </row>
    <row r="18" spans="1:57" ht="15.75" customHeight="1">
      <c r="A18" s="430"/>
      <c r="B18" s="698">
        <v>2026</v>
      </c>
      <c r="C18" s="699">
        <f>Trajectoires!H18</f>
        <v>1243.0334470176108</v>
      </c>
      <c r="D18" s="428">
        <f t="shared" si="14"/>
        <v>8224.6365902959242</v>
      </c>
      <c r="E18" s="700">
        <f>C18*(Hypothèses!$B$23/Hypothèses!$D$23)</f>
        <v>1044.1480954947931</v>
      </c>
      <c r="F18" s="428">
        <f t="shared" si="15"/>
        <v>6908.6947358485759</v>
      </c>
      <c r="G18" s="428" t="s">
        <v>580</v>
      </c>
      <c r="H18" s="428">
        <f>I18*Hypothèses!$B$5</f>
        <v>460.75106436119444</v>
      </c>
      <c r="I18" s="701">
        <f>E18/Hypothèses!$B$23</f>
        <v>331.47558587136291</v>
      </c>
      <c r="J18" s="706">
        <f t="shared" ref="J18:J40" si="18">J17*($J$42/$J$17)^(1/25)</f>
        <v>7.1741805239996346</v>
      </c>
      <c r="K18" s="703">
        <f t="shared" si="1"/>
        <v>2.1643164171927125E-2</v>
      </c>
      <c r="L18" s="535">
        <f t="shared" si="2"/>
        <v>3.5870902619998173</v>
      </c>
      <c r="M18" s="703">
        <f t="shared" si="3"/>
        <v>1.0821582085963562E-2</v>
      </c>
      <c r="N18" s="428">
        <f t="shared" si="4"/>
        <v>3.5870902619998173</v>
      </c>
      <c r="O18" s="703">
        <f t="shared" si="5"/>
        <v>1.0821582085963562E-2</v>
      </c>
      <c r="P18" s="535" t="s">
        <v>580</v>
      </c>
      <c r="Q18" s="539" t="s">
        <v>580</v>
      </c>
      <c r="R18" s="428">
        <f t="shared" si="6"/>
        <v>324.30140534736324</v>
      </c>
      <c r="S18" s="704">
        <v>0.5</v>
      </c>
      <c r="T18" s="428">
        <f t="shared" si="7"/>
        <v>7.1741805239996346</v>
      </c>
      <c r="U18" s="705">
        <f t="shared" si="8"/>
        <v>2.1643164171927125E-2</v>
      </c>
      <c r="V18" s="428">
        <f t="shared" si="9"/>
        <v>3.5870902619998173</v>
      </c>
      <c r="W18" s="703">
        <f t="shared" si="10"/>
        <v>0.5</v>
      </c>
      <c r="X18" s="428">
        <f t="shared" si="11"/>
        <v>3.5870902619998173</v>
      </c>
      <c r="Y18" s="703">
        <f t="shared" si="12"/>
        <v>0.5</v>
      </c>
      <c r="Z18" s="535">
        <v>0</v>
      </c>
      <c r="AA18" s="707">
        <v>0</v>
      </c>
      <c r="AB18" s="701">
        <f t="shared" si="0"/>
        <v>324.30140534736324</v>
      </c>
      <c r="AC18" s="245"/>
      <c r="AD18" s="428">
        <f>(V18+X18+AB18)*Hypothèses!$B$5+Z18*Hypothèses!$B$10</f>
        <v>460.75106436119432</v>
      </c>
      <c r="AE18" s="245"/>
      <c r="AF18" s="428">
        <f>X18*Prod_Carburant_Alt!$I$61+Z18*Hypothèses!$B$13</f>
        <v>162.43739685881502</v>
      </c>
      <c r="AG18" s="428">
        <f>AF18*'Synthèse scénarios'!$L$9/'Synthèse scénarios'!$M$9</f>
        <v>75.26458744134419</v>
      </c>
      <c r="AH18" s="708">
        <f>AG18/'Synthèse scénarios'!$L$9</f>
        <v>0.11561380559346265</v>
      </c>
      <c r="AI18" s="428">
        <f>('Synthèse scénarios'!$K$9/1000)*AF18</f>
        <v>1.7868113654469651</v>
      </c>
      <c r="AJ18" s="505">
        <f>(AB18+V18*Prod_Carburant_Alt!$D$75)*Hypothèses!$D$23+AI18</f>
        <v>1220.6663509369428</v>
      </c>
      <c r="AK18" s="505">
        <f>(AB18+V18*Prod_Carburant_Alt!$D$75)*Hypothèses!$B$23</f>
        <v>1023.8588132400564</v>
      </c>
      <c r="AL18" s="505">
        <f t="shared" si="13"/>
        <v>109.85881324005641</v>
      </c>
      <c r="AM18" s="709">
        <f t="shared" si="17"/>
        <v>8162.0270758813858</v>
      </c>
      <c r="AN18" s="710"/>
      <c r="AO18" s="430"/>
      <c r="AP18" s="430"/>
      <c r="AQ18" s="430"/>
      <c r="AR18" s="430"/>
      <c r="AS18" s="430"/>
      <c r="AT18" s="430"/>
      <c r="AU18" s="430"/>
      <c r="AV18" s="430"/>
      <c r="AW18" s="430"/>
      <c r="AX18" s="430"/>
      <c r="AY18" s="430"/>
      <c r="AZ18" s="430"/>
      <c r="BA18" s="430"/>
      <c r="BB18" s="430"/>
      <c r="BC18" s="430"/>
      <c r="BD18" s="430"/>
      <c r="BE18" s="430"/>
    </row>
    <row r="19" spans="1:57" ht="15.75" customHeight="1">
      <c r="A19" s="430"/>
      <c r="B19" s="698">
        <v>2027</v>
      </c>
      <c r="C19" s="699">
        <f>Trajectoires!H19</f>
        <v>1266.8996892003488</v>
      </c>
      <c r="D19" s="428">
        <f t="shared" si="14"/>
        <v>9491.536279496273</v>
      </c>
      <c r="E19" s="700">
        <f>C19*(Hypothèses!$B$23/Hypothèses!$D$23)</f>
        <v>1064.1957389282929</v>
      </c>
      <c r="F19" s="428">
        <f t="shared" si="15"/>
        <v>7972.8904747768684</v>
      </c>
      <c r="G19" s="428" t="s">
        <v>580</v>
      </c>
      <c r="H19" s="428">
        <f>I19*Hypothèses!$B$5</f>
        <v>469.59748479692922</v>
      </c>
      <c r="I19" s="701">
        <f>E19/Hypothèses!$B$23</f>
        <v>337.83991712009299</v>
      </c>
      <c r="J19" s="706">
        <f t="shared" si="18"/>
        <v>8.5781443651559446</v>
      </c>
      <c r="K19" s="703">
        <f t="shared" si="1"/>
        <v>2.5391151046566963E-2</v>
      </c>
      <c r="L19" s="535">
        <f t="shared" si="2"/>
        <v>4.2890721825779723</v>
      </c>
      <c r="M19" s="703">
        <f t="shared" si="3"/>
        <v>1.2695575523283481E-2</v>
      </c>
      <c r="N19" s="428">
        <f t="shared" si="4"/>
        <v>4.2890721825779723</v>
      </c>
      <c r="O19" s="703">
        <f t="shared" si="5"/>
        <v>1.2695575523283481E-2</v>
      </c>
      <c r="P19" s="535" t="s">
        <v>580</v>
      </c>
      <c r="Q19" s="539" t="s">
        <v>580</v>
      </c>
      <c r="R19" s="428">
        <f t="shared" si="6"/>
        <v>329.26177275493706</v>
      </c>
      <c r="S19" s="704">
        <v>0.5</v>
      </c>
      <c r="T19" s="428">
        <f t="shared" si="7"/>
        <v>8.5781443651559446</v>
      </c>
      <c r="U19" s="705">
        <f t="shared" si="8"/>
        <v>2.5391151046566963E-2</v>
      </c>
      <c r="V19" s="428">
        <f t="shared" si="9"/>
        <v>4.2890721825779723</v>
      </c>
      <c r="W19" s="703">
        <f t="shared" si="10"/>
        <v>0.5</v>
      </c>
      <c r="X19" s="428">
        <f t="shared" si="11"/>
        <v>4.2890721825779723</v>
      </c>
      <c r="Y19" s="703">
        <f t="shared" si="12"/>
        <v>0.5</v>
      </c>
      <c r="Z19" s="535">
        <v>0</v>
      </c>
      <c r="AA19" s="707">
        <v>0</v>
      </c>
      <c r="AB19" s="701">
        <f t="shared" si="0"/>
        <v>329.26177275493706</v>
      </c>
      <c r="AC19" s="245"/>
      <c r="AD19" s="428">
        <f>(V19+X19+AB19)*Hypothèses!$B$5+Z19*Hypothèses!$B$10</f>
        <v>469.59748479692922</v>
      </c>
      <c r="AE19" s="245"/>
      <c r="AF19" s="428">
        <f>X19*Prod_Carburant_Alt!$I$61+Z19*Hypothèses!$B$13</f>
        <v>194.22586815228502</v>
      </c>
      <c r="AG19" s="428">
        <f>AF19*'Synthèse scénarios'!$L$9/'Synthèse scénarios'!$M$9</f>
        <v>89.993622894759824</v>
      </c>
      <c r="AH19" s="708">
        <f>AG19/'Synthèse scénarios'!$L$9</f>
        <v>0.13823905206568329</v>
      </c>
      <c r="AI19" s="428">
        <f>('Synthèse scénarios'!$K$9/1000)*AF19</f>
        <v>2.136484549675135</v>
      </c>
      <c r="AJ19" s="505">
        <f>(AB19+V19*Prod_Carburant_Alt!$D$75)*Hypothèses!$D$23+AI19</f>
        <v>1240.1554250202889</v>
      </c>
      <c r="AK19" s="505">
        <f>(AB19+V19*Prod_Carburant_Alt!$D$75)*Hypothèses!$B$23</f>
        <v>1039.9359099953158</v>
      </c>
      <c r="AL19" s="505">
        <f t="shared" si="13"/>
        <v>125.9359099953158</v>
      </c>
      <c r="AM19" s="709">
        <f t="shared" si="17"/>
        <v>9402.1825009016757</v>
      </c>
      <c r="AN19" s="710"/>
      <c r="AO19" s="430"/>
      <c r="AP19" s="430"/>
      <c r="AQ19" s="430"/>
      <c r="AR19" s="430"/>
      <c r="AS19" s="430"/>
      <c r="AT19" s="430"/>
      <c r="AU19" s="430"/>
      <c r="AV19" s="430"/>
      <c r="AW19" s="430"/>
      <c r="AX19" s="430"/>
      <c r="AY19" s="430"/>
      <c r="AZ19" s="430"/>
      <c r="BA19" s="430"/>
      <c r="BB19" s="430"/>
      <c r="BC19" s="430"/>
      <c r="BD19" s="430"/>
      <c r="BE19" s="430"/>
    </row>
    <row r="20" spans="1:57" ht="15.75" customHeight="1">
      <c r="A20" s="430"/>
      <c r="B20" s="698">
        <v>2028</v>
      </c>
      <c r="C20" s="699">
        <f>Trajectoires!H20</f>
        <v>1291.2241632329956</v>
      </c>
      <c r="D20" s="428">
        <f t="shared" si="14"/>
        <v>10782.760442729268</v>
      </c>
      <c r="E20" s="700">
        <f>C20*(Hypothèses!$B$23/Hypothèses!$D$23)</f>
        <v>1084.6282971157164</v>
      </c>
      <c r="F20" s="428">
        <f t="shared" si="15"/>
        <v>9057.5187718925845</v>
      </c>
      <c r="G20" s="428" t="s">
        <v>580</v>
      </c>
      <c r="H20" s="428">
        <f>I20*Hypothèses!$B$5</f>
        <v>478.61375650503038</v>
      </c>
      <c r="I20" s="701">
        <f>E20/Hypothèses!$B$23</f>
        <v>344.32644352879885</v>
      </c>
      <c r="J20" s="706">
        <f t="shared" si="18"/>
        <v>10.256859372759831</v>
      </c>
      <c r="K20" s="703">
        <f t="shared" si="1"/>
        <v>2.9788183758538329E-2</v>
      </c>
      <c r="L20" s="535">
        <f t="shared" si="2"/>
        <v>5.1284296863799153</v>
      </c>
      <c r="M20" s="703">
        <f t="shared" si="3"/>
        <v>1.4894091879269164E-2</v>
      </c>
      <c r="N20" s="428">
        <f t="shared" si="4"/>
        <v>5.1284296863799153</v>
      </c>
      <c r="O20" s="703">
        <f t="shared" si="5"/>
        <v>1.4894091879269164E-2</v>
      </c>
      <c r="P20" s="535" t="s">
        <v>580</v>
      </c>
      <c r="Q20" s="539" t="s">
        <v>580</v>
      </c>
      <c r="R20" s="428">
        <f t="shared" si="6"/>
        <v>334.06958415603907</v>
      </c>
      <c r="S20" s="704">
        <v>0.5</v>
      </c>
      <c r="T20" s="428">
        <f t="shared" si="7"/>
        <v>10.256859372759831</v>
      </c>
      <c r="U20" s="705">
        <f t="shared" si="8"/>
        <v>2.9788183758538329E-2</v>
      </c>
      <c r="V20" s="428">
        <f t="shared" si="9"/>
        <v>5.1284296863799153</v>
      </c>
      <c r="W20" s="703">
        <f t="shared" si="10"/>
        <v>0.5</v>
      </c>
      <c r="X20" s="428">
        <f t="shared" si="11"/>
        <v>5.1284296863799153</v>
      </c>
      <c r="Y20" s="703">
        <f t="shared" si="12"/>
        <v>0.5</v>
      </c>
      <c r="Z20" s="535">
        <v>0</v>
      </c>
      <c r="AA20" s="707">
        <v>0</v>
      </c>
      <c r="AB20" s="701">
        <f t="shared" si="0"/>
        <v>334.06958415603907</v>
      </c>
      <c r="AC20" s="245"/>
      <c r="AD20" s="428">
        <f>(V20+X20+AB20)*Hypothèses!$B$5+Z20*Hypothèses!$B$10</f>
        <v>478.61375650503044</v>
      </c>
      <c r="AE20" s="245"/>
      <c r="AF20" s="428">
        <f>X20*Prod_Carburant_Alt!$I$61+Z20*Hypothèses!$B$13</f>
        <v>232.23524009250733</v>
      </c>
      <c r="AG20" s="428">
        <f>AF20*'Synthèse scénarios'!$L$9/'Synthèse scénarios'!$M$9</f>
        <v>107.60508277595891</v>
      </c>
      <c r="AH20" s="708">
        <f>AG20/'Synthèse scénarios'!$L$9</f>
        <v>0.16529198583096605</v>
      </c>
      <c r="AI20" s="428">
        <f>('Synthèse scénarios'!$K$9/1000)*AF20</f>
        <v>2.5545876410175805</v>
      </c>
      <c r="AJ20" s="505">
        <f>(AB20+V20*Prod_Carburant_Alt!$D$75)*Hypothèses!$D$23+AI20</f>
        <v>1259.2461333647818</v>
      </c>
      <c r="AK20" s="505">
        <f>(AB20+V20*Prod_Carburant_Alt!$D$75)*Hypothèses!$B$23</f>
        <v>1055.6208984079619</v>
      </c>
      <c r="AL20" s="505">
        <f t="shared" si="13"/>
        <v>141.62089840796193</v>
      </c>
      <c r="AM20" s="709">
        <f t="shared" si="17"/>
        <v>10661.428634266458</v>
      </c>
      <c r="AN20" s="710"/>
      <c r="AO20" s="430"/>
      <c r="AP20" s="430"/>
      <c r="AQ20" s="430"/>
      <c r="AR20" s="430"/>
      <c r="AS20" s="430"/>
      <c r="AT20" s="430"/>
      <c r="AU20" s="430"/>
      <c r="AV20" s="430"/>
      <c r="AW20" s="430"/>
      <c r="AX20" s="430"/>
      <c r="AY20" s="430"/>
      <c r="AZ20" s="430"/>
      <c r="BA20" s="430"/>
      <c r="BB20" s="430"/>
      <c r="BC20" s="430"/>
      <c r="BD20" s="430"/>
      <c r="BE20" s="430"/>
    </row>
    <row r="21" spans="1:57" ht="15.75" customHeight="1">
      <c r="A21" s="430"/>
      <c r="B21" s="698">
        <v>2029</v>
      </c>
      <c r="C21" s="699">
        <f>Trajectoires!H21</f>
        <v>1316.0156671670693</v>
      </c>
      <c r="D21" s="428">
        <f t="shared" si="14"/>
        <v>12098.776109896338</v>
      </c>
      <c r="E21" s="700">
        <f>C21*(Hypothèses!$B$23/Hypothèses!$D$23)</f>
        <v>1105.4531604203382</v>
      </c>
      <c r="F21" s="428">
        <f t="shared" si="15"/>
        <v>10162.971932312923</v>
      </c>
      <c r="G21" s="428" t="s">
        <v>580</v>
      </c>
      <c r="H21" s="428">
        <f>I21*Hypothèses!$B$5</f>
        <v>487.80314062992704</v>
      </c>
      <c r="I21" s="701">
        <f>E21/Hypothèses!$B$23</f>
        <v>350.93751124455184</v>
      </c>
      <c r="J21" s="706">
        <f t="shared" si="18"/>
        <v>12.26409345824278</v>
      </c>
      <c r="K21" s="703">
        <f t="shared" si="1"/>
        <v>3.4946658779079647E-2</v>
      </c>
      <c r="L21" s="535">
        <f t="shared" si="2"/>
        <v>6.1320467291213898</v>
      </c>
      <c r="M21" s="703">
        <f t="shared" si="3"/>
        <v>1.7473329389539823E-2</v>
      </c>
      <c r="N21" s="428">
        <f t="shared" si="4"/>
        <v>6.1320467291213898</v>
      </c>
      <c r="O21" s="703">
        <f t="shared" si="5"/>
        <v>1.7473329389539823E-2</v>
      </c>
      <c r="P21" s="535" t="s">
        <v>580</v>
      </c>
      <c r="Q21" s="539" t="s">
        <v>580</v>
      </c>
      <c r="R21" s="428">
        <f t="shared" si="6"/>
        <v>338.67341778630907</v>
      </c>
      <c r="S21" s="704">
        <v>0.5</v>
      </c>
      <c r="T21" s="428">
        <f t="shared" si="7"/>
        <v>12.26409345824278</v>
      </c>
      <c r="U21" s="705">
        <f t="shared" si="8"/>
        <v>3.4946658779079647E-2</v>
      </c>
      <c r="V21" s="428">
        <f t="shared" si="9"/>
        <v>6.1320467291213898</v>
      </c>
      <c r="W21" s="703">
        <f t="shared" si="10"/>
        <v>0.5</v>
      </c>
      <c r="X21" s="428">
        <f t="shared" si="11"/>
        <v>6.1320467291213898</v>
      </c>
      <c r="Y21" s="703">
        <f t="shared" si="12"/>
        <v>0.5</v>
      </c>
      <c r="Z21" s="535">
        <v>0</v>
      </c>
      <c r="AA21" s="707">
        <v>0</v>
      </c>
      <c r="AB21" s="701">
        <f t="shared" si="0"/>
        <v>338.67341778630907</v>
      </c>
      <c r="AC21" s="245"/>
      <c r="AD21" s="428">
        <f>(V21+X21+AB21)*Hypothèses!$B$5+Z21*Hypothèses!$B$10</f>
        <v>487.80314062992704</v>
      </c>
      <c r="AE21" s="245"/>
      <c r="AF21" s="428">
        <f>X21*Prod_Carburant_Alt!$I$61+Z21*Hypothèses!$B$13</f>
        <v>277.68292274300751</v>
      </c>
      <c r="AG21" s="428">
        <f>AF21*'Synthèse scénarios'!$L$9/'Synthèse scénarios'!$M$9</f>
        <v>128.66304818910882</v>
      </c>
      <c r="AH21" s="708">
        <f>AG21/'Synthèse scénarios'!$L$9</f>
        <v>0.19763909092029006</v>
      </c>
      <c r="AI21" s="428">
        <f>('Synthèse scénarios'!$K$9/1000)*AF21</f>
        <v>3.0545121501730823</v>
      </c>
      <c r="AJ21" s="505">
        <f>(AB21+V21*Prod_Carburant_Alt!$D$75)*Hypothèses!$D$23+AI21</f>
        <v>1277.779640654333</v>
      </c>
      <c r="AK21" s="505">
        <f>(AB21+V21*Prod_Carburant_Alt!$D$75)*Hypothèses!$B$23</f>
        <v>1070.7691079434942</v>
      </c>
      <c r="AL21" s="505">
        <f t="shared" si="13"/>
        <v>156.76910794349419</v>
      </c>
      <c r="AM21" s="709">
        <f t="shared" si="17"/>
        <v>11939.208274920791</v>
      </c>
      <c r="AN21" s="710"/>
      <c r="AO21" s="430"/>
      <c r="AP21" s="430"/>
      <c r="AQ21" s="430"/>
      <c r="AR21" s="430"/>
      <c r="AS21" s="430"/>
      <c r="AT21" s="430"/>
      <c r="AU21" s="430"/>
      <c r="AV21" s="430"/>
      <c r="AW21" s="430"/>
      <c r="AX21" s="430"/>
      <c r="AY21" s="430"/>
      <c r="AZ21" s="430"/>
      <c r="BA21" s="430"/>
      <c r="BB21" s="430"/>
      <c r="BC21" s="430"/>
      <c r="BD21" s="430"/>
      <c r="BE21" s="430"/>
    </row>
    <row r="22" spans="1:57" ht="15.75" customHeight="1">
      <c r="A22" s="430"/>
      <c r="B22" s="698">
        <v>2030</v>
      </c>
      <c r="C22" s="699">
        <f>Trajectoires!H22</f>
        <v>1341.2831679766769</v>
      </c>
      <c r="D22" s="428">
        <f t="shared" si="14"/>
        <v>13440.059277873015</v>
      </c>
      <c r="E22" s="700">
        <f>C22*(Hypothèses!$B$23/Hypothèses!$D$23)</f>
        <v>1126.6778611004086</v>
      </c>
      <c r="F22" s="428">
        <f t="shared" si="15"/>
        <v>11289.649793413331</v>
      </c>
      <c r="G22" s="428" t="s">
        <v>580</v>
      </c>
      <c r="H22" s="428">
        <f>I22*Hypothèses!$B$5</f>
        <v>497.16896093002157</v>
      </c>
      <c r="I22" s="701">
        <f>E22/Hypothèses!$B$23</f>
        <v>357.67551146044718</v>
      </c>
      <c r="J22" s="706">
        <f t="shared" si="18"/>
        <v>14.664136738772779</v>
      </c>
      <c r="K22" s="703">
        <f t="shared" si="1"/>
        <v>4.0998436484781214E-2</v>
      </c>
      <c r="L22" s="535">
        <f t="shared" si="2"/>
        <v>7.3320683693863895</v>
      </c>
      <c r="M22" s="703">
        <f t="shared" si="3"/>
        <v>2.0499218242390607E-2</v>
      </c>
      <c r="N22" s="428">
        <f t="shared" si="4"/>
        <v>7.3320683693863895</v>
      </c>
      <c r="O22" s="703">
        <f t="shared" si="5"/>
        <v>2.0499218242390607E-2</v>
      </c>
      <c r="P22" s="535" t="s">
        <v>580</v>
      </c>
      <c r="Q22" s="539" t="s">
        <v>580</v>
      </c>
      <c r="R22" s="428">
        <f t="shared" si="6"/>
        <v>343.01137472167443</v>
      </c>
      <c r="S22" s="704">
        <v>0.5</v>
      </c>
      <c r="T22" s="428">
        <f t="shared" si="7"/>
        <v>14.664136738772779</v>
      </c>
      <c r="U22" s="705">
        <f t="shared" si="8"/>
        <v>4.0998436484781214E-2</v>
      </c>
      <c r="V22" s="428">
        <f t="shared" si="9"/>
        <v>7.3320683693863895</v>
      </c>
      <c r="W22" s="703">
        <f t="shared" si="10"/>
        <v>0.5</v>
      </c>
      <c r="X22" s="428">
        <f t="shared" si="11"/>
        <v>7.3320683693863895</v>
      </c>
      <c r="Y22" s="703">
        <f t="shared" si="12"/>
        <v>0.5</v>
      </c>
      <c r="Z22" s="535">
        <v>0</v>
      </c>
      <c r="AA22" s="707">
        <v>0</v>
      </c>
      <c r="AB22" s="701">
        <f t="shared" si="0"/>
        <v>343.01137472167443</v>
      </c>
      <c r="AC22" s="245"/>
      <c r="AD22" s="428">
        <f>(V22+X22+AB22)*Hypothèses!$B$5+Z22*Hypothèses!$B$10</f>
        <v>497.16896093002157</v>
      </c>
      <c r="AE22" s="245"/>
      <c r="AF22" s="428">
        <f>X22*Prod_Carburant_Alt!$I$61+Z22*Hypothèses!$B$13</f>
        <v>332.02456936502995</v>
      </c>
      <c r="AG22" s="428">
        <f>AF22*'Synthèse scénarios'!$L$9/'Synthèse scénarios'!$M$9</f>
        <v>153.84198907945515</v>
      </c>
      <c r="AH22" s="708">
        <f>AG22/'Synthèse scénarios'!$L$9</f>
        <v>0.23631641947688964</v>
      </c>
      <c r="AI22" s="428">
        <f>('Synthèse scénarios'!$K$9/1000)*AF22</f>
        <v>3.6522702630153292</v>
      </c>
      <c r="AJ22" s="505">
        <f>(AB22+V22*Prod_Carburant_Alt!$D$75)*Hypothèses!$D$23+AI22</f>
        <v>1295.564475189542</v>
      </c>
      <c r="AK22" s="505">
        <f>(AB22+V22*Prod_Carburant_Alt!$D$75)*Hypothèses!$B$23</f>
        <v>1085.2062521382825</v>
      </c>
      <c r="AL22" s="505">
        <f t="shared" si="13"/>
        <v>171.20625213828248</v>
      </c>
      <c r="AM22" s="709">
        <f t="shared" si="17"/>
        <v>13234.772750110333</v>
      </c>
      <c r="AN22" s="710"/>
      <c r="AO22" s="430"/>
      <c r="AP22" s="430"/>
      <c r="AQ22" s="430"/>
      <c r="AR22" s="430"/>
      <c r="AS22" s="430"/>
      <c r="AT22" s="430"/>
      <c r="AU22" s="430"/>
      <c r="AV22" s="430"/>
      <c r="AW22" s="430"/>
      <c r="AX22" s="430"/>
      <c r="AY22" s="430"/>
      <c r="AZ22" s="430"/>
      <c r="BA22" s="430"/>
      <c r="BB22" s="430"/>
      <c r="BC22" s="430"/>
      <c r="BD22" s="430"/>
      <c r="BE22" s="430"/>
    </row>
    <row r="23" spans="1:57" ht="15.75" customHeight="1">
      <c r="A23" s="430"/>
      <c r="B23" s="698">
        <v>2031</v>
      </c>
      <c r="C23" s="699">
        <f>Trajectoires!H23</f>
        <v>1367.035804801829</v>
      </c>
      <c r="D23" s="428">
        <f t="shared" si="14"/>
        <v>14807.095082674845</v>
      </c>
      <c r="E23" s="700">
        <f>C23*(Hypothèses!$B$23/Hypothèses!$D$23)</f>
        <v>1148.3100760335365</v>
      </c>
      <c r="F23" s="428">
        <f t="shared" si="15"/>
        <v>12437.959869446868</v>
      </c>
      <c r="G23" s="428" t="s">
        <v>580</v>
      </c>
      <c r="H23" s="428">
        <f>I23*Hypothèses!$B$5</f>
        <v>506.714604979878</v>
      </c>
      <c r="I23" s="701">
        <f>E23/Hypothèses!$B$23</f>
        <v>364.54288128048779</v>
      </c>
      <c r="J23" s="706">
        <f t="shared" si="18"/>
        <v>17.533860698761863</v>
      </c>
      <c r="K23" s="703">
        <f t="shared" si="1"/>
        <v>4.8098211758168724E-2</v>
      </c>
      <c r="L23" s="535">
        <f t="shared" si="2"/>
        <v>8.7669303493809316</v>
      </c>
      <c r="M23" s="703">
        <f t="shared" si="3"/>
        <v>2.4049105879084362E-2</v>
      </c>
      <c r="N23" s="428">
        <f t="shared" si="4"/>
        <v>8.7669303493809316</v>
      </c>
      <c r="O23" s="703">
        <f t="shared" si="5"/>
        <v>2.4049105879084362E-2</v>
      </c>
      <c r="P23" s="535" t="s">
        <v>580</v>
      </c>
      <c r="Q23" s="539" t="s">
        <v>580</v>
      </c>
      <c r="R23" s="428">
        <f t="shared" si="6"/>
        <v>347.00902058172596</v>
      </c>
      <c r="S23" s="704">
        <v>0.5</v>
      </c>
      <c r="T23" s="428">
        <f t="shared" si="7"/>
        <v>17.533860698761863</v>
      </c>
      <c r="U23" s="705">
        <f t="shared" si="8"/>
        <v>4.8098211758168724E-2</v>
      </c>
      <c r="V23" s="428">
        <f t="shared" si="9"/>
        <v>8.7669303493809316</v>
      </c>
      <c r="W23" s="703">
        <f t="shared" si="10"/>
        <v>0.5</v>
      </c>
      <c r="X23" s="428">
        <f t="shared" si="11"/>
        <v>8.7669303493809316</v>
      </c>
      <c r="Y23" s="703">
        <f t="shared" si="12"/>
        <v>0.5</v>
      </c>
      <c r="Z23" s="535">
        <v>0</v>
      </c>
      <c r="AA23" s="707">
        <v>0</v>
      </c>
      <c r="AB23" s="701">
        <f t="shared" si="0"/>
        <v>347.00902058172596</v>
      </c>
      <c r="AC23" s="245"/>
      <c r="AD23" s="428">
        <f>(V23+X23+AB23)*Hypothèses!$B$5+Z23*Hypothèses!$B$10</f>
        <v>506.71460497987806</v>
      </c>
      <c r="AE23" s="245"/>
      <c r="AF23" s="428">
        <f>X23*Prod_Carburant_Alt!$I$61+Z23*Hypothèses!$B$13</f>
        <v>397.00069983799386</v>
      </c>
      <c r="AG23" s="428">
        <f>AF23*'Synthèse scénarios'!$L$9/'Synthèse scénarios'!$M$9</f>
        <v>183.94836697119857</v>
      </c>
      <c r="AH23" s="708">
        <f>AG23/'Synthèse scénarios'!$L$9</f>
        <v>0.28256277568540489</v>
      </c>
      <c r="AI23" s="428">
        <f>('Synthèse scénarios'!$K$9/1000)*AF23</f>
        <v>4.3670076982179324</v>
      </c>
      <c r="AJ23" s="505">
        <f>(AB23+V23*Prod_Carburant_Alt!$D$75)*Hypothèses!$D$23+AI23</f>
        <v>1312.3701122391317</v>
      </c>
      <c r="AK23" s="505">
        <f>(AB23+V23*Prod_Carburant_Alt!$D$75)*Hypothèses!$B$23</f>
        <v>1098.7226078143674</v>
      </c>
      <c r="AL23" s="505">
        <f t="shared" si="13"/>
        <v>184.72260781436739</v>
      </c>
      <c r="AM23" s="709">
        <f t="shared" si="17"/>
        <v>14547.142862349465</v>
      </c>
      <c r="AN23" s="710"/>
      <c r="AO23" s="430"/>
      <c r="AP23" s="430"/>
      <c r="AQ23" s="430"/>
      <c r="AR23" s="430"/>
      <c r="AS23" s="430"/>
      <c r="AT23" s="430"/>
      <c r="AU23" s="430"/>
      <c r="AV23" s="430"/>
      <c r="AW23" s="430"/>
      <c r="AX23" s="430"/>
      <c r="AY23" s="430"/>
      <c r="AZ23" s="430"/>
      <c r="BA23" s="430"/>
      <c r="BB23" s="430"/>
      <c r="BC23" s="430"/>
      <c r="BD23" s="430"/>
      <c r="BE23" s="430"/>
    </row>
    <row r="24" spans="1:57" ht="15.75" customHeight="1">
      <c r="A24" s="430"/>
      <c r="B24" s="698">
        <v>2032</v>
      </c>
      <c r="C24" s="699">
        <f>Trajectoires!H24</f>
        <v>1393.2828922540243</v>
      </c>
      <c r="D24" s="428">
        <f t="shared" si="14"/>
        <v>16200.37797492887</v>
      </c>
      <c r="E24" s="700">
        <f>C24*(Hypothèses!$B$23/Hypothèses!$D$23)</f>
        <v>1170.3576294933803</v>
      </c>
      <c r="F24" s="428">
        <f t="shared" si="15"/>
        <v>13608.317498940249</v>
      </c>
      <c r="G24" s="428" t="s">
        <v>580</v>
      </c>
      <c r="H24" s="428">
        <f>I24*Hypothèses!$B$5</f>
        <v>516.44352539549163</v>
      </c>
      <c r="I24" s="701">
        <f>E24/Hypothèses!$B$23</f>
        <v>371.54210460107311</v>
      </c>
      <c r="J24" s="706">
        <f t="shared" si="18"/>
        <v>20.965180322596662</v>
      </c>
      <c r="K24" s="703">
        <f t="shared" si="1"/>
        <v>5.6427468281440393E-2</v>
      </c>
      <c r="L24" s="535">
        <f t="shared" si="2"/>
        <v>10.482590161298331</v>
      </c>
      <c r="M24" s="703">
        <f t="shared" si="3"/>
        <v>2.8213734140720197E-2</v>
      </c>
      <c r="N24" s="428">
        <f t="shared" si="4"/>
        <v>10.482590161298331</v>
      </c>
      <c r="O24" s="703">
        <f t="shared" si="5"/>
        <v>2.8213734140720197E-2</v>
      </c>
      <c r="P24" s="535" t="s">
        <v>580</v>
      </c>
      <c r="Q24" s="539" t="s">
        <v>580</v>
      </c>
      <c r="R24" s="428">
        <f t="shared" si="6"/>
        <v>350.57692427847644</v>
      </c>
      <c r="S24" s="704">
        <v>0.5</v>
      </c>
      <c r="T24" s="428">
        <f t="shared" si="7"/>
        <v>20.965180322596662</v>
      </c>
      <c r="U24" s="705">
        <f t="shared" si="8"/>
        <v>5.6427468281440393E-2</v>
      </c>
      <c r="V24" s="428">
        <f t="shared" si="9"/>
        <v>10.482590161298331</v>
      </c>
      <c r="W24" s="703">
        <f t="shared" si="10"/>
        <v>0.5</v>
      </c>
      <c r="X24" s="428">
        <f t="shared" si="11"/>
        <v>10.482590161298331</v>
      </c>
      <c r="Y24" s="703">
        <f t="shared" si="12"/>
        <v>0.5</v>
      </c>
      <c r="Z24" s="535">
        <v>0</v>
      </c>
      <c r="AA24" s="707">
        <v>0</v>
      </c>
      <c r="AB24" s="701">
        <f t="shared" si="0"/>
        <v>350.57692427847644</v>
      </c>
      <c r="AC24" s="245"/>
      <c r="AD24" s="428">
        <f>(V24+X24+AB24)*Hypothèses!$B$5+Z24*Hypothèses!$B$10</f>
        <v>516.44352539549163</v>
      </c>
      <c r="AE24" s="245"/>
      <c r="AF24" s="428">
        <f>X24*Prod_Carburant_Alt!$I$61+Z24*Hypothèses!$B$13</f>
        <v>474.69244813199339</v>
      </c>
      <c r="AG24" s="428">
        <f>AF24*'Synthèse scénarios'!$L$9/'Synthèse scénarios'!$M$9</f>
        <v>219.94646529105174</v>
      </c>
      <c r="AH24" s="708">
        <f>AG24/'Synthèse scénarios'!$L$9</f>
        <v>0.33785939368825152</v>
      </c>
      <c r="AI24" s="428">
        <f>('Synthèse scénarios'!$K$9/1000)*AF24</f>
        <v>5.221616929451927</v>
      </c>
      <c r="AJ24" s="505">
        <f>(AB24+V24*Prod_Carburant_Alt!$D$75)*Hypothèses!$D$23+AI24</f>
        <v>1327.919301101648</v>
      </c>
      <c r="AK24" s="505">
        <f>(AB24+V24*Prod_Carburant_Alt!$D$75)*Hypothèses!$B$23</f>
        <v>1111.0660547046446</v>
      </c>
      <c r="AL24" s="505">
        <f t="shared" si="13"/>
        <v>197.06605470464456</v>
      </c>
      <c r="AM24" s="709">
        <f t="shared" si="17"/>
        <v>15875.062163451114</v>
      </c>
      <c r="AN24" s="710"/>
      <c r="AO24" s="430"/>
      <c r="AP24" s="430"/>
      <c r="AQ24" s="430"/>
      <c r="AR24" s="430"/>
      <c r="AS24" s="430"/>
      <c r="AT24" s="430"/>
      <c r="AU24" s="430"/>
      <c r="AV24" s="430"/>
      <c r="AW24" s="430"/>
      <c r="AX24" s="430"/>
      <c r="AY24" s="430"/>
      <c r="AZ24" s="430"/>
      <c r="BA24" s="430"/>
      <c r="BB24" s="430"/>
      <c r="BC24" s="430"/>
      <c r="BD24" s="430"/>
      <c r="BE24" s="430"/>
    </row>
    <row r="25" spans="1:57" ht="15.75" customHeight="1">
      <c r="A25" s="430"/>
      <c r="B25" s="698">
        <v>2033</v>
      </c>
      <c r="C25" s="699">
        <f>Trajectoires!H25</f>
        <v>1420.0339237853016</v>
      </c>
      <c r="D25" s="428">
        <f t="shared" si="14"/>
        <v>17620.41189871417</v>
      </c>
      <c r="E25" s="700">
        <f>C25*(Hypothèses!$B$23/Hypothèses!$D$23)</f>
        <v>1192.8284959796533</v>
      </c>
      <c r="F25" s="428">
        <f t="shared" si="15"/>
        <v>14801.145994919902</v>
      </c>
      <c r="G25" s="428" t="s">
        <v>580</v>
      </c>
      <c r="H25" s="428">
        <f>I25*Hypothèses!$B$5</f>
        <v>526.35924108308507</v>
      </c>
      <c r="I25" s="701">
        <f>E25/Hypothèses!$B$23</f>
        <v>378.67571300941376</v>
      </c>
      <c r="J25" s="706">
        <f t="shared" si="18"/>
        <v>25.067998058752224</v>
      </c>
      <c r="K25" s="703">
        <f t="shared" si="1"/>
        <v>6.6199117602583193E-2</v>
      </c>
      <c r="L25" s="535">
        <f t="shared" si="2"/>
        <v>12.533999029376112</v>
      </c>
      <c r="M25" s="703">
        <f t="shared" si="3"/>
        <v>3.3099558801291597E-2</v>
      </c>
      <c r="N25" s="428">
        <f t="shared" si="4"/>
        <v>12.533999029376112</v>
      </c>
      <c r="O25" s="703">
        <f t="shared" si="5"/>
        <v>3.3099558801291597E-2</v>
      </c>
      <c r="P25" s="535" t="s">
        <v>580</v>
      </c>
      <c r="Q25" s="539" t="s">
        <v>580</v>
      </c>
      <c r="R25" s="428">
        <f t="shared" si="6"/>
        <v>353.60771495066155</v>
      </c>
      <c r="S25" s="704">
        <v>0.5</v>
      </c>
      <c r="T25" s="428">
        <f t="shared" si="7"/>
        <v>25.067998058752224</v>
      </c>
      <c r="U25" s="705">
        <f t="shared" si="8"/>
        <v>6.6199117602583193E-2</v>
      </c>
      <c r="V25" s="428">
        <f t="shared" si="9"/>
        <v>12.533999029376112</v>
      </c>
      <c r="W25" s="703">
        <f t="shared" si="10"/>
        <v>0.5</v>
      </c>
      <c r="X25" s="428">
        <f t="shared" si="11"/>
        <v>12.533999029376112</v>
      </c>
      <c r="Y25" s="703">
        <f t="shared" si="12"/>
        <v>0.5</v>
      </c>
      <c r="Z25" s="535">
        <v>0</v>
      </c>
      <c r="AA25" s="707">
        <v>0</v>
      </c>
      <c r="AB25" s="701">
        <f t="shared" si="0"/>
        <v>353.60771495066155</v>
      </c>
      <c r="AC25" s="245"/>
      <c r="AD25" s="428">
        <f>(V25+X25+AB25)*Hypothèses!$B$5+Z25*Hypothèses!$B$10</f>
        <v>526.35924108308507</v>
      </c>
      <c r="AE25" s="245"/>
      <c r="AF25" s="428">
        <f>X25*Prod_Carburant_Alt!$I$61+Z25*Hypothèses!$B$13</f>
        <v>567.5882193797089</v>
      </c>
      <c r="AG25" s="428">
        <f>AF25*'Synthèse scénarios'!$L$9/'Synthèse scénarios'!$M$9</f>
        <v>262.98927460227083</v>
      </c>
      <c r="AH25" s="708">
        <f>AG25/'Synthèse scénarios'!$L$9</f>
        <v>0.40397738034142983</v>
      </c>
      <c r="AI25" s="428">
        <f>('Synthèse scénarios'!$K$9/1000)*AF25</f>
        <v>6.243470413176798</v>
      </c>
      <c r="AJ25" s="505">
        <f>(AB25+V25*Prod_Carburant_Alt!$D$75)*Hypothèses!$D$23+AI25</f>
        <v>1341.8788900146262</v>
      </c>
      <c r="AK25" s="505">
        <f>(AB25+V25*Prod_Carburant_Alt!$D$75)*Hypothèses!$B$23</f>
        <v>1121.9337524652176</v>
      </c>
      <c r="AL25" s="505">
        <f t="shared" si="13"/>
        <v>207.93375246521759</v>
      </c>
      <c r="AM25" s="709">
        <f t="shared" si="17"/>
        <v>17216.94105346574</v>
      </c>
      <c r="AN25" s="710"/>
      <c r="AO25" s="430"/>
      <c r="AP25" s="430"/>
      <c r="AQ25" s="430"/>
      <c r="AR25" s="430"/>
      <c r="AS25" s="430"/>
      <c r="AT25" s="430"/>
      <c r="AU25" s="430"/>
      <c r="AV25" s="430"/>
      <c r="AW25" s="430"/>
      <c r="AX25" s="430"/>
      <c r="AY25" s="430"/>
      <c r="AZ25" s="430"/>
      <c r="BA25" s="430"/>
      <c r="BB25" s="430"/>
      <c r="BC25" s="430"/>
      <c r="BD25" s="430"/>
      <c r="BE25" s="430"/>
    </row>
    <row r="26" spans="1:57" ht="15.75" customHeight="1">
      <c r="A26" s="430"/>
      <c r="B26" s="698">
        <v>2034</v>
      </c>
      <c r="C26" s="699">
        <f>Trajectoires!H26</f>
        <v>1447.2985751219794</v>
      </c>
      <c r="D26" s="428">
        <f t="shared" si="14"/>
        <v>19067.710473836149</v>
      </c>
      <c r="E26" s="700">
        <f>C26*(Hypothèses!$B$23/Hypothèses!$D$23)</f>
        <v>1215.7308031024627</v>
      </c>
      <c r="F26" s="428">
        <f t="shared" si="15"/>
        <v>16016.876798022364</v>
      </c>
      <c r="G26" s="428" t="s">
        <v>580</v>
      </c>
      <c r="H26" s="428">
        <f>I26*Hypothèses!$B$5</f>
        <v>536.4653385118803</v>
      </c>
      <c r="I26" s="701">
        <f>E26/Hypothèses!$B$23</f>
        <v>385.9462866991945</v>
      </c>
      <c r="J26" s="706">
        <f t="shared" si="18"/>
        <v>29.973723908126807</v>
      </c>
      <c r="K26" s="703">
        <f t="shared" si="1"/>
        <v>7.7662941557171267E-2</v>
      </c>
      <c r="L26" s="535">
        <f t="shared" si="2"/>
        <v>14.986861954063404</v>
      </c>
      <c r="M26" s="703">
        <f t="shared" si="3"/>
        <v>3.8831470778585633E-2</v>
      </c>
      <c r="N26" s="428">
        <f t="shared" si="4"/>
        <v>14.986861954063404</v>
      </c>
      <c r="O26" s="703">
        <f t="shared" si="5"/>
        <v>3.8831470778585633E-2</v>
      </c>
      <c r="P26" s="535" t="s">
        <v>580</v>
      </c>
      <c r="Q26" s="539" t="s">
        <v>580</v>
      </c>
      <c r="R26" s="428">
        <f t="shared" si="6"/>
        <v>355.97256279106773</v>
      </c>
      <c r="S26" s="704">
        <v>0.5</v>
      </c>
      <c r="T26" s="428">
        <f t="shared" si="7"/>
        <v>29.973723908126807</v>
      </c>
      <c r="U26" s="705">
        <f t="shared" si="8"/>
        <v>7.7662941557171267E-2</v>
      </c>
      <c r="V26" s="428">
        <f t="shared" si="9"/>
        <v>14.986861954063404</v>
      </c>
      <c r="W26" s="703">
        <f t="shared" si="10"/>
        <v>0.5</v>
      </c>
      <c r="X26" s="428">
        <f t="shared" si="11"/>
        <v>14.986861954063404</v>
      </c>
      <c r="Y26" s="703">
        <f t="shared" si="12"/>
        <v>0.5</v>
      </c>
      <c r="Z26" s="535">
        <v>0</v>
      </c>
      <c r="AA26" s="707">
        <v>0</v>
      </c>
      <c r="AB26" s="701">
        <f t="shared" si="0"/>
        <v>355.97256279106773</v>
      </c>
      <c r="AC26" s="245"/>
      <c r="AD26" s="428">
        <f>(V26+X26+AB26)*Hypothèses!$B$5+Z26*Hypothèses!$B$10</f>
        <v>536.46533851188042</v>
      </c>
      <c r="AE26" s="245"/>
      <c r="AF26" s="428">
        <f>X26*Prod_Carburant_Alt!$I$61+Z26*Hypothèses!$B$13</f>
        <v>678.66339152092326</v>
      </c>
      <c r="AG26" s="428">
        <f>AF26*'Synthèse scénarios'!$L$9/'Synthèse scénarios'!$M$9</f>
        <v>314.45542197873385</v>
      </c>
      <c r="AH26" s="708">
        <f>AG26/'Synthèse scénarios'!$L$9</f>
        <v>0.48303444236364645</v>
      </c>
      <c r="AI26" s="428">
        <f>('Synthèse scénarios'!$K$9/1000)*AF26</f>
        <v>7.4652973067301556</v>
      </c>
      <c r="AJ26" s="505">
        <f>(AB26+V26*Prod_Carburant_Alt!$D$75)*Hypothèses!$D$23+AI26</f>
        <v>1353.8488549336273</v>
      </c>
      <c r="AK26" s="505">
        <f>(AB26+V26*Prod_Carburant_Alt!$D$75)*Hypothèses!$B$23</f>
        <v>1130.9621884065937</v>
      </c>
      <c r="AL26" s="505">
        <f t="shared" si="13"/>
        <v>216.96218840659367</v>
      </c>
      <c r="AM26" s="709">
        <f t="shared" si="17"/>
        <v>18570.789908399369</v>
      </c>
      <c r="AN26" s="710"/>
      <c r="AO26" s="430"/>
      <c r="AP26" s="430"/>
      <c r="AQ26" s="430"/>
      <c r="AR26" s="430"/>
      <c r="AS26" s="430"/>
      <c r="AT26" s="430"/>
      <c r="AU26" s="430"/>
      <c r="AV26" s="430"/>
      <c r="AW26" s="430"/>
      <c r="AX26" s="430"/>
      <c r="AY26" s="430"/>
      <c r="AZ26" s="430"/>
      <c r="BA26" s="430"/>
      <c r="BB26" s="430"/>
      <c r="BC26" s="430"/>
      <c r="BD26" s="430"/>
      <c r="BE26" s="430"/>
    </row>
    <row r="27" spans="1:57" ht="15.75" customHeight="1">
      <c r="A27" s="430"/>
      <c r="B27" s="698">
        <v>2035</v>
      </c>
      <c r="C27" s="699">
        <f>Trajectoires!H27</f>
        <v>1475.0867077643215</v>
      </c>
      <c r="D27" s="428">
        <f t="shared" si="14"/>
        <v>20542.797181600472</v>
      </c>
      <c r="E27" s="700">
        <f>C27*(Hypothèses!$B$23/Hypothèses!$D$23)</f>
        <v>1239.07283452203</v>
      </c>
      <c r="F27" s="428">
        <f t="shared" si="15"/>
        <v>17255.949632544394</v>
      </c>
      <c r="G27" s="428" t="s">
        <v>580</v>
      </c>
      <c r="H27" s="428">
        <f>I27*Hypothèses!$B$5</f>
        <v>546.76547301130847</v>
      </c>
      <c r="I27" s="701">
        <f>E27/Hypothèses!$B$23</f>
        <v>393.35645540381904</v>
      </c>
      <c r="J27" s="706">
        <f t="shared" si="18"/>
        <v>35.839484382237593</v>
      </c>
      <c r="K27" s="703">
        <f t="shared" si="1"/>
        <v>9.1111977164439417E-2</v>
      </c>
      <c r="L27" s="535">
        <f t="shared" si="2"/>
        <v>17.919742191118797</v>
      </c>
      <c r="M27" s="703">
        <f t="shared" si="3"/>
        <v>4.5555988582219709E-2</v>
      </c>
      <c r="N27" s="428">
        <f t="shared" si="4"/>
        <v>17.919742191118797</v>
      </c>
      <c r="O27" s="703">
        <f t="shared" si="5"/>
        <v>4.5555988582219709E-2</v>
      </c>
      <c r="P27" s="535" t="s">
        <v>580</v>
      </c>
      <c r="Q27" s="539" t="s">
        <v>580</v>
      </c>
      <c r="R27" s="428">
        <f t="shared" si="6"/>
        <v>357.51697102158141</v>
      </c>
      <c r="S27" s="704">
        <v>0.5</v>
      </c>
      <c r="T27" s="428">
        <f t="shared" si="7"/>
        <v>35.839484382237593</v>
      </c>
      <c r="U27" s="705">
        <f t="shared" si="8"/>
        <v>9.1111977164439417E-2</v>
      </c>
      <c r="V27" s="428">
        <f t="shared" si="9"/>
        <v>17.919742191118797</v>
      </c>
      <c r="W27" s="703">
        <f t="shared" si="10"/>
        <v>0.5</v>
      </c>
      <c r="X27" s="428">
        <f t="shared" si="11"/>
        <v>17.919742191118797</v>
      </c>
      <c r="Y27" s="703">
        <f t="shared" si="12"/>
        <v>0.5</v>
      </c>
      <c r="Z27" s="535">
        <v>0</v>
      </c>
      <c r="AA27" s="707">
        <v>0</v>
      </c>
      <c r="AB27" s="701">
        <f t="shared" si="0"/>
        <v>357.51697102158141</v>
      </c>
      <c r="AC27" s="245"/>
      <c r="AD27" s="428">
        <f>(V27+X27+AB27)*Hypothèses!$B$5+Z27*Hypothèses!$B$10</f>
        <v>546.76547301130836</v>
      </c>
      <c r="AE27" s="245"/>
      <c r="AF27" s="428">
        <f>X27*Prod_Carburant_Alt!$I$61+Z27*Hypothèses!$B$13</f>
        <v>811.47561430015776</v>
      </c>
      <c r="AG27" s="428">
        <f>AF27*'Synthèse scénarios'!$L$9/'Synthèse scénarios'!$M$9</f>
        <v>375.99332733765317</v>
      </c>
      <c r="AH27" s="708">
        <f>AG27/'Synthèse scénarios'!$L$9</f>
        <v>0.5775627148043827</v>
      </c>
      <c r="AI27" s="428">
        <f>('Synthèse scénarios'!$K$9/1000)*AF27</f>
        <v>8.9262317573017356</v>
      </c>
      <c r="AJ27" s="505">
        <f>(AB27+V27*Prod_Carburant_Alt!$D$75)*Hypothèses!$D$23+AI27</f>
        <v>1363.349180672906</v>
      </c>
      <c r="AK27" s="505">
        <f>(AB27+V27*Prod_Carburant_Alt!$D$75)*Hypothèses!$B$23</f>
        <v>1137.7152770891075</v>
      </c>
      <c r="AL27" s="505">
        <f t="shared" si="13"/>
        <v>223.71527708910753</v>
      </c>
      <c r="AM27" s="709">
        <f t="shared" si="17"/>
        <v>19934.139089072276</v>
      </c>
      <c r="AN27" s="710"/>
      <c r="AO27" s="430"/>
      <c r="AP27" s="430"/>
      <c r="AQ27" s="430"/>
      <c r="AR27" s="430"/>
      <c r="AS27" s="430"/>
      <c r="AT27" s="430"/>
      <c r="AU27" s="430"/>
      <c r="AV27" s="430"/>
      <c r="AW27" s="430"/>
      <c r="AX27" s="430"/>
      <c r="AY27" s="430"/>
      <c r="AZ27" s="430"/>
      <c r="BA27" s="430"/>
      <c r="BB27" s="430"/>
      <c r="BC27" s="430"/>
      <c r="BD27" s="430"/>
      <c r="BE27" s="430"/>
    </row>
    <row r="28" spans="1:57" ht="15.75" customHeight="1">
      <c r="A28" s="430"/>
      <c r="B28" s="698">
        <v>2036</v>
      </c>
      <c r="C28" s="699">
        <f>Trajectoires!H28</f>
        <v>1503.4083725533967</v>
      </c>
      <c r="D28" s="428">
        <f t="shared" si="14"/>
        <v>22046.205554153868</v>
      </c>
      <c r="E28" s="700">
        <f>C28*(Hypothèses!$B$23/Hypothèses!$D$23)</f>
        <v>1262.8630329448531</v>
      </c>
      <c r="F28" s="428">
        <f t="shared" si="15"/>
        <v>18518.812665489248</v>
      </c>
      <c r="G28" s="428" t="s">
        <v>580</v>
      </c>
      <c r="H28" s="428">
        <f>I28*Hypothèses!$B$5</f>
        <v>557.26337009312556</v>
      </c>
      <c r="I28" s="701">
        <f>E28/Hypothèses!$B$23</f>
        <v>400.9088993475724</v>
      </c>
      <c r="J28" s="706">
        <f t="shared" si="18"/>
        <v>42.853155140873</v>
      </c>
      <c r="K28" s="703">
        <f t="shared" si="1"/>
        <v>0.10689000720764989</v>
      </c>
      <c r="L28" s="535">
        <f t="shared" si="2"/>
        <v>21.4265775704365</v>
      </c>
      <c r="M28" s="703">
        <f t="shared" si="3"/>
        <v>5.3445003603824946E-2</v>
      </c>
      <c r="N28" s="428">
        <f t="shared" si="4"/>
        <v>21.4265775704365</v>
      </c>
      <c r="O28" s="703">
        <f t="shared" si="5"/>
        <v>5.3445003603824946E-2</v>
      </c>
      <c r="P28" s="535" t="s">
        <v>580</v>
      </c>
      <c r="Q28" s="539" t="s">
        <v>580</v>
      </c>
      <c r="R28" s="428">
        <f t="shared" si="6"/>
        <v>358.05574420669939</v>
      </c>
      <c r="S28" s="704">
        <v>1</v>
      </c>
      <c r="T28" s="428">
        <f t="shared" si="7"/>
        <v>42.853155140873</v>
      </c>
      <c r="U28" s="705">
        <f t="shared" si="8"/>
        <v>0.10689000720764989</v>
      </c>
      <c r="V28" s="428">
        <f t="shared" si="9"/>
        <v>21.4265775704365</v>
      </c>
      <c r="W28" s="703">
        <f t="shared" si="10"/>
        <v>0.5</v>
      </c>
      <c r="X28" s="428">
        <f t="shared" si="11"/>
        <v>21.4265775704365</v>
      </c>
      <c r="Y28" s="703">
        <f t="shared" si="12"/>
        <v>0.5</v>
      </c>
      <c r="Z28" s="535">
        <v>0</v>
      </c>
      <c r="AA28" s="707">
        <v>0</v>
      </c>
      <c r="AB28" s="701">
        <f t="shared" si="0"/>
        <v>358.05574420669939</v>
      </c>
      <c r="AC28" s="245"/>
      <c r="AD28" s="428">
        <f>(V28+X28+AB28)*Hypothèses!$B$5+Z28*Hypothèses!$B$10</f>
        <v>557.26337009312556</v>
      </c>
      <c r="AE28" s="245"/>
      <c r="AF28" s="428">
        <f>X28*Prod_Carburant_Alt!$I$61+Z28*Hypothèses!$B$13</f>
        <v>970.27875796880517</v>
      </c>
      <c r="AG28" s="428">
        <f>AF28*'Synthèse scénarios'!$L$9/'Synthèse scénarios'!$M$9</f>
        <v>449.57400102326847</v>
      </c>
      <c r="AH28" s="708">
        <f>AG28/'Synthèse scénarios'!$L$9</f>
        <v>0.69058986332299299</v>
      </c>
      <c r="AI28" s="428">
        <f>('Synthèse scénarios'!$K$9/1000)*AF28</f>
        <v>10.673066337656856</v>
      </c>
      <c r="AJ28" s="505">
        <f>(AB28+V28*Prod_Carburant_Alt!$D$75)*Hypothèses!$D$23+AI28</f>
        <v>1369.8041741102109</v>
      </c>
      <c r="AK28" s="505">
        <f>(AB28+V28*Prod_Carburant_Alt!$D$75)*Hypothèses!$B$23</f>
        <v>1141.6701305289453</v>
      </c>
      <c r="AL28" s="505">
        <f t="shared" si="13"/>
        <v>227.67013052894526</v>
      </c>
      <c r="AM28" s="709">
        <f t="shared" si="17"/>
        <v>21303.943263182486</v>
      </c>
      <c r="AN28" s="710"/>
      <c r="AO28" s="430"/>
      <c r="AP28" s="430"/>
      <c r="AQ28" s="430"/>
      <c r="AR28" s="430"/>
      <c r="AS28" s="430"/>
      <c r="AT28" s="430"/>
      <c r="AU28" s="430"/>
      <c r="AV28" s="430"/>
      <c r="AW28" s="430"/>
      <c r="AX28" s="430"/>
      <c r="AY28" s="430"/>
      <c r="AZ28" s="430"/>
      <c r="BA28" s="430"/>
      <c r="BB28" s="430"/>
      <c r="BC28" s="430"/>
      <c r="BD28" s="430"/>
      <c r="BE28" s="430"/>
    </row>
    <row r="29" spans="1:57" ht="15.75" customHeight="1">
      <c r="A29" s="430"/>
      <c r="B29" s="698">
        <v>2037</v>
      </c>
      <c r="C29" s="699">
        <f>Trajectoires!H29</f>
        <v>1532.273813306422</v>
      </c>
      <c r="D29" s="428">
        <f t="shared" si="14"/>
        <v>23578.479367460292</v>
      </c>
      <c r="E29" s="700">
        <f>C29*(Hypothèses!$B$23/Hypothèses!$D$23)</f>
        <v>1287.1100031773944</v>
      </c>
      <c r="F29" s="428">
        <f t="shared" si="15"/>
        <v>19805.922668666641</v>
      </c>
      <c r="G29" s="428" t="s">
        <v>580</v>
      </c>
      <c r="H29" s="428">
        <f>I29*Hypothèses!$B$5</f>
        <v>567.96282679891374</v>
      </c>
      <c r="I29" s="701">
        <f>E29/Hypothèses!$B$23</f>
        <v>408.60635021504589</v>
      </c>
      <c r="J29" s="706">
        <f t="shared" si="18"/>
        <v>51.239378500597645</v>
      </c>
      <c r="K29" s="703">
        <f t="shared" si="1"/>
        <v>0.12540034797215172</v>
      </c>
      <c r="L29" s="535">
        <f t="shared" si="2"/>
        <v>25.619689250298823</v>
      </c>
      <c r="M29" s="703">
        <f t="shared" si="3"/>
        <v>6.2700173986075858E-2</v>
      </c>
      <c r="N29" s="428">
        <f t="shared" si="4"/>
        <v>25.619689250298823</v>
      </c>
      <c r="O29" s="703">
        <f t="shared" si="5"/>
        <v>6.2700173986075858E-2</v>
      </c>
      <c r="P29" s="535" t="s">
        <v>580</v>
      </c>
      <c r="Q29" s="539" t="s">
        <v>580</v>
      </c>
      <c r="R29" s="428">
        <f t="shared" si="6"/>
        <v>357.3669717144482</v>
      </c>
      <c r="S29" s="704">
        <v>1</v>
      </c>
      <c r="T29" s="428">
        <f t="shared" si="7"/>
        <v>51.239378500597645</v>
      </c>
      <c r="U29" s="705">
        <f t="shared" si="8"/>
        <v>0.12540034797215172</v>
      </c>
      <c r="V29" s="428">
        <f t="shared" si="9"/>
        <v>25.619689250298823</v>
      </c>
      <c r="W29" s="703">
        <f t="shared" si="10"/>
        <v>0.5</v>
      </c>
      <c r="X29" s="428">
        <f t="shared" si="11"/>
        <v>25.619689250298823</v>
      </c>
      <c r="Y29" s="703">
        <f t="shared" si="12"/>
        <v>0.5</v>
      </c>
      <c r="Z29" s="535">
        <v>0</v>
      </c>
      <c r="AA29" s="707">
        <v>0</v>
      </c>
      <c r="AB29" s="701">
        <f t="shared" si="0"/>
        <v>357.3669717144482</v>
      </c>
      <c r="AC29" s="245"/>
      <c r="AD29" s="428">
        <f>(V29+X29+AB29)*Hypothèses!$B$5+Z29*Hypothèses!$B$10</f>
        <v>567.96282679891362</v>
      </c>
      <c r="AE29" s="245"/>
      <c r="AF29" s="428">
        <f>X29*Prod_Carburant_Alt!$I$61+Z29*Hypothèses!$B$13</f>
        <v>1160.1591613783928</v>
      </c>
      <c r="AG29" s="428">
        <f>AF29*'Synthèse scénarios'!$L$9/'Synthèse scénarios'!$M$9</f>
        <v>537.55417370628732</v>
      </c>
      <c r="AH29" s="708">
        <f>AG29/'Synthèse scénarios'!$L$9</f>
        <v>0.82573605792056426</v>
      </c>
      <c r="AI29" s="428">
        <f>('Synthèse scénarios'!$K$9/1000)*AF29</f>
        <v>12.761750775162319</v>
      </c>
      <c r="AJ29" s="505">
        <f>(AB29+V29*Prod_Carburant_Alt!$D$75)*Hypothèses!$D$23+AI29</f>
        <v>1372.5237069071411</v>
      </c>
      <c r="AK29" s="505">
        <f>(AB29+V29*Prod_Carburant_Alt!$D$75)*Hypothèses!$B$23</f>
        <v>1142.2000431508623</v>
      </c>
      <c r="AL29" s="505">
        <f t="shared" si="13"/>
        <v>228.20004315086226</v>
      </c>
      <c r="AM29" s="709">
        <f t="shared" si="17"/>
        <v>22676.466970089627</v>
      </c>
      <c r="AN29" s="710"/>
      <c r="AO29" s="430"/>
      <c r="AP29" s="430"/>
      <c r="AQ29" s="430"/>
      <c r="AR29" s="430"/>
      <c r="AS29" s="430"/>
      <c r="AT29" s="430"/>
      <c r="AU29" s="430"/>
      <c r="AV29" s="430"/>
      <c r="AW29" s="430"/>
      <c r="AX29" s="430"/>
      <c r="AY29" s="430"/>
      <c r="AZ29" s="430"/>
      <c r="BA29" s="430"/>
      <c r="BB29" s="430"/>
      <c r="BC29" s="430"/>
      <c r="BD29" s="430"/>
      <c r="BE29" s="430"/>
    </row>
    <row r="30" spans="1:57" ht="15.75" customHeight="1">
      <c r="A30" s="430"/>
      <c r="B30" s="698">
        <v>2038</v>
      </c>
      <c r="C30" s="699">
        <f>Trajectoires!H30</f>
        <v>1561.6934705219053</v>
      </c>
      <c r="D30" s="428">
        <f t="shared" si="14"/>
        <v>25140.172837982198</v>
      </c>
      <c r="E30" s="700">
        <f>C30*(Hypothèses!$B$23/Hypothèses!$D$23)</f>
        <v>1311.8225152384005</v>
      </c>
      <c r="F30" s="428">
        <f t="shared" si="15"/>
        <v>21117.745183905041</v>
      </c>
      <c r="G30" s="428" t="s">
        <v>580</v>
      </c>
      <c r="H30" s="428">
        <f>I30*Hypothèses!$B$5</f>
        <v>578.86771307345282</v>
      </c>
      <c r="I30" s="701">
        <f>E30/Hypothèses!$B$23</f>
        <v>416.45159213917475</v>
      </c>
      <c r="J30" s="706">
        <f t="shared" si="18"/>
        <v>61.266758550138867</v>
      </c>
      <c r="K30" s="703">
        <f t="shared" si="1"/>
        <v>0.1471161587723358</v>
      </c>
      <c r="L30" s="535">
        <f t="shared" si="2"/>
        <v>30.633379275069434</v>
      </c>
      <c r="M30" s="703">
        <f t="shared" si="3"/>
        <v>7.3558079386167902E-2</v>
      </c>
      <c r="N30" s="428">
        <f t="shared" si="4"/>
        <v>30.633379275069434</v>
      </c>
      <c r="O30" s="703">
        <f t="shared" si="5"/>
        <v>7.3558079386167902E-2</v>
      </c>
      <c r="P30" s="535" t="s">
        <v>580</v>
      </c>
      <c r="Q30" s="539" t="s">
        <v>580</v>
      </c>
      <c r="R30" s="428">
        <f t="shared" si="6"/>
        <v>355.18483358903586</v>
      </c>
      <c r="S30" s="704">
        <v>1</v>
      </c>
      <c r="T30" s="428">
        <f t="shared" si="7"/>
        <v>61.266758550138867</v>
      </c>
      <c r="U30" s="705">
        <f t="shared" si="8"/>
        <v>0.1471161587723358</v>
      </c>
      <c r="V30" s="428">
        <f t="shared" si="9"/>
        <v>30.633379275069434</v>
      </c>
      <c r="W30" s="703">
        <f t="shared" si="10"/>
        <v>0.5</v>
      </c>
      <c r="X30" s="428">
        <f t="shared" si="11"/>
        <v>30.633379275069434</v>
      </c>
      <c r="Y30" s="703">
        <f t="shared" si="12"/>
        <v>0.5</v>
      </c>
      <c r="Z30" s="535">
        <v>0</v>
      </c>
      <c r="AA30" s="707">
        <v>0</v>
      </c>
      <c r="AB30" s="701">
        <f t="shared" si="0"/>
        <v>355.18483358903586</v>
      </c>
      <c r="AC30" s="245"/>
      <c r="AD30" s="428">
        <f>(V30+X30+AB30)*Hypothèses!$B$5+Z30*Hypothèses!$B$10</f>
        <v>578.86771307345282</v>
      </c>
      <c r="AE30" s="245"/>
      <c r="AF30" s="428">
        <f>X30*Prod_Carburant_Alt!$I$61+Z30*Hypothèses!$B$13</f>
        <v>1387.1985433834357</v>
      </c>
      <c r="AG30" s="428">
        <f>AF30*'Synthèse scénarios'!$L$9/'Synthèse scénarios'!$M$9</f>
        <v>642.75178059972711</v>
      </c>
      <c r="AH30" s="708">
        <f>AG30/'Synthèse scénarios'!$L$9</f>
        <v>0.98732992411632425</v>
      </c>
      <c r="AI30" s="428">
        <f>('Synthèse scénarios'!$K$9/1000)*AF30</f>
        <v>15.259183977217791</v>
      </c>
      <c r="AJ30" s="505">
        <f>(AB30+V30*Prod_Carburant_Alt!$D$75)*Hypothèses!$D$23+AI30</f>
        <v>1370.6807868491405</v>
      </c>
      <c r="AK30" s="505">
        <f>(AB30+V30*Prod_Carburant_Alt!$D$75)*Hypothèses!$B$23</f>
        <v>1138.5541464124151</v>
      </c>
      <c r="AL30" s="505">
        <f t="shared" si="13"/>
        <v>224.55414641241509</v>
      </c>
      <c r="AM30" s="709">
        <f t="shared" si="17"/>
        <v>24047.147756938768</v>
      </c>
      <c r="AN30" s="710"/>
      <c r="AO30" s="430"/>
      <c r="AP30" s="430"/>
      <c r="AQ30" s="430"/>
      <c r="AR30" s="430"/>
      <c r="AS30" s="430"/>
      <c r="AT30" s="430"/>
      <c r="AU30" s="430"/>
      <c r="AV30" s="430"/>
      <c r="AW30" s="430"/>
      <c r="AX30" s="430"/>
      <c r="AY30" s="430"/>
      <c r="AZ30" s="430"/>
      <c r="BA30" s="430"/>
      <c r="BB30" s="430"/>
      <c r="BC30" s="430"/>
      <c r="BD30" s="430"/>
      <c r="BE30" s="430"/>
    </row>
    <row r="31" spans="1:57" ht="15.75" customHeight="1">
      <c r="A31" s="430"/>
      <c r="B31" s="698">
        <v>2039</v>
      </c>
      <c r="C31" s="699">
        <f>Trajectoires!H31</f>
        <v>1591.6779851559259</v>
      </c>
      <c r="D31" s="428">
        <f t="shared" si="14"/>
        <v>26731.850823138124</v>
      </c>
      <c r="E31" s="700">
        <f>C31*(Hypothèses!$B$23/Hypothèses!$D$23)</f>
        <v>1337.0095075309778</v>
      </c>
      <c r="F31" s="428">
        <f t="shared" si="15"/>
        <v>22454.754691436017</v>
      </c>
      <c r="G31" s="428" t="s">
        <v>580</v>
      </c>
      <c r="H31" s="428">
        <f>I31*Hypothèses!$B$5</f>
        <v>589.98197316446317</v>
      </c>
      <c r="I31" s="701">
        <f>E31/Hypothèses!$B$23</f>
        <v>424.44746270824692</v>
      </c>
      <c r="J31" s="706">
        <f t="shared" si="18"/>
        <v>73.256464326499056</v>
      </c>
      <c r="K31" s="703">
        <f t="shared" si="1"/>
        <v>0.17259253679849057</v>
      </c>
      <c r="L31" s="535">
        <f t="shared" si="2"/>
        <v>36.628232163249528</v>
      </c>
      <c r="M31" s="703">
        <f t="shared" si="3"/>
        <v>8.6296268399245285E-2</v>
      </c>
      <c r="N31" s="428">
        <f t="shared" si="4"/>
        <v>36.628232163249528</v>
      </c>
      <c r="O31" s="703">
        <f t="shared" si="5"/>
        <v>8.6296268399245285E-2</v>
      </c>
      <c r="P31" s="535" t="s">
        <v>580</v>
      </c>
      <c r="Q31" s="539" t="s">
        <v>580</v>
      </c>
      <c r="R31" s="428">
        <f t="shared" si="6"/>
        <v>351.19099838174782</v>
      </c>
      <c r="S31" s="704">
        <v>1</v>
      </c>
      <c r="T31" s="428">
        <f t="shared" si="7"/>
        <v>73.256464326499056</v>
      </c>
      <c r="U31" s="705">
        <f t="shared" si="8"/>
        <v>0.17259253679849057</v>
      </c>
      <c r="V31" s="428">
        <f t="shared" si="9"/>
        <v>36.628232163249528</v>
      </c>
      <c r="W31" s="703">
        <f t="shared" si="10"/>
        <v>0.5</v>
      </c>
      <c r="X31" s="428">
        <f t="shared" si="11"/>
        <v>36.628232163249528</v>
      </c>
      <c r="Y31" s="703">
        <f t="shared" si="12"/>
        <v>0.5</v>
      </c>
      <c r="Z31" s="535">
        <v>0</v>
      </c>
      <c r="AA31" s="707">
        <v>0</v>
      </c>
      <c r="AB31" s="701">
        <f t="shared" si="0"/>
        <v>351.19099838174782</v>
      </c>
      <c r="AC31" s="245"/>
      <c r="AD31" s="428">
        <f>(V31+X31+AB31)*Hypothèses!$B$5+Z31*Hypothèses!$B$10</f>
        <v>589.98197316446306</v>
      </c>
      <c r="AE31" s="245"/>
      <c r="AF31" s="428">
        <f>X31*Prod_Carburant_Alt!$I$61+Z31*Hypothèses!$B$13</f>
        <v>1658.6687954770177</v>
      </c>
      <c r="AG31" s="428">
        <f>AF31*'Synthèse scénarios'!$L$9/'Synthèse scénarios'!$M$9</f>
        <v>768.53621769077472</v>
      </c>
      <c r="AH31" s="708">
        <f>AG31/'Synthèse scénarios'!$L$9</f>
        <v>1.180547185392895</v>
      </c>
      <c r="AI31" s="428">
        <f>('Synthèse scénarios'!$K$9/1000)*AF31</f>
        <v>18.245356750247193</v>
      </c>
      <c r="AJ31" s="505">
        <f>(AB31+V31*Prod_Carburant_Alt!$D$75)*Hypothèses!$D$23+AI31</f>
        <v>1363.2847393155837</v>
      </c>
      <c r="AK31" s="505">
        <f>(AB31+V31*Prod_Carburant_Alt!$D$75)*Hypothèses!$B$23</f>
        <v>1129.8330813548826</v>
      </c>
      <c r="AL31" s="505">
        <f t="shared" si="13"/>
        <v>215.83308135488255</v>
      </c>
      <c r="AM31" s="709">
        <f t="shared" si="17"/>
        <v>25410.432496254351</v>
      </c>
      <c r="AN31" s="710"/>
      <c r="AO31" s="430"/>
      <c r="AP31" s="430"/>
      <c r="AQ31" s="430"/>
      <c r="AR31" s="430"/>
      <c r="AS31" s="430"/>
      <c r="AT31" s="430"/>
      <c r="AU31" s="430"/>
      <c r="AV31" s="430"/>
      <c r="AW31" s="430"/>
      <c r="AX31" s="430"/>
      <c r="AY31" s="430"/>
      <c r="AZ31" s="430"/>
      <c r="BA31" s="430"/>
      <c r="BB31" s="430"/>
      <c r="BC31" s="430"/>
      <c r="BD31" s="430"/>
      <c r="BE31" s="430"/>
    </row>
    <row r="32" spans="1:57" ht="15.75" customHeight="1">
      <c r="A32" s="430"/>
      <c r="B32" s="698">
        <v>2040</v>
      </c>
      <c r="C32" s="699">
        <f>Trajectoires!H32</f>
        <v>1622.2382024709198</v>
      </c>
      <c r="D32" s="428">
        <f t="shared" si="14"/>
        <v>28354.089025609042</v>
      </c>
      <c r="E32" s="700">
        <f>C32*(Hypothèses!$B$23/Hypothèses!$D$23)</f>
        <v>1362.6800900755725</v>
      </c>
      <c r="F32" s="428">
        <f t="shared" si="15"/>
        <v>23817.434781511591</v>
      </c>
      <c r="G32" s="428" t="s">
        <v>580</v>
      </c>
      <c r="H32" s="428">
        <f>I32*Hypothèses!$B$5</f>
        <v>601.30962704922092</v>
      </c>
      <c r="I32" s="701">
        <f>E32/Hypothèses!$B$23</f>
        <v>432.59685399224526</v>
      </c>
      <c r="J32" s="706">
        <f t="shared" si="18"/>
        <v>87.592516604707257</v>
      </c>
      <c r="K32" s="703">
        <f t="shared" si="1"/>
        <v>0.20248070645071645</v>
      </c>
      <c r="L32" s="535">
        <f t="shared" si="2"/>
        <v>43.796258302353628</v>
      </c>
      <c r="M32" s="703">
        <f t="shared" si="3"/>
        <v>0.10124035322535822</v>
      </c>
      <c r="N32" s="428">
        <f t="shared" si="4"/>
        <v>43.796258302353628</v>
      </c>
      <c r="O32" s="703">
        <f t="shared" si="5"/>
        <v>0.10124035322535822</v>
      </c>
      <c r="P32" s="535" t="s">
        <v>580</v>
      </c>
      <c r="Q32" s="539" t="s">
        <v>580</v>
      </c>
      <c r="R32" s="428">
        <f t="shared" si="6"/>
        <v>345.00433738753799</v>
      </c>
      <c r="S32" s="704">
        <v>1</v>
      </c>
      <c r="T32" s="428">
        <f t="shared" si="7"/>
        <v>87.592516604707257</v>
      </c>
      <c r="U32" s="705">
        <f t="shared" si="8"/>
        <v>0.20248070645071645</v>
      </c>
      <c r="V32" s="428">
        <f t="shared" si="9"/>
        <v>43.796258302353628</v>
      </c>
      <c r="W32" s="703">
        <f t="shared" si="10"/>
        <v>0.5</v>
      </c>
      <c r="X32" s="428">
        <f t="shared" si="11"/>
        <v>43.796258302353628</v>
      </c>
      <c r="Y32" s="703">
        <f t="shared" si="12"/>
        <v>0.5</v>
      </c>
      <c r="Z32" s="535">
        <v>0</v>
      </c>
      <c r="AA32" s="707">
        <v>0</v>
      </c>
      <c r="AB32" s="701">
        <f t="shared" si="0"/>
        <v>345.00433738753799</v>
      </c>
      <c r="AC32" s="245"/>
      <c r="AD32" s="428">
        <f>(V32+X32+AB32)*Hypothèses!$B$5+Z32*Hypothèses!$B$10</f>
        <v>601.30962704922092</v>
      </c>
      <c r="AE32" s="245"/>
      <c r="AF32" s="428">
        <f>X32*Prod_Carburant_Alt!$I$61+Z32*Hypothèses!$B$13</f>
        <v>1983.2648947128589</v>
      </c>
      <c r="AG32" s="428">
        <f>AF32*'Synthèse scénarios'!$L$9/'Synthèse scénarios'!$M$9</f>
        <v>918.93626082424998</v>
      </c>
      <c r="AH32" s="708">
        <f>AG32/'Synthèse scénarios'!$L$9</f>
        <v>1.4115764375180491</v>
      </c>
      <c r="AI32" s="428">
        <f>('Synthèse scénarios'!$K$9/1000)*AF32</f>
        <v>21.815913841841446</v>
      </c>
      <c r="AJ32" s="505">
        <f>(AB32+V32*Prod_Carburant_Alt!$D$75)*Hypothèses!$D$23+AI32</f>
        <v>1349.1491397841125</v>
      </c>
      <c r="AK32" s="505">
        <f>(AB32+V32*Prod_Carburant_Alt!$D$75)*Hypothèses!$B$23</f>
        <v>1114.9599097915077</v>
      </c>
      <c r="AL32" s="505">
        <f t="shared" si="13"/>
        <v>200.9599097915077</v>
      </c>
      <c r="AM32" s="709">
        <f t="shared" si="17"/>
        <v>26759.581636038463</v>
      </c>
      <c r="AN32" s="710"/>
      <c r="AO32" s="430"/>
      <c r="AP32" s="430"/>
      <c r="AQ32" s="430"/>
      <c r="AR32" s="430"/>
      <c r="AS32" s="430"/>
      <c r="AT32" s="430"/>
      <c r="AU32" s="430"/>
      <c r="AV32" s="430"/>
      <c r="AW32" s="430"/>
      <c r="AX32" s="430"/>
      <c r="AY32" s="430"/>
      <c r="AZ32" s="430"/>
      <c r="BA32" s="430"/>
      <c r="BB32" s="430"/>
      <c r="BC32" s="430"/>
      <c r="BD32" s="430"/>
      <c r="BE32" s="430"/>
    </row>
    <row r="33" spans="1:57" ht="15.75" customHeight="1">
      <c r="A33" s="430"/>
      <c r="B33" s="698">
        <v>2041</v>
      </c>
      <c r="C33" s="699">
        <f>Trajectoires!H33</f>
        <v>1653.3851759583613</v>
      </c>
      <c r="D33" s="428">
        <f t="shared" si="14"/>
        <v>30007.474201567406</v>
      </c>
      <c r="E33" s="700">
        <f>C33*(Hypothèses!$B$23/Hypothèses!$D$23)</f>
        <v>1388.8435478050235</v>
      </c>
      <c r="F33" s="428">
        <f t="shared" si="15"/>
        <v>25206.278329316614</v>
      </c>
      <c r="G33" s="428" t="s">
        <v>580</v>
      </c>
      <c r="H33" s="428">
        <f>I33*Hypothèses!$B$5</f>
        <v>612.85477188856589</v>
      </c>
      <c r="I33" s="701">
        <f>E33/Hypothèses!$B$23</f>
        <v>440.90271358889635</v>
      </c>
      <c r="J33" s="706">
        <f t="shared" si="18"/>
        <v>104.73408777893422</v>
      </c>
      <c r="K33" s="703">
        <f t="shared" si="1"/>
        <v>0.23754466586610692</v>
      </c>
      <c r="L33" s="535">
        <f t="shared" si="2"/>
        <v>52.367043889467112</v>
      </c>
      <c r="M33" s="703">
        <f t="shared" si="3"/>
        <v>0.11877233293305346</v>
      </c>
      <c r="N33" s="428">
        <f t="shared" si="4"/>
        <v>52.367043889467112</v>
      </c>
      <c r="O33" s="703">
        <f t="shared" si="5"/>
        <v>0.11877233293305346</v>
      </c>
      <c r="P33" s="535" t="s">
        <v>580</v>
      </c>
      <c r="Q33" s="539" t="s">
        <v>580</v>
      </c>
      <c r="R33" s="428">
        <f t="shared" si="6"/>
        <v>336.16862580996212</v>
      </c>
      <c r="S33" s="704">
        <v>1</v>
      </c>
      <c r="T33" s="428">
        <f t="shared" si="7"/>
        <v>104.73408777893422</v>
      </c>
      <c r="U33" s="705">
        <f t="shared" si="8"/>
        <v>0.23754466586610692</v>
      </c>
      <c r="V33" s="428">
        <f t="shared" si="9"/>
        <v>52.367043889467112</v>
      </c>
      <c r="W33" s="703">
        <f t="shared" si="10"/>
        <v>0.5</v>
      </c>
      <c r="X33" s="428">
        <f t="shared" si="11"/>
        <v>52.367043889467112</v>
      </c>
      <c r="Y33" s="703">
        <f t="shared" si="12"/>
        <v>0.5</v>
      </c>
      <c r="Z33" s="535">
        <v>0</v>
      </c>
      <c r="AA33" s="707">
        <v>0</v>
      </c>
      <c r="AB33" s="701">
        <f t="shared" si="0"/>
        <v>336.16862580996212</v>
      </c>
      <c r="AC33" s="245"/>
      <c r="AD33" s="428">
        <f>(V33+X33+AB33)*Hypothèses!$B$5+Z33*Hypothèses!$B$10</f>
        <v>612.85477188856589</v>
      </c>
      <c r="AE33" s="245"/>
      <c r="AF33" s="428">
        <f>X33*Prod_Carburant_Alt!$I$61+Z33*Hypothèses!$B$13</f>
        <v>2371.3833969301963</v>
      </c>
      <c r="AG33" s="428">
        <f>AF33*'Synthèse scénarios'!$L$9/'Synthèse scénarios'!$M$9</f>
        <v>1098.7691042003971</v>
      </c>
      <c r="AH33" s="708">
        <f>AG33/'Synthèse scénarios'!$L$9</f>
        <v>1.6878173643631291</v>
      </c>
      <c r="AI33" s="428">
        <f>('Synthèse scénarios'!$K$9/1000)*AF33</f>
        <v>26.085217366232158</v>
      </c>
      <c r="AJ33" s="505">
        <f>(AB33+V33*Prod_Carburant_Alt!$D$75)*Hypothèses!$D$23+AI33</f>
        <v>1326.8534701508602</v>
      </c>
      <c r="AK33" s="505">
        <f>(AB33+V33*Prod_Carburant_Alt!$D$75)*Hypothèses!$B$23</f>
        <v>1092.6453323390874</v>
      </c>
      <c r="AL33" s="505">
        <f t="shared" si="13"/>
        <v>178.64533233908742</v>
      </c>
      <c r="AM33" s="709">
        <f t="shared" si="17"/>
        <v>28086.435106189325</v>
      </c>
      <c r="AN33" s="710"/>
      <c r="AO33" s="430"/>
      <c r="AP33" s="430"/>
      <c r="AQ33" s="430"/>
      <c r="AR33" s="430"/>
      <c r="AS33" s="430"/>
      <c r="AT33" s="430"/>
      <c r="AU33" s="430"/>
      <c r="AV33" s="430"/>
      <c r="AW33" s="430"/>
      <c r="AX33" s="430"/>
      <c r="AY33" s="430"/>
      <c r="AZ33" s="430"/>
      <c r="BA33" s="430"/>
      <c r="BB33" s="430"/>
      <c r="BC33" s="430"/>
      <c r="BD33" s="430"/>
      <c r="BE33" s="430"/>
    </row>
    <row r="34" spans="1:57" ht="15.75" customHeight="1">
      <c r="A34" s="430"/>
      <c r="B34" s="698">
        <v>2042</v>
      </c>
      <c r="C34" s="699">
        <f>Trajectoires!H34</f>
        <v>1685.1301713367618</v>
      </c>
      <c r="D34" s="428">
        <f t="shared" si="14"/>
        <v>31692.604372904167</v>
      </c>
      <c r="E34" s="700">
        <f>C34*(Hypothèses!$B$23/Hypothèses!$D$23)</f>
        <v>1415.5093439228799</v>
      </c>
      <c r="F34" s="428">
        <f t="shared" si="15"/>
        <v>26621.787673239494</v>
      </c>
      <c r="G34" s="428" t="s">
        <v>580</v>
      </c>
      <c r="H34" s="428">
        <f>I34*Hypothèses!$B$5</f>
        <v>624.62158350882635</v>
      </c>
      <c r="I34" s="701">
        <f>E34/Hypothèses!$B$23</f>
        <v>449.36804568980318</v>
      </c>
      <c r="J34" s="706">
        <f t="shared" si="18"/>
        <v>125.23020879041634</v>
      </c>
      <c r="K34" s="703">
        <f t="shared" si="1"/>
        <v>0.27868071615591067</v>
      </c>
      <c r="L34" s="535">
        <f t="shared" si="2"/>
        <v>62.615104395208171</v>
      </c>
      <c r="M34" s="703">
        <f t="shared" si="3"/>
        <v>0.13934035807795533</v>
      </c>
      <c r="N34" s="428">
        <f t="shared" si="4"/>
        <v>62.615104395208171</v>
      </c>
      <c r="O34" s="703">
        <f t="shared" si="5"/>
        <v>0.13934035807795533</v>
      </c>
      <c r="P34" s="535" t="s">
        <v>580</v>
      </c>
      <c r="Q34" s="539" t="s">
        <v>580</v>
      </c>
      <c r="R34" s="428">
        <f t="shared" si="6"/>
        <v>324.13783689938685</v>
      </c>
      <c r="S34" s="704">
        <v>1</v>
      </c>
      <c r="T34" s="428">
        <f t="shared" si="7"/>
        <v>125.23020879041634</v>
      </c>
      <c r="U34" s="705">
        <f t="shared" si="8"/>
        <v>0.27868071615591067</v>
      </c>
      <c r="V34" s="428">
        <f t="shared" si="9"/>
        <v>62.615104395208171</v>
      </c>
      <c r="W34" s="703">
        <f t="shared" si="10"/>
        <v>0.5</v>
      </c>
      <c r="X34" s="428">
        <f t="shared" si="11"/>
        <v>62.615104395208171</v>
      </c>
      <c r="Y34" s="703">
        <f t="shared" si="12"/>
        <v>0.5</v>
      </c>
      <c r="Z34" s="535">
        <v>0</v>
      </c>
      <c r="AA34" s="707">
        <v>0</v>
      </c>
      <c r="AB34" s="701">
        <f t="shared" si="0"/>
        <v>324.13783689938685</v>
      </c>
      <c r="AC34" s="245"/>
      <c r="AD34" s="428">
        <f>(V34+X34+AB34)*Hypothèses!$B$5+Z34*Hypothèses!$B$10</f>
        <v>624.62158350882635</v>
      </c>
      <c r="AE34" s="245"/>
      <c r="AF34" s="428">
        <f>X34*Prod_Carburant_Alt!$I$61+Z34*Hypothèses!$B$13</f>
        <v>2835.4554301987846</v>
      </c>
      <c r="AG34" s="428">
        <f>AF34*'Synthèse scénarios'!$L$9/'Synthèse scénarios'!$M$9</f>
        <v>1313.7946512878354</v>
      </c>
      <c r="AH34" s="708">
        <f>AG34/'Synthèse scénarios'!$L$9</f>
        <v>2.0181177439137259</v>
      </c>
      <c r="AI34" s="428">
        <f>('Synthèse scénarios'!$K$9/1000)*AF34</f>
        <v>31.190009732186628</v>
      </c>
      <c r="AJ34" s="505">
        <f>(AB34+V34*Prod_Carburant_Alt!$D$75)*Hypothèses!$D$23+AI34</f>
        <v>1294.6972706246697</v>
      </c>
      <c r="AK34" s="505">
        <f>(AB34+V34*Prod_Carburant_Alt!$D$75)*Hypothèses!$B$23</f>
        <v>1061.3460991496859</v>
      </c>
      <c r="AL34" s="505">
        <f t="shared" si="13"/>
        <v>147.34609914968587</v>
      </c>
      <c r="AM34" s="709">
        <f t="shared" si="17"/>
        <v>29381.132376813996</v>
      </c>
      <c r="AN34" s="710"/>
      <c r="AO34" s="430"/>
      <c r="AP34" s="430"/>
      <c r="AQ34" s="430"/>
      <c r="AR34" s="430"/>
      <c r="AS34" s="430"/>
      <c r="AT34" s="430"/>
      <c r="AU34" s="430"/>
      <c r="AV34" s="430"/>
      <c r="AW34" s="430"/>
      <c r="AX34" s="430"/>
      <c r="AY34" s="430"/>
      <c r="AZ34" s="430"/>
      <c r="BA34" s="430"/>
      <c r="BB34" s="430"/>
      <c r="BC34" s="430"/>
      <c r="BD34" s="430"/>
      <c r="BE34" s="430"/>
    </row>
    <row r="35" spans="1:57" ht="15.75" customHeight="1">
      <c r="A35" s="430"/>
      <c r="B35" s="698">
        <v>2043</v>
      </c>
      <c r="C35" s="699">
        <f>Trajectoires!H35</f>
        <v>1717.4846706264277</v>
      </c>
      <c r="D35" s="428">
        <f t="shared" si="14"/>
        <v>33410.089043530592</v>
      </c>
      <c r="E35" s="700">
        <f>C35*(Hypothèses!$B$23/Hypothèses!$D$23)</f>
        <v>1442.6871233261993</v>
      </c>
      <c r="F35" s="428">
        <f t="shared" si="15"/>
        <v>28064.474796565693</v>
      </c>
      <c r="G35" s="428" t="s">
        <v>580</v>
      </c>
      <c r="H35" s="428">
        <f>I35*Hypothèses!$B$5</f>
        <v>636.61431791219593</v>
      </c>
      <c r="I35" s="701">
        <f>E35/Hypothèses!$B$23</f>
        <v>457.99591216704744</v>
      </c>
      <c r="J35" s="706">
        <f t="shared" si="18"/>
        <v>149.73735415343546</v>
      </c>
      <c r="K35" s="703">
        <f t="shared" si="1"/>
        <v>0.32694037255690811</v>
      </c>
      <c r="L35" s="535">
        <f t="shared" si="2"/>
        <v>74.868677076717731</v>
      </c>
      <c r="M35" s="703">
        <f t="shared" si="3"/>
        <v>0.16347018627845405</v>
      </c>
      <c r="N35" s="428">
        <f t="shared" si="4"/>
        <v>74.868677076717731</v>
      </c>
      <c r="O35" s="703">
        <f t="shared" si="5"/>
        <v>0.16347018627845405</v>
      </c>
      <c r="P35" s="535" t="s">
        <v>580</v>
      </c>
      <c r="Q35" s="539" t="s">
        <v>580</v>
      </c>
      <c r="R35" s="428">
        <f t="shared" si="6"/>
        <v>308.25855801361195</v>
      </c>
      <c r="S35" s="704">
        <v>1</v>
      </c>
      <c r="T35" s="428">
        <f t="shared" si="7"/>
        <v>149.73735415343546</v>
      </c>
      <c r="U35" s="705">
        <f t="shared" si="8"/>
        <v>0.32694037255690811</v>
      </c>
      <c r="V35" s="428">
        <f t="shared" si="9"/>
        <v>74.868677076717731</v>
      </c>
      <c r="W35" s="703">
        <f t="shared" si="10"/>
        <v>0.5</v>
      </c>
      <c r="X35" s="428">
        <f t="shared" si="11"/>
        <v>74.868677076717731</v>
      </c>
      <c r="Y35" s="703">
        <f t="shared" si="12"/>
        <v>0.5</v>
      </c>
      <c r="Z35" s="535">
        <v>0</v>
      </c>
      <c r="AA35" s="707">
        <v>0</v>
      </c>
      <c r="AB35" s="701">
        <f t="shared" si="0"/>
        <v>308.25855801361195</v>
      </c>
      <c r="AC35" s="245"/>
      <c r="AD35" s="428">
        <f>(V35+X35+AB35)*Hypothèses!$B$5+Z35*Hypothèses!$B$10</f>
        <v>636.61431791219593</v>
      </c>
      <c r="AE35" s="245"/>
      <c r="AF35" s="428">
        <f>X35*Prod_Carburant_Alt!$I$61+Z35*Hypothèses!$B$13</f>
        <v>3390.3448540001878</v>
      </c>
      <c r="AG35" s="428">
        <f>AF35*'Synthèse scénarios'!$L$9/'Synthèse scénarios'!$M$9</f>
        <v>1570.8999999673467</v>
      </c>
      <c r="AH35" s="708">
        <f>AG35/'Synthèse scénarios'!$L$9</f>
        <v>2.4130568355873221</v>
      </c>
      <c r="AI35" s="428">
        <f>('Synthèse scénarios'!$K$9/1000)*AF35</f>
        <v>37.293793394002066</v>
      </c>
      <c r="AJ35" s="505">
        <f>(AB35+V35*Prod_Carburant_Alt!$D$75)*Hypothèses!$D$23+AI35</f>
        <v>1250.6453185901985</v>
      </c>
      <c r="AK35" s="505">
        <f>(AB35+V35*Prod_Carburant_Alt!$D$75)*Hypothèses!$B$23</f>
        <v>1019.2152811648051</v>
      </c>
      <c r="AL35" s="505">
        <f t="shared" si="13"/>
        <v>105.21528116480511</v>
      </c>
      <c r="AM35" s="709">
        <f t="shared" si="17"/>
        <v>30631.777695404195</v>
      </c>
      <c r="AN35" s="710"/>
      <c r="AO35" s="430"/>
      <c r="AP35" s="430"/>
      <c r="AQ35" s="430"/>
      <c r="AR35" s="430"/>
      <c r="AS35" s="430"/>
      <c r="AT35" s="430"/>
      <c r="AU35" s="430"/>
      <c r="AV35" s="430"/>
      <c r="AW35" s="430"/>
      <c r="AX35" s="430"/>
      <c r="AY35" s="430"/>
      <c r="AZ35" s="430"/>
      <c r="BA35" s="430"/>
      <c r="BB35" s="430"/>
      <c r="BC35" s="430"/>
      <c r="BD35" s="430"/>
      <c r="BE35" s="430"/>
    </row>
    <row r="36" spans="1:57" ht="15.75" customHeight="1">
      <c r="A36" s="430"/>
      <c r="B36" s="698">
        <v>2044</v>
      </c>
      <c r="C36" s="699">
        <f>Trajectoires!H36</f>
        <v>1750.4603763024552</v>
      </c>
      <c r="D36" s="428">
        <f t="shared" si="14"/>
        <v>35160.549419833049</v>
      </c>
      <c r="E36" s="700">
        <f>C36*(Hypothèses!$B$23/Hypothèses!$D$23)</f>
        <v>1470.3867160940622</v>
      </c>
      <c r="F36" s="428">
        <f t="shared" si="15"/>
        <v>29534.861512659754</v>
      </c>
      <c r="G36" s="428" t="s">
        <v>580</v>
      </c>
      <c r="H36" s="428">
        <f>I36*Hypothèses!$B$5</f>
        <v>648.83731281610994</v>
      </c>
      <c r="I36" s="701">
        <f>E36/Hypothèses!$B$23</f>
        <v>466.78943368065467</v>
      </c>
      <c r="J36" s="706">
        <f t="shared" si="18"/>
        <v>179.04046831380208</v>
      </c>
      <c r="K36" s="703">
        <f t="shared" si="1"/>
        <v>0.38355724314935818</v>
      </c>
      <c r="L36" s="535">
        <f t="shared" si="2"/>
        <v>89.52023415690104</v>
      </c>
      <c r="M36" s="703">
        <f t="shared" si="3"/>
        <v>0.19177862157467909</v>
      </c>
      <c r="N36" s="428">
        <f t="shared" si="4"/>
        <v>89.52023415690104</v>
      </c>
      <c r="O36" s="703">
        <f t="shared" si="5"/>
        <v>0.19177862157467909</v>
      </c>
      <c r="P36" s="535" t="s">
        <v>580</v>
      </c>
      <c r="Q36" s="539" t="s">
        <v>580</v>
      </c>
      <c r="R36" s="428">
        <f t="shared" si="6"/>
        <v>287.74896536685259</v>
      </c>
      <c r="S36" s="704">
        <v>1</v>
      </c>
      <c r="T36" s="428">
        <f t="shared" si="7"/>
        <v>179.04046831380208</v>
      </c>
      <c r="U36" s="705">
        <f t="shared" si="8"/>
        <v>0.38355724314935818</v>
      </c>
      <c r="V36" s="428">
        <f t="shared" si="9"/>
        <v>89.52023415690104</v>
      </c>
      <c r="W36" s="703">
        <f t="shared" si="10"/>
        <v>0.5</v>
      </c>
      <c r="X36" s="428">
        <f t="shared" si="11"/>
        <v>89.52023415690104</v>
      </c>
      <c r="Y36" s="703">
        <f t="shared" si="12"/>
        <v>0.5</v>
      </c>
      <c r="Z36" s="535">
        <v>0</v>
      </c>
      <c r="AA36" s="707">
        <v>0</v>
      </c>
      <c r="AB36" s="701">
        <f t="shared" si="0"/>
        <v>287.74896536685259</v>
      </c>
      <c r="AC36" s="245"/>
      <c r="AD36" s="428">
        <f>(V36+X36+AB36)*Hypothèses!$B$5+Z36*Hypothèses!$B$10</f>
        <v>648.83731281610994</v>
      </c>
      <c r="AE36" s="245"/>
      <c r="AF36" s="428">
        <f>X36*Prod_Carburant_Alt!$I$61+Z36*Hypothèses!$B$13</f>
        <v>4053.8243368684221</v>
      </c>
      <c r="AG36" s="428">
        <f>AF36*'Synthèse scénarios'!$L$9/'Synthèse scénarios'!$M$9</f>
        <v>1878.320030819461</v>
      </c>
      <c r="AH36" s="708">
        <f>AG36/'Synthèse scénarios'!$L$9</f>
        <v>2.885284225529126</v>
      </c>
      <c r="AI36" s="428">
        <f>('Synthèse scénarios'!$K$9/1000)*AF36</f>
        <v>44.592067705552637</v>
      </c>
      <c r="AJ36" s="505">
        <f>(AB36+V36*Prod_Carburant_Alt!$D$75)*Hypothèses!$D$23+AI36</f>
        <v>1192.262078433301</v>
      </c>
      <c r="AK36" s="505">
        <f>(AB36+V36*Prod_Carburant_Alt!$D$75)*Hypothèses!$B$23</f>
        <v>964.04280901130858</v>
      </c>
      <c r="AL36" s="505">
        <f t="shared" si="13"/>
        <v>50.042809011308577</v>
      </c>
      <c r="AM36" s="709">
        <f t="shared" si="17"/>
        <v>31824.039773837496</v>
      </c>
      <c r="AN36" s="710"/>
      <c r="AO36" s="430"/>
      <c r="AP36" s="430"/>
      <c r="AQ36" s="430"/>
      <c r="AR36" s="430"/>
      <c r="AS36" s="430"/>
      <c r="AT36" s="430"/>
      <c r="AU36" s="430"/>
      <c r="AV36" s="430"/>
      <c r="AW36" s="430"/>
      <c r="AX36" s="430"/>
      <c r="AY36" s="430"/>
      <c r="AZ36" s="430"/>
      <c r="BA36" s="430"/>
      <c r="BB36" s="430"/>
      <c r="BC36" s="430"/>
      <c r="BD36" s="430"/>
      <c r="BE36" s="430"/>
    </row>
    <row r="37" spans="1:57" ht="15.75" customHeight="1">
      <c r="A37" s="430"/>
      <c r="B37" s="698">
        <v>2045</v>
      </c>
      <c r="C37" s="699">
        <f>Trajectoires!H37</f>
        <v>1784.0692155274623</v>
      </c>
      <c r="D37" s="428">
        <f t="shared" si="14"/>
        <v>36944.618635360508</v>
      </c>
      <c r="E37" s="700">
        <f>C37*(Hypothèses!$B$23/Hypothèses!$D$23)</f>
        <v>1498.6181410430684</v>
      </c>
      <c r="F37" s="428">
        <f t="shared" si="15"/>
        <v>31033.479653702823</v>
      </c>
      <c r="G37" s="428" t="s">
        <v>580</v>
      </c>
      <c r="H37" s="428">
        <f>I37*Hypothèses!$B$5</f>
        <v>661.29498922217931</v>
      </c>
      <c r="I37" s="701">
        <f>E37/Hypothèses!$B$23</f>
        <v>475.75179080732329</v>
      </c>
      <c r="J37" s="706">
        <f t="shared" si="18"/>
        <v>214.07810679744208</v>
      </c>
      <c r="K37" s="703">
        <f t="shared" si="1"/>
        <v>0.44997856221237531</v>
      </c>
      <c r="L37" s="535">
        <f t="shared" si="2"/>
        <v>107.03905339872104</v>
      </c>
      <c r="M37" s="703">
        <f t="shared" si="3"/>
        <v>0.22498928110618766</v>
      </c>
      <c r="N37" s="428">
        <f t="shared" si="4"/>
        <v>107.03905339872104</v>
      </c>
      <c r="O37" s="703">
        <f t="shared" si="5"/>
        <v>0.22498928110618766</v>
      </c>
      <c r="P37" s="535" t="s">
        <v>580</v>
      </c>
      <c r="Q37" s="539" t="s">
        <v>580</v>
      </c>
      <c r="R37" s="428">
        <f t="shared" si="6"/>
        <v>261.67368400988124</v>
      </c>
      <c r="S37" s="704">
        <v>1</v>
      </c>
      <c r="T37" s="428">
        <f t="shared" si="7"/>
        <v>214.07810679744208</v>
      </c>
      <c r="U37" s="705">
        <f t="shared" si="8"/>
        <v>0.44997856221237531</v>
      </c>
      <c r="V37" s="428">
        <f t="shared" si="9"/>
        <v>107.03905339872104</v>
      </c>
      <c r="W37" s="703">
        <f t="shared" si="10"/>
        <v>0.5</v>
      </c>
      <c r="X37" s="428">
        <f t="shared" si="11"/>
        <v>107.03905339872104</v>
      </c>
      <c r="Y37" s="703">
        <f t="shared" si="12"/>
        <v>0.5</v>
      </c>
      <c r="Z37" s="535">
        <v>0</v>
      </c>
      <c r="AA37" s="707">
        <v>0</v>
      </c>
      <c r="AB37" s="701">
        <f t="shared" si="0"/>
        <v>261.67368400988124</v>
      </c>
      <c r="AC37" s="245"/>
      <c r="AD37" s="428">
        <f>(V37+X37+AB37)*Hypothèses!$B$5+Z37*Hypothèses!$B$10</f>
        <v>661.29498922217942</v>
      </c>
      <c r="AE37" s="245"/>
      <c r="AF37" s="428">
        <f>X37*Prod_Carburant_Alt!$I$61+Z37*Hypothèses!$B$13</f>
        <v>4847.1446008795274</v>
      </c>
      <c r="AG37" s="428">
        <f>AF37*'Synthèse scénarios'!$L$9/'Synthèse scénarios'!$M$9</f>
        <v>2245.9011638238949</v>
      </c>
      <c r="AH37" s="708">
        <f>AG37/'Synthèse scénarios'!$L$9</f>
        <v>3.4499249828324037</v>
      </c>
      <c r="AI37" s="428">
        <f>('Synthèse scénarios'!$K$9/1000)*AF37</f>
        <v>53.3185906096748</v>
      </c>
      <c r="AJ37" s="505">
        <f>(AB37+V37*Prod_Carburant_Alt!$D$75)*Hypothèses!$D$23+AI37</f>
        <v>1116.6333226770239</v>
      </c>
      <c r="AK37" s="505">
        <f>(AB37+V37*Prod_Carburant_Alt!$D$75)*Hypothèses!$B$23</f>
        <v>893.18437493657325</v>
      </c>
      <c r="AL37" s="505">
        <f t="shared" si="13"/>
        <v>0</v>
      </c>
      <c r="AM37" s="709">
        <f t="shared" si="17"/>
        <v>32940.673096514518</v>
      </c>
      <c r="AN37" s="710"/>
      <c r="AO37" s="430"/>
      <c r="AP37" s="430"/>
      <c r="AQ37" s="430"/>
      <c r="AR37" s="430"/>
      <c r="AS37" s="430"/>
      <c r="AT37" s="430"/>
      <c r="AU37" s="430"/>
      <c r="AV37" s="430"/>
      <c r="AW37" s="430"/>
      <c r="AX37" s="430"/>
      <c r="AY37" s="430"/>
      <c r="AZ37" s="430"/>
      <c r="BA37" s="430"/>
      <c r="BB37" s="430"/>
      <c r="BC37" s="430"/>
      <c r="BD37" s="430"/>
      <c r="BE37" s="430"/>
    </row>
    <row r="38" spans="1:57" ht="15.75" customHeight="1">
      <c r="A38" s="430"/>
      <c r="B38" s="698">
        <v>2046</v>
      </c>
      <c r="C38" s="699">
        <f>Trajectoires!H38</f>
        <v>1818.3233444655898</v>
      </c>
      <c r="D38" s="428">
        <f t="shared" si="14"/>
        <v>38762.941979826101</v>
      </c>
      <c r="E38" s="700">
        <f>C38*(Hypothèses!$B$23/Hypothèses!$D$23)</f>
        <v>1527.3916093510954</v>
      </c>
      <c r="F38" s="428">
        <f t="shared" si="15"/>
        <v>32560.871263053919</v>
      </c>
      <c r="G38" s="428" t="s">
        <v>580</v>
      </c>
      <c r="H38" s="428">
        <f>I38*Hypothèses!$B$5</f>
        <v>673.99185301524528</v>
      </c>
      <c r="I38" s="701">
        <f>E38/Hypothèses!$B$23</f>
        <v>484.88622519082395</v>
      </c>
      <c r="J38" s="706">
        <f t="shared" si="18"/>
        <v>255.97249740015377</v>
      </c>
      <c r="K38" s="703">
        <f t="shared" si="1"/>
        <v>0.52790218426893321</v>
      </c>
      <c r="L38" s="535">
        <f t="shared" si="2"/>
        <v>127.98624870007689</v>
      </c>
      <c r="M38" s="703">
        <f t="shared" si="3"/>
        <v>0.2639510921344666</v>
      </c>
      <c r="N38" s="428">
        <f t="shared" si="4"/>
        <v>127.98624870007689</v>
      </c>
      <c r="O38" s="703">
        <f t="shared" si="5"/>
        <v>0.2639510921344666</v>
      </c>
      <c r="P38" s="535" t="s">
        <v>580</v>
      </c>
      <c r="Q38" s="539" t="s">
        <v>580</v>
      </c>
      <c r="R38" s="428">
        <f t="shared" si="6"/>
        <v>228.91372779067018</v>
      </c>
      <c r="S38" s="704">
        <v>1</v>
      </c>
      <c r="T38" s="428">
        <f t="shared" si="7"/>
        <v>255.97249740015377</v>
      </c>
      <c r="U38" s="705">
        <f t="shared" si="8"/>
        <v>0.52790218426893321</v>
      </c>
      <c r="V38" s="428">
        <f t="shared" si="9"/>
        <v>127.98624870007689</v>
      </c>
      <c r="W38" s="703">
        <f t="shared" si="10"/>
        <v>0.5</v>
      </c>
      <c r="X38" s="428">
        <f t="shared" si="11"/>
        <v>127.98624870007689</v>
      </c>
      <c r="Y38" s="703">
        <f t="shared" si="12"/>
        <v>0.5</v>
      </c>
      <c r="Z38" s="535">
        <v>0</v>
      </c>
      <c r="AA38" s="707">
        <v>0</v>
      </c>
      <c r="AB38" s="701">
        <f t="shared" si="0"/>
        <v>228.91372779067018</v>
      </c>
      <c r="AC38" s="245"/>
      <c r="AD38" s="428">
        <f>(V38+X38+AB38)*Hypothèses!$B$5+Z38*Hypothèses!$B$10</f>
        <v>673.99185301524528</v>
      </c>
      <c r="AE38" s="245"/>
      <c r="AF38" s="428">
        <f>X38*Prod_Carburant_Alt!$I$61+Z38*Hypothèses!$B$13</f>
        <v>5795.7150654399811</v>
      </c>
      <c r="AG38" s="428">
        <f>AF38*'Synthèse scénarios'!$L$9/'Synthèse scénarios'!$M$9</f>
        <v>2685.4167313889166</v>
      </c>
      <c r="AH38" s="708">
        <f>AG38/'Synthèse scénarios'!$L$9</f>
        <v>4.1250641035160012</v>
      </c>
      <c r="AI38" s="428">
        <f>('Synthèse scénarios'!$K$9/1000)*AF38</f>
        <v>63.752865719839789</v>
      </c>
      <c r="AJ38" s="505">
        <f>(AB38+V38*Prod_Carburant_Alt!$D$75)*Hypothèses!$D$23+AI38</f>
        <v>1020.2724138812692</v>
      </c>
      <c r="AK38" s="505">
        <f>(AB38+V38*Prod_Carburant_Alt!$D$75)*Hypothèses!$B$23</f>
        <v>803.47642045560076</v>
      </c>
      <c r="AL38" s="505">
        <f t="shared" si="13"/>
        <v>0</v>
      </c>
      <c r="AM38" s="709">
        <f t="shared" si="17"/>
        <v>33960.945510395788</v>
      </c>
      <c r="AN38" s="710"/>
      <c r="AO38" s="430"/>
      <c r="AP38" s="430"/>
      <c r="AQ38" s="430"/>
      <c r="AR38" s="430"/>
      <c r="AS38" s="430"/>
      <c r="AT38" s="430"/>
      <c r="AU38" s="430"/>
      <c r="AV38" s="430"/>
      <c r="AW38" s="430"/>
      <c r="AX38" s="430"/>
      <c r="AY38" s="430"/>
      <c r="AZ38" s="430"/>
      <c r="BA38" s="430"/>
      <c r="BB38" s="430"/>
      <c r="BC38" s="430"/>
      <c r="BD38" s="430"/>
      <c r="BE38" s="430"/>
    </row>
    <row r="39" spans="1:57" ht="15.75" customHeight="1">
      <c r="A39" s="430"/>
      <c r="B39" s="698">
        <v>2047</v>
      </c>
      <c r="C39" s="699">
        <f>Trajectoires!H39</f>
        <v>1853.2351526793291</v>
      </c>
      <c r="D39" s="428">
        <f t="shared" si="14"/>
        <v>40616.177132505429</v>
      </c>
      <c r="E39" s="700">
        <f>C39*(Hypothèses!$B$23/Hypothèses!$D$23)</f>
        <v>1556.7175282506364</v>
      </c>
      <c r="F39" s="428">
        <f t="shared" si="15"/>
        <v>34117.588791304559</v>
      </c>
      <c r="G39" s="428" t="s">
        <v>580</v>
      </c>
      <c r="H39" s="428">
        <f>I39*Hypothèses!$B$5</f>
        <v>686.9324965931379</v>
      </c>
      <c r="I39" s="701">
        <f>E39/Hypothèses!$B$23</f>
        <v>494.19604071448776</v>
      </c>
      <c r="J39" s="706">
        <f t="shared" si="18"/>
        <v>306.06548425462171</v>
      </c>
      <c r="K39" s="703">
        <f t="shared" si="1"/>
        <v>0.61931998445824288</v>
      </c>
      <c r="L39" s="535">
        <f t="shared" si="2"/>
        <v>153.03274212731085</v>
      </c>
      <c r="M39" s="703">
        <f t="shared" si="3"/>
        <v>0.30965999222912144</v>
      </c>
      <c r="N39" s="428">
        <f t="shared" si="4"/>
        <v>153.03274212731085</v>
      </c>
      <c r="O39" s="703">
        <f t="shared" si="5"/>
        <v>0.30965999222912144</v>
      </c>
      <c r="P39" s="535" t="s">
        <v>580</v>
      </c>
      <c r="Q39" s="539" t="s">
        <v>580</v>
      </c>
      <c r="R39" s="428">
        <f t="shared" si="6"/>
        <v>188.13055645986603</v>
      </c>
      <c r="S39" s="704">
        <v>1</v>
      </c>
      <c r="T39" s="428">
        <f t="shared" si="7"/>
        <v>306.06548425462171</v>
      </c>
      <c r="U39" s="705">
        <f t="shared" si="8"/>
        <v>0.61931998445824288</v>
      </c>
      <c r="V39" s="428">
        <f t="shared" si="9"/>
        <v>153.03274212731085</v>
      </c>
      <c r="W39" s="703">
        <f t="shared" si="10"/>
        <v>0.5</v>
      </c>
      <c r="X39" s="428">
        <f t="shared" si="11"/>
        <v>153.03274212731085</v>
      </c>
      <c r="Y39" s="703">
        <f t="shared" si="12"/>
        <v>0.5</v>
      </c>
      <c r="Z39" s="535">
        <v>0</v>
      </c>
      <c r="AA39" s="707">
        <v>0</v>
      </c>
      <c r="AB39" s="701">
        <f t="shared" si="0"/>
        <v>188.13055645986603</v>
      </c>
      <c r="AC39" s="245"/>
      <c r="AD39" s="428">
        <f>(V39+X39+AB39)*Hypothèses!$B$5+Z39*Hypothèses!$B$10</f>
        <v>686.9324965931379</v>
      </c>
      <c r="AE39" s="245"/>
      <c r="AF39" s="428">
        <f>X39*Prod_Carburant_Alt!$I$61+Z39*Hypothèses!$B$13</f>
        <v>6929.9176908551299</v>
      </c>
      <c r="AG39" s="428">
        <f>AF39*'Synthèse scénarios'!$L$9/'Synthèse scénarios'!$M$9</f>
        <v>3210.9440688588538</v>
      </c>
      <c r="AH39" s="708">
        <f>AG39/'Synthèse scénarios'!$L$9</f>
        <v>4.9323257586157512</v>
      </c>
      <c r="AI39" s="428">
        <f>('Synthèse scénarios'!$K$9/1000)*AF39</f>
        <v>76.229094599406423</v>
      </c>
      <c r="AJ39" s="505">
        <f>(AB39+V39*Prod_Carburant_Alt!$D$75)*Hypothèses!$D$23+AI39</f>
        <v>899.00824545302623</v>
      </c>
      <c r="AK39" s="505">
        <f>(AB39+V39*Prod_Carburant_Alt!$D$75)*Hypothèses!$B$23</f>
        <v>691.13448671704066</v>
      </c>
      <c r="AL39" s="505">
        <f t="shared" si="13"/>
        <v>0</v>
      </c>
      <c r="AM39" s="709">
        <f t="shared" si="17"/>
        <v>34859.953755848815</v>
      </c>
      <c r="AN39" s="710"/>
      <c r="AO39" s="430"/>
      <c r="AP39" s="430"/>
      <c r="AQ39" s="430"/>
      <c r="AR39" s="430"/>
      <c r="AS39" s="430"/>
      <c r="AT39" s="430"/>
      <c r="AU39" s="430"/>
      <c r="AV39" s="430"/>
      <c r="AW39" s="430"/>
      <c r="AX39" s="430"/>
      <c r="AY39" s="430"/>
      <c r="AZ39" s="430"/>
      <c r="BA39" s="430"/>
      <c r="BB39" s="430"/>
      <c r="BC39" s="430"/>
      <c r="BD39" s="430"/>
      <c r="BE39" s="430"/>
    </row>
    <row r="40" spans="1:57" ht="15.75" customHeight="1">
      <c r="A40" s="430"/>
      <c r="B40" s="698">
        <v>2048</v>
      </c>
      <c r="C40" s="699">
        <f>Trajectoires!H40</f>
        <v>1888.8172676107722</v>
      </c>
      <c r="D40" s="428">
        <f t="shared" si="14"/>
        <v>42504.9944001162</v>
      </c>
      <c r="E40" s="700">
        <f>C40*(Hypothèses!$B$23/Hypothèses!$D$23)</f>
        <v>1586.6065047930485</v>
      </c>
      <c r="F40" s="428">
        <f t="shared" si="15"/>
        <v>35704.195296097605</v>
      </c>
      <c r="G40" s="428" t="s">
        <v>580</v>
      </c>
      <c r="H40" s="428">
        <f>I40*Hypothèses!$B$5</f>
        <v>700.12160052772617</v>
      </c>
      <c r="I40" s="701">
        <f>E40/Hypothèses!$B$23</f>
        <v>503.68460469620589</v>
      </c>
      <c r="J40" s="706">
        <f t="shared" si="18"/>
        <v>365.96150603467061</v>
      </c>
      <c r="K40" s="703">
        <f t="shared" si="1"/>
        <v>0.72656877463109659</v>
      </c>
      <c r="L40" s="535">
        <f t="shared" si="2"/>
        <v>182.9807530173353</v>
      </c>
      <c r="M40" s="703">
        <f t="shared" si="3"/>
        <v>0.3632843873155483</v>
      </c>
      <c r="N40" s="428">
        <f t="shared" si="4"/>
        <v>182.9807530173353</v>
      </c>
      <c r="O40" s="703">
        <f t="shared" si="5"/>
        <v>0.3632843873155483</v>
      </c>
      <c r="P40" s="535" t="s">
        <v>580</v>
      </c>
      <c r="Q40" s="539" t="s">
        <v>580</v>
      </c>
      <c r="R40" s="428">
        <f t="shared" si="6"/>
        <v>137.72309866153529</v>
      </c>
      <c r="S40" s="704">
        <v>1</v>
      </c>
      <c r="T40" s="428">
        <f t="shared" si="7"/>
        <v>365.96150603467061</v>
      </c>
      <c r="U40" s="705">
        <f t="shared" si="8"/>
        <v>0.72656877463109659</v>
      </c>
      <c r="V40" s="428">
        <f t="shared" si="9"/>
        <v>182.9807530173353</v>
      </c>
      <c r="W40" s="703">
        <f t="shared" si="10"/>
        <v>0.5</v>
      </c>
      <c r="X40" s="428">
        <f t="shared" si="11"/>
        <v>182.9807530173353</v>
      </c>
      <c r="Y40" s="703">
        <f t="shared" si="12"/>
        <v>0.5</v>
      </c>
      <c r="Z40" s="535">
        <v>0</v>
      </c>
      <c r="AA40" s="707">
        <v>0</v>
      </c>
      <c r="AB40" s="701">
        <f t="shared" si="0"/>
        <v>137.72309866153529</v>
      </c>
      <c r="AC40" s="245"/>
      <c r="AD40" s="428">
        <f>(V40+X40+AB40)*Hypothèses!$B$5+Z40*Hypothèses!$B$10</f>
        <v>700.12160052772617</v>
      </c>
      <c r="AE40" s="245"/>
      <c r="AF40" s="428">
        <f>X40*Prod_Carburant_Alt!$I$61+Z40*Hypothèses!$B$13</f>
        <v>8286.0800884422315</v>
      </c>
      <c r="AG40" s="428">
        <f>AF40*'Synthèse scénarios'!$L$9/'Synthèse scénarios'!$M$9</f>
        <v>3839.3154004098878</v>
      </c>
      <c r="AH40" s="708">
        <f>AG40/'Synthèse scénarios'!$L$9</f>
        <v>5.8975658992471391</v>
      </c>
      <c r="AI40" s="428">
        <f>('Synthèse scénarios'!$K$9/1000)*AF40</f>
        <v>91.146880972864537</v>
      </c>
      <c r="AJ40" s="505">
        <f>(AB40+V40*Prod_Carburant_Alt!$D$75)*Hypothèses!$D$23+AI40</f>
        <v>747.85125206088105</v>
      </c>
      <c r="AK40" s="505">
        <f>(AB40+V40*Prod_Carburant_Alt!$D$75)*Hypothèses!$B$23</f>
        <v>551.63167171393377</v>
      </c>
      <c r="AL40" s="505">
        <f t="shared" si="13"/>
        <v>0</v>
      </c>
      <c r="AM40" s="709">
        <f t="shared" si="17"/>
        <v>35607.805007909694</v>
      </c>
      <c r="AN40" s="710"/>
      <c r="AO40" s="430"/>
      <c r="AP40" s="430"/>
      <c r="AQ40" s="430"/>
      <c r="AR40" s="430"/>
      <c r="AS40" s="430"/>
      <c r="AT40" s="430"/>
      <c r="AU40" s="430"/>
      <c r="AV40" s="430"/>
      <c r="AW40" s="430"/>
      <c r="AX40" s="430"/>
      <c r="AY40" s="430"/>
      <c r="AZ40" s="430"/>
      <c r="BA40" s="430"/>
      <c r="BB40" s="430"/>
      <c r="BC40" s="430"/>
      <c r="BD40" s="430"/>
      <c r="BE40" s="430"/>
    </row>
    <row r="41" spans="1:57" ht="15.75" customHeight="1">
      <c r="A41" s="430"/>
      <c r="B41" s="698">
        <v>2049</v>
      </c>
      <c r="C41" s="699">
        <f>Trajectoires!H41</f>
        <v>1925.082559148899</v>
      </c>
      <c r="D41" s="428">
        <f t="shared" si="14"/>
        <v>44430.076959265098</v>
      </c>
      <c r="E41" s="700">
        <f>C41*(Hypothèses!$B$23/Hypothèses!$D$23)</f>
        <v>1617.0693496850752</v>
      </c>
      <c r="F41" s="428">
        <f t="shared" si="15"/>
        <v>37321.264645782678</v>
      </c>
      <c r="G41" s="428" t="s">
        <v>580</v>
      </c>
      <c r="H41" s="428">
        <f>I41*Hypothèses!$B$5</f>
        <v>713.56393525785847</v>
      </c>
      <c r="I41" s="701">
        <f>E41/Hypothèses!$B$23</f>
        <v>513.35534910637307</v>
      </c>
      <c r="J41" s="706">
        <f>J40*($J$42/$J$17)^(1/25)</f>
        <v>437.57898485458475</v>
      </c>
      <c r="K41" s="703">
        <f t="shared" si="1"/>
        <v>0.85239003667986213</v>
      </c>
      <c r="L41" s="535">
        <f t="shared" si="2"/>
        <v>218.78949242729237</v>
      </c>
      <c r="M41" s="703">
        <f t="shared" si="3"/>
        <v>0.42619501833993106</v>
      </c>
      <c r="N41" s="428">
        <f t="shared" si="4"/>
        <v>218.78949242729237</v>
      </c>
      <c r="O41" s="703">
        <f t="shared" si="5"/>
        <v>0.42619501833993106</v>
      </c>
      <c r="P41" s="535" t="s">
        <v>580</v>
      </c>
      <c r="Q41" s="539" t="s">
        <v>580</v>
      </c>
      <c r="R41" s="428">
        <f t="shared" si="6"/>
        <v>75.776364251788323</v>
      </c>
      <c r="S41" s="704">
        <v>1</v>
      </c>
      <c r="T41" s="428">
        <f t="shared" si="7"/>
        <v>437.57898485458475</v>
      </c>
      <c r="U41" s="705">
        <f t="shared" si="8"/>
        <v>0.85239003667986213</v>
      </c>
      <c r="V41" s="428">
        <f t="shared" si="9"/>
        <v>218.78949242729237</v>
      </c>
      <c r="W41" s="703">
        <f t="shared" si="10"/>
        <v>0.5</v>
      </c>
      <c r="X41" s="428">
        <f t="shared" si="11"/>
        <v>218.78949242729237</v>
      </c>
      <c r="Y41" s="703">
        <f t="shared" si="12"/>
        <v>0.5</v>
      </c>
      <c r="Z41" s="535">
        <v>0</v>
      </c>
      <c r="AA41" s="707">
        <v>0</v>
      </c>
      <c r="AB41" s="701">
        <f t="shared" si="0"/>
        <v>75.776364251788323</v>
      </c>
      <c r="AC41" s="245"/>
      <c r="AD41" s="428">
        <f>(V41+X41+AB41)*Hypothèses!$B$5+Z41*Hypothèses!$B$10</f>
        <v>713.56393525785847</v>
      </c>
      <c r="AE41" s="245"/>
      <c r="AF41" s="428">
        <f>X41*Prod_Carburant_Alt!$I$61+Z41*Hypothèses!$B$13</f>
        <v>9907.6390651339025</v>
      </c>
      <c r="AG41" s="428">
        <f>AF41*'Synthèse scénarios'!$L$9/'Synthèse scénarios'!$M$9</f>
        <v>4590.6569618520789</v>
      </c>
      <c r="AH41" s="708">
        <f>AG41/'Synthèse scénarios'!$L$9</f>
        <v>7.0517004022305363</v>
      </c>
      <c r="AI41" s="428">
        <f>('Synthèse scénarios'!$K$9/1000)*AF41</f>
        <v>108.98402971647292</v>
      </c>
      <c r="AJ41" s="505">
        <f>(AB41+V41*Prod_Carburant_Alt!$D$75)*Hypothèses!$D$23+AI41</f>
        <v>560.83319793165026</v>
      </c>
      <c r="AK41" s="505">
        <f>(AB41+V41*Prod_Carburant_Alt!$D$75)*Hypothèses!$B$23</f>
        <v>379.55330130074896</v>
      </c>
      <c r="AL41" s="505">
        <f t="shared" si="13"/>
        <v>0</v>
      </c>
      <c r="AM41" s="709">
        <f t="shared" si="17"/>
        <v>36168.638205841344</v>
      </c>
      <c r="AN41" s="710"/>
      <c r="AO41" s="430"/>
      <c r="AP41" s="430"/>
      <c r="AQ41" s="430"/>
      <c r="AR41" s="430"/>
      <c r="AS41" s="430"/>
      <c r="AT41" s="430"/>
      <c r="AU41" s="430"/>
      <c r="AV41" s="430"/>
      <c r="AW41" s="430"/>
      <c r="AX41" s="430"/>
      <c r="AY41" s="430"/>
      <c r="AZ41" s="430"/>
      <c r="BA41" s="430"/>
      <c r="BB41" s="430"/>
      <c r="BC41" s="430"/>
      <c r="BD41" s="430"/>
      <c r="BE41" s="430"/>
    </row>
    <row r="42" spans="1:57" ht="15.75" customHeight="1" thickBot="1">
      <c r="A42" s="430"/>
      <c r="B42" s="712">
        <v>2050</v>
      </c>
      <c r="C42" s="713">
        <f>Trajectoires!H42</f>
        <v>1962.0441442845579</v>
      </c>
      <c r="D42" s="568">
        <f t="shared" si="14"/>
        <v>46392.121103549653</v>
      </c>
      <c r="E42" s="714">
        <f>C42*(Hypothèses!$B$23/Hypothèses!$D$23)</f>
        <v>1648.1170811990285</v>
      </c>
      <c r="F42" s="568">
        <f t="shared" si="15"/>
        <v>38969.381726981708</v>
      </c>
      <c r="G42" s="568" t="s">
        <v>580</v>
      </c>
      <c r="H42" s="568">
        <f>I42*Hypothèses!$B$5</f>
        <v>727.26436281480937</v>
      </c>
      <c r="I42" s="715">
        <f>E42/Hypothèses!$B$23</f>
        <v>523.21177180921541</v>
      </c>
      <c r="J42" s="716">
        <f>I42</f>
        <v>523.21177180921541</v>
      </c>
      <c r="K42" s="717">
        <f t="shared" si="1"/>
        <v>1</v>
      </c>
      <c r="L42" s="535">
        <f t="shared" si="2"/>
        <v>261.6058859046077</v>
      </c>
      <c r="M42" s="717">
        <f t="shared" si="3"/>
        <v>0.5</v>
      </c>
      <c r="N42" s="428">
        <f t="shared" si="4"/>
        <v>261.6058859046077</v>
      </c>
      <c r="O42" s="717">
        <f t="shared" si="5"/>
        <v>0.5</v>
      </c>
      <c r="P42" s="572" t="s">
        <v>580</v>
      </c>
      <c r="Q42" s="569" t="s">
        <v>580</v>
      </c>
      <c r="R42" s="568">
        <f t="shared" si="6"/>
        <v>0</v>
      </c>
      <c r="S42" s="718">
        <v>1</v>
      </c>
      <c r="T42" s="568">
        <f t="shared" si="7"/>
        <v>523.21177180921541</v>
      </c>
      <c r="U42" s="719">
        <f t="shared" si="8"/>
        <v>1</v>
      </c>
      <c r="V42" s="568">
        <f t="shared" si="9"/>
        <v>261.6058859046077</v>
      </c>
      <c r="W42" s="717">
        <f t="shared" si="10"/>
        <v>0.5</v>
      </c>
      <c r="X42" s="568">
        <f t="shared" si="11"/>
        <v>261.6058859046077</v>
      </c>
      <c r="Y42" s="717">
        <f t="shared" si="12"/>
        <v>0.5</v>
      </c>
      <c r="Z42" s="572">
        <v>0</v>
      </c>
      <c r="AA42" s="569">
        <v>0</v>
      </c>
      <c r="AB42" s="715">
        <f t="shared" si="0"/>
        <v>0</v>
      </c>
      <c r="AC42" s="722"/>
      <c r="AD42" s="568">
        <f>(V42+X42+AB42)*Hypothèses!$B$5+Z42*Hypothèses!$B$10</f>
        <v>727.26436281480937</v>
      </c>
      <c r="AE42" s="722"/>
      <c r="AF42" s="568">
        <f>X42*Prod_Carburant_Alt!$I$61+Z42*Hypothèses!$B$13</f>
        <v>11846.531869983597</v>
      </c>
      <c r="AG42" s="568">
        <f>AF42*'Synthèse scénarios'!$L$9/'Synthèse scénarios'!$M$9</f>
        <v>5489.0336280137517</v>
      </c>
      <c r="AH42" s="723">
        <f>AG42/'Synthèse scénarios'!$L$9</f>
        <v>8.431695281127114</v>
      </c>
      <c r="AI42" s="568">
        <f>('Synthèse scénarios'!$K$9/1000)*AF42</f>
        <v>130.31185056981957</v>
      </c>
      <c r="AJ42" s="576">
        <f>(AB42+V42*Prod_Carburant_Alt!$D$75)*Hypothèses!$D$23+AI42</f>
        <v>330.81561143060333</v>
      </c>
      <c r="AK42" s="576">
        <f>(AB42+V42*Prod_Carburant_Alt!$D$75)*Hypothèses!$B$23</f>
        <v>168.42315912305838</v>
      </c>
      <c r="AL42" s="576">
        <f t="shared" si="13"/>
        <v>0</v>
      </c>
      <c r="AM42" s="724">
        <f t="shared" si="17"/>
        <v>36499.453817271948</v>
      </c>
      <c r="AN42" s="710"/>
      <c r="AO42" s="430"/>
      <c r="AP42" s="430"/>
      <c r="AQ42" s="430"/>
      <c r="AR42" s="430"/>
      <c r="AS42" s="430"/>
      <c r="AT42" s="430"/>
      <c r="AU42" s="430"/>
      <c r="AV42" s="430"/>
      <c r="AW42" s="430"/>
      <c r="AX42" s="430"/>
      <c r="AY42" s="430"/>
      <c r="AZ42" s="430"/>
      <c r="BA42" s="430"/>
      <c r="BB42" s="430"/>
      <c r="BC42" s="430"/>
      <c r="BD42" s="430"/>
      <c r="BE42" s="430"/>
    </row>
    <row r="43" spans="1:57" ht="15.75" customHeight="1">
      <c r="A43" s="430"/>
      <c r="B43" s="245"/>
      <c r="C43" s="429"/>
      <c r="D43" s="429"/>
      <c r="E43" s="429"/>
      <c r="F43" s="429"/>
      <c r="G43" s="429"/>
      <c r="H43" s="429"/>
      <c r="I43" s="429"/>
      <c r="J43" s="427"/>
      <c r="K43" s="427"/>
      <c r="L43" s="428"/>
      <c r="M43" s="427"/>
      <c r="N43" s="429"/>
      <c r="O43" s="429"/>
      <c r="P43" s="429"/>
      <c r="Q43" s="429"/>
      <c r="R43" s="429"/>
      <c r="S43" s="427"/>
      <c r="T43" s="427"/>
      <c r="U43" s="427"/>
      <c r="V43" s="428"/>
      <c r="W43" s="427"/>
      <c r="X43" s="429"/>
      <c r="Y43" s="429"/>
      <c r="Z43" s="429"/>
      <c r="AA43" s="429"/>
      <c r="AB43" s="429"/>
      <c r="AC43" s="725"/>
      <c r="AD43" s="429"/>
      <c r="AE43" s="429"/>
      <c r="AF43" s="429"/>
      <c r="AG43" s="429"/>
      <c r="AH43" s="429"/>
      <c r="AI43" s="429"/>
      <c r="AJ43" s="429"/>
      <c r="AK43" s="429"/>
      <c r="AL43" s="429"/>
      <c r="AM43" s="429"/>
      <c r="AN43" s="430"/>
      <c r="AO43" s="430"/>
      <c r="AP43" s="430"/>
      <c r="AQ43" s="430"/>
      <c r="AR43" s="430"/>
      <c r="AS43" s="430"/>
      <c r="AT43" s="430"/>
      <c r="AU43" s="430"/>
      <c r="AV43" s="430"/>
      <c r="AW43" s="430"/>
      <c r="AX43" s="430"/>
      <c r="AY43" s="430"/>
      <c r="AZ43" s="430"/>
      <c r="BA43" s="430"/>
      <c r="BB43" s="430"/>
      <c r="BC43" s="430"/>
      <c r="BD43" s="430"/>
      <c r="BE43" s="430"/>
    </row>
    <row r="44" spans="1:57" ht="15.75" customHeight="1">
      <c r="A44" s="430"/>
      <c r="B44" s="245"/>
      <c r="C44" s="429"/>
      <c r="D44" s="429"/>
      <c r="E44" s="429"/>
      <c r="F44" s="429"/>
      <c r="G44" s="429"/>
      <c r="H44" s="429"/>
      <c r="I44" s="429"/>
      <c r="J44" s="427"/>
      <c r="K44" s="427"/>
      <c r="L44" s="428"/>
      <c r="M44" s="427"/>
      <c r="N44" s="429"/>
      <c r="O44" s="429"/>
      <c r="P44" s="429"/>
      <c r="Q44" s="429"/>
      <c r="R44" s="429"/>
      <c r="S44" s="427"/>
      <c r="T44" s="427"/>
      <c r="U44" s="427"/>
      <c r="V44" s="428"/>
      <c r="W44" s="427"/>
      <c r="X44" s="429"/>
      <c r="Y44" s="429"/>
      <c r="Z44" s="429"/>
      <c r="AA44" s="429"/>
      <c r="AB44" s="429"/>
      <c r="AC44" s="429"/>
      <c r="AD44" s="429"/>
      <c r="AE44" s="429"/>
      <c r="AF44" s="429"/>
      <c r="AG44" s="429"/>
      <c r="AH44" s="429"/>
      <c r="AI44" s="429"/>
      <c r="AJ44" s="429"/>
      <c r="AK44" s="429"/>
      <c r="AL44" s="429"/>
      <c r="AM44" s="429"/>
      <c r="AN44" s="430"/>
      <c r="AO44" s="430"/>
      <c r="AP44" s="430"/>
      <c r="AQ44" s="430"/>
      <c r="AR44" s="430"/>
      <c r="AS44" s="430"/>
      <c r="AT44" s="430"/>
      <c r="AU44" s="430"/>
      <c r="AV44" s="430"/>
      <c r="AW44" s="430"/>
      <c r="AX44" s="430"/>
      <c r="AY44" s="430"/>
      <c r="AZ44" s="430"/>
      <c r="BA44" s="430"/>
      <c r="BB44" s="430"/>
      <c r="BC44" s="430"/>
      <c r="BD44" s="430"/>
      <c r="BE44" s="430"/>
    </row>
    <row r="45" spans="1:57" ht="15.75" customHeight="1">
      <c r="A45" s="430"/>
      <c r="B45" s="428"/>
      <c r="C45" s="429"/>
      <c r="D45" s="429"/>
      <c r="E45" s="429"/>
      <c r="F45" s="429"/>
      <c r="G45" s="429"/>
      <c r="H45" s="429"/>
      <c r="I45" s="429"/>
      <c r="J45" s="427"/>
      <c r="K45" s="427"/>
      <c r="L45" s="428"/>
      <c r="M45" s="427"/>
      <c r="N45" s="429"/>
      <c r="O45" s="429"/>
      <c r="P45" s="429"/>
      <c r="Q45" s="429"/>
      <c r="R45" s="429"/>
      <c r="S45" s="427"/>
      <c r="T45" s="427"/>
      <c r="U45" s="427"/>
      <c r="V45" s="428"/>
      <c r="W45" s="427"/>
      <c r="X45" s="429"/>
      <c r="Y45" s="429"/>
      <c r="Z45" s="429"/>
      <c r="AA45" s="429"/>
      <c r="AB45" s="429"/>
      <c r="AC45" s="429"/>
      <c r="AD45" s="429"/>
      <c r="AE45" s="429"/>
      <c r="AF45" s="429"/>
      <c r="AG45" s="429"/>
      <c r="AH45" s="429"/>
      <c r="AI45" s="429"/>
      <c r="AJ45" s="429"/>
      <c r="AK45" s="429"/>
      <c r="AL45" s="429"/>
      <c r="AM45" s="429"/>
      <c r="AN45" s="430"/>
      <c r="AO45" s="430"/>
      <c r="AP45" s="430"/>
      <c r="AQ45" s="430"/>
      <c r="AR45" s="430"/>
      <c r="AS45" s="430"/>
      <c r="AT45" s="430"/>
      <c r="AU45" s="430"/>
      <c r="AV45" s="430"/>
      <c r="AW45" s="430"/>
      <c r="AX45" s="430"/>
      <c r="AY45" s="430"/>
      <c r="AZ45" s="430"/>
      <c r="BA45" s="430"/>
      <c r="BB45" s="430"/>
      <c r="BC45" s="430"/>
      <c r="BD45" s="430"/>
      <c r="BE45" s="430"/>
    </row>
    <row r="46" spans="1:57" ht="15.75" customHeight="1">
      <c r="A46" s="430"/>
      <c r="B46" s="245"/>
      <c r="C46" s="429"/>
      <c r="D46" s="429"/>
      <c r="E46" s="429"/>
      <c r="F46" s="429"/>
      <c r="G46" s="429"/>
      <c r="H46" s="429"/>
      <c r="I46" s="429"/>
      <c r="J46" s="427"/>
      <c r="K46" s="427"/>
      <c r="L46" s="428"/>
      <c r="M46" s="427"/>
      <c r="N46" s="429"/>
      <c r="O46" s="429"/>
      <c r="P46" s="429"/>
      <c r="Q46" s="429"/>
      <c r="R46" s="429"/>
      <c r="S46" s="427"/>
      <c r="T46" s="427"/>
      <c r="U46" s="427"/>
      <c r="V46" s="428"/>
      <c r="W46" s="427"/>
      <c r="X46" s="429"/>
      <c r="Y46" s="429"/>
      <c r="Z46" s="429"/>
      <c r="AA46" s="429"/>
      <c r="AB46" s="429"/>
      <c r="AC46" s="429"/>
      <c r="AD46" s="429"/>
      <c r="AE46" s="429"/>
      <c r="AF46" s="429"/>
      <c r="AG46" s="429"/>
      <c r="AH46" s="429"/>
      <c r="AI46" s="429"/>
      <c r="AJ46" s="429"/>
      <c r="AK46" s="429"/>
      <c r="AL46" s="429"/>
      <c r="AM46" s="429"/>
      <c r="AN46" s="430"/>
      <c r="AO46" s="430"/>
      <c r="AP46" s="430"/>
      <c r="AQ46" s="430"/>
      <c r="AR46" s="430"/>
      <c r="AS46" s="430"/>
      <c r="AT46" s="430"/>
      <c r="AU46" s="430"/>
      <c r="AV46" s="430"/>
      <c r="AW46" s="430"/>
      <c r="AX46" s="430"/>
      <c r="AY46" s="430"/>
      <c r="AZ46" s="430"/>
      <c r="BA46" s="430"/>
      <c r="BB46" s="430"/>
      <c r="BC46" s="430"/>
      <c r="BD46" s="430"/>
      <c r="BE46" s="430"/>
    </row>
    <row r="47" spans="1:57" ht="15.75" customHeight="1">
      <c r="A47" s="430"/>
      <c r="B47" s="245"/>
      <c r="C47" s="429"/>
      <c r="D47" s="429"/>
      <c r="E47" s="429"/>
      <c r="F47" s="429"/>
      <c r="G47" s="429"/>
      <c r="H47" s="429"/>
      <c r="I47" s="429"/>
      <c r="J47" s="427"/>
      <c r="K47" s="427"/>
      <c r="L47" s="428"/>
      <c r="M47" s="427"/>
      <c r="N47" s="429"/>
      <c r="O47" s="429"/>
      <c r="P47" s="429"/>
      <c r="Q47" s="429"/>
      <c r="R47" s="429"/>
      <c r="S47" s="427"/>
      <c r="T47" s="427"/>
      <c r="U47" s="427"/>
      <c r="V47" s="428"/>
      <c r="W47" s="427"/>
      <c r="X47" s="429"/>
      <c r="Y47" s="429"/>
      <c r="Z47" s="429"/>
      <c r="AA47" s="429"/>
      <c r="AB47" s="429"/>
      <c r="AC47" s="429"/>
      <c r="AD47" s="429"/>
      <c r="AE47" s="429"/>
      <c r="AF47" s="429"/>
      <c r="AG47" s="429"/>
      <c r="AH47" s="429"/>
      <c r="AI47" s="429"/>
      <c r="AJ47" s="429"/>
      <c r="AK47" s="429"/>
      <c r="AL47" s="429"/>
      <c r="AM47" s="429"/>
      <c r="AN47" s="430"/>
      <c r="AO47" s="430"/>
      <c r="AP47" s="430"/>
      <c r="AQ47" s="430"/>
      <c r="AR47" s="430"/>
      <c r="AS47" s="430"/>
      <c r="AT47" s="430"/>
      <c r="AU47" s="430"/>
      <c r="AV47" s="430"/>
      <c r="AW47" s="430"/>
      <c r="AX47" s="430"/>
      <c r="AY47" s="430"/>
      <c r="AZ47" s="430"/>
      <c r="BA47" s="430"/>
      <c r="BB47" s="430"/>
      <c r="BC47" s="430"/>
      <c r="BD47" s="430"/>
      <c r="BE47" s="430"/>
    </row>
    <row r="48" spans="1:57" ht="15.75" customHeight="1">
      <c r="A48" s="430"/>
      <c r="B48" s="245"/>
      <c r="C48" s="429"/>
      <c r="D48" s="429"/>
      <c r="E48" s="429"/>
      <c r="F48" s="429"/>
      <c r="G48" s="429"/>
      <c r="H48" s="429"/>
      <c r="I48" s="429"/>
      <c r="J48" s="427"/>
      <c r="K48" s="427"/>
      <c r="L48" s="428"/>
      <c r="M48" s="427"/>
      <c r="N48" s="429"/>
      <c r="O48" s="429"/>
      <c r="P48" s="429"/>
      <c r="Q48" s="429"/>
      <c r="R48" s="429"/>
      <c r="S48" s="427"/>
      <c r="T48" s="427"/>
      <c r="U48" s="427"/>
      <c r="V48" s="428"/>
      <c r="W48" s="427"/>
      <c r="X48" s="429"/>
      <c r="Y48" s="429"/>
      <c r="Z48" s="429"/>
      <c r="AA48" s="429"/>
      <c r="AB48" s="429"/>
      <c r="AC48" s="429"/>
      <c r="AD48" s="429"/>
      <c r="AE48" s="429"/>
      <c r="AF48" s="429"/>
      <c r="AG48" s="429"/>
      <c r="AH48" s="429"/>
      <c r="AI48" s="429"/>
      <c r="AJ48" s="429"/>
      <c r="AK48" s="429"/>
      <c r="AL48" s="429"/>
      <c r="AM48" s="429"/>
      <c r="AN48" s="430"/>
      <c r="AO48" s="430"/>
      <c r="AP48" s="430"/>
      <c r="AQ48" s="430"/>
      <c r="AR48" s="430"/>
      <c r="AS48" s="430"/>
      <c r="AT48" s="430"/>
      <c r="AU48" s="430"/>
      <c r="AV48" s="430"/>
      <c r="AW48" s="430"/>
      <c r="AX48" s="430"/>
      <c r="AY48" s="430"/>
      <c r="AZ48" s="430"/>
      <c r="BA48" s="430"/>
      <c r="BB48" s="430"/>
      <c r="BC48" s="430"/>
      <c r="BD48" s="430"/>
      <c r="BE48" s="430"/>
    </row>
    <row r="49" spans="1:57" ht="15.75" customHeight="1">
      <c r="A49" s="430"/>
      <c r="B49" s="245"/>
      <c r="C49" s="429"/>
      <c r="D49" s="429"/>
      <c r="E49" s="429"/>
      <c r="F49" s="429"/>
      <c r="G49" s="429"/>
      <c r="H49" s="429"/>
      <c r="I49" s="429"/>
      <c r="J49" s="427"/>
      <c r="K49" s="427"/>
      <c r="L49" s="428"/>
      <c r="M49" s="427"/>
      <c r="N49" s="429"/>
      <c r="O49" s="429"/>
      <c r="P49" s="429"/>
      <c r="Q49" s="429"/>
      <c r="R49" s="429"/>
      <c r="S49" s="427"/>
      <c r="T49" s="427"/>
      <c r="U49" s="427"/>
      <c r="V49" s="428"/>
      <c r="W49" s="427"/>
      <c r="X49" s="429"/>
      <c r="Y49" s="429"/>
      <c r="Z49" s="429"/>
      <c r="AA49" s="429"/>
      <c r="AB49" s="429"/>
      <c r="AC49" s="429"/>
      <c r="AD49" s="429"/>
      <c r="AE49" s="429"/>
      <c r="AF49" s="429"/>
      <c r="AG49" s="429"/>
      <c r="AH49" s="429"/>
      <c r="AI49" s="429"/>
      <c r="AJ49" s="429"/>
      <c r="AK49" s="429"/>
      <c r="AL49" s="429"/>
      <c r="AM49" s="429"/>
      <c r="AN49" s="430"/>
      <c r="AO49" s="430"/>
      <c r="AP49" s="430"/>
      <c r="AQ49" s="430"/>
      <c r="AR49" s="430"/>
      <c r="AS49" s="430"/>
      <c r="AT49" s="430"/>
      <c r="AU49" s="430"/>
      <c r="AV49" s="430"/>
      <c r="AW49" s="430"/>
      <c r="AX49" s="430"/>
      <c r="AY49" s="430"/>
      <c r="AZ49" s="430"/>
      <c r="BA49" s="430"/>
      <c r="BB49" s="430"/>
      <c r="BC49" s="430"/>
      <c r="BD49" s="430"/>
      <c r="BE49" s="430"/>
    </row>
    <row r="50" spans="1:57" ht="15.75" customHeight="1">
      <c r="A50" s="430"/>
      <c r="B50" s="245"/>
      <c r="C50" s="429"/>
      <c r="D50" s="429"/>
      <c r="E50" s="429"/>
      <c r="F50" s="429"/>
      <c r="G50" s="429"/>
      <c r="H50" s="429"/>
      <c r="I50" s="429"/>
      <c r="J50" s="427"/>
      <c r="K50" s="427"/>
      <c r="L50" s="428"/>
      <c r="M50" s="427"/>
      <c r="N50" s="429"/>
      <c r="O50" s="429"/>
      <c r="P50" s="429"/>
      <c r="Q50" s="429"/>
      <c r="R50" s="429"/>
      <c r="S50" s="427"/>
      <c r="T50" s="427"/>
      <c r="U50" s="427"/>
      <c r="V50" s="428"/>
      <c r="W50" s="427"/>
      <c r="X50" s="429"/>
      <c r="Y50" s="429"/>
      <c r="Z50" s="429"/>
      <c r="AA50" s="429"/>
      <c r="AB50" s="429"/>
      <c r="AC50" s="429"/>
      <c r="AD50" s="429"/>
      <c r="AE50" s="429"/>
      <c r="AF50" s="429"/>
      <c r="AG50" s="429"/>
      <c r="AH50" s="429"/>
      <c r="AI50" s="429"/>
      <c r="AJ50" s="429"/>
      <c r="AK50" s="429"/>
      <c r="AL50" s="429"/>
      <c r="AM50" s="429"/>
      <c r="AN50" s="430"/>
      <c r="AO50" s="430"/>
      <c r="AP50" s="430"/>
      <c r="AQ50" s="430"/>
      <c r="AR50" s="430"/>
      <c r="AS50" s="430"/>
      <c r="AT50" s="430"/>
      <c r="AU50" s="430"/>
      <c r="AV50" s="430"/>
      <c r="AW50" s="430"/>
      <c r="AX50" s="430"/>
      <c r="AY50" s="430"/>
      <c r="AZ50" s="430"/>
      <c r="BA50" s="430"/>
      <c r="BB50" s="430"/>
      <c r="BC50" s="430"/>
      <c r="BD50" s="430"/>
      <c r="BE50" s="430"/>
    </row>
    <row r="51" spans="1:57" ht="15.75" customHeight="1">
      <c r="A51" s="430"/>
      <c r="B51" s="245"/>
      <c r="C51" s="429"/>
      <c r="D51" s="429"/>
      <c r="E51" s="429"/>
      <c r="F51" s="429"/>
      <c r="G51" s="429"/>
      <c r="H51" s="429"/>
      <c r="I51" s="429"/>
      <c r="J51" s="427"/>
      <c r="K51" s="427"/>
      <c r="L51" s="428"/>
      <c r="M51" s="427"/>
      <c r="N51" s="429"/>
      <c r="O51" s="429"/>
      <c r="P51" s="429"/>
      <c r="Q51" s="429"/>
      <c r="R51" s="429"/>
      <c r="S51" s="427"/>
      <c r="T51" s="427"/>
      <c r="U51" s="427"/>
      <c r="V51" s="428"/>
      <c r="W51" s="427"/>
      <c r="X51" s="429"/>
      <c r="Y51" s="429"/>
      <c r="Z51" s="429"/>
      <c r="AA51" s="429"/>
      <c r="AB51" s="429"/>
      <c r="AC51" s="429"/>
      <c r="AD51" s="429"/>
      <c r="AE51" s="429"/>
      <c r="AF51" s="429"/>
      <c r="AG51" s="429"/>
      <c r="AH51" s="429"/>
      <c r="AI51" s="429"/>
      <c r="AJ51" s="429"/>
      <c r="AK51" s="429"/>
      <c r="AL51" s="429"/>
      <c r="AM51" s="429"/>
      <c r="AN51" s="430"/>
      <c r="AO51" s="430"/>
      <c r="AP51" s="430"/>
      <c r="AQ51" s="430"/>
      <c r="AR51" s="430"/>
      <c r="AS51" s="430"/>
      <c r="AT51" s="430"/>
      <c r="AU51" s="430"/>
      <c r="AV51" s="430"/>
      <c r="AW51" s="430"/>
      <c r="AX51" s="430"/>
      <c r="AY51" s="430"/>
      <c r="AZ51" s="430"/>
      <c r="BA51" s="430"/>
      <c r="BB51" s="430"/>
      <c r="BC51" s="430"/>
      <c r="BD51" s="430"/>
      <c r="BE51" s="430"/>
    </row>
    <row r="52" spans="1:57" ht="15.75" customHeight="1">
      <c r="A52" s="430"/>
      <c r="B52" s="670"/>
      <c r="C52" s="430"/>
      <c r="D52" s="430"/>
      <c r="E52" s="430"/>
      <c r="F52" s="430"/>
      <c r="G52" s="430"/>
      <c r="H52" s="430"/>
      <c r="I52" s="430"/>
      <c r="J52" s="581"/>
      <c r="K52" s="581"/>
      <c r="L52" s="582"/>
      <c r="M52" s="581"/>
      <c r="N52" s="430"/>
      <c r="O52" s="430"/>
      <c r="P52" s="430"/>
      <c r="Q52" s="430"/>
      <c r="R52" s="430"/>
      <c r="S52" s="581"/>
      <c r="T52" s="581"/>
      <c r="U52" s="581"/>
      <c r="V52" s="582"/>
      <c r="W52" s="581"/>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row>
    <row r="53" spans="1:57" ht="15.75" customHeight="1">
      <c r="A53" s="430"/>
      <c r="B53" s="670"/>
      <c r="C53" s="430"/>
      <c r="D53" s="430"/>
      <c r="E53" s="430"/>
      <c r="F53" s="430"/>
      <c r="G53" s="430"/>
      <c r="H53" s="430"/>
      <c r="I53" s="430"/>
      <c r="J53" s="581"/>
      <c r="K53" s="581"/>
      <c r="L53" s="582"/>
      <c r="M53" s="581"/>
      <c r="N53" s="430"/>
      <c r="O53" s="430"/>
      <c r="P53" s="430"/>
      <c r="Q53" s="430"/>
      <c r="R53" s="430"/>
      <c r="S53" s="581"/>
      <c r="T53" s="581"/>
      <c r="U53" s="581"/>
      <c r="V53" s="582"/>
      <c r="W53" s="581"/>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row>
    <row r="54" spans="1:57" ht="15.75" customHeight="1">
      <c r="A54" s="430"/>
      <c r="B54" s="670"/>
      <c r="C54" s="430"/>
      <c r="D54" s="430"/>
      <c r="E54" s="430"/>
      <c r="F54" s="430"/>
      <c r="G54" s="430"/>
      <c r="H54" s="430"/>
      <c r="I54" s="430"/>
      <c r="J54" s="581"/>
      <c r="K54" s="581"/>
      <c r="L54" s="582"/>
      <c r="M54" s="581"/>
      <c r="N54" s="430"/>
      <c r="O54" s="430"/>
      <c r="P54" s="430"/>
      <c r="Q54" s="430"/>
      <c r="R54" s="430"/>
      <c r="S54" s="581"/>
      <c r="T54" s="581"/>
      <c r="U54" s="581"/>
      <c r="V54" s="582"/>
      <c r="W54" s="581"/>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row>
    <row r="55" spans="1:57" ht="15.75" customHeight="1">
      <c r="A55" s="430"/>
      <c r="B55" s="670"/>
      <c r="C55" s="430"/>
      <c r="D55" s="430"/>
      <c r="E55" s="430"/>
      <c r="F55" s="430"/>
      <c r="G55" s="430"/>
      <c r="H55" s="430"/>
      <c r="I55" s="430"/>
      <c r="J55" s="581"/>
      <c r="K55" s="581"/>
      <c r="L55" s="582"/>
      <c r="M55" s="581"/>
      <c r="N55" s="430"/>
      <c r="O55" s="430"/>
      <c r="P55" s="430"/>
      <c r="Q55" s="430"/>
      <c r="R55" s="430"/>
      <c r="S55" s="581"/>
      <c r="T55" s="581"/>
      <c r="U55" s="581"/>
      <c r="V55" s="582"/>
      <c r="W55" s="581"/>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row>
    <row r="56" spans="1:57" ht="15.75" customHeight="1">
      <c r="A56" s="430"/>
      <c r="B56" s="670"/>
      <c r="C56" s="430"/>
      <c r="D56" s="430"/>
      <c r="E56" s="430"/>
      <c r="F56" s="430"/>
      <c r="G56" s="430"/>
      <c r="H56" s="430"/>
      <c r="I56" s="430"/>
      <c r="J56" s="581"/>
      <c r="K56" s="581"/>
      <c r="L56" s="582"/>
      <c r="M56" s="581"/>
      <c r="N56" s="430"/>
      <c r="O56" s="430"/>
      <c r="P56" s="430"/>
      <c r="Q56" s="430"/>
      <c r="R56" s="430"/>
      <c r="S56" s="581"/>
      <c r="T56" s="581"/>
      <c r="U56" s="581"/>
      <c r="V56" s="582"/>
      <c r="W56" s="581"/>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row>
    <row r="57" spans="1:57" ht="15.75" customHeight="1">
      <c r="A57" s="430"/>
      <c r="B57" s="670"/>
      <c r="C57" s="430"/>
      <c r="D57" s="430"/>
      <c r="E57" s="430"/>
      <c r="F57" s="430"/>
      <c r="G57" s="430"/>
      <c r="H57" s="430"/>
      <c r="I57" s="430"/>
      <c r="J57" s="581"/>
      <c r="K57" s="581"/>
      <c r="L57" s="582"/>
      <c r="M57" s="581"/>
      <c r="N57" s="430"/>
      <c r="O57" s="430"/>
      <c r="P57" s="430"/>
      <c r="Q57" s="430"/>
      <c r="R57" s="430"/>
      <c r="S57" s="581"/>
      <c r="T57" s="581"/>
      <c r="U57" s="581"/>
      <c r="V57" s="582"/>
      <c r="W57" s="581"/>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row>
    <row r="58" spans="1:57" ht="15.75" customHeight="1">
      <c r="A58" s="430"/>
      <c r="B58" s="670"/>
      <c r="C58" s="430"/>
      <c r="D58" s="430"/>
      <c r="E58" s="430"/>
      <c r="F58" s="430"/>
      <c r="G58" s="430"/>
      <c r="H58" s="430"/>
      <c r="I58" s="430"/>
      <c r="J58" s="581"/>
      <c r="K58" s="581"/>
      <c r="L58" s="582"/>
      <c r="M58" s="581"/>
      <c r="N58" s="430"/>
      <c r="O58" s="430"/>
      <c r="P58" s="430"/>
      <c r="Q58" s="430"/>
      <c r="R58" s="430"/>
      <c r="S58" s="581"/>
      <c r="T58" s="581"/>
      <c r="U58" s="581"/>
      <c r="V58" s="582"/>
      <c r="W58" s="581"/>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row>
    <row r="59" spans="1:57" ht="15.75" customHeight="1">
      <c r="A59" s="430"/>
      <c r="B59" s="670"/>
      <c r="C59" s="430"/>
      <c r="D59" s="430"/>
      <c r="E59" s="430"/>
      <c r="F59" s="430"/>
      <c r="G59" s="430"/>
      <c r="H59" s="430"/>
      <c r="I59" s="430"/>
      <c r="J59" s="581"/>
      <c r="K59" s="581"/>
      <c r="L59" s="582"/>
      <c r="M59" s="581"/>
      <c r="N59" s="430"/>
      <c r="O59" s="430"/>
      <c r="P59" s="430"/>
      <c r="Q59" s="430"/>
      <c r="R59" s="430"/>
      <c r="S59" s="581"/>
      <c r="T59" s="581"/>
      <c r="U59" s="581"/>
      <c r="V59" s="582"/>
      <c r="W59" s="581"/>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row>
    <row r="60" spans="1:57" ht="15.75" customHeight="1">
      <c r="A60" s="430"/>
      <c r="B60" s="670"/>
      <c r="C60" s="430"/>
      <c r="D60" s="430"/>
      <c r="E60" s="430"/>
      <c r="F60" s="430"/>
      <c r="G60" s="430"/>
      <c r="H60" s="430"/>
      <c r="I60" s="430"/>
      <c r="J60" s="581"/>
      <c r="K60" s="581"/>
      <c r="L60" s="582"/>
      <c r="M60" s="581"/>
      <c r="N60" s="430"/>
      <c r="O60" s="430"/>
      <c r="P60" s="430"/>
      <c r="Q60" s="430"/>
      <c r="R60" s="430"/>
      <c r="S60" s="581"/>
      <c r="T60" s="581"/>
      <c r="U60" s="581"/>
      <c r="V60" s="582"/>
      <c r="W60" s="581"/>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row>
    <row r="61" spans="1:57" ht="15.75" customHeight="1">
      <c r="A61" s="430"/>
      <c r="B61" s="670"/>
      <c r="C61" s="430"/>
      <c r="D61" s="430"/>
      <c r="E61" s="430"/>
      <c r="F61" s="430"/>
      <c r="G61" s="430"/>
      <c r="H61" s="430"/>
      <c r="I61" s="430"/>
      <c r="J61" s="581"/>
      <c r="K61" s="581"/>
      <c r="L61" s="582"/>
      <c r="M61" s="581"/>
      <c r="N61" s="430"/>
      <c r="O61" s="430"/>
      <c r="P61" s="430"/>
      <c r="Q61" s="430"/>
      <c r="R61" s="430"/>
      <c r="S61" s="581"/>
      <c r="T61" s="581"/>
      <c r="U61" s="581"/>
      <c r="V61" s="582"/>
      <c r="W61" s="581"/>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row>
    <row r="62" spans="1:57" ht="15.75" customHeight="1">
      <c r="A62" s="430"/>
      <c r="B62" s="430"/>
      <c r="C62" s="430"/>
      <c r="D62" s="430"/>
      <c r="E62" s="430"/>
      <c r="F62" s="430"/>
      <c r="G62" s="430"/>
      <c r="H62" s="430"/>
      <c r="I62" s="430"/>
      <c r="J62" s="581"/>
      <c r="K62" s="581"/>
      <c r="L62" s="582"/>
      <c r="M62" s="581"/>
      <c r="N62" s="430"/>
      <c r="O62" s="430"/>
      <c r="P62" s="430"/>
      <c r="Q62" s="430"/>
      <c r="R62" s="430"/>
      <c r="S62" s="581"/>
      <c r="T62" s="581"/>
      <c r="U62" s="581"/>
      <c r="V62" s="582"/>
      <c r="W62" s="581"/>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row>
    <row r="63" spans="1:57" ht="15.75" customHeight="1">
      <c r="A63" s="430"/>
      <c r="B63" s="430"/>
      <c r="C63" s="430"/>
      <c r="D63" s="430"/>
      <c r="E63" s="430"/>
      <c r="F63" s="430"/>
      <c r="G63" s="430"/>
      <c r="H63" s="430"/>
      <c r="I63" s="430"/>
      <c r="J63" s="581"/>
      <c r="K63" s="581"/>
      <c r="L63" s="582"/>
      <c r="M63" s="581"/>
      <c r="N63" s="430"/>
      <c r="O63" s="430"/>
      <c r="P63" s="430"/>
      <c r="Q63" s="430"/>
      <c r="R63" s="430"/>
      <c r="S63" s="581"/>
      <c r="T63" s="581"/>
      <c r="U63" s="581"/>
      <c r="V63" s="582"/>
      <c r="W63" s="581"/>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row>
    <row r="64" spans="1:57" ht="15.75" customHeight="1">
      <c r="A64" s="430"/>
      <c r="B64" s="430"/>
      <c r="C64" s="430"/>
      <c r="D64" s="430"/>
      <c r="E64" s="430"/>
      <c r="F64" s="430"/>
      <c r="G64" s="430"/>
      <c r="H64" s="430"/>
      <c r="I64" s="430"/>
      <c r="J64" s="581"/>
      <c r="K64" s="581"/>
      <c r="L64" s="582"/>
      <c r="M64" s="581"/>
      <c r="N64" s="430"/>
      <c r="O64" s="430"/>
      <c r="P64" s="430"/>
      <c r="Q64" s="430"/>
      <c r="R64" s="430"/>
      <c r="S64" s="581"/>
      <c r="T64" s="581"/>
      <c r="U64" s="581"/>
      <c r="V64" s="582"/>
      <c r="W64" s="581"/>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row>
    <row r="65" spans="1:57" ht="15.75" customHeight="1">
      <c r="A65" s="430"/>
      <c r="B65" s="430"/>
      <c r="C65" s="430"/>
      <c r="D65" s="430"/>
      <c r="E65" s="430"/>
      <c r="F65" s="430"/>
      <c r="G65" s="430"/>
      <c r="H65" s="430"/>
      <c r="I65" s="430"/>
      <c r="J65" s="581"/>
      <c r="K65" s="581"/>
      <c r="L65" s="582"/>
      <c r="M65" s="581"/>
      <c r="N65" s="430"/>
      <c r="O65" s="430"/>
      <c r="P65" s="430"/>
      <c r="Q65" s="430"/>
      <c r="R65" s="430"/>
      <c r="S65" s="581"/>
      <c r="T65" s="581"/>
      <c r="U65" s="581"/>
      <c r="V65" s="582"/>
      <c r="W65" s="581"/>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row>
    <row r="66" spans="1:57" ht="15.75" customHeight="1">
      <c r="A66" s="430"/>
      <c r="B66" s="430"/>
      <c r="C66" s="430"/>
      <c r="D66" s="430"/>
      <c r="E66" s="430"/>
      <c r="F66" s="430"/>
      <c r="G66" s="430"/>
      <c r="H66" s="430"/>
      <c r="I66" s="430"/>
      <c r="J66" s="581"/>
      <c r="K66" s="581"/>
      <c r="L66" s="582"/>
      <c r="M66" s="581"/>
      <c r="N66" s="430"/>
      <c r="O66" s="430"/>
      <c r="P66" s="430"/>
      <c r="Q66" s="430"/>
      <c r="R66" s="430"/>
      <c r="S66" s="581"/>
      <c r="T66" s="581"/>
      <c r="U66" s="581"/>
      <c r="V66" s="582"/>
      <c r="W66" s="581"/>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row>
    <row r="67" spans="1:57" ht="15.75" customHeight="1">
      <c r="A67" s="430"/>
      <c r="B67" s="430"/>
      <c r="C67" s="430"/>
      <c r="D67" s="430"/>
      <c r="E67" s="430"/>
      <c r="F67" s="430"/>
      <c r="G67" s="430"/>
      <c r="H67" s="430"/>
      <c r="I67" s="430"/>
      <c r="J67" s="581"/>
      <c r="K67" s="581"/>
      <c r="L67" s="582"/>
      <c r="M67" s="581"/>
      <c r="N67" s="430"/>
      <c r="O67" s="430"/>
      <c r="P67" s="430"/>
      <c r="Q67" s="430"/>
      <c r="R67" s="430"/>
      <c r="S67" s="581"/>
      <c r="T67" s="581"/>
      <c r="U67" s="581"/>
      <c r="V67" s="582"/>
      <c r="W67" s="581"/>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row>
    <row r="68" spans="1:57" ht="15.75" customHeight="1">
      <c r="A68" s="430"/>
      <c r="B68" s="430"/>
      <c r="C68" s="430"/>
      <c r="D68" s="430"/>
      <c r="E68" s="430"/>
      <c r="F68" s="430"/>
      <c r="G68" s="430"/>
      <c r="H68" s="430"/>
      <c r="I68" s="430"/>
      <c r="J68" s="581"/>
      <c r="K68" s="581"/>
      <c r="L68" s="582"/>
      <c r="M68" s="581"/>
      <c r="N68" s="430"/>
      <c r="O68" s="430"/>
      <c r="P68" s="430"/>
      <c r="Q68" s="430"/>
      <c r="R68" s="430"/>
      <c r="S68" s="581"/>
      <c r="T68" s="581"/>
      <c r="U68" s="581"/>
      <c r="V68" s="582"/>
      <c r="W68" s="581"/>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row>
    <row r="69" spans="1:57" ht="15.75" customHeight="1">
      <c r="A69" s="430"/>
      <c r="B69" s="430"/>
      <c r="C69" s="430"/>
      <c r="D69" s="430"/>
      <c r="E69" s="430"/>
      <c r="F69" s="430"/>
      <c r="G69" s="430"/>
      <c r="H69" s="430"/>
      <c r="I69" s="430"/>
      <c r="J69" s="581"/>
      <c r="K69" s="581"/>
      <c r="L69" s="582"/>
      <c r="M69" s="581"/>
      <c r="N69" s="430"/>
      <c r="O69" s="430"/>
      <c r="P69" s="430"/>
      <c r="Q69" s="430"/>
      <c r="R69" s="430"/>
      <c r="S69" s="581"/>
      <c r="T69" s="581"/>
      <c r="U69" s="581"/>
      <c r="V69" s="582"/>
      <c r="W69" s="581"/>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row>
    <row r="70" spans="1:57" ht="15.75" customHeight="1">
      <c r="A70" s="430"/>
      <c r="B70" s="430"/>
      <c r="C70" s="430"/>
      <c r="D70" s="430"/>
      <c r="E70" s="430"/>
      <c r="F70" s="430"/>
      <c r="G70" s="430"/>
      <c r="H70" s="430"/>
      <c r="I70" s="430"/>
      <c r="J70" s="581"/>
      <c r="K70" s="581"/>
      <c r="L70" s="582"/>
      <c r="M70" s="581"/>
      <c r="N70" s="430"/>
      <c r="O70" s="430"/>
      <c r="P70" s="430"/>
      <c r="Q70" s="430"/>
      <c r="R70" s="430"/>
      <c r="S70" s="581"/>
      <c r="T70" s="581"/>
      <c r="U70" s="581"/>
      <c r="V70" s="582"/>
      <c r="W70" s="581"/>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row>
    <row r="71" spans="1:57" ht="15.75" customHeight="1">
      <c r="A71" s="430"/>
      <c r="B71" s="430"/>
      <c r="C71" s="430"/>
      <c r="D71" s="430"/>
      <c r="E71" s="430"/>
      <c r="F71" s="430"/>
      <c r="G71" s="430"/>
      <c r="H71" s="430"/>
      <c r="I71" s="430"/>
      <c r="J71" s="581"/>
      <c r="K71" s="581"/>
      <c r="L71" s="582"/>
      <c r="M71" s="581"/>
      <c r="N71" s="430"/>
      <c r="O71" s="430"/>
      <c r="P71" s="430"/>
      <c r="Q71" s="430"/>
      <c r="R71" s="430"/>
      <c r="S71" s="581"/>
      <c r="T71" s="581"/>
      <c r="U71" s="581"/>
      <c r="V71" s="582"/>
      <c r="W71" s="581"/>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row>
    <row r="72" spans="1:57" ht="15.75" customHeight="1">
      <c r="A72" s="430"/>
      <c r="B72" s="430"/>
      <c r="C72" s="430"/>
      <c r="D72" s="430"/>
      <c r="E72" s="430"/>
      <c r="F72" s="430"/>
      <c r="G72" s="430"/>
      <c r="H72" s="430"/>
      <c r="I72" s="430"/>
      <c r="J72" s="581"/>
      <c r="K72" s="581"/>
      <c r="L72" s="582"/>
      <c r="M72" s="581"/>
      <c r="N72" s="430"/>
      <c r="O72" s="430"/>
      <c r="P72" s="430"/>
      <c r="Q72" s="430"/>
      <c r="R72" s="430"/>
      <c r="S72" s="581"/>
      <c r="T72" s="581"/>
      <c r="U72" s="581"/>
      <c r="V72" s="582"/>
      <c r="W72" s="581"/>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row>
    <row r="73" spans="1:57" ht="15.75" customHeight="1">
      <c r="A73" s="430"/>
      <c r="B73" s="430"/>
      <c r="C73" s="430"/>
      <c r="D73" s="430"/>
      <c r="E73" s="430"/>
      <c r="F73" s="430"/>
      <c r="G73" s="430"/>
      <c r="H73" s="430"/>
      <c r="I73" s="430"/>
      <c r="J73" s="581"/>
      <c r="K73" s="581"/>
      <c r="L73" s="582"/>
      <c r="M73" s="581"/>
      <c r="N73" s="430"/>
      <c r="O73" s="430"/>
      <c r="P73" s="430"/>
      <c r="Q73" s="430"/>
      <c r="R73" s="430"/>
      <c r="S73" s="581"/>
      <c r="T73" s="581"/>
      <c r="U73" s="581"/>
      <c r="V73" s="582"/>
      <c r="W73" s="581"/>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0"/>
      <c r="BB73" s="430"/>
      <c r="BC73" s="430"/>
      <c r="BD73" s="430"/>
      <c r="BE73" s="430"/>
    </row>
    <row r="74" spans="1:57" ht="15.75" customHeight="1">
      <c r="A74" s="430"/>
      <c r="B74" s="430"/>
      <c r="C74" s="430"/>
      <c r="D74" s="430"/>
      <c r="E74" s="430"/>
      <c r="F74" s="430"/>
      <c r="G74" s="430"/>
      <c r="H74" s="430"/>
      <c r="I74" s="430"/>
      <c r="J74" s="581"/>
      <c r="K74" s="581"/>
      <c r="L74" s="582"/>
      <c r="M74" s="581"/>
      <c r="N74" s="430"/>
      <c r="O74" s="430"/>
      <c r="P74" s="430"/>
      <c r="Q74" s="430"/>
      <c r="R74" s="430"/>
      <c r="S74" s="581"/>
      <c r="T74" s="581"/>
      <c r="U74" s="581"/>
      <c r="V74" s="582"/>
      <c r="W74" s="581"/>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row>
    <row r="75" spans="1:57" ht="15.75" customHeight="1">
      <c r="A75" s="430"/>
      <c r="B75" s="430"/>
      <c r="C75" s="430"/>
      <c r="D75" s="430"/>
      <c r="E75" s="430"/>
      <c r="F75" s="430"/>
      <c r="G75" s="430"/>
      <c r="H75" s="430"/>
      <c r="I75" s="430"/>
      <c r="J75" s="581"/>
      <c r="K75" s="581"/>
      <c r="L75" s="582"/>
      <c r="M75" s="581"/>
      <c r="N75" s="430"/>
      <c r="O75" s="430"/>
      <c r="P75" s="430"/>
      <c r="Q75" s="430"/>
      <c r="R75" s="430"/>
      <c r="S75" s="581"/>
      <c r="T75" s="581"/>
      <c r="U75" s="581"/>
      <c r="V75" s="582"/>
      <c r="W75" s="581"/>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row>
    <row r="76" spans="1:57" ht="15.75" customHeight="1">
      <c r="A76" s="430"/>
      <c r="B76" s="430"/>
      <c r="C76" s="430"/>
      <c r="D76" s="430"/>
      <c r="E76" s="430"/>
      <c r="F76" s="430"/>
      <c r="G76" s="430"/>
      <c r="H76" s="430"/>
      <c r="I76" s="430"/>
      <c r="J76" s="581"/>
      <c r="K76" s="581"/>
      <c r="L76" s="582"/>
      <c r="M76" s="581"/>
      <c r="N76" s="430"/>
      <c r="O76" s="430"/>
      <c r="P76" s="430"/>
      <c r="Q76" s="430"/>
      <c r="R76" s="430"/>
      <c r="S76" s="581"/>
      <c r="T76" s="581"/>
      <c r="U76" s="581"/>
      <c r="V76" s="582"/>
      <c r="W76" s="581"/>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0"/>
      <c r="AY76" s="430"/>
      <c r="AZ76" s="430"/>
      <c r="BA76" s="430"/>
      <c r="BB76" s="430"/>
      <c r="BC76" s="430"/>
      <c r="BD76" s="430"/>
      <c r="BE76" s="430"/>
    </row>
    <row r="77" spans="1:57" ht="15.75" customHeight="1">
      <c r="A77" s="430"/>
      <c r="B77" s="430"/>
      <c r="C77" s="430"/>
      <c r="D77" s="430"/>
      <c r="E77" s="430"/>
      <c r="F77" s="430"/>
      <c r="G77" s="430"/>
      <c r="H77" s="430"/>
      <c r="I77" s="430"/>
      <c r="J77" s="581"/>
      <c r="K77" s="581"/>
      <c r="L77" s="582"/>
      <c r="M77" s="581"/>
      <c r="N77" s="430"/>
      <c r="O77" s="430"/>
      <c r="P77" s="430"/>
      <c r="Q77" s="430"/>
      <c r="R77" s="430"/>
      <c r="S77" s="581"/>
      <c r="T77" s="581"/>
      <c r="U77" s="581"/>
      <c r="V77" s="582"/>
      <c r="W77" s="581"/>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row>
    <row r="78" spans="1:57" ht="15.75" customHeight="1">
      <c r="A78" s="430"/>
      <c r="B78" s="430"/>
      <c r="C78" s="430"/>
      <c r="D78" s="430"/>
      <c r="E78" s="430"/>
      <c r="F78" s="430"/>
      <c r="G78" s="430"/>
      <c r="H78" s="430"/>
      <c r="I78" s="430"/>
      <c r="J78" s="581"/>
      <c r="K78" s="581"/>
      <c r="L78" s="582"/>
      <c r="M78" s="581"/>
      <c r="N78" s="430"/>
      <c r="O78" s="430"/>
      <c r="P78" s="430"/>
      <c r="Q78" s="430"/>
      <c r="R78" s="430"/>
      <c r="S78" s="581"/>
      <c r="T78" s="581"/>
      <c r="U78" s="581"/>
      <c r="V78" s="582"/>
      <c r="W78" s="581"/>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30"/>
      <c r="AZ78" s="430"/>
      <c r="BA78" s="430"/>
      <c r="BB78" s="430"/>
      <c r="BC78" s="430"/>
      <c r="BD78" s="430"/>
      <c r="BE78" s="430"/>
    </row>
    <row r="79" spans="1:57" ht="15.75" customHeight="1">
      <c r="A79" s="430"/>
      <c r="B79" s="430"/>
      <c r="C79" s="430"/>
      <c r="D79" s="430"/>
      <c r="E79" s="430"/>
      <c r="F79" s="430"/>
      <c r="G79" s="430"/>
      <c r="H79" s="430"/>
      <c r="I79" s="430"/>
      <c r="J79" s="581"/>
      <c r="K79" s="581"/>
      <c r="L79" s="582"/>
      <c r="M79" s="581"/>
      <c r="N79" s="430"/>
      <c r="O79" s="430"/>
      <c r="P79" s="430"/>
      <c r="Q79" s="430"/>
      <c r="R79" s="430"/>
      <c r="S79" s="581"/>
      <c r="T79" s="581"/>
      <c r="U79" s="581"/>
      <c r="V79" s="582"/>
      <c r="W79" s="581"/>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0"/>
      <c r="BB79" s="430"/>
      <c r="BC79" s="430"/>
      <c r="BD79" s="430"/>
      <c r="BE79" s="430"/>
    </row>
    <row r="80" spans="1:57" ht="15.75" customHeight="1">
      <c r="A80" s="430"/>
      <c r="B80" s="430"/>
      <c r="C80" s="430"/>
      <c r="D80" s="430"/>
      <c r="E80" s="430"/>
      <c r="F80" s="430"/>
      <c r="G80" s="430"/>
      <c r="H80" s="430"/>
      <c r="I80" s="430"/>
      <c r="J80" s="581"/>
      <c r="K80" s="581"/>
      <c r="L80" s="582"/>
      <c r="M80" s="581"/>
      <c r="N80" s="430"/>
      <c r="O80" s="430"/>
      <c r="P80" s="430"/>
      <c r="Q80" s="430"/>
      <c r="R80" s="430"/>
      <c r="S80" s="581"/>
      <c r="T80" s="581"/>
      <c r="U80" s="581"/>
      <c r="V80" s="582"/>
      <c r="W80" s="581"/>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0"/>
      <c r="AY80" s="430"/>
      <c r="AZ80" s="430"/>
      <c r="BA80" s="430"/>
      <c r="BB80" s="430"/>
      <c r="BC80" s="430"/>
      <c r="BD80" s="430"/>
      <c r="BE80" s="430"/>
    </row>
    <row r="81" spans="1:57" ht="15.75" customHeight="1">
      <c r="A81" s="430"/>
      <c r="B81" s="430"/>
      <c r="C81" s="430"/>
      <c r="D81" s="430"/>
      <c r="E81" s="430"/>
      <c r="F81" s="430"/>
      <c r="G81" s="430"/>
      <c r="H81" s="430"/>
      <c r="I81" s="430"/>
      <c r="J81" s="581"/>
      <c r="K81" s="581"/>
      <c r="L81" s="582"/>
      <c r="M81" s="581"/>
      <c r="N81" s="430"/>
      <c r="O81" s="430"/>
      <c r="P81" s="430"/>
      <c r="Q81" s="430"/>
      <c r="R81" s="430"/>
      <c r="S81" s="581"/>
      <c r="T81" s="581"/>
      <c r="U81" s="581"/>
      <c r="V81" s="582"/>
      <c r="W81" s="581"/>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430"/>
      <c r="BA81" s="430"/>
      <c r="BB81" s="430"/>
      <c r="BC81" s="430"/>
      <c r="BD81" s="430"/>
      <c r="BE81" s="430"/>
    </row>
    <row r="82" spans="1:57" ht="15.75" customHeight="1">
      <c r="A82" s="430"/>
      <c r="B82" s="430"/>
      <c r="C82" s="430"/>
      <c r="D82" s="430"/>
      <c r="E82" s="430"/>
      <c r="F82" s="430"/>
      <c r="G82" s="430"/>
      <c r="H82" s="430"/>
      <c r="I82" s="430"/>
      <c r="J82" s="581"/>
      <c r="K82" s="581"/>
      <c r="L82" s="582"/>
      <c r="M82" s="581"/>
      <c r="N82" s="430"/>
      <c r="O82" s="430"/>
      <c r="P82" s="430"/>
      <c r="Q82" s="430"/>
      <c r="R82" s="430"/>
      <c r="S82" s="581"/>
      <c r="T82" s="581"/>
      <c r="U82" s="581"/>
      <c r="V82" s="582"/>
      <c r="W82" s="581"/>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30"/>
      <c r="AZ82" s="430"/>
      <c r="BA82" s="430"/>
      <c r="BB82" s="430"/>
      <c r="BC82" s="430"/>
      <c r="BD82" s="430"/>
      <c r="BE82" s="430"/>
    </row>
    <row r="83" spans="1:57" ht="15.75" customHeight="1">
      <c r="A83" s="430"/>
      <c r="B83" s="430"/>
      <c r="C83" s="430"/>
      <c r="D83" s="430"/>
      <c r="E83" s="430"/>
      <c r="F83" s="430"/>
      <c r="G83" s="430"/>
      <c r="H83" s="430"/>
      <c r="I83" s="430"/>
      <c r="J83" s="581"/>
      <c r="K83" s="581"/>
      <c r="L83" s="582"/>
      <c r="M83" s="581"/>
      <c r="N83" s="430"/>
      <c r="O83" s="430"/>
      <c r="P83" s="430"/>
      <c r="Q83" s="430"/>
      <c r="R83" s="430"/>
      <c r="S83" s="581"/>
      <c r="T83" s="581"/>
      <c r="U83" s="581"/>
      <c r="V83" s="582"/>
      <c r="W83" s="581"/>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row>
    <row r="84" spans="1:57" ht="15.75" customHeight="1">
      <c r="A84" s="430"/>
      <c r="B84" s="430"/>
      <c r="C84" s="430"/>
      <c r="D84" s="430"/>
      <c r="E84" s="430"/>
      <c r="F84" s="430"/>
      <c r="G84" s="430"/>
      <c r="H84" s="430"/>
      <c r="I84" s="430"/>
      <c r="J84" s="581"/>
      <c r="K84" s="581"/>
      <c r="L84" s="582"/>
      <c r="M84" s="581"/>
      <c r="N84" s="430"/>
      <c r="O84" s="430"/>
      <c r="P84" s="430"/>
      <c r="Q84" s="430"/>
      <c r="R84" s="430"/>
      <c r="S84" s="581"/>
      <c r="T84" s="581"/>
      <c r="U84" s="581"/>
      <c r="V84" s="582"/>
      <c r="W84" s="581"/>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row>
    <row r="85" spans="1:57" ht="15.75" customHeight="1">
      <c r="A85" s="430"/>
      <c r="B85" s="430"/>
      <c r="C85" s="430"/>
      <c r="D85" s="430"/>
      <c r="E85" s="430"/>
      <c r="F85" s="430"/>
      <c r="G85" s="430"/>
      <c r="H85" s="430"/>
      <c r="I85" s="430"/>
      <c r="J85" s="581"/>
      <c r="K85" s="581"/>
      <c r="L85" s="582"/>
      <c r="M85" s="581"/>
      <c r="N85" s="430"/>
      <c r="O85" s="430"/>
      <c r="P85" s="430"/>
      <c r="Q85" s="430"/>
      <c r="R85" s="430"/>
      <c r="S85" s="581"/>
      <c r="T85" s="581"/>
      <c r="U85" s="581"/>
      <c r="V85" s="582"/>
      <c r="W85" s="581"/>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row>
    <row r="86" spans="1:57" ht="15.75" customHeight="1">
      <c r="A86" s="430"/>
      <c r="B86" s="430"/>
      <c r="C86" s="430"/>
      <c r="D86" s="430"/>
      <c r="E86" s="430"/>
      <c r="F86" s="430"/>
      <c r="G86" s="430"/>
      <c r="H86" s="430"/>
      <c r="I86" s="430"/>
      <c r="J86" s="581"/>
      <c r="K86" s="581"/>
      <c r="L86" s="582"/>
      <c r="M86" s="581"/>
      <c r="N86" s="430"/>
      <c r="O86" s="430"/>
      <c r="P86" s="430"/>
      <c r="Q86" s="430"/>
      <c r="R86" s="430"/>
      <c r="S86" s="581"/>
      <c r="T86" s="581"/>
      <c r="U86" s="581"/>
      <c r="V86" s="582"/>
      <c r="W86" s="581"/>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0"/>
      <c r="BD86" s="430"/>
      <c r="BE86" s="430"/>
    </row>
    <row r="87" spans="1:57" ht="15.75" customHeight="1">
      <c r="A87" s="430"/>
      <c r="B87" s="430"/>
      <c r="C87" s="430"/>
      <c r="D87" s="430"/>
      <c r="E87" s="430"/>
      <c r="F87" s="430"/>
      <c r="G87" s="430"/>
      <c r="H87" s="430"/>
      <c r="I87" s="430"/>
      <c r="J87" s="581"/>
      <c r="K87" s="581"/>
      <c r="L87" s="582"/>
      <c r="M87" s="581"/>
      <c r="N87" s="430"/>
      <c r="O87" s="430"/>
      <c r="P87" s="430"/>
      <c r="Q87" s="430"/>
      <c r="R87" s="430"/>
      <c r="S87" s="581"/>
      <c r="T87" s="581"/>
      <c r="U87" s="581"/>
      <c r="V87" s="582"/>
      <c r="W87" s="581"/>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row>
    <row r="88" spans="1:57" ht="15.75" customHeight="1">
      <c r="A88" s="430"/>
      <c r="B88" s="430"/>
      <c r="C88" s="430"/>
      <c r="D88" s="430"/>
      <c r="E88" s="430"/>
      <c r="F88" s="430"/>
      <c r="G88" s="430"/>
      <c r="H88" s="430"/>
      <c r="I88" s="430"/>
      <c r="J88" s="581"/>
      <c r="K88" s="581"/>
      <c r="L88" s="582"/>
      <c r="M88" s="581"/>
      <c r="N88" s="430"/>
      <c r="O88" s="430"/>
      <c r="P88" s="430"/>
      <c r="Q88" s="430"/>
      <c r="R88" s="430"/>
      <c r="S88" s="581"/>
      <c r="T88" s="581"/>
      <c r="U88" s="581"/>
      <c r="V88" s="582"/>
      <c r="W88" s="581"/>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0"/>
      <c r="AY88" s="430"/>
      <c r="AZ88" s="430"/>
      <c r="BA88" s="430"/>
      <c r="BB88" s="430"/>
      <c r="BC88" s="430"/>
      <c r="BD88" s="430"/>
      <c r="BE88" s="430"/>
    </row>
    <row r="89" spans="1:57" ht="15.75" customHeight="1">
      <c r="A89" s="430"/>
      <c r="B89" s="430"/>
      <c r="C89" s="430"/>
      <c r="D89" s="430"/>
      <c r="E89" s="430"/>
      <c r="F89" s="430"/>
      <c r="G89" s="430"/>
      <c r="H89" s="430"/>
      <c r="I89" s="430"/>
      <c r="J89" s="581"/>
      <c r="K89" s="581"/>
      <c r="L89" s="582"/>
      <c r="M89" s="581"/>
      <c r="N89" s="430"/>
      <c r="O89" s="430"/>
      <c r="P89" s="430"/>
      <c r="Q89" s="430"/>
      <c r="R89" s="430"/>
      <c r="S89" s="581"/>
      <c r="T89" s="581"/>
      <c r="U89" s="581"/>
      <c r="V89" s="582"/>
      <c r="W89" s="581"/>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0"/>
      <c r="AY89" s="430"/>
      <c r="AZ89" s="430"/>
      <c r="BA89" s="430"/>
      <c r="BB89" s="430"/>
      <c r="BC89" s="430"/>
      <c r="BD89" s="430"/>
      <c r="BE89" s="430"/>
    </row>
    <row r="90" spans="1:57" ht="15.75" customHeight="1">
      <c r="A90" s="430"/>
      <c r="B90" s="430"/>
      <c r="C90" s="430"/>
      <c r="D90" s="430"/>
      <c r="E90" s="430"/>
      <c r="F90" s="430"/>
      <c r="G90" s="430"/>
      <c r="H90" s="430"/>
      <c r="I90" s="430"/>
      <c r="J90" s="581"/>
      <c r="K90" s="581"/>
      <c r="L90" s="582"/>
      <c r="M90" s="581"/>
      <c r="N90" s="430"/>
      <c r="O90" s="430"/>
      <c r="P90" s="430"/>
      <c r="Q90" s="430"/>
      <c r="R90" s="430"/>
      <c r="S90" s="581"/>
      <c r="T90" s="581"/>
      <c r="U90" s="581"/>
      <c r="V90" s="582"/>
      <c r="W90" s="581"/>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0"/>
      <c r="AY90" s="430"/>
      <c r="AZ90" s="430"/>
      <c r="BA90" s="430"/>
      <c r="BB90" s="430"/>
      <c r="BC90" s="430"/>
      <c r="BD90" s="430"/>
      <c r="BE90" s="430"/>
    </row>
    <row r="91" spans="1:57" ht="15.75" customHeight="1">
      <c r="A91" s="430"/>
      <c r="B91" s="430"/>
      <c r="C91" s="430"/>
      <c r="D91" s="430"/>
      <c r="E91" s="430"/>
      <c r="F91" s="430"/>
      <c r="G91" s="430"/>
      <c r="H91" s="430"/>
      <c r="I91" s="430"/>
      <c r="J91" s="581"/>
      <c r="K91" s="581"/>
      <c r="L91" s="582"/>
      <c r="M91" s="581"/>
      <c r="N91" s="430"/>
      <c r="O91" s="430"/>
      <c r="P91" s="430"/>
      <c r="Q91" s="430"/>
      <c r="R91" s="430"/>
      <c r="S91" s="581"/>
      <c r="T91" s="581"/>
      <c r="U91" s="581"/>
      <c r="V91" s="582"/>
      <c r="W91" s="581"/>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0"/>
      <c r="AY91" s="430"/>
      <c r="AZ91" s="430"/>
      <c r="BA91" s="430"/>
      <c r="BB91" s="430"/>
      <c r="BC91" s="430"/>
      <c r="BD91" s="430"/>
      <c r="BE91" s="430"/>
    </row>
    <row r="92" spans="1:57" ht="15.75" customHeight="1">
      <c r="A92" s="430"/>
      <c r="B92" s="430"/>
      <c r="C92" s="430"/>
      <c r="D92" s="430"/>
      <c r="E92" s="430"/>
      <c r="F92" s="430"/>
      <c r="G92" s="430"/>
      <c r="H92" s="430"/>
      <c r="I92" s="430"/>
      <c r="J92" s="581"/>
      <c r="K92" s="581"/>
      <c r="L92" s="582"/>
      <c r="M92" s="581"/>
      <c r="N92" s="430"/>
      <c r="O92" s="430"/>
      <c r="P92" s="430"/>
      <c r="Q92" s="430"/>
      <c r="R92" s="430"/>
      <c r="S92" s="581"/>
      <c r="T92" s="581"/>
      <c r="U92" s="581"/>
      <c r="V92" s="582"/>
      <c r="W92" s="581"/>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0"/>
      <c r="AZ92" s="430"/>
      <c r="BA92" s="430"/>
      <c r="BB92" s="430"/>
      <c r="BC92" s="430"/>
      <c r="BD92" s="430"/>
      <c r="BE92" s="430"/>
    </row>
    <row r="93" spans="1:57" ht="15.75" customHeight="1">
      <c r="A93" s="430"/>
      <c r="B93" s="430"/>
      <c r="C93" s="430"/>
      <c r="D93" s="430"/>
      <c r="E93" s="430"/>
      <c r="F93" s="430"/>
      <c r="G93" s="430"/>
      <c r="H93" s="430"/>
      <c r="I93" s="430"/>
      <c r="J93" s="581"/>
      <c r="K93" s="581"/>
      <c r="L93" s="582"/>
      <c r="M93" s="581"/>
      <c r="N93" s="430"/>
      <c r="O93" s="430"/>
      <c r="P93" s="430"/>
      <c r="Q93" s="430"/>
      <c r="R93" s="430"/>
      <c r="S93" s="581"/>
      <c r="T93" s="581"/>
      <c r="U93" s="581"/>
      <c r="V93" s="582"/>
      <c r="W93" s="581"/>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0"/>
      <c r="BB93" s="430"/>
      <c r="BC93" s="430"/>
      <c r="BD93" s="430"/>
      <c r="BE93" s="430"/>
    </row>
    <row r="94" spans="1:57" ht="15.75" customHeight="1">
      <c r="A94" s="430"/>
      <c r="B94" s="430"/>
      <c r="C94" s="430"/>
      <c r="D94" s="430"/>
      <c r="E94" s="430"/>
      <c r="F94" s="430"/>
      <c r="G94" s="430"/>
      <c r="H94" s="430"/>
      <c r="I94" s="430"/>
      <c r="J94" s="581"/>
      <c r="K94" s="581"/>
      <c r="L94" s="582"/>
      <c r="M94" s="581"/>
      <c r="N94" s="430"/>
      <c r="O94" s="430"/>
      <c r="P94" s="430"/>
      <c r="Q94" s="430"/>
      <c r="R94" s="430"/>
      <c r="S94" s="581"/>
      <c r="T94" s="581"/>
      <c r="U94" s="581"/>
      <c r="V94" s="582"/>
      <c r="W94" s="581"/>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c r="BD94" s="430"/>
      <c r="BE94" s="430"/>
    </row>
    <row r="95" spans="1:57" ht="15.75" customHeight="1">
      <c r="A95" s="430"/>
      <c r="B95" s="430"/>
      <c r="C95" s="430"/>
      <c r="D95" s="430"/>
      <c r="E95" s="430"/>
      <c r="F95" s="430"/>
      <c r="G95" s="430"/>
      <c r="H95" s="430"/>
      <c r="I95" s="430"/>
      <c r="J95" s="581"/>
      <c r="K95" s="581"/>
      <c r="L95" s="582"/>
      <c r="M95" s="581"/>
      <c r="N95" s="430"/>
      <c r="O95" s="430"/>
      <c r="P95" s="430"/>
      <c r="Q95" s="430"/>
      <c r="R95" s="430"/>
      <c r="S95" s="581"/>
      <c r="T95" s="581"/>
      <c r="U95" s="581"/>
      <c r="V95" s="582"/>
      <c r="W95" s="581"/>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0"/>
      <c r="AY95" s="430"/>
      <c r="AZ95" s="430"/>
      <c r="BA95" s="430"/>
      <c r="BB95" s="430"/>
      <c r="BC95" s="430"/>
      <c r="BD95" s="430"/>
      <c r="BE95" s="430"/>
    </row>
    <row r="96" spans="1:57" ht="15.75" customHeight="1">
      <c r="A96" s="430"/>
      <c r="B96" s="430"/>
      <c r="C96" s="430"/>
      <c r="D96" s="430"/>
      <c r="E96" s="430"/>
      <c r="F96" s="430"/>
      <c r="G96" s="430"/>
      <c r="H96" s="430"/>
      <c r="I96" s="430"/>
      <c r="J96" s="581"/>
      <c r="K96" s="581"/>
      <c r="L96" s="582"/>
      <c r="M96" s="581"/>
      <c r="N96" s="430"/>
      <c r="O96" s="430"/>
      <c r="P96" s="430"/>
      <c r="Q96" s="430"/>
      <c r="R96" s="430"/>
      <c r="S96" s="581"/>
      <c r="T96" s="581"/>
      <c r="U96" s="581"/>
      <c r="V96" s="582"/>
      <c r="W96" s="581"/>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0"/>
      <c r="AY96" s="430"/>
      <c r="AZ96" s="430"/>
      <c r="BA96" s="430"/>
      <c r="BB96" s="430"/>
      <c r="BC96" s="430"/>
      <c r="BD96" s="430"/>
      <c r="BE96" s="430"/>
    </row>
    <row r="97" spans="1:57" ht="15.75" customHeight="1">
      <c r="A97" s="430"/>
      <c r="B97" s="430"/>
      <c r="C97" s="430"/>
      <c r="D97" s="430"/>
      <c r="E97" s="430"/>
      <c r="F97" s="430"/>
      <c r="G97" s="430"/>
      <c r="H97" s="430"/>
      <c r="I97" s="430"/>
      <c r="J97" s="581"/>
      <c r="K97" s="581"/>
      <c r="L97" s="582"/>
      <c r="M97" s="581"/>
      <c r="N97" s="430"/>
      <c r="O97" s="430"/>
      <c r="P97" s="430"/>
      <c r="Q97" s="430"/>
      <c r="R97" s="430"/>
      <c r="S97" s="581"/>
      <c r="T97" s="581"/>
      <c r="U97" s="581"/>
      <c r="V97" s="582"/>
      <c r="W97" s="581"/>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row>
    <row r="98" spans="1:57" ht="15.75" customHeight="1">
      <c r="A98" s="430"/>
      <c r="B98" s="430"/>
      <c r="C98" s="430"/>
      <c r="D98" s="430"/>
      <c r="E98" s="430"/>
      <c r="F98" s="430"/>
      <c r="G98" s="430"/>
      <c r="H98" s="430"/>
      <c r="I98" s="430"/>
      <c r="J98" s="581"/>
      <c r="K98" s="581"/>
      <c r="L98" s="582"/>
      <c r="M98" s="581"/>
      <c r="N98" s="430"/>
      <c r="O98" s="430"/>
      <c r="P98" s="430"/>
      <c r="Q98" s="430"/>
      <c r="R98" s="430"/>
      <c r="S98" s="581"/>
      <c r="T98" s="581"/>
      <c r="U98" s="581"/>
      <c r="V98" s="582"/>
      <c r="W98" s="581"/>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row>
    <row r="99" spans="1:57" ht="15.75" customHeight="1">
      <c r="A99" s="430"/>
      <c r="B99" s="430"/>
      <c r="C99" s="430"/>
      <c r="D99" s="430"/>
      <c r="E99" s="430"/>
      <c r="F99" s="430"/>
      <c r="G99" s="430"/>
      <c r="H99" s="430"/>
      <c r="I99" s="430"/>
      <c r="J99" s="581"/>
      <c r="K99" s="581"/>
      <c r="L99" s="582"/>
      <c r="M99" s="581"/>
      <c r="N99" s="430"/>
      <c r="O99" s="430"/>
      <c r="P99" s="430"/>
      <c r="Q99" s="430"/>
      <c r="R99" s="430"/>
      <c r="S99" s="581"/>
      <c r="T99" s="581"/>
      <c r="U99" s="581"/>
      <c r="V99" s="582"/>
      <c r="W99" s="581"/>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row>
    <row r="100" spans="1:57" ht="15.75" customHeight="1">
      <c r="A100" s="430"/>
      <c r="B100" s="430"/>
      <c r="C100" s="430"/>
      <c r="D100" s="430"/>
      <c r="E100" s="430"/>
      <c r="F100" s="430"/>
      <c r="G100" s="430"/>
      <c r="H100" s="430"/>
      <c r="I100" s="430"/>
      <c r="J100" s="581"/>
      <c r="K100" s="581"/>
      <c r="L100" s="582"/>
      <c r="M100" s="581"/>
      <c r="N100" s="430"/>
      <c r="O100" s="430"/>
      <c r="P100" s="430"/>
      <c r="Q100" s="430"/>
      <c r="R100" s="430"/>
      <c r="S100" s="581"/>
      <c r="T100" s="581"/>
      <c r="U100" s="581"/>
      <c r="V100" s="582"/>
      <c r="W100" s="581"/>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row>
    <row r="101" spans="1:57" ht="15.75" customHeight="1">
      <c r="A101" s="430"/>
      <c r="B101" s="430"/>
      <c r="C101" s="430"/>
      <c r="D101" s="430"/>
      <c r="E101" s="430"/>
      <c r="F101" s="430"/>
      <c r="G101" s="430"/>
      <c r="H101" s="430"/>
      <c r="I101" s="430"/>
      <c r="J101" s="581"/>
      <c r="K101" s="581"/>
      <c r="L101" s="582"/>
      <c r="M101" s="581"/>
      <c r="N101" s="430"/>
      <c r="O101" s="430"/>
      <c r="P101" s="430"/>
      <c r="Q101" s="430"/>
      <c r="R101" s="430"/>
      <c r="S101" s="581"/>
      <c r="T101" s="581"/>
      <c r="U101" s="581"/>
      <c r="V101" s="582"/>
      <c r="W101" s="581"/>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row>
    <row r="102" spans="1:57" ht="15.75" customHeight="1">
      <c r="A102" s="430"/>
      <c r="B102" s="430"/>
      <c r="C102" s="430"/>
      <c r="D102" s="430"/>
      <c r="E102" s="430"/>
      <c r="F102" s="430"/>
      <c r="G102" s="430"/>
      <c r="H102" s="430"/>
      <c r="I102" s="430"/>
      <c r="J102" s="581"/>
      <c r="K102" s="581"/>
      <c r="L102" s="582"/>
      <c r="M102" s="581"/>
      <c r="N102" s="430"/>
      <c r="O102" s="430"/>
      <c r="P102" s="430"/>
      <c r="Q102" s="430"/>
      <c r="R102" s="430"/>
      <c r="S102" s="581"/>
      <c r="T102" s="581"/>
      <c r="U102" s="581"/>
      <c r="V102" s="582"/>
      <c r="W102" s="581"/>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c r="AY102" s="430"/>
      <c r="AZ102" s="430"/>
      <c r="BA102" s="430"/>
      <c r="BB102" s="430"/>
      <c r="BC102" s="430"/>
      <c r="BD102" s="430"/>
      <c r="BE102" s="430"/>
    </row>
    <row r="103" spans="1:57" ht="15.75" customHeight="1">
      <c r="A103" s="430"/>
      <c r="B103" s="430"/>
      <c r="C103" s="430"/>
      <c r="D103" s="430"/>
      <c r="E103" s="430"/>
      <c r="F103" s="430"/>
      <c r="G103" s="430"/>
      <c r="H103" s="430"/>
      <c r="I103" s="430"/>
      <c r="J103" s="581"/>
      <c r="K103" s="581"/>
      <c r="L103" s="582"/>
      <c r="M103" s="581"/>
      <c r="N103" s="430"/>
      <c r="O103" s="430"/>
      <c r="P103" s="430"/>
      <c r="Q103" s="430"/>
      <c r="R103" s="430"/>
      <c r="S103" s="581"/>
      <c r="T103" s="581"/>
      <c r="U103" s="581"/>
      <c r="V103" s="582"/>
      <c r="W103" s="581"/>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0"/>
      <c r="AY103" s="430"/>
      <c r="AZ103" s="430"/>
      <c r="BA103" s="430"/>
      <c r="BB103" s="430"/>
      <c r="BC103" s="430"/>
      <c r="BD103" s="430"/>
      <c r="BE103" s="430"/>
    </row>
    <row r="104" spans="1:57" ht="15.75" customHeight="1">
      <c r="A104" s="430"/>
      <c r="B104" s="430"/>
      <c r="C104" s="430"/>
      <c r="D104" s="430"/>
      <c r="E104" s="430"/>
      <c r="F104" s="430"/>
      <c r="G104" s="430"/>
      <c r="H104" s="430"/>
      <c r="I104" s="430"/>
      <c r="J104" s="581"/>
      <c r="K104" s="581"/>
      <c r="L104" s="582"/>
      <c r="M104" s="581"/>
      <c r="N104" s="430"/>
      <c r="O104" s="430"/>
      <c r="P104" s="430"/>
      <c r="Q104" s="430"/>
      <c r="R104" s="430"/>
      <c r="S104" s="581"/>
      <c r="T104" s="581"/>
      <c r="U104" s="581"/>
      <c r="V104" s="582"/>
      <c r="W104" s="581"/>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row>
    <row r="105" spans="1:57" ht="15.75" customHeight="1">
      <c r="A105" s="430"/>
      <c r="B105" s="430"/>
      <c r="C105" s="430"/>
      <c r="D105" s="430"/>
      <c r="E105" s="430"/>
      <c r="F105" s="430"/>
      <c r="G105" s="430"/>
      <c r="H105" s="430"/>
      <c r="I105" s="430"/>
      <c r="J105" s="581"/>
      <c r="K105" s="581"/>
      <c r="L105" s="582"/>
      <c r="M105" s="581"/>
      <c r="N105" s="430"/>
      <c r="O105" s="430"/>
      <c r="P105" s="430"/>
      <c r="Q105" s="430"/>
      <c r="R105" s="430"/>
      <c r="S105" s="581"/>
      <c r="T105" s="581"/>
      <c r="U105" s="581"/>
      <c r="V105" s="582"/>
      <c r="W105" s="581"/>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row>
    <row r="106" spans="1:57" ht="15.75" customHeight="1">
      <c r="A106" s="430"/>
      <c r="B106" s="430"/>
      <c r="C106" s="430"/>
      <c r="D106" s="430"/>
      <c r="E106" s="430"/>
      <c r="F106" s="430"/>
      <c r="G106" s="430"/>
      <c r="H106" s="430"/>
      <c r="I106" s="430"/>
      <c r="J106" s="581"/>
      <c r="K106" s="581"/>
      <c r="L106" s="582"/>
      <c r="M106" s="581"/>
      <c r="N106" s="430"/>
      <c r="O106" s="430"/>
      <c r="P106" s="430"/>
      <c r="Q106" s="430"/>
      <c r="R106" s="430"/>
      <c r="S106" s="581"/>
      <c r="T106" s="581"/>
      <c r="U106" s="581"/>
      <c r="V106" s="582"/>
      <c r="W106" s="581"/>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row>
    <row r="107" spans="1:57" ht="15.75" customHeight="1">
      <c r="A107" s="430"/>
      <c r="B107" s="430"/>
      <c r="C107" s="430"/>
      <c r="D107" s="430"/>
      <c r="E107" s="430"/>
      <c r="F107" s="430"/>
      <c r="G107" s="430"/>
      <c r="H107" s="430"/>
      <c r="I107" s="430"/>
      <c r="J107" s="581"/>
      <c r="K107" s="581"/>
      <c r="L107" s="582"/>
      <c r="M107" s="581"/>
      <c r="N107" s="430"/>
      <c r="O107" s="430"/>
      <c r="P107" s="430"/>
      <c r="Q107" s="430"/>
      <c r="R107" s="430"/>
      <c r="S107" s="581"/>
      <c r="T107" s="581"/>
      <c r="U107" s="581"/>
      <c r="V107" s="582"/>
      <c r="W107" s="581"/>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row>
    <row r="108" spans="1:57" ht="15.75" customHeight="1">
      <c r="A108" s="430"/>
      <c r="B108" s="430"/>
      <c r="C108" s="430"/>
      <c r="D108" s="430"/>
      <c r="E108" s="430"/>
      <c r="F108" s="430"/>
      <c r="G108" s="430"/>
      <c r="H108" s="430"/>
      <c r="I108" s="430"/>
      <c r="J108" s="581"/>
      <c r="K108" s="581"/>
      <c r="L108" s="582"/>
      <c r="M108" s="581"/>
      <c r="N108" s="430"/>
      <c r="O108" s="430"/>
      <c r="P108" s="430"/>
      <c r="Q108" s="430"/>
      <c r="R108" s="430"/>
      <c r="S108" s="581"/>
      <c r="T108" s="581"/>
      <c r="U108" s="581"/>
      <c r="V108" s="582"/>
      <c r="W108" s="581"/>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row>
    <row r="109" spans="1:57" ht="15.75" customHeight="1">
      <c r="A109" s="430"/>
      <c r="B109" s="430"/>
      <c r="C109" s="430"/>
      <c r="D109" s="430"/>
      <c r="E109" s="430"/>
      <c r="F109" s="430"/>
      <c r="G109" s="430"/>
      <c r="H109" s="430"/>
      <c r="I109" s="430"/>
      <c r="J109" s="581"/>
      <c r="K109" s="581"/>
      <c r="L109" s="582"/>
      <c r="M109" s="581"/>
      <c r="N109" s="430"/>
      <c r="O109" s="430"/>
      <c r="P109" s="430"/>
      <c r="Q109" s="430"/>
      <c r="R109" s="430"/>
      <c r="S109" s="581"/>
      <c r="T109" s="581"/>
      <c r="U109" s="581"/>
      <c r="V109" s="582"/>
      <c r="W109" s="581"/>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row>
    <row r="110" spans="1:57" ht="15.75" customHeight="1">
      <c r="A110" s="430"/>
      <c r="B110" s="430"/>
      <c r="C110" s="430"/>
      <c r="D110" s="430"/>
      <c r="E110" s="430"/>
      <c r="F110" s="430"/>
      <c r="G110" s="430"/>
      <c r="H110" s="430"/>
      <c r="I110" s="430"/>
      <c r="J110" s="581"/>
      <c r="K110" s="581"/>
      <c r="L110" s="582"/>
      <c r="M110" s="581"/>
      <c r="N110" s="430"/>
      <c r="O110" s="430"/>
      <c r="P110" s="430"/>
      <c r="Q110" s="430"/>
      <c r="R110" s="430"/>
      <c r="S110" s="581"/>
      <c r="T110" s="581"/>
      <c r="U110" s="581"/>
      <c r="V110" s="582"/>
      <c r="W110" s="581"/>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row>
    <row r="111" spans="1:57" ht="15.75" customHeight="1">
      <c r="A111" s="430"/>
      <c r="B111" s="430"/>
      <c r="C111" s="430"/>
      <c r="D111" s="430"/>
      <c r="E111" s="430"/>
      <c r="F111" s="430"/>
      <c r="G111" s="430"/>
      <c r="H111" s="430"/>
      <c r="I111" s="430"/>
      <c r="J111" s="581"/>
      <c r="K111" s="581"/>
      <c r="L111" s="582"/>
      <c r="M111" s="581"/>
      <c r="N111" s="430"/>
      <c r="O111" s="430"/>
      <c r="P111" s="430"/>
      <c r="Q111" s="430"/>
      <c r="R111" s="430"/>
      <c r="S111" s="581"/>
      <c r="T111" s="581"/>
      <c r="U111" s="581"/>
      <c r="V111" s="582"/>
      <c r="W111" s="581"/>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row>
    <row r="112" spans="1:57" ht="15.75" customHeight="1">
      <c r="A112" s="430"/>
      <c r="B112" s="430"/>
      <c r="C112" s="430"/>
      <c r="D112" s="430"/>
      <c r="E112" s="430"/>
      <c r="F112" s="430"/>
      <c r="G112" s="430"/>
      <c r="H112" s="430"/>
      <c r="I112" s="430"/>
      <c r="J112" s="581"/>
      <c r="K112" s="581"/>
      <c r="L112" s="582"/>
      <c r="M112" s="581"/>
      <c r="N112" s="430"/>
      <c r="O112" s="430"/>
      <c r="P112" s="430"/>
      <c r="Q112" s="430"/>
      <c r="R112" s="430"/>
      <c r="S112" s="581"/>
      <c r="T112" s="581"/>
      <c r="U112" s="581"/>
      <c r="V112" s="582"/>
      <c r="W112" s="581"/>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0"/>
      <c r="AY112" s="430"/>
      <c r="AZ112" s="430"/>
      <c r="BA112" s="430"/>
      <c r="BB112" s="430"/>
      <c r="BC112" s="430"/>
      <c r="BD112" s="430"/>
      <c r="BE112" s="430"/>
    </row>
    <row r="113" spans="1:57" ht="15.75" customHeight="1">
      <c r="A113" s="430"/>
      <c r="B113" s="430"/>
      <c r="C113" s="430"/>
      <c r="D113" s="430"/>
      <c r="E113" s="430"/>
      <c r="F113" s="430"/>
      <c r="G113" s="430"/>
      <c r="H113" s="430"/>
      <c r="I113" s="430"/>
      <c r="J113" s="581"/>
      <c r="K113" s="581"/>
      <c r="L113" s="582"/>
      <c r="M113" s="581"/>
      <c r="N113" s="430"/>
      <c r="O113" s="430"/>
      <c r="P113" s="430"/>
      <c r="Q113" s="430"/>
      <c r="R113" s="430"/>
      <c r="S113" s="581"/>
      <c r="T113" s="581"/>
      <c r="U113" s="581"/>
      <c r="V113" s="582"/>
      <c r="W113" s="581"/>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row>
    <row r="114" spans="1:57" ht="15.75" customHeight="1">
      <c r="A114" s="430"/>
      <c r="B114" s="430"/>
      <c r="C114" s="430"/>
      <c r="D114" s="430"/>
      <c r="E114" s="430"/>
      <c r="F114" s="430"/>
      <c r="G114" s="430"/>
      <c r="H114" s="430"/>
      <c r="I114" s="430"/>
      <c r="J114" s="581"/>
      <c r="K114" s="581"/>
      <c r="L114" s="582"/>
      <c r="M114" s="581"/>
      <c r="N114" s="430"/>
      <c r="O114" s="430"/>
      <c r="P114" s="430"/>
      <c r="Q114" s="430"/>
      <c r="R114" s="430"/>
      <c r="S114" s="581"/>
      <c r="T114" s="581"/>
      <c r="U114" s="581"/>
      <c r="V114" s="582"/>
      <c r="W114" s="581"/>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row>
    <row r="115" spans="1:57" ht="15.75" customHeight="1">
      <c r="A115" s="430"/>
      <c r="B115" s="430"/>
      <c r="C115" s="430"/>
      <c r="D115" s="430"/>
      <c r="E115" s="430"/>
      <c r="F115" s="430"/>
      <c r="G115" s="430"/>
      <c r="H115" s="430"/>
      <c r="I115" s="430"/>
      <c r="J115" s="581"/>
      <c r="K115" s="581"/>
      <c r="L115" s="582"/>
      <c r="M115" s="581"/>
      <c r="N115" s="430"/>
      <c r="O115" s="430"/>
      <c r="P115" s="430"/>
      <c r="Q115" s="430"/>
      <c r="R115" s="430"/>
      <c r="S115" s="581"/>
      <c r="T115" s="581"/>
      <c r="U115" s="581"/>
      <c r="V115" s="582"/>
      <c r="W115" s="581"/>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row>
    <row r="116" spans="1:57" ht="15.75" customHeight="1">
      <c r="A116" s="430"/>
      <c r="B116" s="430"/>
      <c r="C116" s="430"/>
      <c r="D116" s="430"/>
      <c r="E116" s="430"/>
      <c r="F116" s="430"/>
      <c r="G116" s="430"/>
      <c r="H116" s="430"/>
      <c r="I116" s="430"/>
      <c r="J116" s="581"/>
      <c r="K116" s="581"/>
      <c r="L116" s="582"/>
      <c r="M116" s="581"/>
      <c r="N116" s="430"/>
      <c r="O116" s="430"/>
      <c r="P116" s="430"/>
      <c r="Q116" s="430"/>
      <c r="R116" s="430"/>
      <c r="S116" s="581"/>
      <c r="T116" s="581"/>
      <c r="U116" s="581"/>
      <c r="V116" s="582"/>
      <c r="W116" s="581"/>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row>
    <row r="117" spans="1:57" ht="15.75" customHeight="1">
      <c r="A117" s="430"/>
      <c r="B117" s="430"/>
      <c r="C117" s="430"/>
      <c r="D117" s="430"/>
      <c r="E117" s="430"/>
      <c r="F117" s="430"/>
      <c r="G117" s="430"/>
      <c r="H117" s="430"/>
      <c r="I117" s="430"/>
      <c r="J117" s="581"/>
      <c r="K117" s="581"/>
      <c r="L117" s="582"/>
      <c r="M117" s="581"/>
      <c r="N117" s="430"/>
      <c r="O117" s="430"/>
      <c r="P117" s="430"/>
      <c r="Q117" s="430"/>
      <c r="R117" s="430"/>
      <c r="S117" s="581"/>
      <c r="T117" s="581"/>
      <c r="U117" s="581"/>
      <c r="V117" s="582"/>
      <c r="W117" s="581"/>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row>
    <row r="118" spans="1:57" ht="15.75" customHeight="1">
      <c r="A118" s="430"/>
      <c r="B118" s="430"/>
      <c r="C118" s="430"/>
      <c r="D118" s="430"/>
      <c r="E118" s="430"/>
      <c r="F118" s="430"/>
      <c r="G118" s="430"/>
      <c r="H118" s="430"/>
      <c r="I118" s="430"/>
      <c r="J118" s="581"/>
      <c r="K118" s="581"/>
      <c r="L118" s="582"/>
      <c r="M118" s="581"/>
      <c r="N118" s="430"/>
      <c r="O118" s="430"/>
      <c r="P118" s="430"/>
      <c r="Q118" s="430"/>
      <c r="R118" s="430"/>
      <c r="S118" s="581"/>
      <c r="T118" s="581"/>
      <c r="U118" s="581"/>
      <c r="V118" s="582"/>
      <c r="W118" s="581"/>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row>
    <row r="119" spans="1:57" ht="15.75" customHeight="1">
      <c r="A119" s="430"/>
      <c r="B119" s="430"/>
      <c r="C119" s="430"/>
      <c r="D119" s="430"/>
      <c r="E119" s="430"/>
      <c r="F119" s="430"/>
      <c r="G119" s="430"/>
      <c r="H119" s="430"/>
      <c r="I119" s="430"/>
      <c r="J119" s="581"/>
      <c r="K119" s="581"/>
      <c r="L119" s="582"/>
      <c r="M119" s="581"/>
      <c r="N119" s="430"/>
      <c r="O119" s="430"/>
      <c r="P119" s="430"/>
      <c r="Q119" s="430"/>
      <c r="R119" s="430"/>
      <c r="S119" s="581"/>
      <c r="T119" s="581"/>
      <c r="U119" s="581"/>
      <c r="V119" s="582"/>
      <c r="W119" s="581"/>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row>
    <row r="120" spans="1:57" ht="15.75" customHeight="1">
      <c r="A120" s="430"/>
      <c r="B120" s="430"/>
      <c r="C120" s="430"/>
      <c r="D120" s="430"/>
      <c r="E120" s="430"/>
      <c r="F120" s="430"/>
      <c r="G120" s="430"/>
      <c r="H120" s="430"/>
      <c r="I120" s="430"/>
      <c r="J120" s="581"/>
      <c r="K120" s="581"/>
      <c r="L120" s="582"/>
      <c r="M120" s="581"/>
      <c r="N120" s="430"/>
      <c r="O120" s="430"/>
      <c r="P120" s="430"/>
      <c r="Q120" s="430"/>
      <c r="R120" s="430"/>
      <c r="S120" s="581"/>
      <c r="T120" s="581"/>
      <c r="U120" s="581"/>
      <c r="V120" s="582"/>
      <c r="W120" s="581"/>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row>
    <row r="121" spans="1:57" ht="15.75" customHeight="1">
      <c r="A121" s="430"/>
      <c r="B121" s="430"/>
      <c r="C121" s="430"/>
      <c r="D121" s="430"/>
      <c r="E121" s="430"/>
      <c r="F121" s="430"/>
      <c r="G121" s="430"/>
      <c r="H121" s="430"/>
      <c r="I121" s="430"/>
      <c r="J121" s="581"/>
      <c r="K121" s="581"/>
      <c r="L121" s="582"/>
      <c r="M121" s="581"/>
      <c r="N121" s="430"/>
      <c r="O121" s="430"/>
      <c r="P121" s="430"/>
      <c r="Q121" s="430"/>
      <c r="R121" s="430"/>
      <c r="S121" s="581"/>
      <c r="T121" s="581"/>
      <c r="U121" s="581"/>
      <c r="V121" s="582"/>
      <c r="W121" s="581"/>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row>
    <row r="122" spans="1:57" ht="15.75" customHeight="1">
      <c r="A122" s="430"/>
      <c r="B122" s="430"/>
      <c r="C122" s="430"/>
      <c r="D122" s="430"/>
      <c r="E122" s="430"/>
      <c r="F122" s="430"/>
      <c r="G122" s="430"/>
      <c r="H122" s="430"/>
      <c r="I122" s="430"/>
      <c r="J122" s="581"/>
      <c r="K122" s="581"/>
      <c r="L122" s="582"/>
      <c r="M122" s="581"/>
      <c r="N122" s="430"/>
      <c r="O122" s="430"/>
      <c r="P122" s="430"/>
      <c r="Q122" s="430"/>
      <c r="R122" s="430"/>
      <c r="S122" s="581"/>
      <c r="T122" s="581"/>
      <c r="U122" s="581"/>
      <c r="V122" s="582"/>
      <c r="W122" s="581"/>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row>
    <row r="123" spans="1:57" ht="15.75" customHeight="1">
      <c r="A123" s="430"/>
      <c r="B123" s="430"/>
      <c r="C123" s="430"/>
      <c r="D123" s="430"/>
      <c r="E123" s="430"/>
      <c r="F123" s="430"/>
      <c r="G123" s="430"/>
      <c r="H123" s="430"/>
      <c r="I123" s="430"/>
      <c r="J123" s="581"/>
      <c r="K123" s="581"/>
      <c r="L123" s="582"/>
      <c r="M123" s="581"/>
      <c r="N123" s="430"/>
      <c r="O123" s="430"/>
      <c r="P123" s="430"/>
      <c r="Q123" s="430"/>
      <c r="R123" s="430"/>
      <c r="S123" s="581"/>
      <c r="T123" s="581"/>
      <c r="U123" s="581"/>
      <c r="V123" s="582"/>
      <c r="W123" s="581"/>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row>
    <row r="124" spans="1:57" ht="15.75" customHeight="1">
      <c r="A124" s="430"/>
      <c r="B124" s="430"/>
      <c r="C124" s="430"/>
      <c r="D124" s="430"/>
      <c r="E124" s="430"/>
      <c r="F124" s="430"/>
      <c r="G124" s="430"/>
      <c r="H124" s="430"/>
      <c r="I124" s="430"/>
      <c r="J124" s="581"/>
      <c r="K124" s="581"/>
      <c r="L124" s="582"/>
      <c r="M124" s="581"/>
      <c r="N124" s="430"/>
      <c r="O124" s="430"/>
      <c r="P124" s="430"/>
      <c r="Q124" s="430"/>
      <c r="R124" s="430"/>
      <c r="S124" s="581"/>
      <c r="T124" s="581"/>
      <c r="U124" s="581"/>
      <c r="V124" s="582"/>
      <c r="W124" s="581"/>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row>
    <row r="125" spans="1:57" ht="15.75" customHeight="1">
      <c r="A125" s="430"/>
      <c r="B125" s="430"/>
      <c r="C125" s="430"/>
      <c r="D125" s="430"/>
      <c r="E125" s="430"/>
      <c r="F125" s="430"/>
      <c r="G125" s="430"/>
      <c r="H125" s="430"/>
      <c r="I125" s="430"/>
      <c r="J125" s="581"/>
      <c r="K125" s="581"/>
      <c r="L125" s="582"/>
      <c r="M125" s="581"/>
      <c r="N125" s="430"/>
      <c r="O125" s="430"/>
      <c r="P125" s="430"/>
      <c r="Q125" s="430"/>
      <c r="R125" s="430"/>
      <c r="S125" s="581"/>
      <c r="T125" s="581"/>
      <c r="U125" s="581"/>
      <c r="V125" s="582"/>
      <c r="W125" s="581"/>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row>
    <row r="126" spans="1:57" ht="15.75" customHeight="1">
      <c r="A126" s="430"/>
      <c r="B126" s="430"/>
      <c r="C126" s="430"/>
      <c r="D126" s="430"/>
      <c r="E126" s="430"/>
      <c r="F126" s="430"/>
      <c r="G126" s="430"/>
      <c r="H126" s="430"/>
      <c r="I126" s="430"/>
      <c r="J126" s="581"/>
      <c r="K126" s="581"/>
      <c r="L126" s="582"/>
      <c r="M126" s="581"/>
      <c r="N126" s="430"/>
      <c r="O126" s="430"/>
      <c r="P126" s="430"/>
      <c r="Q126" s="430"/>
      <c r="R126" s="430"/>
      <c r="S126" s="581"/>
      <c r="T126" s="581"/>
      <c r="U126" s="581"/>
      <c r="V126" s="582"/>
      <c r="W126" s="581"/>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0"/>
      <c r="AY126" s="430"/>
      <c r="AZ126" s="430"/>
      <c r="BA126" s="430"/>
      <c r="BB126" s="430"/>
      <c r="BC126" s="430"/>
      <c r="BD126" s="430"/>
      <c r="BE126" s="430"/>
    </row>
    <row r="127" spans="1:57" ht="15.75" customHeight="1">
      <c r="A127" s="430"/>
      <c r="B127" s="430"/>
      <c r="C127" s="430"/>
      <c r="D127" s="430"/>
      <c r="E127" s="430"/>
      <c r="F127" s="430"/>
      <c r="G127" s="430"/>
      <c r="H127" s="430"/>
      <c r="I127" s="430"/>
      <c r="J127" s="581"/>
      <c r="K127" s="581"/>
      <c r="L127" s="582"/>
      <c r="M127" s="581"/>
      <c r="N127" s="430"/>
      <c r="O127" s="430"/>
      <c r="P127" s="430"/>
      <c r="Q127" s="430"/>
      <c r="R127" s="430"/>
      <c r="S127" s="581"/>
      <c r="T127" s="581"/>
      <c r="U127" s="581"/>
      <c r="V127" s="582"/>
      <c r="W127" s="581"/>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0"/>
      <c r="AY127" s="430"/>
      <c r="AZ127" s="430"/>
      <c r="BA127" s="430"/>
      <c r="BB127" s="430"/>
      <c r="BC127" s="430"/>
      <c r="BD127" s="430"/>
      <c r="BE127" s="430"/>
    </row>
    <row r="128" spans="1:57" ht="15.75" customHeight="1">
      <c r="A128" s="430"/>
      <c r="B128" s="430"/>
      <c r="C128" s="430"/>
      <c r="D128" s="430"/>
      <c r="E128" s="430"/>
      <c r="F128" s="430"/>
      <c r="G128" s="430"/>
      <c r="H128" s="430"/>
      <c r="I128" s="430"/>
      <c r="J128" s="581"/>
      <c r="K128" s="581"/>
      <c r="L128" s="582"/>
      <c r="M128" s="581"/>
      <c r="N128" s="430"/>
      <c r="O128" s="430"/>
      <c r="P128" s="430"/>
      <c r="Q128" s="430"/>
      <c r="R128" s="430"/>
      <c r="S128" s="581"/>
      <c r="T128" s="581"/>
      <c r="U128" s="581"/>
      <c r="V128" s="582"/>
      <c r="W128" s="581"/>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row>
    <row r="129" spans="1:57" ht="15.75" customHeight="1">
      <c r="A129" s="430"/>
      <c r="B129" s="430"/>
      <c r="C129" s="430"/>
      <c r="D129" s="430"/>
      <c r="E129" s="430"/>
      <c r="F129" s="430"/>
      <c r="G129" s="430"/>
      <c r="H129" s="430"/>
      <c r="I129" s="430"/>
      <c r="J129" s="581"/>
      <c r="K129" s="581"/>
      <c r="L129" s="582"/>
      <c r="M129" s="581"/>
      <c r="N129" s="430"/>
      <c r="O129" s="430"/>
      <c r="P129" s="430"/>
      <c r="Q129" s="430"/>
      <c r="R129" s="430"/>
      <c r="S129" s="581"/>
      <c r="T129" s="581"/>
      <c r="U129" s="581"/>
      <c r="V129" s="582"/>
      <c r="W129" s="581"/>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row>
    <row r="130" spans="1:57" ht="15.75" customHeight="1">
      <c r="A130" s="430"/>
      <c r="B130" s="430"/>
      <c r="C130" s="430"/>
      <c r="D130" s="430"/>
      <c r="E130" s="430"/>
      <c r="F130" s="430"/>
      <c r="G130" s="430"/>
      <c r="H130" s="430"/>
      <c r="I130" s="430"/>
      <c r="J130" s="581"/>
      <c r="K130" s="581"/>
      <c r="L130" s="582"/>
      <c r="M130" s="581"/>
      <c r="N130" s="430"/>
      <c r="O130" s="430"/>
      <c r="P130" s="430"/>
      <c r="Q130" s="430"/>
      <c r="R130" s="430"/>
      <c r="S130" s="581"/>
      <c r="T130" s="581"/>
      <c r="U130" s="581"/>
      <c r="V130" s="582"/>
      <c r="W130" s="581"/>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row>
    <row r="131" spans="1:57" ht="15.75" customHeight="1">
      <c r="A131" s="430"/>
      <c r="B131" s="430"/>
      <c r="C131" s="430"/>
      <c r="D131" s="430"/>
      <c r="E131" s="430"/>
      <c r="F131" s="430"/>
      <c r="G131" s="430"/>
      <c r="H131" s="430"/>
      <c r="I131" s="430"/>
      <c r="J131" s="581"/>
      <c r="K131" s="581"/>
      <c r="L131" s="582"/>
      <c r="M131" s="581"/>
      <c r="N131" s="430"/>
      <c r="O131" s="430"/>
      <c r="P131" s="430"/>
      <c r="Q131" s="430"/>
      <c r="R131" s="430"/>
      <c r="S131" s="581"/>
      <c r="T131" s="581"/>
      <c r="U131" s="581"/>
      <c r="V131" s="582"/>
      <c r="W131" s="581"/>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row>
    <row r="132" spans="1:57" ht="15.75" customHeight="1">
      <c r="A132" s="430"/>
      <c r="B132" s="430"/>
      <c r="C132" s="430"/>
      <c r="D132" s="430"/>
      <c r="E132" s="430"/>
      <c r="F132" s="430"/>
      <c r="G132" s="430"/>
      <c r="H132" s="430"/>
      <c r="I132" s="430"/>
      <c r="J132" s="581"/>
      <c r="K132" s="581"/>
      <c r="L132" s="582"/>
      <c r="M132" s="581"/>
      <c r="N132" s="430"/>
      <c r="O132" s="430"/>
      <c r="P132" s="430"/>
      <c r="Q132" s="430"/>
      <c r="R132" s="430"/>
      <c r="S132" s="581"/>
      <c r="T132" s="581"/>
      <c r="U132" s="581"/>
      <c r="V132" s="582"/>
      <c r="W132" s="581"/>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row>
    <row r="133" spans="1:57" ht="15.75" customHeight="1">
      <c r="A133" s="430"/>
      <c r="B133" s="430"/>
      <c r="C133" s="430"/>
      <c r="D133" s="430"/>
      <c r="E133" s="430"/>
      <c r="F133" s="430"/>
      <c r="G133" s="430"/>
      <c r="H133" s="430"/>
      <c r="I133" s="430"/>
      <c r="J133" s="581"/>
      <c r="K133" s="581"/>
      <c r="L133" s="582"/>
      <c r="M133" s="581"/>
      <c r="N133" s="430"/>
      <c r="O133" s="430"/>
      <c r="P133" s="430"/>
      <c r="Q133" s="430"/>
      <c r="R133" s="430"/>
      <c r="S133" s="581"/>
      <c r="T133" s="581"/>
      <c r="U133" s="581"/>
      <c r="V133" s="582"/>
      <c r="W133" s="581"/>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row>
    <row r="134" spans="1:57" ht="15.75" customHeight="1">
      <c r="A134" s="430"/>
      <c r="B134" s="430"/>
      <c r="C134" s="430"/>
      <c r="D134" s="430"/>
      <c r="E134" s="430"/>
      <c r="F134" s="430"/>
      <c r="G134" s="430"/>
      <c r="H134" s="430"/>
      <c r="I134" s="430"/>
      <c r="J134" s="581"/>
      <c r="K134" s="581"/>
      <c r="L134" s="582"/>
      <c r="M134" s="581"/>
      <c r="N134" s="430"/>
      <c r="O134" s="430"/>
      <c r="P134" s="430"/>
      <c r="Q134" s="430"/>
      <c r="R134" s="430"/>
      <c r="S134" s="581"/>
      <c r="T134" s="581"/>
      <c r="U134" s="581"/>
      <c r="V134" s="582"/>
      <c r="W134" s="581"/>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0"/>
      <c r="BC134" s="430"/>
      <c r="BD134" s="430"/>
      <c r="BE134" s="430"/>
    </row>
    <row r="135" spans="1:57" ht="15.75" customHeight="1">
      <c r="A135" s="430"/>
      <c r="B135" s="430"/>
      <c r="C135" s="430"/>
      <c r="D135" s="430"/>
      <c r="E135" s="430"/>
      <c r="F135" s="430"/>
      <c r="G135" s="430"/>
      <c r="H135" s="430"/>
      <c r="I135" s="430"/>
      <c r="J135" s="581"/>
      <c r="K135" s="581"/>
      <c r="L135" s="582"/>
      <c r="M135" s="581"/>
      <c r="N135" s="430"/>
      <c r="O135" s="430"/>
      <c r="P135" s="430"/>
      <c r="Q135" s="430"/>
      <c r="R135" s="430"/>
      <c r="S135" s="581"/>
      <c r="T135" s="581"/>
      <c r="U135" s="581"/>
      <c r="V135" s="582"/>
      <c r="W135" s="581"/>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c r="BA135" s="430"/>
      <c r="BB135" s="430"/>
      <c r="BC135" s="430"/>
      <c r="BD135" s="430"/>
      <c r="BE135" s="430"/>
    </row>
    <row r="136" spans="1:57" ht="15.75" customHeight="1">
      <c r="A136" s="430"/>
      <c r="B136" s="430"/>
      <c r="C136" s="430"/>
      <c r="D136" s="430"/>
      <c r="E136" s="430"/>
      <c r="F136" s="430"/>
      <c r="G136" s="430"/>
      <c r="H136" s="430"/>
      <c r="I136" s="430"/>
      <c r="J136" s="581"/>
      <c r="K136" s="581"/>
      <c r="L136" s="582"/>
      <c r="M136" s="581"/>
      <c r="N136" s="430"/>
      <c r="O136" s="430"/>
      <c r="P136" s="430"/>
      <c r="Q136" s="430"/>
      <c r="R136" s="430"/>
      <c r="S136" s="581"/>
      <c r="T136" s="581"/>
      <c r="U136" s="581"/>
      <c r="V136" s="582"/>
      <c r="W136" s="581"/>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row>
    <row r="137" spans="1:57" ht="15.75" customHeight="1">
      <c r="A137" s="430"/>
      <c r="B137" s="430"/>
      <c r="C137" s="430"/>
      <c r="D137" s="430"/>
      <c r="E137" s="430"/>
      <c r="F137" s="430"/>
      <c r="G137" s="430"/>
      <c r="H137" s="430"/>
      <c r="I137" s="430"/>
      <c r="J137" s="581"/>
      <c r="K137" s="581"/>
      <c r="L137" s="582"/>
      <c r="M137" s="581"/>
      <c r="N137" s="430"/>
      <c r="O137" s="430"/>
      <c r="P137" s="430"/>
      <c r="Q137" s="430"/>
      <c r="R137" s="430"/>
      <c r="S137" s="581"/>
      <c r="T137" s="581"/>
      <c r="U137" s="581"/>
      <c r="V137" s="582"/>
      <c r="W137" s="581"/>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row>
    <row r="138" spans="1:57" ht="15.75" customHeight="1">
      <c r="A138" s="430"/>
      <c r="B138" s="430"/>
      <c r="C138" s="430"/>
      <c r="D138" s="430"/>
      <c r="E138" s="430"/>
      <c r="F138" s="430"/>
      <c r="G138" s="430"/>
      <c r="H138" s="430"/>
      <c r="I138" s="430"/>
      <c r="J138" s="581"/>
      <c r="K138" s="581"/>
      <c r="L138" s="582"/>
      <c r="M138" s="581"/>
      <c r="N138" s="430"/>
      <c r="O138" s="430"/>
      <c r="P138" s="430"/>
      <c r="Q138" s="430"/>
      <c r="R138" s="430"/>
      <c r="S138" s="581"/>
      <c r="T138" s="581"/>
      <c r="U138" s="581"/>
      <c r="V138" s="582"/>
      <c r="W138" s="581"/>
      <c r="X138" s="430"/>
      <c r="Y138" s="430"/>
      <c r="Z138" s="430"/>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0"/>
      <c r="AY138" s="430"/>
      <c r="AZ138" s="430"/>
      <c r="BA138" s="430"/>
      <c r="BB138" s="430"/>
      <c r="BC138" s="430"/>
      <c r="BD138" s="430"/>
      <c r="BE138" s="430"/>
    </row>
    <row r="139" spans="1:57" ht="15.75" customHeight="1">
      <c r="A139" s="430"/>
      <c r="B139" s="430"/>
      <c r="C139" s="430"/>
      <c r="D139" s="430"/>
      <c r="E139" s="430"/>
      <c r="F139" s="430"/>
      <c r="G139" s="430"/>
      <c r="H139" s="430"/>
      <c r="I139" s="430"/>
      <c r="J139" s="581"/>
      <c r="K139" s="581"/>
      <c r="L139" s="582"/>
      <c r="M139" s="581"/>
      <c r="N139" s="430"/>
      <c r="O139" s="430"/>
      <c r="P139" s="430"/>
      <c r="Q139" s="430"/>
      <c r="R139" s="430"/>
      <c r="S139" s="581"/>
      <c r="T139" s="581"/>
      <c r="U139" s="581"/>
      <c r="V139" s="582"/>
      <c r="W139" s="581"/>
      <c r="X139" s="430"/>
      <c r="Y139" s="430"/>
      <c r="Z139" s="430"/>
      <c r="AA139" s="430"/>
      <c r="AB139" s="430"/>
      <c r="AC139" s="430"/>
      <c r="AD139" s="430"/>
      <c r="AE139" s="430"/>
      <c r="AF139" s="430"/>
      <c r="AG139" s="430"/>
      <c r="AH139" s="430"/>
      <c r="AI139" s="430"/>
      <c r="AJ139" s="430"/>
      <c r="AK139" s="430"/>
      <c r="AL139" s="430"/>
      <c r="AM139" s="430"/>
      <c r="AN139" s="430"/>
      <c r="AO139" s="430"/>
      <c r="AP139" s="430"/>
      <c r="AQ139" s="430"/>
      <c r="AR139" s="430"/>
      <c r="AS139" s="430"/>
      <c r="AT139" s="430"/>
      <c r="AU139" s="430"/>
      <c r="AV139" s="430"/>
      <c r="AW139" s="430"/>
      <c r="AX139" s="430"/>
      <c r="AY139" s="430"/>
      <c r="AZ139" s="430"/>
      <c r="BA139" s="430"/>
      <c r="BB139" s="430"/>
      <c r="BC139" s="430"/>
      <c r="BD139" s="430"/>
      <c r="BE139" s="430"/>
    </row>
    <row r="140" spans="1:57" ht="15.75" customHeight="1">
      <c r="A140" s="430"/>
      <c r="B140" s="430"/>
      <c r="C140" s="430"/>
      <c r="D140" s="430"/>
      <c r="E140" s="430"/>
      <c r="F140" s="430"/>
      <c r="G140" s="430"/>
      <c r="H140" s="430"/>
      <c r="I140" s="430"/>
      <c r="J140" s="581"/>
      <c r="K140" s="581"/>
      <c r="L140" s="582"/>
      <c r="M140" s="581"/>
      <c r="N140" s="430"/>
      <c r="O140" s="430"/>
      <c r="P140" s="430"/>
      <c r="Q140" s="430"/>
      <c r="R140" s="430"/>
      <c r="S140" s="581"/>
      <c r="T140" s="581"/>
      <c r="U140" s="581"/>
      <c r="V140" s="582"/>
      <c r="W140" s="581"/>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430"/>
      <c r="BA140" s="430"/>
      <c r="BB140" s="430"/>
      <c r="BC140" s="430"/>
      <c r="BD140" s="430"/>
      <c r="BE140" s="430"/>
    </row>
    <row r="141" spans="1:57" ht="15.75" customHeight="1">
      <c r="A141" s="430"/>
      <c r="B141" s="430"/>
      <c r="C141" s="430"/>
      <c r="D141" s="430"/>
      <c r="E141" s="430"/>
      <c r="F141" s="430"/>
      <c r="G141" s="430"/>
      <c r="H141" s="430"/>
      <c r="I141" s="430"/>
      <c r="J141" s="581"/>
      <c r="K141" s="581"/>
      <c r="L141" s="582"/>
      <c r="M141" s="581"/>
      <c r="N141" s="430"/>
      <c r="O141" s="430"/>
      <c r="P141" s="430"/>
      <c r="Q141" s="430"/>
      <c r="R141" s="430"/>
      <c r="S141" s="581"/>
      <c r="T141" s="581"/>
      <c r="U141" s="581"/>
      <c r="V141" s="582"/>
      <c r="W141" s="581"/>
      <c r="X141" s="430"/>
      <c r="Y141" s="430"/>
      <c r="Z141" s="430"/>
      <c r="AA141" s="430"/>
      <c r="AB141" s="430"/>
      <c r="AC141" s="430"/>
      <c r="AD141" s="430"/>
      <c r="AE141" s="430"/>
      <c r="AF141" s="430"/>
      <c r="AG141" s="430"/>
      <c r="AH141" s="430"/>
      <c r="AI141" s="430"/>
      <c r="AJ141" s="430"/>
      <c r="AK141" s="430"/>
      <c r="AL141" s="430"/>
      <c r="AM141" s="430"/>
      <c r="AN141" s="430"/>
      <c r="AO141" s="430"/>
      <c r="AP141" s="430"/>
      <c r="AQ141" s="430"/>
      <c r="AR141" s="430"/>
      <c r="AS141" s="430"/>
      <c r="AT141" s="430"/>
      <c r="AU141" s="430"/>
      <c r="AV141" s="430"/>
      <c r="AW141" s="430"/>
      <c r="AX141" s="430"/>
      <c r="AY141" s="430"/>
      <c r="AZ141" s="430"/>
      <c r="BA141" s="430"/>
      <c r="BB141" s="430"/>
      <c r="BC141" s="430"/>
      <c r="BD141" s="430"/>
      <c r="BE141" s="430"/>
    </row>
    <row r="142" spans="1:57" ht="15.75" customHeight="1">
      <c r="A142" s="430"/>
      <c r="B142" s="430"/>
      <c r="C142" s="430"/>
      <c r="D142" s="430"/>
      <c r="E142" s="430"/>
      <c r="F142" s="430"/>
      <c r="G142" s="430"/>
      <c r="H142" s="430"/>
      <c r="I142" s="430"/>
      <c r="J142" s="581"/>
      <c r="K142" s="581"/>
      <c r="L142" s="582"/>
      <c r="M142" s="581"/>
      <c r="N142" s="430"/>
      <c r="O142" s="430"/>
      <c r="P142" s="430"/>
      <c r="Q142" s="430"/>
      <c r="R142" s="430"/>
      <c r="S142" s="581"/>
      <c r="T142" s="581"/>
      <c r="U142" s="581"/>
      <c r="V142" s="582"/>
      <c r="W142" s="581"/>
      <c r="X142" s="430"/>
      <c r="Y142" s="430"/>
      <c r="Z142" s="430"/>
      <c r="AA142" s="430"/>
      <c r="AB142" s="430"/>
      <c r="AC142" s="430"/>
      <c r="AD142" s="430"/>
      <c r="AE142" s="430"/>
      <c r="AF142" s="430"/>
      <c r="AG142" s="430"/>
      <c r="AH142" s="430"/>
      <c r="AI142" s="430"/>
      <c r="AJ142" s="430"/>
      <c r="AK142" s="430"/>
      <c r="AL142" s="430"/>
      <c r="AM142" s="430"/>
      <c r="AN142" s="430"/>
      <c r="AO142" s="430"/>
      <c r="AP142" s="430"/>
      <c r="AQ142" s="430"/>
      <c r="AR142" s="430"/>
      <c r="AS142" s="430"/>
      <c r="AT142" s="430"/>
      <c r="AU142" s="430"/>
      <c r="AV142" s="430"/>
      <c r="AW142" s="430"/>
      <c r="AX142" s="430"/>
      <c r="AY142" s="430"/>
      <c r="AZ142" s="430"/>
      <c r="BA142" s="430"/>
      <c r="BB142" s="430"/>
      <c r="BC142" s="430"/>
      <c r="BD142" s="430"/>
      <c r="BE142" s="430"/>
    </row>
    <row r="143" spans="1:57" ht="15.75" customHeight="1">
      <c r="A143" s="430"/>
      <c r="B143" s="430"/>
      <c r="C143" s="430"/>
      <c r="D143" s="430"/>
      <c r="E143" s="430"/>
      <c r="F143" s="430"/>
      <c r="G143" s="430"/>
      <c r="H143" s="430"/>
      <c r="I143" s="430"/>
      <c r="J143" s="581"/>
      <c r="K143" s="581"/>
      <c r="L143" s="582"/>
      <c r="M143" s="581"/>
      <c r="N143" s="430"/>
      <c r="O143" s="430"/>
      <c r="P143" s="430"/>
      <c r="Q143" s="430"/>
      <c r="R143" s="430"/>
      <c r="S143" s="581"/>
      <c r="T143" s="581"/>
      <c r="U143" s="581"/>
      <c r="V143" s="582"/>
      <c r="W143" s="581"/>
      <c r="X143" s="430"/>
      <c r="Y143" s="430"/>
      <c r="Z143" s="430"/>
      <c r="AA143" s="430"/>
      <c r="AB143" s="430"/>
      <c r="AC143" s="430"/>
      <c r="AD143" s="430"/>
      <c r="AE143" s="430"/>
      <c r="AF143" s="430"/>
      <c r="AG143" s="430"/>
      <c r="AH143" s="430"/>
      <c r="AI143" s="430"/>
      <c r="AJ143" s="430"/>
      <c r="AK143" s="430"/>
      <c r="AL143" s="430"/>
      <c r="AM143" s="430"/>
      <c r="AN143" s="430"/>
      <c r="AO143" s="430"/>
      <c r="AP143" s="430"/>
      <c r="AQ143" s="430"/>
      <c r="AR143" s="430"/>
      <c r="AS143" s="430"/>
      <c r="AT143" s="430"/>
      <c r="AU143" s="430"/>
      <c r="AV143" s="430"/>
      <c r="AW143" s="430"/>
      <c r="AX143" s="430"/>
      <c r="AY143" s="430"/>
      <c r="AZ143" s="430"/>
      <c r="BA143" s="430"/>
      <c r="BB143" s="430"/>
      <c r="BC143" s="430"/>
      <c r="BD143" s="430"/>
      <c r="BE143" s="430"/>
    </row>
    <row r="144" spans="1:57" ht="15.75" customHeight="1">
      <c r="A144" s="430"/>
      <c r="B144" s="430"/>
      <c r="C144" s="430"/>
      <c r="D144" s="430"/>
      <c r="E144" s="430"/>
      <c r="F144" s="430"/>
      <c r="G144" s="430"/>
      <c r="H144" s="430"/>
      <c r="I144" s="430"/>
      <c r="J144" s="581"/>
      <c r="K144" s="581"/>
      <c r="L144" s="582"/>
      <c r="M144" s="581"/>
      <c r="N144" s="430"/>
      <c r="O144" s="430"/>
      <c r="P144" s="430"/>
      <c r="Q144" s="430"/>
      <c r="R144" s="430"/>
      <c r="S144" s="581"/>
      <c r="T144" s="581"/>
      <c r="U144" s="581"/>
      <c r="V144" s="582"/>
      <c r="W144" s="581"/>
      <c r="X144" s="430"/>
      <c r="Y144" s="430"/>
      <c r="Z144" s="430"/>
      <c r="AA144" s="430"/>
      <c r="AB144" s="430"/>
      <c r="AC144" s="430"/>
      <c r="AD144" s="430"/>
      <c r="AE144" s="430"/>
      <c r="AF144" s="430"/>
      <c r="AG144" s="430"/>
      <c r="AH144" s="430"/>
      <c r="AI144" s="430"/>
      <c r="AJ144" s="430"/>
      <c r="AK144" s="430"/>
      <c r="AL144" s="430"/>
      <c r="AM144" s="430"/>
      <c r="AN144" s="430"/>
      <c r="AO144" s="430"/>
      <c r="AP144" s="430"/>
      <c r="AQ144" s="430"/>
      <c r="AR144" s="430"/>
      <c r="AS144" s="430"/>
      <c r="AT144" s="430"/>
      <c r="AU144" s="430"/>
      <c r="AV144" s="430"/>
      <c r="AW144" s="430"/>
      <c r="AX144" s="430"/>
      <c r="AY144" s="430"/>
      <c r="AZ144" s="430"/>
      <c r="BA144" s="430"/>
      <c r="BB144" s="430"/>
      <c r="BC144" s="430"/>
      <c r="BD144" s="430"/>
      <c r="BE144" s="430"/>
    </row>
    <row r="145" spans="1:57" ht="15.75" customHeight="1">
      <c r="A145" s="430"/>
      <c r="B145" s="430"/>
      <c r="C145" s="430"/>
      <c r="D145" s="430"/>
      <c r="E145" s="430"/>
      <c r="F145" s="430"/>
      <c r="G145" s="430"/>
      <c r="H145" s="430"/>
      <c r="I145" s="430"/>
      <c r="J145" s="581"/>
      <c r="K145" s="581"/>
      <c r="L145" s="582"/>
      <c r="M145" s="581"/>
      <c r="N145" s="430"/>
      <c r="O145" s="430"/>
      <c r="P145" s="430"/>
      <c r="Q145" s="430"/>
      <c r="R145" s="430"/>
      <c r="S145" s="581"/>
      <c r="T145" s="581"/>
      <c r="U145" s="581"/>
      <c r="V145" s="582"/>
      <c r="W145" s="581"/>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row>
    <row r="146" spans="1:57" ht="15.75" customHeight="1">
      <c r="A146" s="430"/>
      <c r="B146" s="430"/>
      <c r="C146" s="430"/>
      <c r="D146" s="430"/>
      <c r="E146" s="430"/>
      <c r="F146" s="430"/>
      <c r="G146" s="430"/>
      <c r="H146" s="430"/>
      <c r="I146" s="430"/>
      <c r="J146" s="581"/>
      <c r="K146" s="581"/>
      <c r="L146" s="582"/>
      <c r="M146" s="581"/>
      <c r="N146" s="430"/>
      <c r="O146" s="430"/>
      <c r="P146" s="430"/>
      <c r="Q146" s="430"/>
      <c r="R146" s="430"/>
      <c r="S146" s="581"/>
      <c r="T146" s="581"/>
      <c r="U146" s="581"/>
      <c r="V146" s="582"/>
      <c r="W146" s="581"/>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row>
    <row r="147" spans="1:57" ht="15.75" customHeight="1">
      <c r="A147" s="430"/>
      <c r="B147" s="430"/>
      <c r="C147" s="430"/>
      <c r="D147" s="430"/>
      <c r="E147" s="430"/>
      <c r="F147" s="430"/>
      <c r="G147" s="430"/>
      <c r="H147" s="430"/>
      <c r="I147" s="430"/>
      <c r="J147" s="581"/>
      <c r="K147" s="581"/>
      <c r="L147" s="582"/>
      <c r="M147" s="581"/>
      <c r="N147" s="430"/>
      <c r="O147" s="430"/>
      <c r="P147" s="430"/>
      <c r="Q147" s="430"/>
      <c r="R147" s="430"/>
      <c r="S147" s="581"/>
      <c r="T147" s="581"/>
      <c r="U147" s="581"/>
      <c r="V147" s="582"/>
      <c r="W147" s="581"/>
      <c r="X147" s="430"/>
      <c r="Y147" s="430"/>
      <c r="Z147" s="430"/>
      <c r="AA147" s="430"/>
      <c r="AB147" s="430"/>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0"/>
      <c r="AY147" s="430"/>
      <c r="AZ147" s="430"/>
      <c r="BA147" s="430"/>
      <c r="BB147" s="430"/>
      <c r="BC147" s="430"/>
      <c r="BD147" s="430"/>
      <c r="BE147" s="430"/>
    </row>
    <row r="148" spans="1:57" ht="15.75" customHeight="1">
      <c r="A148" s="430"/>
      <c r="B148" s="430"/>
      <c r="C148" s="430"/>
      <c r="D148" s="430"/>
      <c r="E148" s="430"/>
      <c r="F148" s="430"/>
      <c r="G148" s="430"/>
      <c r="H148" s="430"/>
      <c r="I148" s="430"/>
      <c r="J148" s="581"/>
      <c r="K148" s="581"/>
      <c r="L148" s="582"/>
      <c r="M148" s="581"/>
      <c r="N148" s="430"/>
      <c r="O148" s="430"/>
      <c r="P148" s="430"/>
      <c r="Q148" s="430"/>
      <c r="R148" s="430"/>
      <c r="S148" s="581"/>
      <c r="T148" s="581"/>
      <c r="U148" s="581"/>
      <c r="V148" s="582"/>
      <c r="W148" s="581"/>
      <c r="X148" s="430"/>
      <c r="Y148" s="430"/>
      <c r="Z148" s="430"/>
      <c r="AA148" s="430"/>
      <c r="AB148" s="430"/>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430"/>
      <c r="AY148" s="430"/>
      <c r="AZ148" s="430"/>
      <c r="BA148" s="430"/>
      <c r="BB148" s="430"/>
      <c r="BC148" s="430"/>
      <c r="BD148" s="430"/>
      <c r="BE148" s="430"/>
    </row>
    <row r="149" spans="1:57" ht="15.75" customHeight="1">
      <c r="A149" s="430"/>
      <c r="B149" s="430"/>
      <c r="C149" s="430"/>
      <c r="D149" s="430"/>
      <c r="E149" s="430"/>
      <c r="F149" s="430"/>
      <c r="G149" s="430"/>
      <c r="H149" s="430"/>
      <c r="I149" s="430"/>
      <c r="J149" s="581"/>
      <c r="K149" s="581"/>
      <c r="L149" s="582"/>
      <c r="M149" s="581"/>
      <c r="N149" s="430"/>
      <c r="O149" s="430"/>
      <c r="P149" s="430"/>
      <c r="Q149" s="430"/>
      <c r="R149" s="430"/>
      <c r="S149" s="581"/>
      <c r="T149" s="581"/>
      <c r="U149" s="581"/>
      <c r="V149" s="582"/>
      <c r="W149" s="581"/>
      <c r="X149" s="430"/>
      <c r="Y149" s="430"/>
      <c r="Z149" s="430"/>
      <c r="AA149" s="430"/>
      <c r="AB149" s="430"/>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0"/>
      <c r="AY149" s="430"/>
      <c r="AZ149" s="430"/>
      <c r="BA149" s="430"/>
      <c r="BB149" s="430"/>
      <c r="BC149" s="430"/>
      <c r="BD149" s="430"/>
      <c r="BE149" s="430"/>
    </row>
    <row r="150" spans="1:57" ht="15.75" customHeight="1">
      <c r="A150" s="430"/>
      <c r="B150" s="430"/>
      <c r="C150" s="430"/>
      <c r="D150" s="430"/>
      <c r="E150" s="430"/>
      <c r="F150" s="430"/>
      <c r="G150" s="430"/>
      <c r="H150" s="430"/>
      <c r="I150" s="430"/>
      <c r="J150" s="581"/>
      <c r="K150" s="581"/>
      <c r="L150" s="582"/>
      <c r="M150" s="581"/>
      <c r="N150" s="430"/>
      <c r="O150" s="430"/>
      <c r="P150" s="430"/>
      <c r="Q150" s="430"/>
      <c r="R150" s="430"/>
      <c r="S150" s="581"/>
      <c r="T150" s="581"/>
      <c r="U150" s="581"/>
      <c r="V150" s="582"/>
      <c r="W150" s="581"/>
      <c r="X150" s="430"/>
      <c r="Y150" s="430"/>
      <c r="Z150" s="430"/>
      <c r="AA150" s="430"/>
      <c r="AB150" s="430"/>
      <c r="AC150" s="430"/>
      <c r="AD150" s="430"/>
      <c r="AE150" s="430"/>
      <c r="AF150" s="430"/>
      <c r="AG150" s="430"/>
      <c r="AH150" s="430"/>
      <c r="AI150" s="430"/>
      <c r="AJ150" s="430"/>
      <c r="AK150" s="430"/>
      <c r="AL150" s="430"/>
      <c r="AM150" s="430"/>
      <c r="AN150" s="430"/>
      <c r="AO150" s="430"/>
      <c r="AP150" s="430"/>
      <c r="AQ150" s="430"/>
      <c r="AR150" s="430"/>
      <c r="AS150" s="430"/>
      <c r="AT150" s="430"/>
      <c r="AU150" s="430"/>
      <c r="AV150" s="430"/>
      <c r="AW150" s="430"/>
      <c r="AX150" s="430"/>
      <c r="AY150" s="430"/>
      <c r="AZ150" s="430"/>
      <c r="BA150" s="430"/>
      <c r="BB150" s="430"/>
      <c r="BC150" s="430"/>
      <c r="BD150" s="430"/>
      <c r="BE150" s="430"/>
    </row>
    <row r="151" spans="1:57" ht="15.75" customHeight="1">
      <c r="A151" s="430"/>
      <c r="B151" s="430"/>
      <c r="C151" s="430"/>
      <c r="D151" s="430"/>
      <c r="E151" s="430"/>
      <c r="F151" s="430"/>
      <c r="G151" s="430"/>
      <c r="H151" s="430"/>
      <c r="I151" s="430"/>
      <c r="J151" s="581"/>
      <c r="K151" s="581"/>
      <c r="L151" s="582"/>
      <c r="M151" s="581"/>
      <c r="N151" s="430"/>
      <c r="O151" s="430"/>
      <c r="P151" s="430"/>
      <c r="Q151" s="430"/>
      <c r="R151" s="430"/>
      <c r="S151" s="581"/>
      <c r="T151" s="581"/>
      <c r="U151" s="581"/>
      <c r="V151" s="582"/>
      <c r="W151" s="581"/>
      <c r="X151" s="430"/>
      <c r="Y151" s="430"/>
      <c r="Z151" s="430"/>
      <c r="AA151" s="430"/>
      <c r="AB151" s="430"/>
      <c r="AC151" s="430"/>
      <c r="AD151" s="430"/>
      <c r="AE151" s="430"/>
      <c r="AF151" s="430"/>
      <c r="AG151" s="430"/>
      <c r="AH151" s="430"/>
      <c r="AI151" s="430"/>
      <c r="AJ151" s="430"/>
      <c r="AK151" s="430"/>
      <c r="AL151" s="430"/>
      <c r="AM151" s="430"/>
      <c r="AN151" s="430"/>
      <c r="AO151" s="430"/>
      <c r="AP151" s="430"/>
      <c r="AQ151" s="430"/>
      <c r="AR151" s="430"/>
      <c r="AS151" s="430"/>
      <c r="AT151" s="430"/>
      <c r="AU151" s="430"/>
      <c r="AV151" s="430"/>
      <c r="AW151" s="430"/>
      <c r="AX151" s="430"/>
      <c r="AY151" s="430"/>
      <c r="AZ151" s="430"/>
      <c r="BA151" s="430"/>
      <c r="BB151" s="430"/>
      <c r="BC151" s="430"/>
      <c r="BD151" s="430"/>
      <c r="BE151" s="430"/>
    </row>
    <row r="152" spans="1:57" ht="15.75" customHeight="1">
      <c r="A152" s="430"/>
      <c r="B152" s="430"/>
      <c r="C152" s="430"/>
      <c r="D152" s="430"/>
      <c r="E152" s="430"/>
      <c r="F152" s="430"/>
      <c r="G152" s="430"/>
      <c r="H152" s="430"/>
      <c r="I152" s="430"/>
      <c r="J152" s="581"/>
      <c r="K152" s="581"/>
      <c r="L152" s="582"/>
      <c r="M152" s="581"/>
      <c r="N152" s="430"/>
      <c r="O152" s="430"/>
      <c r="P152" s="430"/>
      <c r="Q152" s="430"/>
      <c r="R152" s="430"/>
      <c r="S152" s="581"/>
      <c r="T152" s="581"/>
      <c r="U152" s="581"/>
      <c r="V152" s="582"/>
      <c r="W152" s="581"/>
      <c r="X152" s="430"/>
      <c r="Y152" s="430"/>
      <c r="Z152" s="430"/>
      <c r="AA152" s="430"/>
      <c r="AB152" s="430"/>
      <c r="AC152" s="430"/>
      <c r="AD152" s="430"/>
      <c r="AE152" s="430"/>
      <c r="AF152" s="430"/>
      <c r="AG152" s="430"/>
      <c r="AH152" s="430"/>
      <c r="AI152" s="430"/>
      <c r="AJ152" s="430"/>
      <c r="AK152" s="430"/>
      <c r="AL152" s="430"/>
      <c r="AM152" s="430"/>
      <c r="AN152" s="430"/>
      <c r="AO152" s="430"/>
      <c r="AP152" s="430"/>
      <c r="AQ152" s="430"/>
      <c r="AR152" s="430"/>
      <c r="AS152" s="430"/>
      <c r="AT152" s="430"/>
      <c r="AU152" s="430"/>
      <c r="AV152" s="430"/>
      <c r="AW152" s="430"/>
      <c r="AX152" s="430"/>
      <c r="AY152" s="430"/>
      <c r="AZ152" s="430"/>
      <c r="BA152" s="430"/>
      <c r="BB152" s="430"/>
      <c r="BC152" s="430"/>
      <c r="BD152" s="430"/>
      <c r="BE152" s="430"/>
    </row>
    <row r="153" spans="1:57" ht="15.75" customHeight="1">
      <c r="A153" s="430"/>
      <c r="B153" s="430"/>
      <c r="C153" s="430"/>
      <c r="D153" s="430"/>
      <c r="E153" s="430"/>
      <c r="F153" s="430"/>
      <c r="G153" s="430"/>
      <c r="H153" s="430"/>
      <c r="I153" s="430"/>
      <c r="J153" s="581"/>
      <c r="K153" s="581"/>
      <c r="L153" s="582"/>
      <c r="M153" s="581"/>
      <c r="N153" s="430"/>
      <c r="O153" s="430"/>
      <c r="P153" s="430"/>
      <c r="Q153" s="430"/>
      <c r="R153" s="430"/>
      <c r="S153" s="581"/>
      <c r="T153" s="581"/>
      <c r="U153" s="581"/>
      <c r="V153" s="582"/>
      <c r="W153" s="581"/>
      <c r="X153" s="430"/>
      <c r="Y153" s="430"/>
      <c r="Z153" s="430"/>
      <c r="AA153" s="430"/>
      <c r="AB153" s="430"/>
      <c r="AC153" s="430"/>
      <c r="AD153" s="430"/>
      <c r="AE153" s="430"/>
      <c r="AF153" s="430"/>
      <c r="AG153" s="430"/>
      <c r="AH153" s="430"/>
      <c r="AI153" s="430"/>
      <c r="AJ153" s="430"/>
      <c r="AK153" s="430"/>
      <c r="AL153" s="430"/>
      <c r="AM153" s="430"/>
      <c r="AN153" s="430"/>
      <c r="AO153" s="430"/>
      <c r="AP153" s="430"/>
      <c r="AQ153" s="430"/>
      <c r="AR153" s="430"/>
      <c r="AS153" s="430"/>
      <c r="AT153" s="430"/>
      <c r="AU153" s="430"/>
      <c r="AV153" s="430"/>
      <c r="AW153" s="430"/>
      <c r="AX153" s="430"/>
      <c r="AY153" s="430"/>
      <c r="AZ153" s="430"/>
      <c r="BA153" s="430"/>
      <c r="BB153" s="430"/>
      <c r="BC153" s="430"/>
      <c r="BD153" s="430"/>
      <c r="BE153" s="430"/>
    </row>
    <row r="154" spans="1:57" ht="15.75" customHeight="1">
      <c r="A154" s="430"/>
      <c r="B154" s="430"/>
      <c r="C154" s="430"/>
      <c r="D154" s="430"/>
      <c r="E154" s="430"/>
      <c r="F154" s="430"/>
      <c r="G154" s="430"/>
      <c r="H154" s="430"/>
      <c r="I154" s="430"/>
      <c r="J154" s="581"/>
      <c r="K154" s="581"/>
      <c r="L154" s="582"/>
      <c r="M154" s="581"/>
      <c r="N154" s="430"/>
      <c r="O154" s="430"/>
      <c r="P154" s="430"/>
      <c r="Q154" s="430"/>
      <c r="R154" s="430"/>
      <c r="S154" s="581"/>
      <c r="T154" s="581"/>
      <c r="U154" s="581"/>
      <c r="V154" s="582"/>
      <c r="W154" s="581"/>
      <c r="X154" s="430"/>
      <c r="Y154" s="430"/>
      <c r="Z154" s="430"/>
      <c r="AA154" s="430"/>
      <c r="AB154" s="430"/>
      <c r="AC154" s="430"/>
      <c r="AD154" s="430"/>
      <c r="AE154" s="430"/>
      <c r="AF154" s="430"/>
      <c r="AG154" s="430"/>
      <c r="AH154" s="430"/>
      <c r="AI154" s="430"/>
      <c r="AJ154" s="430"/>
      <c r="AK154" s="430"/>
      <c r="AL154" s="430"/>
      <c r="AM154" s="430"/>
      <c r="AN154" s="430"/>
      <c r="AO154" s="430"/>
      <c r="AP154" s="430"/>
      <c r="AQ154" s="430"/>
      <c r="AR154" s="430"/>
      <c r="AS154" s="430"/>
      <c r="AT154" s="430"/>
      <c r="AU154" s="430"/>
      <c r="AV154" s="430"/>
      <c r="AW154" s="430"/>
      <c r="AX154" s="430"/>
      <c r="AY154" s="430"/>
      <c r="AZ154" s="430"/>
      <c r="BA154" s="430"/>
      <c r="BB154" s="430"/>
      <c r="BC154" s="430"/>
      <c r="BD154" s="430"/>
      <c r="BE154" s="430"/>
    </row>
    <row r="155" spans="1:57" ht="15.75" customHeight="1">
      <c r="A155" s="430"/>
      <c r="B155" s="430"/>
      <c r="C155" s="430"/>
      <c r="D155" s="430"/>
      <c r="E155" s="430"/>
      <c r="F155" s="430"/>
      <c r="G155" s="430"/>
      <c r="H155" s="430"/>
      <c r="I155" s="430"/>
      <c r="J155" s="581"/>
      <c r="K155" s="581"/>
      <c r="L155" s="582"/>
      <c r="M155" s="581"/>
      <c r="N155" s="430"/>
      <c r="O155" s="430"/>
      <c r="P155" s="430"/>
      <c r="Q155" s="430"/>
      <c r="R155" s="430"/>
      <c r="S155" s="581"/>
      <c r="T155" s="581"/>
      <c r="U155" s="581"/>
      <c r="V155" s="582"/>
      <c r="W155" s="581"/>
      <c r="X155" s="430"/>
      <c r="Y155" s="430"/>
      <c r="Z155" s="430"/>
      <c r="AA155" s="430"/>
      <c r="AB155" s="430"/>
      <c r="AC155" s="430"/>
      <c r="AD155" s="430"/>
      <c r="AE155" s="430"/>
      <c r="AF155" s="430"/>
      <c r="AG155" s="430"/>
      <c r="AH155" s="430"/>
      <c r="AI155" s="430"/>
      <c r="AJ155" s="430"/>
      <c r="AK155" s="430"/>
      <c r="AL155" s="430"/>
      <c r="AM155" s="430"/>
      <c r="AN155" s="430"/>
      <c r="AO155" s="430"/>
      <c r="AP155" s="430"/>
      <c r="AQ155" s="430"/>
      <c r="AR155" s="430"/>
      <c r="AS155" s="430"/>
      <c r="AT155" s="430"/>
      <c r="AU155" s="430"/>
      <c r="AV155" s="430"/>
      <c r="AW155" s="430"/>
      <c r="AX155" s="430"/>
      <c r="AY155" s="430"/>
      <c r="AZ155" s="430"/>
      <c r="BA155" s="430"/>
      <c r="BB155" s="430"/>
      <c r="BC155" s="430"/>
      <c r="BD155" s="430"/>
      <c r="BE155" s="430"/>
    </row>
    <row r="156" spans="1:57" ht="15.75" customHeight="1">
      <c r="A156" s="430"/>
      <c r="B156" s="430"/>
      <c r="C156" s="430"/>
      <c r="D156" s="430"/>
      <c r="E156" s="430"/>
      <c r="F156" s="430"/>
      <c r="G156" s="430"/>
      <c r="H156" s="430"/>
      <c r="I156" s="430"/>
      <c r="J156" s="581"/>
      <c r="K156" s="581"/>
      <c r="L156" s="582"/>
      <c r="M156" s="581"/>
      <c r="N156" s="430"/>
      <c r="O156" s="430"/>
      <c r="P156" s="430"/>
      <c r="Q156" s="430"/>
      <c r="R156" s="430"/>
      <c r="S156" s="581"/>
      <c r="T156" s="581"/>
      <c r="U156" s="581"/>
      <c r="V156" s="582"/>
      <c r="W156" s="581"/>
      <c r="X156" s="430"/>
      <c r="Y156" s="430"/>
      <c r="Z156" s="430"/>
      <c r="AA156" s="430"/>
      <c r="AB156" s="430"/>
      <c r="AC156" s="430"/>
      <c r="AD156" s="430"/>
      <c r="AE156" s="430"/>
      <c r="AF156" s="430"/>
      <c r="AG156" s="430"/>
      <c r="AH156" s="430"/>
      <c r="AI156" s="430"/>
      <c r="AJ156" s="430"/>
      <c r="AK156" s="430"/>
      <c r="AL156" s="430"/>
      <c r="AM156" s="430"/>
      <c r="AN156" s="430"/>
      <c r="AO156" s="430"/>
      <c r="AP156" s="430"/>
      <c r="AQ156" s="430"/>
      <c r="AR156" s="430"/>
      <c r="AS156" s="430"/>
      <c r="AT156" s="430"/>
      <c r="AU156" s="430"/>
      <c r="AV156" s="430"/>
      <c r="AW156" s="430"/>
      <c r="AX156" s="430"/>
      <c r="AY156" s="430"/>
      <c r="AZ156" s="430"/>
      <c r="BA156" s="430"/>
      <c r="BB156" s="430"/>
      <c r="BC156" s="430"/>
      <c r="BD156" s="430"/>
      <c r="BE156" s="430"/>
    </row>
    <row r="157" spans="1:57" ht="15.75" customHeight="1">
      <c r="A157" s="430"/>
      <c r="B157" s="430"/>
      <c r="C157" s="430"/>
      <c r="D157" s="430"/>
      <c r="E157" s="430"/>
      <c r="F157" s="430"/>
      <c r="G157" s="430"/>
      <c r="H157" s="430"/>
      <c r="I157" s="430"/>
      <c r="J157" s="581"/>
      <c r="K157" s="581"/>
      <c r="L157" s="582"/>
      <c r="M157" s="581"/>
      <c r="N157" s="430"/>
      <c r="O157" s="430"/>
      <c r="P157" s="430"/>
      <c r="Q157" s="430"/>
      <c r="R157" s="430"/>
      <c r="S157" s="581"/>
      <c r="T157" s="581"/>
      <c r="U157" s="581"/>
      <c r="V157" s="582"/>
      <c r="W157" s="581"/>
      <c r="X157" s="430"/>
      <c r="Y157" s="430"/>
      <c r="Z157" s="430"/>
      <c r="AA157" s="430"/>
      <c r="AB157" s="430"/>
      <c r="AC157" s="430"/>
      <c r="AD157" s="430"/>
      <c r="AE157" s="430"/>
      <c r="AF157" s="430"/>
      <c r="AG157" s="430"/>
      <c r="AH157" s="430"/>
      <c r="AI157" s="430"/>
      <c r="AJ157" s="430"/>
      <c r="AK157" s="430"/>
      <c r="AL157" s="430"/>
      <c r="AM157" s="430"/>
      <c r="AN157" s="430"/>
      <c r="AO157" s="430"/>
      <c r="AP157" s="430"/>
      <c r="AQ157" s="430"/>
      <c r="AR157" s="430"/>
      <c r="AS157" s="430"/>
      <c r="AT157" s="430"/>
      <c r="AU157" s="430"/>
      <c r="AV157" s="430"/>
      <c r="AW157" s="430"/>
      <c r="AX157" s="430"/>
      <c r="AY157" s="430"/>
      <c r="AZ157" s="430"/>
      <c r="BA157" s="430"/>
      <c r="BB157" s="430"/>
      <c r="BC157" s="430"/>
      <c r="BD157" s="430"/>
      <c r="BE157" s="430"/>
    </row>
    <row r="158" spans="1:57" ht="15.75" customHeight="1">
      <c r="A158" s="430"/>
      <c r="B158" s="430"/>
      <c r="C158" s="430"/>
      <c r="D158" s="430"/>
      <c r="E158" s="430"/>
      <c r="F158" s="430"/>
      <c r="G158" s="430"/>
      <c r="H158" s="430"/>
      <c r="I158" s="430"/>
      <c r="J158" s="581"/>
      <c r="K158" s="581"/>
      <c r="L158" s="582"/>
      <c r="M158" s="581"/>
      <c r="N158" s="430"/>
      <c r="O158" s="430"/>
      <c r="P158" s="430"/>
      <c r="Q158" s="430"/>
      <c r="R158" s="430"/>
      <c r="S158" s="581"/>
      <c r="T158" s="581"/>
      <c r="U158" s="581"/>
      <c r="V158" s="582"/>
      <c r="W158" s="581"/>
      <c r="X158" s="430"/>
      <c r="Y158" s="430"/>
      <c r="Z158" s="430"/>
      <c r="AA158" s="430"/>
      <c r="AB158" s="430"/>
      <c r="AC158" s="430"/>
      <c r="AD158" s="430"/>
      <c r="AE158" s="430"/>
      <c r="AF158" s="430"/>
      <c r="AG158" s="430"/>
      <c r="AH158" s="430"/>
      <c r="AI158" s="430"/>
      <c r="AJ158" s="430"/>
      <c r="AK158" s="430"/>
      <c r="AL158" s="430"/>
      <c r="AM158" s="430"/>
      <c r="AN158" s="430"/>
      <c r="AO158" s="430"/>
      <c r="AP158" s="430"/>
      <c r="AQ158" s="430"/>
      <c r="AR158" s="430"/>
      <c r="AS158" s="430"/>
      <c r="AT158" s="430"/>
      <c r="AU158" s="430"/>
      <c r="AV158" s="430"/>
      <c r="AW158" s="430"/>
      <c r="AX158" s="430"/>
      <c r="AY158" s="430"/>
      <c r="AZ158" s="430"/>
      <c r="BA158" s="430"/>
      <c r="BB158" s="430"/>
      <c r="BC158" s="430"/>
      <c r="BD158" s="430"/>
      <c r="BE158" s="430"/>
    </row>
    <row r="159" spans="1:57" ht="15.75" customHeight="1">
      <c r="A159" s="430"/>
      <c r="B159" s="430"/>
      <c r="C159" s="430"/>
      <c r="D159" s="430"/>
      <c r="E159" s="430"/>
      <c r="F159" s="430"/>
      <c r="G159" s="430"/>
      <c r="H159" s="430"/>
      <c r="I159" s="430"/>
      <c r="J159" s="581"/>
      <c r="K159" s="581"/>
      <c r="L159" s="582"/>
      <c r="M159" s="581"/>
      <c r="N159" s="430"/>
      <c r="O159" s="430"/>
      <c r="P159" s="430"/>
      <c r="Q159" s="430"/>
      <c r="R159" s="430"/>
      <c r="S159" s="581"/>
      <c r="T159" s="581"/>
      <c r="U159" s="581"/>
      <c r="V159" s="582"/>
      <c r="W159" s="581"/>
      <c r="X159" s="430"/>
      <c r="Y159" s="430"/>
      <c r="Z159" s="430"/>
      <c r="AA159" s="430"/>
      <c r="AB159" s="430"/>
      <c r="AC159" s="430"/>
      <c r="AD159" s="430"/>
      <c r="AE159" s="430"/>
      <c r="AF159" s="430"/>
      <c r="AG159" s="430"/>
      <c r="AH159" s="430"/>
      <c r="AI159" s="430"/>
      <c r="AJ159" s="430"/>
      <c r="AK159" s="430"/>
      <c r="AL159" s="430"/>
      <c r="AM159" s="430"/>
      <c r="AN159" s="430"/>
      <c r="AO159" s="430"/>
      <c r="AP159" s="430"/>
      <c r="AQ159" s="430"/>
      <c r="AR159" s="430"/>
      <c r="AS159" s="430"/>
      <c r="AT159" s="430"/>
      <c r="AU159" s="430"/>
      <c r="AV159" s="430"/>
      <c r="AW159" s="430"/>
      <c r="AX159" s="430"/>
      <c r="AY159" s="430"/>
      <c r="AZ159" s="430"/>
      <c r="BA159" s="430"/>
      <c r="BB159" s="430"/>
      <c r="BC159" s="430"/>
      <c r="BD159" s="430"/>
      <c r="BE159" s="430"/>
    </row>
    <row r="160" spans="1:57" ht="15.75" customHeight="1">
      <c r="A160" s="430"/>
      <c r="B160" s="430"/>
      <c r="C160" s="430"/>
      <c r="D160" s="430"/>
      <c r="E160" s="430"/>
      <c r="F160" s="430"/>
      <c r="G160" s="430"/>
      <c r="H160" s="430"/>
      <c r="I160" s="430"/>
      <c r="J160" s="581"/>
      <c r="K160" s="581"/>
      <c r="L160" s="582"/>
      <c r="M160" s="581"/>
      <c r="N160" s="430"/>
      <c r="O160" s="430"/>
      <c r="P160" s="430"/>
      <c r="Q160" s="430"/>
      <c r="R160" s="430"/>
      <c r="S160" s="581"/>
      <c r="T160" s="581"/>
      <c r="U160" s="581"/>
      <c r="V160" s="582"/>
      <c r="W160" s="581"/>
      <c r="X160" s="430"/>
      <c r="Y160" s="430"/>
      <c r="Z160" s="430"/>
      <c r="AA160" s="430"/>
      <c r="AB160" s="430"/>
      <c r="AC160" s="430"/>
      <c r="AD160" s="430"/>
      <c r="AE160" s="430"/>
      <c r="AF160" s="430"/>
      <c r="AG160" s="430"/>
      <c r="AH160" s="430"/>
      <c r="AI160" s="430"/>
      <c r="AJ160" s="430"/>
      <c r="AK160" s="430"/>
      <c r="AL160" s="430"/>
      <c r="AM160" s="430"/>
      <c r="AN160" s="430"/>
      <c r="AO160" s="430"/>
      <c r="AP160" s="430"/>
      <c r="AQ160" s="430"/>
      <c r="AR160" s="430"/>
      <c r="AS160" s="430"/>
      <c r="AT160" s="430"/>
      <c r="AU160" s="430"/>
      <c r="AV160" s="430"/>
      <c r="AW160" s="430"/>
      <c r="AX160" s="430"/>
      <c r="AY160" s="430"/>
      <c r="AZ160" s="430"/>
      <c r="BA160" s="430"/>
      <c r="BB160" s="430"/>
      <c r="BC160" s="430"/>
      <c r="BD160" s="430"/>
      <c r="BE160" s="430"/>
    </row>
    <row r="161" spans="1:57" ht="15.75" customHeight="1">
      <c r="A161" s="430"/>
      <c r="B161" s="430"/>
      <c r="C161" s="430"/>
      <c r="D161" s="430"/>
      <c r="E161" s="430"/>
      <c r="F161" s="430"/>
      <c r="G161" s="430"/>
      <c r="H161" s="430"/>
      <c r="I161" s="430"/>
      <c r="J161" s="581"/>
      <c r="K161" s="581"/>
      <c r="L161" s="582"/>
      <c r="M161" s="581"/>
      <c r="N161" s="430"/>
      <c r="O161" s="430"/>
      <c r="P161" s="430"/>
      <c r="Q161" s="430"/>
      <c r="R161" s="430"/>
      <c r="S161" s="581"/>
      <c r="T161" s="581"/>
      <c r="U161" s="581"/>
      <c r="V161" s="582"/>
      <c r="W161" s="581"/>
      <c r="X161" s="430"/>
      <c r="Y161" s="430"/>
      <c r="Z161" s="430"/>
      <c r="AA161" s="430"/>
      <c r="AB161" s="430"/>
      <c r="AC161" s="430"/>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0"/>
      <c r="AY161" s="430"/>
      <c r="AZ161" s="430"/>
      <c r="BA161" s="430"/>
      <c r="BB161" s="430"/>
      <c r="BC161" s="430"/>
      <c r="BD161" s="430"/>
      <c r="BE161" s="430"/>
    </row>
    <row r="162" spans="1:57" ht="15.75" customHeight="1">
      <c r="A162" s="430"/>
      <c r="B162" s="430"/>
      <c r="C162" s="430"/>
      <c r="D162" s="430"/>
      <c r="E162" s="430"/>
      <c r="F162" s="430"/>
      <c r="G162" s="430"/>
      <c r="H162" s="430"/>
      <c r="I162" s="430"/>
      <c r="J162" s="581"/>
      <c r="K162" s="581"/>
      <c r="L162" s="582"/>
      <c r="M162" s="581"/>
      <c r="N162" s="430"/>
      <c r="O162" s="430"/>
      <c r="P162" s="430"/>
      <c r="Q162" s="430"/>
      <c r="R162" s="430"/>
      <c r="S162" s="581"/>
      <c r="T162" s="581"/>
      <c r="U162" s="581"/>
      <c r="V162" s="582"/>
      <c r="W162" s="581"/>
      <c r="X162" s="430"/>
      <c r="Y162" s="430"/>
      <c r="Z162" s="430"/>
      <c r="AA162" s="430"/>
      <c r="AB162" s="430"/>
      <c r="AC162" s="430"/>
      <c r="AD162" s="430"/>
      <c r="AE162" s="430"/>
      <c r="AF162" s="430"/>
      <c r="AG162" s="430"/>
      <c r="AH162" s="430"/>
      <c r="AI162" s="430"/>
      <c r="AJ162" s="430"/>
      <c r="AK162" s="430"/>
      <c r="AL162" s="430"/>
      <c r="AM162" s="430"/>
      <c r="AN162" s="430"/>
      <c r="AO162" s="430"/>
      <c r="AP162" s="430"/>
      <c r="AQ162" s="430"/>
      <c r="AR162" s="430"/>
      <c r="AS162" s="430"/>
      <c r="AT162" s="430"/>
      <c r="AU162" s="430"/>
      <c r="AV162" s="430"/>
      <c r="AW162" s="430"/>
      <c r="AX162" s="430"/>
      <c r="AY162" s="430"/>
      <c r="AZ162" s="430"/>
      <c r="BA162" s="430"/>
      <c r="BB162" s="430"/>
      <c r="BC162" s="430"/>
      <c r="BD162" s="430"/>
      <c r="BE162" s="430"/>
    </row>
    <row r="163" spans="1:57" ht="15.75" customHeight="1">
      <c r="A163" s="430"/>
      <c r="B163" s="430"/>
      <c r="C163" s="430"/>
      <c r="D163" s="430"/>
      <c r="E163" s="430"/>
      <c r="F163" s="430"/>
      <c r="G163" s="430"/>
      <c r="H163" s="430"/>
      <c r="I163" s="430"/>
      <c r="J163" s="581"/>
      <c r="K163" s="581"/>
      <c r="L163" s="582"/>
      <c r="M163" s="581"/>
      <c r="N163" s="430"/>
      <c r="O163" s="430"/>
      <c r="P163" s="430"/>
      <c r="Q163" s="430"/>
      <c r="R163" s="430"/>
      <c r="S163" s="581"/>
      <c r="T163" s="581"/>
      <c r="U163" s="581"/>
      <c r="V163" s="582"/>
      <c r="W163" s="581"/>
      <c r="X163" s="430"/>
      <c r="Y163" s="430"/>
      <c r="Z163" s="430"/>
      <c r="AA163" s="430"/>
      <c r="AB163" s="430"/>
      <c r="AC163" s="430"/>
      <c r="AD163" s="430"/>
      <c r="AE163" s="430"/>
      <c r="AF163" s="430"/>
      <c r="AG163" s="430"/>
      <c r="AH163" s="430"/>
      <c r="AI163" s="430"/>
      <c r="AJ163" s="430"/>
      <c r="AK163" s="430"/>
      <c r="AL163" s="430"/>
      <c r="AM163" s="430"/>
      <c r="AN163" s="430"/>
      <c r="AO163" s="430"/>
      <c r="AP163" s="430"/>
      <c r="AQ163" s="430"/>
      <c r="AR163" s="430"/>
      <c r="AS163" s="430"/>
      <c r="AT163" s="430"/>
      <c r="AU163" s="430"/>
      <c r="AV163" s="430"/>
      <c r="AW163" s="430"/>
      <c r="AX163" s="430"/>
      <c r="AY163" s="430"/>
      <c r="AZ163" s="430"/>
      <c r="BA163" s="430"/>
      <c r="BB163" s="430"/>
      <c r="BC163" s="430"/>
      <c r="BD163" s="430"/>
      <c r="BE163" s="430"/>
    </row>
    <row r="164" spans="1:57" ht="15.75" customHeight="1">
      <c r="A164" s="430"/>
      <c r="B164" s="430"/>
      <c r="C164" s="430"/>
      <c r="D164" s="430"/>
      <c r="E164" s="430"/>
      <c r="F164" s="430"/>
      <c r="G164" s="430"/>
      <c r="H164" s="430"/>
      <c r="I164" s="430"/>
      <c r="J164" s="581"/>
      <c r="K164" s="581"/>
      <c r="L164" s="582"/>
      <c r="M164" s="581"/>
      <c r="N164" s="430"/>
      <c r="O164" s="430"/>
      <c r="P164" s="430"/>
      <c r="Q164" s="430"/>
      <c r="R164" s="430"/>
      <c r="S164" s="581"/>
      <c r="T164" s="581"/>
      <c r="U164" s="581"/>
      <c r="V164" s="582"/>
      <c r="W164" s="581"/>
      <c r="X164" s="430"/>
      <c r="Y164" s="430"/>
      <c r="Z164" s="430"/>
      <c r="AA164" s="430"/>
      <c r="AB164" s="430"/>
      <c r="AC164" s="430"/>
      <c r="AD164" s="430"/>
      <c r="AE164" s="430"/>
      <c r="AF164" s="430"/>
      <c r="AG164" s="430"/>
      <c r="AH164" s="430"/>
      <c r="AI164" s="430"/>
      <c r="AJ164" s="430"/>
      <c r="AK164" s="430"/>
      <c r="AL164" s="430"/>
      <c r="AM164" s="430"/>
      <c r="AN164" s="430"/>
      <c r="AO164" s="430"/>
      <c r="AP164" s="430"/>
      <c r="AQ164" s="430"/>
      <c r="AR164" s="430"/>
      <c r="AS164" s="430"/>
      <c r="AT164" s="430"/>
      <c r="AU164" s="430"/>
      <c r="AV164" s="430"/>
      <c r="AW164" s="430"/>
      <c r="AX164" s="430"/>
      <c r="AY164" s="430"/>
      <c r="AZ164" s="430"/>
      <c r="BA164" s="430"/>
      <c r="BB164" s="430"/>
      <c r="BC164" s="430"/>
      <c r="BD164" s="430"/>
      <c r="BE164" s="430"/>
    </row>
    <row r="165" spans="1:57" ht="15.75" customHeight="1">
      <c r="A165" s="430"/>
      <c r="B165" s="430"/>
      <c r="C165" s="430"/>
      <c r="D165" s="430"/>
      <c r="E165" s="430"/>
      <c r="F165" s="430"/>
      <c r="G165" s="430"/>
      <c r="H165" s="430"/>
      <c r="I165" s="430"/>
      <c r="J165" s="581"/>
      <c r="K165" s="581"/>
      <c r="L165" s="582"/>
      <c r="M165" s="581"/>
      <c r="N165" s="430"/>
      <c r="O165" s="430"/>
      <c r="P165" s="430"/>
      <c r="Q165" s="430"/>
      <c r="R165" s="430"/>
      <c r="S165" s="581"/>
      <c r="T165" s="581"/>
      <c r="U165" s="581"/>
      <c r="V165" s="582"/>
      <c r="W165" s="581"/>
      <c r="X165" s="430"/>
      <c r="Y165" s="430"/>
      <c r="Z165" s="430"/>
      <c r="AA165" s="430"/>
      <c r="AB165" s="430"/>
      <c r="AC165" s="430"/>
      <c r="AD165" s="430"/>
      <c r="AE165" s="430"/>
      <c r="AF165" s="430"/>
      <c r="AG165" s="430"/>
      <c r="AH165" s="430"/>
      <c r="AI165" s="430"/>
      <c r="AJ165" s="430"/>
      <c r="AK165" s="430"/>
      <c r="AL165" s="430"/>
      <c r="AM165" s="430"/>
      <c r="AN165" s="430"/>
      <c r="AO165" s="430"/>
      <c r="AP165" s="430"/>
      <c r="AQ165" s="430"/>
      <c r="AR165" s="430"/>
      <c r="AS165" s="430"/>
      <c r="AT165" s="430"/>
      <c r="AU165" s="430"/>
      <c r="AV165" s="430"/>
      <c r="AW165" s="430"/>
      <c r="AX165" s="430"/>
      <c r="AY165" s="430"/>
      <c r="AZ165" s="430"/>
      <c r="BA165" s="430"/>
      <c r="BB165" s="430"/>
      <c r="BC165" s="430"/>
      <c r="BD165" s="430"/>
      <c r="BE165" s="430"/>
    </row>
    <row r="166" spans="1:57" ht="15.75" customHeight="1">
      <c r="A166" s="430"/>
      <c r="B166" s="430"/>
      <c r="C166" s="430"/>
      <c r="D166" s="430"/>
      <c r="E166" s="430"/>
      <c r="F166" s="430"/>
      <c r="G166" s="430"/>
      <c r="H166" s="430"/>
      <c r="I166" s="430"/>
      <c r="J166" s="581"/>
      <c r="K166" s="581"/>
      <c r="L166" s="582"/>
      <c r="M166" s="581"/>
      <c r="N166" s="430"/>
      <c r="O166" s="430"/>
      <c r="P166" s="430"/>
      <c r="Q166" s="430"/>
      <c r="R166" s="430"/>
      <c r="S166" s="581"/>
      <c r="T166" s="581"/>
      <c r="U166" s="581"/>
      <c r="V166" s="582"/>
      <c r="W166" s="581"/>
      <c r="X166" s="430"/>
      <c r="Y166" s="430"/>
      <c r="Z166" s="430"/>
      <c r="AA166" s="430"/>
      <c r="AB166" s="430"/>
      <c r="AC166" s="430"/>
      <c r="AD166" s="430"/>
      <c r="AE166" s="430"/>
      <c r="AF166" s="430"/>
      <c r="AG166" s="430"/>
      <c r="AH166" s="430"/>
      <c r="AI166" s="430"/>
      <c r="AJ166" s="430"/>
      <c r="AK166" s="430"/>
      <c r="AL166" s="430"/>
      <c r="AM166" s="430"/>
      <c r="AN166" s="430"/>
      <c r="AO166" s="430"/>
      <c r="AP166" s="430"/>
      <c r="AQ166" s="430"/>
      <c r="AR166" s="430"/>
      <c r="AS166" s="430"/>
      <c r="AT166" s="430"/>
      <c r="AU166" s="430"/>
      <c r="AV166" s="430"/>
      <c r="AW166" s="430"/>
      <c r="AX166" s="430"/>
      <c r="AY166" s="430"/>
      <c r="AZ166" s="430"/>
      <c r="BA166" s="430"/>
      <c r="BB166" s="430"/>
      <c r="BC166" s="430"/>
      <c r="BD166" s="430"/>
      <c r="BE166" s="430"/>
    </row>
    <row r="167" spans="1:57" ht="15.75" customHeight="1">
      <c r="A167" s="430"/>
      <c r="B167" s="430"/>
      <c r="C167" s="430"/>
      <c r="D167" s="430"/>
      <c r="E167" s="430"/>
      <c r="F167" s="430"/>
      <c r="G167" s="430"/>
      <c r="H167" s="430"/>
      <c r="I167" s="430"/>
      <c r="J167" s="581"/>
      <c r="K167" s="581"/>
      <c r="L167" s="582"/>
      <c r="M167" s="581"/>
      <c r="N167" s="430"/>
      <c r="O167" s="430"/>
      <c r="P167" s="430"/>
      <c r="Q167" s="430"/>
      <c r="R167" s="430"/>
      <c r="S167" s="581"/>
      <c r="T167" s="581"/>
      <c r="U167" s="581"/>
      <c r="V167" s="582"/>
      <c r="W167" s="581"/>
      <c r="X167" s="430"/>
      <c r="Y167" s="430"/>
      <c r="Z167" s="430"/>
      <c r="AA167" s="430"/>
      <c r="AB167" s="430"/>
      <c r="AC167" s="430"/>
      <c r="AD167" s="430"/>
      <c r="AE167" s="430"/>
      <c r="AF167" s="430"/>
      <c r="AG167" s="430"/>
      <c r="AH167" s="430"/>
      <c r="AI167" s="430"/>
      <c r="AJ167" s="430"/>
      <c r="AK167" s="430"/>
      <c r="AL167" s="430"/>
      <c r="AM167" s="430"/>
      <c r="AN167" s="430"/>
      <c r="AO167" s="430"/>
      <c r="AP167" s="430"/>
      <c r="AQ167" s="430"/>
      <c r="AR167" s="430"/>
      <c r="AS167" s="430"/>
      <c r="AT167" s="430"/>
      <c r="AU167" s="430"/>
      <c r="AV167" s="430"/>
      <c r="AW167" s="430"/>
      <c r="AX167" s="430"/>
      <c r="AY167" s="430"/>
      <c r="AZ167" s="430"/>
      <c r="BA167" s="430"/>
      <c r="BB167" s="430"/>
      <c r="BC167" s="430"/>
      <c r="BD167" s="430"/>
      <c r="BE167" s="430"/>
    </row>
    <row r="168" spans="1:57" ht="15.75" customHeight="1">
      <c r="A168" s="430"/>
      <c r="B168" s="430"/>
      <c r="C168" s="430"/>
      <c r="D168" s="430"/>
      <c r="E168" s="430"/>
      <c r="F168" s="430"/>
      <c r="G168" s="430"/>
      <c r="H168" s="430"/>
      <c r="I168" s="430"/>
      <c r="J168" s="581"/>
      <c r="K168" s="581"/>
      <c r="L168" s="582"/>
      <c r="M168" s="581"/>
      <c r="N168" s="430"/>
      <c r="O168" s="430"/>
      <c r="P168" s="430"/>
      <c r="Q168" s="430"/>
      <c r="R168" s="430"/>
      <c r="S168" s="581"/>
      <c r="T168" s="581"/>
      <c r="U168" s="581"/>
      <c r="V168" s="582"/>
      <c r="W168" s="581"/>
      <c r="X168" s="430"/>
      <c r="Y168" s="430"/>
      <c r="Z168" s="430"/>
      <c r="AA168" s="430"/>
      <c r="AB168" s="430"/>
      <c r="AC168" s="430"/>
      <c r="AD168" s="430"/>
      <c r="AE168" s="430"/>
      <c r="AF168" s="430"/>
      <c r="AG168" s="430"/>
      <c r="AH168" s="430"/>
      <c r="AI168" s="430"/>
      <c r="AJ168" s="430"/>
      <c r="AK168" s="430"/>
      <c r="AL168" s="430"/>
      <c r="AM168" s="430"/>
      <c r="AN168" s="430"/>
      <c r="AO168" s="430"/>
      <c r="AP168" s="430"/>
      <c r="AQ168" s="430"/>
      <c r="AR168" s="430"/>
      <c r="AS168" s="430"/>
      <c r="AT168" s="430"/>
      <c r="AU168" s="430"/>
      <c r="AV168" s="430"/>
      <c r="AW168" s="430"/>
      <c r="AX168" s="430"/>
      <c r="AY168" s="430"/>
      <c r="AZ168" s="430"/>
      <c r="BA168" s="430"/>
      <c r="BB168" s="430"/>
      <c r="BC168" s="430"/>
      <c r="BD168" s="430"/>
      <c r="BE168" s="430"/>
    </row>
    <row r="169" spans="1:57" ht="15.75" customHeight="1">
      <c r="A169" s="430"/>
      <c r="B169" s="430"/>
      <c r="C169" s="430"/>
      <c r="D169" s="430"/>
      <c r="E169" s="430"/>
      <c r="F169" s="430"/>
      <c r="G169" s="430"/>
      <c r="H169" s="430"/>
      <c r="I169" s="430"/>
      <c r="J169" s="581"/>
      <c r="K169" s="581"/>
      <c r="L169" s="582"/>
      <c r="M169" s="581"/>
      <c r="N169" s="430"/>
      <c r="O169" s="430"/>
      <c r="P169" s="430"/>
      <c r="Q169" s="430"/>
      <c r="R169" s="430"/>
      <c r="S169" s="581"/>
      <c r="T169" s="581"/>
      <c r="U169" s="581"/>
      <c r="V169" s="582"/>
      <c r="W169" s="581"/>
      <c r="X169" s="430"/>
      <c r="Y169" s="430"/>
      <c r="Z169" s="430"/>
      <c r="AA169" s="430"/>
      <c r="AB169" s="430"/>
      <c r="AC169" s="430"/>
      <c r="AD169" s="430"/>
      <c r="AE169" s="430"/>
      <c r="AF169" s="430"/>
      <c r="AG169" s="430"/>
      <c r="AH169" s="430"/>
      <c r="AI169" s="430"/>
      <c r="AJ169" s="430"/>
      <c r="AK169" s="430"/>
      <c r="AL169" s="430"/>
      <c r="AM169" s="430"/>
      <c r="AN169" s="430"/>
      <c r="AO169" s="430"/>
      <c r="AP169" s="430"/>
      <c r="AQ169" s="430"/>
      <c r="AR169" s="430"/>
      <c r="AS169" s="430"/>
      <c r="AT169" s="430"/>
      <c r="AU169" s="430"/>
      <c r="AV169" s="430"/>
      <c r="AW169" s="430"/>
      <c r="AX169" s="430"/>
      <c r="AY169" s="430"/>
      <c r="AZ169" s="430"/>
      <c r="BA169" s="430"/>
      <c r="BB169" s="430"/>
      <c r="BC169" s="430"/>
      <c r="BD169" s="430"/>
      <c r="BE169" s="430"/>
    </row>
    <row r="170" spans="1:57" ht="15.75" customHeight="1">
      <c r="A170" s="430"/>
      <c r="B170" s="430"/>
      <c r="C170" s="430"/>
      <c r="D170" s="430"/>
      <c r="E170" s="430"/>
      <c r="F170" s="430"/>
      <c r="G170" s="430"/>
      <c r="H170" s="430"/>
      <c r="I170" s="430"/>
      <c r="J170" s="581"/>
      <c r="K170" s="581"/>
      <c r="L170" s="582"/>
      <c r="M170" s="581"/>
      <c r="N170" s="430"/>
      <c r="O170" s="430"/>
      <c r="P170" s="430"/>
      <c r="Q170" s="430"/>
      <c r="R170" s="430"/>
      <c r="S170" s="581"/>
      <c r="T170" s="581"/>
      <c r="U170" s="581"/>
      <c r="V170" s="582"/>
      <c r="W170" s="581"/>
      <c r="X170" s="430"/>
      <c r="Y170" s="430"/>
      <c r="Z170" s="430"/>
      <c r="AA170" s="430"/>
      <c r="AB170" s="430"/>
      <c r="AC170" s="430"/>
      <c r="AD170" s="430"/>
      <c r="AE170" s="430"/>
      <c r="AF170" s="430"/>
      <c r="AG170" s="430"/>
      <c r="AH170" s="430"/>
      <c r="AI170" s="430"/>
      <c r="AJ170" s="430"/>
      <c r="AK170" s="430"/>
      <c r="AL170" s="430"/>
      <c r="AM170" s="430"/>
      <c r="AN170" s="430"/>
      <c r="AO170" s="430"/>
      <c r="AP170" s="430"/>
      <c r="AQ170" s="430"/>
      <c r="AR170" s="430"/>
      <c r="AS170" s="430"/>
      <c r="AT170" s="430"/>
      <c r="AU170" s="430"/>
      <c r="AV170" s="430"/>
      <c r="AW170" s="430"/>
      <c r="AX170" s="430"/>
      <c r="AY170" s="430"/>
      <c r="AZ170" s="430"/>
      <c r="BA170" s="430"/>
      <c r="BB170" s="430"/>
      <c r="BC170" s="430"/>
      <c r="BD170" s="430"/>
      <c r="BE170" s="430"/>
    </row>
    <row r="171" spans="1:57" ht="15.75" customHeight="1">
      <c r="A171" s="430"/>
      <c r="B171" s="430"/>
      <c r="C171" s="430"/>
      <c r="D171" s="430"/>
      <c r="E171" s="430"/>
      <c r="F171" s="430"/>
      <c r="G171" s="430"/>
      <c r="H171" s="430"/>
      <c r="I171" s="430"/>
      <c r="J171" s="581"/>
      <c r="K171" s="581"/>
      <c r="L171" s="582"/>
      <c r="M171" s="581"/>
      <c r="N171" s="430"/>
      <c r="O171" s="430"/>
      <c r="P171" s="430"/>
      <c r="Q171" s="430"/>
      <c r="R171" s="430"/>
      <c r="S171" s="581"/>
      <c r="T171" s="581"/>
      <c r="U171" s="581"/>
      <c r="V171" s="582"/>
      <c r="W171" s="581"/>
      <c r="X171" s="430"/>
      <c r="Y171" s="430"/>
      <c r="Z171" s="430"/>
      <c r="AA171" s="430"/>
      <c r="AB171" s="430"/>
      <c r="AC171" s="430"/>
      <c r="AD171" s="430"/>
      <c r="AE171" s="430"/>
      <c r="AF171" s="430"/>
      <c r="AG171" s="430"/>
      <c r="AH171" s="430"/>
      <c r="AI171" s="430"/>
      <c r="AJ171" s="430"/>
      <c r="AK171" s="430"/>
      <c r="AL171" s="430"/>
      <c r="AM171" s="430"/>
      <c r="AN171" s="430"/>
      <c r="AO171" s="430"/>
      <c r="AP171" s="430"/>
      <c r="AQ171" s="430"/>
      <c r="AR171" s="430"/>
      <c r="AS171" s="430"/>
      <c r="AT171" s="430"/>
      <c r="AU171" s="430"/>
      <c r="AV171" s="430"/>
      <c r="AW171" s="430"/>
      <c r="AX171" s="430"/>
      <c r="AY171" s="430"/>
      <c r="AZ171" s="430"/>
      <c r="BA171" s="430"/>
      <c r="BB171" s="430"/>
      <c r="BC171" s="430"/>
      <c r="BD171" s="430"/>
      <c r="BE171" s="430"/>
    </row>
    <row r="172" spans="1:57" ht="15.75" customHeight="1">
      <c r="A172" s="430"/>
      <c r="B172" s="430"/>
      <c r="C172" s="430"/>
      <c r="D172" s="430"/>
      <c r="E172" s="430"/>
      <c r="F172" s="430"/>
      <c r="G172" s="430"/>
      <c r="H172" s="430"/>
      <c r="I172" s="430"/>
      <c r="J172" s="581"/>
      <c r="K172" s="581"/>
      <c r="L172" s="582"/>
      <c r="M172" s="581"/>
      <c r="N172" s="430"/>
      <c r="O172" s="430"/>
      <c r="P172" s="430"/>
      <c r="Q172" s="430"/>
      <c r="R172" s="430"/>
      <c r="S172" s="581"/>
      <c r="T172" s="581"/>
      <c r="U172" s="581"/>
      <c r="V172" s="582"/>
      <c r="W172" s="581"/>
      <c r="X172" s="430"/>
      <c r="Y172" s="430"/>
      <c r="Z172" s="430"/>
      <c r="AA172" s="430"/>
      <c r="AB172" s="430"/>
      <c r="AC172" s="430"/>
      <c r="AD172" s="430"/>
      <c r="AE172" s="430"/>
      <c r="AF172" s="430"/>
      <c r="AG172" s="430"/>
      <c r="AH172" s="430"/>
      <c r="AI172" s="430"/>
      <c r="AJ172" s="430"/>
      <c r="AK172" s="430"/>
      <c r="AL172" s="430"/>
      <c r="AM172" s="430"/>
      <c r="AN172" s="430"/>
      <c r="AO172" s="430"/>
      <c r="AP172" s="430"/>
      <c r="AQ172" s="430"/>
      <c r="AR172" s="430"/>
      <c r="AS172" s="430"/>
      <c r="AT172" s="430"/>
      <c r="AU172" s="430"/>
      <c r="AV172" s="430"/>
      <c r="AW172" s="430"/>
      <c r="AX172" s="430"/>
      <c r="AY172" s="430"/>
      <c r="AZ172" s="430"/>
      <c r="BA172" s="430"/>
      <c r="BB172" s="430"/>
      <c r="BC172" s="430"/>
      <c r="BD172" s="430"/>
      <c r="BE172" s="430"/>
    </row>
    <row r="173" spans="1:57" ht="15.75" customHeight="1">
      <c r="A173" s="430"/>
      <c r="B173" s="430"/>
      <c r="C173" s="430"/>
      <c r="D173" s="430"/>
      <c r="E173" s="430"/>
      <c r="F173" s="430"/>
      <c r="G173" s="430"/>
      <c r="H173" s="430"/>
      <c r="I173" s="430"/>
      <c r="J173" s="581"/>
      <c r="K173" s="581"/>
      <c r="L173" s="582"/>
      <c r="M173" s="581"/>
      <c r="N173" s="430"/>
      <c r="O173" s="430"/>
      <c r="P173" s="430"/>
      <c r="Q173" s="430"/>
      <c r="R173" s="430"/>
      <c r="S173" s="581"/>
      <c r="T173" s="581"/>
      <c r="U173" s="581"/>
      <c r="V173" s="582"/>
      <c r="W173" s="581"/>
      <c r="X173" s="430"/>
      <c r="Y173" s="430"/>
      <c r="Z173" s="430"/>
      <c r="AA173" s="430"/>
      <c r="AB173" s="430"/>
      <c r="AC173" s="430"/>
      <c r="AD173" s="430"/>
      <c r="AE173" s="430"/>
      <c r="AF173" s="430"/>
      <c r="AG173" s="430"/>
      <c r="AH173" s="430"/>
      <c r="AI173" s="430"/>
      <c r="AJ173" s="430"/>
      <c r="AK173" s="430"/>
      <c r="AL173" s="430"/>
      <c r="AM173" s="430"/>
      <c r="AN173" s="430"/>
      <c r="AO173" s="430"/>
      <c r="AP173" s="430"/>
      <c r="AQ173" s="430"/>
      <c r="AR173" s="430"/>
      <c r="AS173" s="430"/>
      <c r="AT173" s="430"/>
      <c r="AU173" s="430"/>
      <c r="AV173" s="430"/>
      <c r="AW173" s="430"/>
      <c r="AX173" s="430"/>
      <c r="AY173" s="430"/>
      <c r="AZ173" s="430"/>
      <c r="BA173" s="430"/>
      <c r="BB173" s="430"/>
      <c r="BC173" s="430"/>
      <c r="BD173" s="430"/>
      <c r="BE173" s="430"/>
    </row>
    <row r="174" spans="1:57" ht="15.75" customHeight="1">
      <c r="A174" s="430"/>
      <c r="B174" s="430"/>
      <c r="C174" s="430"/>
      <c r="D174" s="430"/>
      <c r="E174" s="430"/>
      <c r="F174" s="430"/>
      <c r="G174" s="430"/>
      <c r="H174" s="430"/>
      <c r="I174" s="430"/>
      <c r="J174" s="581"/>
      <c r="K174" s="581"/>
      <c r="L174" s="582"/>
      <c r="M174" s="581"/>
      <c r="N174" s="430"/>
      <c r="O174" s="430"/>
      <c r="P174" s="430"/>
      <c r="Q174" s="430"/>
      <c r="R174" s="430"/>
      <c r="S174" s="581"/>
      <c r="T174" s="581"/>
      <c r="U174" s="581"/>
      <c r="V174" s="582"/>
      <c r="W174" s="581"/>
      <c r="X174" s="430"/>
      <c r="Y174" s="430"/>
      <c r="Z174" s="430"/>
      <c r="AA174" s="430"/>
      <c r="AB174" s="430"/>
      <c r="AC174" s="430"/>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0"/>
      <c r="AY174" s="430"/>
      <c r="AZ174" s="430"/>
      <c r="BA174" s="430"/>
      <c r="BB174" s="430"/>
      <c r="BC174" s="430"/>
      <c r="BD174" s="430"/>
      <c r="BE174" s="430"/>
    </row>
    <row r="175" spans="1:57" ht="15.75" customHeight="1">
      <c r="A175" s="430"/>
      <c r="B175" s="430"/>
      <c r="C175" s="430"/>
      <c r="D175" s="430"/>
      <c r="E175" s="430"/>
      <c r="F175" s="430"/>
      <c r="G175" s="430"/>
      <c r="H175" s="430"/>
      <c r="I175" s="430"/>
      <c r="J175" s="581"/>
      <c r="K175" s="581"/>
      <c r="L175" s="582"/>
      <c r="M175" s="581"/>
      <c r="N175" s="430"/>
      <c r="O175" s="430"/>
      <c r="P175" s="430"/>
      <c r="Q175" s="430"/>
      <c r="R175" s="430"/>
      <c r="S175" s="581"/>
      <c r="T175" s="581"/>
      <c r="U175" s="581"/>
      <c r="V175" s="582"/>
      <c r="W175" s="581"/>
      <c r="X175" s="430"/>
      <c r="Y175" s="430"/>
      <c r="Z175" s="430"/>
      <c r="AA175" s="430"/>
      <c r="AB175" s="430"/>
      <c r="AC175" s="430"/>
      <c r="AD175" s="430"/>
      <c r="AE175" s="430"/>
      <c r="AF175" s="430"/>
      <c r="AG175" s="430"/>
      <c r="AH175" s="430"/>
      <c r="AI175" s="430"/>
      <c r="AJ175" s="430"/>
      <c r="AK175" s="430"/>
      <c r="AL175" s="430"/>
      <c r="AM175" s="430"/>
      <c r="AN175" s="430"/>
      <c r="AO175" s="430"/>
      <c r="AP175" s="430"/>
      <c r="AQ175" s="430"/>
      <c r="AR175" s="430"/>
      <c r="AS175" s="430"/>
      <c r="AT175" s="430"/>
      <c r="AU175" s="430"/>
      <c r="AV175" s="430"/>
      <c r="AW175" s="430"/>
      <c r="AX175" s="430"/>
      <c r="AY175" s="430"/>
      <c r="AZ175" s="430"/>
      <c r="BA175" s="430"/>
      <c r="BB175" s="430"/>
      <c r="BC175" s="430"/>
      <c r="BD175" s="430"/>
      <c r="BE175" s="430"/>
    </row>
    <row r="176" spans="1:57" ht="15.75" customHeight="1">
      <c r="A176" s="430"/>
      <c r="B176" s="430"/>
      <c r="C176" s="430"/>
      <c r="D176" s="430"/>
      <c r="E176" s="430"/>
      <c r="F176" s="430"/>
      <c r="G176" s="430"/>
      <c r="H176" s="430"/>
      <c r="I176" s="430"/>
      <c r="J176" s="581"/>
      <c r="K176" s="581"/>
      <c r="L176" s="582"/>
      <c r="M176" s="581"/>
      <c r="N176" s="430"/>
      <c r="O176" s="430"/>
      <c r="P176" s="430"/>
      <c r="Q176" s="430"/>
      <c r="R176" s="430"/>
      <c r="S176" s="581"/>
      <c r="T176" s="581"/>
      <c r="U176" s="581"/>
      <c r="V176" s="582"/>
      <c r="W176" s="581"/>
      <c r="X176" s="430"/>
      <c r="Y176" s="430"/>
      <c r="Z176" s="430"/>
      <c r="AA176" s="430"/>
      <c r="AB176" s="430"/>
      <c r="AC176" s="430"/>
      <c r="AD176" s="430"/>
      <c r="AE176" s="430"/>
      <c r="AF176" s="430"/>
      <c r="AG176" s="430"/>
      <c r="AH176" s="430"/>
      <c r="AI176" s="430"/>
      <c r="AJ176" s="430"/>
      <c r="AK176" s="430"/>
      <c r="AL176" s="430"/>
      <c r="AM176" s="430"/>
      <c r="AN176" s="430"/>
      <c r="AO176" s="430"/>
      <c r="AP176" s="430"/>
      <c r="AQ176" s="430"/>
      <c r="AR176" s="430"/>
      <c r="AS176" s="430"/>
      <c r="AT176" s="430"/>
      <c r="AU176" s="430"/>
      <c r="AV176" s="430"/>
      <c r="AW176" s="430"/>
      <c r="AX176" s="430"/>
      <c r="AY176" s="430"/>
      <c r="AZ176" s="430"/>
      <c r="BA176" s="430"/>
      <c r="BB176" s="430"/>
      <c r="BC176" s="430"/>
      <c r="BD176" s="430"/>
      <c r="BE176" s="430"/>
    </row>
    <row r="177" spans="1:57" ht="15.75" customHeight="1">
      <c r="A177" s="430"/>
      <c r="B177" s="430"/>
      <c r="C177" s="430"/>
      <c r="D177" s="430"/>
      <c r="E177" s="430"/>
      <c r="F177" s="430"/>
      <c r="G177" s="430"/>
      <c r="H177" s="430"/>
      <c r="I177" s="430"/>
      <c r="J177" s="581"/>
      <c r="K177" s="581"/>
      <c r="L177" s="582"/>
      <c r="M177" s="581"/>
      <c r="N177" s="430"/>
      <c r="O177" s="430"/>
      <c r="P177" s="430"/>
      <c r="Q177" s="430"/>
      <c r="R177" s="430"/>
      <c r="S177" s="581"/>
      <c r="T177" s="581"/>
      <c r="U177" s="581"/>
      <c r="V177" s="582"/>
      <c r="W177" s="581"/>
      <c r="X177" s="430"/>
      <c r="Y177" s="430"/>
      <c r="Z177" s="430"/>
      <c r="AA177" s="430"/>
      <c r="AB177" s="430"/>
      <c r="AC177" s="430"/>
      <c r="AD177" s="430"/>
      <c r="AE177" s="430"/>
      <c r="AF177" s="430"/>
      <c r="AG177" s="430"/>
      <c r="AH177" s="430"/>
      <c r="AI177" s="430"/>
      <c r="AJ177" s="430"/>
      <c r="AK177" s="430"/>
      <c r="AL177" s="430"/>
      <c r="AM177" s="430"/>
      <c r="AN177" s="430"/>
      <c r="AO177" s="430"/>
      <c r="AP177" s="430"/>
      <c r="AQ177" s="430"/>
      <c r="AR177" s="430"/>
      <c r="AS177" s="430"/>
      <c r="AT177" s="430"/>
      <c r="AU177" s="430"/>
      <c r="AV177" s="430"/>
      <c r="AW177" s="430"/>
      <c r="AX177" s="430"/>
      <c r="AY177" s="430"/>
      <c r="AZ177" s="430"/>
      <c r="BA177" s="430"/>
      <c r="BB177" s="430"/>
      <c r="BC177" s="430"/>
      <c r="BD177" s="430"/>
      <c r="BE177" s="430"/>
    </row>
    <row r="178" spans="1:57" ht="15.75" customHeight="1">
      <c r="A178" s="430"/>
      <c r="B178" s="430"/>
      <c r="C178" s="430"/>
      <c r="D178" s="430"/>
      <c r="E178" s="430"/>
      <c r="F178" s="430"/>
      <c r="G178" s="430"/>
      <c r="H178" s="430"/>
      <c r="I178" s="430"/>
      <c r="J178" s="581"/>
      <c r="K178" s="581"/>
      <c r="L178" s="582"/>
      <c r="M178" s="581"/>
      <c r="N178" s="430"/>
      <c r="O178" s="430"/>
      <c r="P178" s="430"/>
      <c r="Q178" s="430"/>
      <c r="R178" s="430"/>
      <c r="S178" s="581"/>
      <c r="T178" s="581"/>
      <c r="U178" s="581"/>
      <c r="V178" s="582"/>
      <c r="W178" s="581"/>
      <c r="X178" s="430"/>
      <c r="Y178" s="430"/>
      <c r="Z178" s="430"/>
      <c r="AA178" s="430"/>
      <c r="AB178" s="430"/>
      <c r="AC178" s="430"/>
      <c r="AD178" s="430"/>
      <c r="AE178" s="430"/>
      <c r="AF178" s="430"/>
      <c r="AG178" s="430"/>
      <c r="AH178" s="430"/>
      <c r="AI178" s="430"/>
      <c r="AJ178" s="430"/>
      <c r="AK178" s="430"/>
      <c r="AL178" s="430"/>
      <c r="AM178" s="430"/>
      <c r="AN178" s="430"/>
      <c r="AO178" s="430"/>
      <c r="AP178" s="430"/>
      <c r="AQ178" s="430"/>
      <c r="AR178" s="430"/>
      <c r="AS178" s="430"/>
      <c r="AT178" s="430"/>
      <c r="AU178" s="430"/>
      <c r="AV178" s="430"/>
      <c r="AW178" s="430"/>
      <c r="AX178" s="430"/>
      <c r="AY178" s="430"/>
      <c r="AZ178" s="430"/>
      <c r="BA178" s="430"/>
      <c r="BB178" s="430"/>
      <c r="BC178" s="430"/>
      <c r="BD178" s="430"/>
      <c r="BE178" s="430"/>
    </row>
    <row r="179" spans="1:57" ht="15.75" customHeight="1">
      <c r="A179" s="430"/>
      <c r="B179" s="430"/>
      <c r="C179" s="430"/>
      <c r="D179" s="430"/>
      <c r="E179" s="430"/>
      <c r="F179" s="430"/>
      <c r="G179" s="430"/>
      <c r="H179" s="430"/>
      <c r="I179" s="430"/>
      <c r="J179" s="581"/>
      <c r="K179" s="581"/>
      <c r="L179" s="582"/>
      <c r="M179" s="581"/>
      <c r="N179" s="430"/>
      <c r="O179" s="430"/>
      <c r="P179" s="430"/>
      <c r="Q179" s="430"/>
      <c r="R179" s="430"/>
      <c r="S179" s="581"/>
      <c r="T179" s="581"/>
      <c r="U179" s="581"/>
      <c r="V179" s="582"/>
      <c r="W179" s="581"/>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0"/>
      <c r="AY179" s="430"/>
      <c r="AZ179" s="430"/>
      <c r="BA179" s="430"/>
      <c r="BB179" s="430"/>
      <c r="BC179" s="430"/>
      <c r="BD179" s="430"/>
      <c r="BE179" s="430"/>
    </row>
    <row r="180" spans="1:57" ht="15.75" customHeight="1">
      <c r="A180" s="430"/>
      <c r="B180" s="430"/>
      <c r="C180" s="430"/>
      <c r="D180" s="430"/>
      <c r="E180" s="430"/>
      <c r="F180" s="430"/>
      <c r="G180" s="430"/>
      <c r="H180" s="430"/>
      <c r="I180" s="430"/>
      <c r="J180" s="581"/>
      <c r="K180" s="581"/>
      <c r="L180" s="582"/>
      <c r="M180" s="581"/>
      <c r="N180" s="430"/>
      <c r="O180" s="430"/>
      <c r="P180" s="430"/>
      <c r="Q180" s="430"/>
      <c r="R180" s="430"/>
      <c r="S180" s="581"/>
      <c r="T180" s="581"/>
      <c r="U180" s="581"/>
      <c r="V180" s="582"/>
      <c r="W180" s="581"/>
      <c r="X180" s="430"/>
      <c r="Y180" s="430"/>
      <c r="Z180" s="430"/>
      <c r="AA180" s="430"/>
      <c r="AB180" s="430"/>
      <c r="AC180" s="430"/>
      <c r="AD180" s="430"/>
      <c r="AE180" s="430"/>
      <c r="AF180" s="430"/>
      <c r="AG180" s="430"/>
      <c r="AH180" s="430"/>
      <c r="AI180" s="430"/>
      <c r="AJ180" s="430"/>
      <c r="AK180" s="430"/>
      <c r="AL180" s="430"/>
      <c r="AM180" s="430"/>
      <c r="AN180" s="430"/>
      <c r="AO180" s="430"/>
      <c r="AP180" s="430"/>
      <c r="AQ180" s="430"/>
      <c r="AR180" s="430"/>
      <c r="AS180" s="430"/>
      <c r="AT180" s="430"/>
      <c r="AU180" s="430"/>
      <c r="AV180" s="430"/>
      <c r="AW180" s="430"/>
      <c r="AX180" s="430"/>
      <c r="AY180" s="430"/>
      <c r="AZ180" s="430"/>
      <c r="BA180" s="430"/>
      <c r="BB180" s="430"/>
      <c r="BC180" s="430"/>
      <c r="BD180" s="430"/>
      <c r="BE180" s="430"/>
    </row>
    <row r="181" spans="1:57" ht="15.75" customHeight="1">
      <c r="A181" s="430"/>
      <c r="B181" s="430"/>
      <c r="C181" s="430"/>
      <c r="D181" s="430"/>
      <c r="E181" s="430"/>
      <c r="F181" s="430"/>
      <c r="G181" s="430"/>
      <c r="H181" s="430"/>
      <c r="I181" s="430"/>
      <c r="J181" s="581"/>
      <c r="K181" s="581"/>
      <c r="L181" s="582"/>
      <c r="M181" s="581"/>
      <c r="N181" s="430"/>
      <c r="O181" s="430"/>
      <c r="P181" s="430"/>
      <c r="Q181" s="430"/>
      <c r="R181" s="430"/>
      <c r="S181" s="581"/>
      <c r="T181" s="581"/>
      <c r="U181" s="581"/>
      <c r="V181" s="582"/>
      <c r="W181" s="581"/>
      <c r="X181" s="430"/>
      <c r="Y181" s="430"/>
      <c r="Z181" s="430"/>
      <c r="AA181" s="430"/>
      <c r="AB181" s="430"/>
      <c r="AC181" s="430"/>
      <c r="AD181" s="430"/>
      <c r="AE181" s="430"/>
      <c r="AF181" s="430"/>
      <c r="AG181" s="430"/>
      <c r="AH181" s="430"/>
      <c r="AI181" s="430"/>
      <c r="AJ181" s="430"/>
      <c r="AK181" s="430"/>
      <c r="AL181" s="430"/>
      <c r="AM181" s="430"/>
      <c r="AN181" s="430"/>
      <c r="AO181" s="430"/>
      <c r="AP181" s="430"/>
      <c r="AQ181" s="430"/>
      <c r="AR181" s="430"/>
      <c r="AS181" s="430"/>
      <c r="AT181" s="430"/>
      <c r="AU181" s="430"/>
      <c r="AV181" s="430"/>
      <c r="AW181" s="430"/>
      <c r="AX181" s="430"/>
      <c r="AY181" s="430"/>
      <c r="AZ181" s="430"/>
      <c r="BA181" s="430"/>
      <c r="BB181" s="430"/>
      <c r="BC181" s="430"/>
      <c r="BD181" s="430"/>
      <c r="BE181" s="430"/>
    </row>
    <row r="182" spans="1:57" ht="15.75" customHeight="1">
      <c r="A182" s="430"/>
      <c r="B182" s="430"/>
      <c r="C182" s="430"/>
      <c r="D182" s="430"/>
      <c r="E182" s="430"/>
      <c r="F182" s="430"/>
      <c r="G182" s="430"/>
      <c r="H182" s="430"/>
      <c r="I182" s="430"/>
      <c r="J182" s="581"/>
      <c r="K182" s="581"/>
      <c r="L182" s="582"/>
      <c r="M182" s="581"/>
      <c r="N182" s="430"/>
      <c r="O182" s="430"/>
      <c r="P182" s="430"/>
      <c r="Q182" s="430"/>
      <c r="R182" s="430"/>
      <c r="S182" s="581"/>
      <c r="T182" s="581"/>
      <c r="U182" s="581"/>
      <c r="V182" s="582"/>
      <c r="W182" s="581"/>
      <c r="X182" s="430"/>
      <c r="Y182" s="430"/>
      <c r="Z182" s="430"/>
      <c r="AA182" s="430"/>
      <c r="AB182" s="430"/>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430"/>
      <c r="AY182" s="430"/>
      <c r="AZ182" s="430"/>
      <c r="BA182" s="430"/>
      <c r="BB182" s="430"/>
      <c r="BC182" s="430"/>
      <c r="BD182" s="430"/>
      <c r="BE182" s="430"/>
    </row>
    <row r="183" spans="1:57" ht="15.75" customHeight="1">
      <c r="A183" s="430"/>
      <c r="B183" s="430"/>
      <c r="C183" s="430"/>
      <c r="D183" s="430"/>
      <c r="E183" s="430"/>
      <c r="F183" s="430"/>
      <c r="G183" s="430"/>
      <c r="H183" s="430"/>
      <c r="I183" s="430"/>
      <c r="J183" s="581"/>
      <c r="K183" s="581"/>
      <c r="L183" s="582"/>
      <c r="M183" s="581"/>
      <c r="N183" s="430"/>
      <c r="O183" s="430"/>
      <c r="P183" s="430"/>
      <c r="Q183" s="430"/>
      <c r="R183" s="430"/>
      <c r="S183" s="581"/>
      <c r="T183" s="581"/>
      <c r="U183" s="581"/>
      <c r="V183" s="582"/>
      <c r="W183" s="581"/>
      <c r="X183" s="430"/>
      <c r="Y183" s="430"/>
      <c r="Z183" s="430"/>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0"/>
      <c r="BA183" s="430"/>
      <c r="BB183" s="430"/>
      <c r="BC183" s="430"/>
      <c r="BD183" s="430"/>
      <c r="BE183" s="430"/>
    </row>
    <row r="184" spans="1:57" ht="15.75" customHeight="1">
      <c r="A184" s="430"/>
      <c r="B184" s="430"/>
      <c r="C184" s="430"/>
      <c r="D184" s="430"/>
      <c r="E184" s="430"/>
      <c r="F184" s="430"/>
      <c r="G184" s="430"/>
      <c r="H184" s="430"/>
      <c r="I184" s="430"/>
      <c r="J184" s="581"/>
      <c r="K184" s="581"/>
      <c r="L184" s="582"/>
      <c r="M184" s="581"/>
      <c r="N184" s="430"/>
      <c r="O184" s="430"/>
      <c r="P184" s="430"/>
      <c r="Q184" s="430"/>
      <c r="R184" s="430"/>
      <c r="S184" s="581"/>
      <c r="T184" s="581"/>
      <c r="U184" s="581"/>
      <c r="V184" s="582"/>
      <c r="W184" s="581"/>
      <c r="X184" s="430"/>
      <c r="Y184" s="430"/>
      <c r="Z184" s="430"/>
      <c r="AA184" s="430"/>
      <c r="AB184" s="430"/>
      <c r="AC184" s="430"/>
      <c r="AD184" s="430"/>
      <c r="AE184" s="430"/>
      <c r="AF184" s="430"/>
      <c r="AG184" s="430"/>
      <c r="AH184" s="430"/>
      <c r="AI184" s="430"/>
      <c r="AJ184" s="430"/>
      <c r="AK184" s="430"/>
      <c r="AL184" s="430"/>
      <c r="AM184" s="430"/>
      <c r="AN184" s="430"/>
      <c r="AO184" s="430"/>
      <c r="AP184" s="430"/>
      <c r="AQ184" s="430"/>
      <c r="AR184" s="430"/>
      <c r="AS184" s="430"/>
      <c r="AT184" s="430"/>
      <c r="AU184" s="430"/>
      <c r="AV184" s="430"/>
      <c r="AW184" s="430"/>
      <c r="AX184" s="430"/>
      <c r="AY184" s="430"/>
      <c r="AZ184" s="430"/>
      <c r="BA184" s="430"/>
      <c r="BB184" s="430"/>
      <c r="BC184" s="430"/>
      <c r="BD184" s="430"/>
      <c r="BE184" s="430"/>
    </row>
    <row r="185" spans="1:57" ht="15.75" customHeight="1">
      <c r="A185" s="430"/>
      <c r="B185" s="430"/>
      <c r="C185" s="430"/>
      <c r="D185" s="430"/>
      <c r="E185" s="430"/>
      <c r="F185" s="430"/>
      <c r="G185" s="430"/>
      <c r="H185" s="430"/>
      <c r="I185" s="430"/>
      <c r="J185" s="581"/>
      <c r="K185" s="581"/>
      <c r="L185" s="582"/>
      <c r="M185" s="581"/>
      <c r="N185" s="430"/>
      <c r="O185" s="430"/>
      <c r="P185" s="430"/>
      <c r="Q185" s="430"/>
      <c r="R185" s="430"/>
      <c r="S185" s="581"/>
      <c r="T185" s="581"/>
      <c r="U185" s="581"/>
      <c r="V185" s="582"/>
      <c r="W185" s="581"/>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0"/>
      <c r="BA185" s="430"/>
      <c r="BB185" s="430"/>
      <c r="BC185" s="430"/>
      <c r="BD185" s="430"/>
      <c r="BE185" s="430"/>
    </row>
    <row r="186" spans="1:57" ht="15.75" customHeight="1">
      <c r="A186" s="430"/>
      <c r="B186" s="430"/>
      <c r="C186" s="430"/>
      <c r="D186" s="430"/>
      <c r="E186" s="430"/>
      <c r="F186" s="430"/>
      <c r="G186" s="430"/>
      <c r="H186" s="430"/>
      <c r="I186" s="430"/>
      <c r="J186" s="581"/>
      <c r="K186" s="581"/>
      <c r="L186" s="582"/>
      <c r="M186" s="581"/>
      <c r="N186" s="430"/>
      <c r="O186" s="430"/>
      <c r="P186" s="430"/>
      <c r="Q186" s="430"/>
      <c r="R186" s="430"/>
      <c r="S186" s="581"/>
      <c r="T186" s="581"/>
      <c r="U186" s="581"/>
      <c r="V186" s="582"/>
      <c r="W186" s="581"/>
      <c r="X186" s="430"/>
      <c r="Y186" s="430"/>
      <c r="Z186" s="430"/>
      <c r="AA186" s="430"/>
      <c r="AB186" s="430"/>
      <c r="AC186" s="430"/>
      <c r="AD186" s="430"/>
      <c r="AE186" s="430"/>
      <c r="AF186" s="430"/>
      <c r="AG186" s="430"/>
      <c r="AH186" s="430"/>
      <c r="AI186" s="430"/>
      <c r="AJ186" s="430"/>
      <c r="AK186" s="430"/>
      <c r="AL186" s="430"/>
      <c r="AM186" s="430"/>
      <c r="AN186" s="430"/>
      <c r="AO186" s="430"/>
      <c r="AP186" s="430"/>
      <c r="AQ186" s="430"/>
      <c r="AR186" s="430"/>
      <c r="AS186" s="430"/>
      <c r="AT186" s="430"/>
      <c r="AU186" s="430"/>
      <c r="AV186" s="430"/>
      <c r="AW186" s="430"/>
      <c r="AX186" s="430"/>
      <c r="AY186" s="430"/>
      <c r="AZ186" s="430"/>
      <c r="BA186" s="430"/>
      <c r="BB186" s="430"/>
      <c r="BC186" s="430"/>
      <c r="BD186" s="430"/>
      <c r="BE186" s="430"/>
    </row>
    <row r="187" spans="1:57" ht="15.75" customHeight="1">
      <c r="A187" s="430"/>
      <c r="B187" s="430"/>
      <c r="C187" s="430"/>
      <c r="D187" s="430"/>
      <c r="E187" s="430"/>
      <c r="F187" s="430"/>
      <c r="G187" s="430"/>
      <c r="H187" s="430"/>
      <c r="I187" s="430"/>
      <c r="J187" s="581"/>
      <c r="K187" s="581"/>
      <c r="L187" s="582"/>
      <c r="M187" s="581"/>
      <c r="N187" s="430"/>
      <c r="O187" s="430"/>
      <c r="P187" s="430"/>
      <c r="Q187" s="430"/>
      <c r="R187" s="430"/>
      <c r="S187" s="581"/>
      <c r="T187" s="581"/>
      <c r="U187" s="581"/>
      <c r="V187" s="582"/>
      <c r="W187" s="581"/>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0"/>
      <c r="AY187" s="430"/>
      <c r="AZ187" s="430"/>
      <c r="BA187" s="430"/>
      <c r="BB187" s="430"/>
      <c r="BC187" s="430"/>
      <c r="BD187" s="430"/>
      <c r="BE187" s="430"/>
    </row>
    <row r="188" spans="1:57" ht="15.75" customHeight="1">
      <c r="A188" s="430"/>
      <c r="B188" s="430"/>
      <c r="C188" s="430"/>
      <c r="D188" s="430"/>
      <c r="E188" s="430"/>
      <c r="F188" s="430"/>
      <c r="G188" s="430"/>
      <c r="H188" s="430"/>
      <c r="I188" s="430"/>
      <c r="J188" s="581"/>
      <c r="K188" s="581"/>
      <c r="L188" s="582"/>
      <c r="M188" s="581"/>
      <c r="N188" s="430"/>
      <c r="O188" s="430"/>
      <c r="P188" s="430"/>
      <c r="Q188" s="430"/>
      <c r="R188" s="430"/>
      <c r="S188" s="581"/>
      <c r="T188" s="581"/>
      <c r="U188" s="581"/>
      <c r="V188" s="582"/>
      <c r="W188" s="581"/>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30"/>
      <c r="AY188" s="430"/>
      <c r="AZ188" s="430"/>
      <c r="BA188" s="430"/>
      <c r="BB188" s="430"/>
      <c r="BC188" s="430"/>
      <c r="BD188" s="430"/>
      <c r="BE188" s="430"/>
    </row>
    <row r="189" spans="1:57" ht="15.75" customHeight="1">
      <c r="A189" s="430"/>
      <c r="B189" s="430"/>
      <c r="C189" s="430"/>
      <c r="D189" s="430"/>
      <c r="E189" s="430"/>
      <c r="F189" s="430"/>
      <c r="G189" s="430"/>
      <c r="H189" s="430"/>
      <c r="I189" s="430"/>
      <c r="J189" s="581"/>
      <c r="K189" s="581"/>
      <c r="L189" s="582"/>
      <c r="M189" s="581"/>
      <c r="N189" s="430"/>
      <c r="O189" s="430"/>
      <c r="P189" s="430"/>
      <c r="Q189" s="430"/>
      <c r="R189" s="430"/>
      <c r="S189" s="581"/>
      <c r="T189" s="581"/>
      <c r="U189" s="581"/>
      <c r="V189" s="582"/>
      <c r="W189" s="581"/>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0"/>
      <c r="AY189" s="430"/>
      <c r="AZ189" s="430"/>
      <c r="BA189" s="430"/>
      <c r="BB189" s="430"/>
      <c r="BC189" s="430"/>
      <c r="BD189" s="430"/>
      <c r="BE189" s="430"/>
    </row>
    <row r="190" spans="1:57" ht="15.75" customHeight="1">
      <c r="A190" s="430"/>
      <c r="B190" s="430"/>
      <c r="C190" s="430"/>
      <c r="D190" s="430"/>
      <c r="E190" s="430"/>
      <c r="F190" s="430"/>
      <c r="G190" s="430"/>
      <c r="H190" s="430"/>
      <c r="I190" s="430"/>
      <c r="J190" s="581"/>
      <c r="K190" s="581"/>
      <c r="L190" s="582"/>
      <c r="M190" s="581"/>
      <c r="N190" s="430"/>
      <c r="O190" s="430"/>
      <c r="P190" s="430"/>
      <c r="Q190" s="430"/>
      <c r="R190" s="430"/>
      <c r="S190" s="581"/>
      <c r="T190" s="581"/>
      <c r="U190" s="581"/>
      <c r="V190" s="582"/>
      <c r="W190" s="581"/>
      <c r="X190" s="430"/>
      <c r="Y190" s="430"/>
      <c r="Z190" s="430"/>
      <c r="AA190" s="430"/>
      <c r="AB190" s="430"/>
      <c r="AC190" s="430"/>
      <c r="AD190" s="430"/>
      <c r="AE190" s="430"/>
      <c r="AF190" s="430"/>
      <c r="AG190" s="430"/>
      <c r="AH190" s="430"/>
      <c r="AI190" s="430"/>
      <c r="AJ190" s="430"/>
      <c r="AK190" s="430"/>
      <c r="AL190" s="430"/>
      <c r="AM190" s="430"/>
      <c r="AN190" s="430"/>
      <c r="AO190" s="430"/>
      <c r="AP190" s="430"/>
      <c r="AQ190" s="430"/>
      <c r="AR190" s="430"/>
      <c r="AS190" s="430"/>
      <c r="AT190" s="430"/>
      <c r="AU190" s="430"/>
      <c r="AV190" s="430"/>
      <c r="AW190" s="430"/>
      <c r="AX190" s="430"/>
      <c r="AY190" s="430"/>
      <c r="AZ190" s="430"/>
      <c r="BA190" s="430"/>
      <c r="BB190" s="430"/>
      <c r="BC190" s="430"/>
      <c r="BD190" s="430"/>
      <c r="BE190" s="430"/>
    </row>
    <row r="191" spans="1:57" ht="15.75" customHeight="1">
      <c r="A191" s="430"/>
      <c r="B191" s="430"/>
      <c r="C191" s="430"/>
      <c r="D191" s="430"/>
      <c r="E191" s="430"/>
      <c r="F191" s="430"/>
      <c r="G191" s="430"/>
      <c r="H191" s="430"/>
      <c r="I191" s="430"/>
      <c r="J191" s="581"/>
      <c r="K191" s="581"/>
      <c r="L191" s="582"/>
      <c r="M191" s="581"/>
      <c r="N191" s="430"/>
      <c r="O191" s="430"/>
      <c r="P191" s="430"/>
      <c r="Q191" s="430"/>
      <c r="R191" s="430"/>
      <c r="S191" s="581"/>
      <c r="T191" s="581"/>
      <c r="U191" s="581"/>
      <c r="V191" s="582"/>
      <c r="W191" s="581"/>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0"/>
      <c r="AY191" s="430"/>
      <c r="AZ191" s="430"/>
      <c r="BA191" s="430"/>
      <c r="BB191" s="430"/>
      <c r="BC191" s="430"/>
      <c r="BD191" s="430"/>
      <c r="BE191" s="430"/>
    </row>
    <row r="192" spans="1:57" ht="15.75" customHeight="1">
      <c r="A192" s="430"/>
      <c r="B192" s="430"/>
      <c r="C192" s="430"/>
      <c r="D192" s="430"/>
      <c r="E192" s="430"/>
      <c r="F192" s="430"/>
      <c r="G192" s="430"/>
      <c r="H192" s="430"/>
      <c r="I192" s="430"/>
      <c r="J192" s="581"/>
      <c r="K192" s="581"/>
      <c r="L192" s="582"/>
      <c r="M192" s="581"/>
      <c r="N192" s="430"/>
      <c r="O192" s="430"/>
      <c r="P192" s="430"/>
      <c r="Q192" s="430"/>
      <c r="R192" s="430"/>
      <c r="S192" s="581"/>
      <c r="T192" s="581"/>
      <c r="U192" s="581"/>
      <c r="V192" s="582"/>
      <c r="W192" s="581"/>
      <c r="X192" s="430"/>
      <c r="Y192" s="430"/>
      <c r="Z192" s="430"/>
      <c r="AA192" s="430"/>
      <c r="AB192" s="430"/>
      <c r="AC192" s="430"/>
      <c r="AD192" s="430"/>
      <c r="AE192" s="430"/>
      <c r="AF192" s="430"/>
      <c r="AG192" s="430"/>
      <c r="AH192" s="430"/>
      <c r="AI192" s="430"/>
      <c r="AJ192" s="430"/>
      <c r="AK192" s="430"/>
      <c r="AL192" s="430"/>
      <c r="AM192" s="430"/>
      <c r="AN192" s="430"/>
      <c r="AO192" s="430"/>
      <c r="AP192" s="430"/>
      <c r="AQ192" s="430"/>
      <c r="AR192" s="430"/>
      <c r="AS192" s="430"/>
      <c r="AT192" s="430"/>
      <c r="AU192" s="430"/>
      <c r="AV192" s="430"/>
      <c r="AW192" s="430"/>
      <c r="AX192" s="430"/>
      <c r="AY192" s="430"/>
      <c r="AZ192" s="430"/>
      <c r="BA192" s="430"/>
      <c r="BB192" s="430"/>
      <c r="BC192" s="430"/>
      <c r="BD192" s="430"/>
      <c r="BE192" s="430"/>
    </row>
    <row r="193" spans="1:57" ht="15.75" customHeight="1">
      <c r="A193" s="430"/>
      <c r="B193" s="430"/>
      <c r="C193" s="430"/>
      <c r="D193" s="430"/>
      <c r="E193" s="430"/>
      <c r="F193" s="430"/>
      <c r="G193" s="430"/>
      <c r="H193" s="430"/>
      <c r="I193" s="430"/>
      <c r="J193" s="581"/>
      <c r="K193" s="581"/>
      <c r="L193" s="582"/>
      <c r="M193" s="581"/>
      <c r="N193" s="430"/>
      <c r="O193" s="430"/>
      <c r="P193" s="430"/>
      <c r="Q193" s="430"/>
      <c r="R193" s="430"/>
      <c r="S193" s="581"/>
      <c r="T193" s="581"/>
      <c r="U193" s="581"/>
      <c r="V193" s="582"/>
      <c r="W193" s="581"/>
      <c r="X193" s="430"/>
      <c r="Y193" s="430"/>
      <c r="Z193" s="430"/>
      <c r="AA193" s="430"/>
      <c r="AB193" s="430"/>
      <c r="AC193" s="430"/>
      <c r="AD193" s="430"/>
      <c r="AE193" s="430"/>
      <c r="AF193" s="430"/>
      <c r="AG193" s="430"/>
      <c r="AH193" s="430"/>
      <c r="AI193" s="430"/>
      <c r="AJ193" s="430"/>
      <c r="AK193" s="430"/>
      <c r="AL193" s="430"/>
      <c r="AM193" s="430"/>
      <c r="AN193" s="430"/>
      <c r="AO193" s="430"/>
      <c r="AP193" s="430"/>
      <c r="AQ193" s="430"/>
      <c r="AR193" s="430"/>
      <c r="AS193" s="430"/>
      <c r="AT193" s="430"/>
      <c r="AU193" s="430"/>
      <c r="AV193" s="430"/>
      <c r="AW193" s="430"/>
      <c r="AX193" s="430"/>
      <c r="AY193" s="430"/>
      <c r="AZ193" s="430"/>
      <c r="BA193" s="430"/>
      <c r="BB193" s="430"/>
      <c r="BC193" s="430"/>
      <c r="BD193" s="430"/>
      <c r="BE193" s="430"/>
    </row>
    <row r="194" spans="1:57" ht="15.75" customHeight="1">
      <c r="A194" s="430"/>
      <c r="B194" s="430"/>
      <c r="C194" s="430"/>
      <c r="D194" s="430"/>
      <c r="E194" s="430"/>
      <c r="F194" s="430"/>
      <c r="G194" s="430"/>
      <c r="H194" s="430"/>
      <c r="I194" s="430"/>
      <c r="J194" s="581"/>
      <c r="K194" s="581"/>
      <c r="L194" s="582"/>
      <c r="M194" s="581"/>
      <c r="N194" s="430"/>
      <c r="O194" s="430"/>
      <c r="P194" s="430"/>
      <c r="Q194" s="430"/>
      <c r="R194" s="430"/>
      <c r="S194" s="581"/>
      <c r="T194" s="581"/>
      <c r="U194" s="581"/>
      <c r="V194" s="582"/>
      <c r="W194" s="581"/>
      <c r="X194" s="430"/>
      <c r="Y194" s="430"/>
      <c r="Z194" s="430"/>
      <c r="AA194" s="430"/>
      <c r="AB194" s="430"/>
      <c r="AC194" s="430"/>
      <c r="AD194" s="430"/>
      <c r="AE194" s="430"/>
      <c r="AF194" s="430"/>
      <c r="AG194" s="430"/>
      <c r="AH194" s="430"/>
      <c r="AI194" s="430"/>
      <c r="AJ194" s="430"/>
      <c r="AK194" s="430"/>
      <c r="AL194" s="430"/>
      <c r="AM194" s="430"/>
      <c r="AN194" s="430"/>
      <c r="AO194" s="430"/>
      <c r="AP194" s="430"/>
      <c r="AQ194" s="430"/>
      <c r="AR194" s="430"/>
      <c r="AS194" s="430"/>
      <c r="AT194" s="430"/>
      <c r="AU194" s="430"/>
      <c r="AV194" s="430"/>
      <c r="AW194" s="430"/>
      <c r="AX194" s="430"/>
      <c r="AY194" s="430"/>
      <c r="AZ194" s="430"/>
      <c r="BA194" s="430"/>
      <c r="BB194" s="430"/>
      <c r="BC194" s="430"/>
      <c r="BD194" s="430"/>
      <c r="BE194" s="430"/>
    </row>
    <row r="195" spans="1:57" ht="15.75" customHeight="1">
      <c r="A195" s="430"/>
      <c r="B195" s="430"/>
      <c r="C195" s="430"/>
      <c r="D195" s="430"/>
      <c r="E195" s="430"/>
      <c r="F195" s="430"/>
      <c r="G195" s="430"/>
      <c r="H195" s="430"/>
      <c r="I195" s="430"/>
      <c r="J195" s="581"/>
      <c r="K195" s="581"/>
      <c r="L195" s="582"/>
      <c r="M195" s="581"/>
      <c r="N195" s="430"/>
      <c r="O195" s="430"/>
      <c r="P195" s="430"/>
      <c r="Q195" s="430"/>
      <c r="R195" s="430"/>
      <c r="S195" s="581"/>
      <c r="T195" s="581"/>
      <c r="U195" s="581"/>
      <c r="V195" s="582"/>
      <c r="W195" s="581"/>
      <c r="X195" s="430"/>
      <c r="Y195" s="430"/>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row>
    <row r="196" spans="1:57" ht="15.75" customHeight="1">
      <c r="A196" s="430"/>
      <c r="B196" s="430"/>
      <c r="C196" s="430"/>
      <c r="D196" s="430"/>
      <c r="E196" s="430"/>
      <c r="F196" s="430"/>
      <c r="G196" s="430"/>
      <c r="H196" s="430"/>
      <c r="I196" s="430"/>
      <c r="J196" s="581"/>
      <c r="K196" s="581"/>
      <c r="L196" s="582"/>
      <c r="M196" s="581"/>
      <c r="N196" s="430"/>
      <c r="O196" s="430"/>
      <c r="P196" s="430"/>
      <c r="Q196" s="430"/>
      <c r="R196" s="430"/>
      <c r="S196" s="581"/>
      <c r="T196" s="581"/>
      <c r="U196" s="581"/>
      <c r="V196" s="582"/>
      <c r="W196" s="581"/>
      <c r="X196" s="430"/>
      <c r="Y196" s="430"/>
      <c r="Z196" s="430"/>
      <c r="AA196" s="430"/>
      <c r="AB196" s="430"/>
      <c r="AC196" s="430"/>
      <c r="AD196" s="430"/>
      <c r="AE196" s="430"/>
      <c r="AF196" s="430"/>
      <c r="AG196" s="430"/>
      <c r="AH196" s="430"/>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0"/>
    </row>
    <row r="197" spans="1:57" ht="15.75" customHeight="1">
      <c r="A197" s="430"/>
      <c r="B197" s="430"/>
      <c r="C197" s="430"/>
      <c r="D197" s="430"/>
      <c r="E197" s="430"/>
      <c r="F197" s="430"/>
      <c r="G197" s="430"/>
      <c r="H197" s="430"/>
      <c r="I197" s="430"/>
      <c r="J197" s="581"/>
      <c r="K197" s="581"/>
      <c r="L197" s="582"/>
      <c r="M197" s="581"/>
      <c r="N197" s="430"/>
      <c r="O197" s="430"/>
      <c r="P197" s="430"/>
      <c r="Q197" s="430"/>
      <c r="R197" s="430"/>
      <c r="S197" s="581"/>
      <c r="T197" s="581"/>
      <c r="U197" s="581"/>
      <c r="V197" s="582"/>
      <c r="W197" s="581"/>
      <c r="X197" s="430"/>
      <c r="Y197" s="430"/>
      <c r="Z197" s="430"/>
      <c r="AA197" s="430"/>
      <c r="AB197" s="430"/>
      <c r="AC197" s="430"/>
      <c r="AD197" s="430"/>
      <c r="AE197" s="430"/>
      <c r="AF197" s="430"/>
      <c r="AG197" s="430"/>
      <c r="AH197" s="430"/>
      <c r="AI197" s="430"/>
      <c r="AJ197" s="430"/>
      <c r="AK197" s="430"/>
      <c r="AL197" s="430"/>
      <c r="AM197" s="430"/>
      <c r="AN197" s="430"/>
      <c r="AO197" s="430"/>
      <c r="AP197" s="430"/>
      <c r="AQ197" s="430"/>
      <c r="AR197" s="430"/>
      <c r="AS197" s="430"/>
      <c r="AT197" s="430"/>
      <c r="AU197" s="430"/>
      <c r="AV197" s="430"/>
      <c r="AW197" s="430"/>
      <c r="AX197" s="430"/>
      <c r="AY197" s="430"/>
      <c r="AZ197" s="430"/>
      <c r="BA197" s="430"/>
      <c r="BB197" s="430"/>
      <c r="BC197" s="430"/>
      <c r="BD197" s="430"/>
      <c r="BE197" s="430"/>
    </row>
    <row r="198" spans="1:57" ht="15.75" customHeight="1">
      <c r="A198" s="430"/>
      <c r="B198" s="430"/>
      <c r="C198" s="430"/>
      <c r="D198" s="430"/>
      <c r="E198" s="430"/>
      <c r="F198" s="430"/>
      <c r="G198" s="430"/>
      <c r="H198" s="430"/>
      <c r="I198" s="430"/>
      <c r="J198" s="581"/>
      <c r="K198" s="581"/>
      <c r="L198" s="582"/>
      <c r="M198" s="581"/>
      <c r="N198" s="430"/>
      <c r="O198" s="430"/>
      <c r="P198" s="430"/>
      <c r="Q198" s="430"/>
      <c r="R198" s="430"/>
      <c r="S198" s="581"/>
      <c r="T198" s="581"/>
      <c r="U198" s="581"/>
      <c r="V198" s="582"/>
      <c r="W198" s="581"/>
      <c r="X198" s="430"/>
      <c r="Y198" s="430"/>
      <c r="Z198" s="430"/>
      <c r="AA198" s="430"/>
      <c r="AB198" s="430"/>
      <c r="AC198" s="430"/>
      <c r="AD198" s="430"/>
      <c r="AE198" s="430"/>
      <c r="AF198" s="430"/>
      <c r="AG198" s="430"/>
      <c r="AH198" s="430"/>
      <c r="AI198" s="430"/>
      <c r="AJ198" s="430"/>
      <c r="AK198" s="430"/>
      <c r="AL198" s="430"/>
      <c r="AM198" s="430"/>
      <c r="AN198" s="430"/>
      <c r="AO198" s="430"/>
      <c r="AP198" s="430"/>
      <c r="AQ198" s="430"/>
      <c r="AR198" s="430"/>
      <c r="AS198" s="430"/>
      <c r="AT198" s="430"/>
      <c r="AU198" s="430"/>
      <c r="AV198" s="430"/>
      <c r="AW198" s="430"/>
      <c r="AX198" s="430"/>
      <c r="AY198" s="430"/>
      <c r="AZ198" s="430"/>
      <c r="BA198" s="430"/>
      <c r="BB198" s="430"/>
      <c r="BC198" s="430"/>
      <c r="BD198" s="430"/>
      <c r="BE198" s="430"/>
    </row>
    <row r="199" spans="1:57" ht="15.75" customHeight="1">
      <c r="A199" s="430"/>
      <c r="B199" s="430"/>
      <c r="C199" s="430"/>
      <c r="D199" s="430"/>
      <c r="E199" s="430"/>
      <c r="F199" s="430"/>
      <c r="G199" s="430"/>
      <c r="H199" s="430"/>
      <c r="I199" s="430"/>
      <c r="J199" s="581"/>
      <c r="K199" s="581"/>
      <c r="L199" s="582"/>
      <c r="M199" s="581"/>
      <c r="N199" s="430"/>
      <c r="O199" s="430"/>
      <c r="P199" s="430"/>
      <c r="Q199" s="430"/>
      <c r="R199" s="430"/>
      <c r="S199" s="581"/>
      <c r="T199" s="581"/>
      <c r="U199" s="581"/>
      <c r="V199" s="582"/>
      <c r="W199" s="581"/>
      <c r="X199" s="430"/>
      <c r="Y199" s="430"/>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0"/>
      <c r="BA199" s="430"/>
      <c r="BB199" s="430"/>
      <c r="BC199" s="430"/>
      <c r="BD199" s="430"/>
      <c r="BE199" s="430"/>
    </row>
    <row r="200" spans="1:57" ht="15.75" customHeight="1">
      <c r="A200" s="430"/>
      <c r="B200" s="430"/>
      <c r="C200" s="430"/>
      <c r="D200" s="430"/>
      <c r="E200" s="430"/>
      <c r="F200" s="430"/>
      <c r="G200" s="430"/>
      <c r="H200" s="430"/>
      <c r="I200" s="430"/>
      <c r="J200" s="581"/>
      <c r="K200" s="581"/>
      <c r="L200" s="582"/>
      <c r="M200" s="581"/>
      <c r="N200" s="430"/>
      <c r="O200" s="430"/>
      <c r="P200" s="430"/>
      <c r="Q200" s="430"/>
      <c r="R200" s="430"/>
      <c r="S200" s="581"/>
      <c r="T200" s="581"/>
      <c r="U200" s="581"/>
      <c r="V200" s="582"/>
      <c r="W200" s="581"/>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0"/>
      <c r="BA200" s="430"/>
      <c r="BB200" s="430"/>
      <c r="BC200" s="430"/>
      <c r="BD200" s="430"/>
      <c r="BE200" s="430"/>
    </row>
    <row r="201" spans="1:57" ht="15.75" customHeight="1">
      <c r="A201" s="430"/>
      <c r="B201" s="430"/>
      <c r="C201" s="430"/>
      <c r="D201" s="430"/>
      <c r="E201" s="430"/>
      <c r="F201" s="430"/>
      <c r="G201" s="430"/>
      <c r="H201" s="430"/>
      <c r="I201" s="430"/>
      <c r="J201" s="581"/>
      <c r="K201" s="581"/>
      <c r="L201" s="582"/>
      <c r="M201" s="581"/>
      <c r="N201" s="430"/>
      <c r="O201" s="430"/>
      <c r="P201" s="430"/>
      <c r="Q201" s="430"/>
      <c r="R201" s="430"/>
      <c r="S201" s="581"/>
      <c r="T201" s="581"/>
      <c r="U201" s="581"/>
      <c r="V201" s="582"/>
      <c r="W201" s="581"/>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c r="AT201" s="430"/>
      <c r="AU201" s="430"/>
      <c r="AV201" s="430"/>
      <c r="AW201" s="430"/>
      <c r="AX201" s="430"/>
      <c r="AY201" s="430"/>
      <c r="AZ201" s="430"/>
      <c r="BA201" s="430"/>
      <c r="BB201" s="430"/>
      <c r="BC201" s="430"/>
      <c r="BD201" s="430"/>
      <c r="BE201" s="430"/>
    </row>
    <row r="202" spans="1:57" ht="15.75" customHeight="1">
      <c r="A202" s="430"/>
      <c r="B202" s="430"/>
      <c r="C202" s="430"/>
      <c r="D202" s="430"/>
      <c r="E202" s="430"/>
      <c r="F202" s="430"/>
      <c r="G202" s="430"/>
      <c r="H202" s="430"/>
      <c r="I202" s="430"/>
      <c r="J202" s="581"/>
      <c r="K202" s="581"/>
      <c r="L202" s="582"/>
      <c r="M202" s="581"/>
      <c r="N202" s="430"/>
      <c r="O202" s="430"/>
      <c r="P202" s="430"/>
      <c r="Q202" s="430"/>
      <c r="R202" s="430"/>
      <c r="S202" s="581"/>
      <c r="T202" s="581"/>
      <c r="U202" s="581"/>
      <c r="V202" s="582"/>
      <c r="W202" s="581"/>
      <c r="X202" s="430"/>
      <c r="Y202" s="430"/>
      <c r="Z202" s="430"/>
      <c r="AA202" s="430"/>
      <c r="AB202" s="430"/>
      <c r="AC202" s="430"/>
      <c r="AD202" s="430"/>
      <c r="AE202" s="430"/>
      <c r="AF202" s="430"/>
      <c r="AG202" s="430"/>
      <c r="AH202" s="430"/>
      <c r="AI202" s="430"/>
      <c r="AJ202" s="430"/>
      <c r="AK202" s="430"/>
      <c r="AL202" s="430"/>
      <c r="AM202" s="430"/>
      <c r="AN202" s="430"/>
      <c r="AO202" s="430"/>
      <c r="AP202" s="430"/>
      <c r="AQ202" s="430"/>
      <c r="AR202" s="430"/>
      <c r="AS202" s="430"/>
      <c r="AT202" s="430"/>
      <c r="AU202" s="430"/>
      <c r="AV202" s="430"/>
      <c r="AW202" s="430"/>
      <c r="AX202" s="430"/>
      <c r="AY202" s="430"/>
      <c r="AZ202" s="430"/>
      <c r="BA202" s="430"/>
      <c r="BB202" s="430"/>
      <c r="BC202" s="430"/>
      <c r="BD202" s="430"/>
      <c r="BE202" s="430"/>
    </row>
    <row r="203" spans="1:57" ht="15.75" customHeight="1">
      <c r="A203" s="430"/>
      <c r="B203" s="430"/>
      <c r="C203" s="430"/>
      <c r="D203" s="430"/>
      <c r="E203" s="430"/>
      <c r="F203" s="430"/>
      <c r="G203" s="430"/>
      <c r="H203" s="430"/>
      <c r="I203" s="430"/>
      <c r="J203" s="581"/>
      <c r="K203" s="581"/>
      <c r="L203" s="582"/>
      <c r="M203" s="581"/>
      <c r="N203" s="430"/>
      <c r="O203" s="430"/>
      <c r="P203" s="430"/>
      <c r="Q203" s="430"/>
      <c r="R203" s="430"/>
      <c r="S203" s="581"/>
      <c r="T203" s="581"/>
      <c r="U203" s="581"/>
      <c r="V203" s="582"/>
      <c r="W203" s="581"/>
      <c r="X203" s="430"/>
      <c r="Y203" s="430"/>
      <c r="Z203" s="430"/>
      <c r="AA203" s="430"/>
      <c r="AB203" s="430"/>
      <c r="AC203" s="430"/>
      <c r="AD203" s="430"/>
      <c r="AE203" s="430"/>
      <c r="AF203" s="430"/>
      <c r="AG203" s="430"/>
      <c r="AH203" s="430"/>
      <c r="AI203" s="430"/>
      <c r="AJ203" s="430"/>
      <c r="AK203" s="430"/>
      <c r="AL203" s="430"/>
      <c r="AM203" s="430"/>
      <c r="AN203" s="430"/>
      <c r="AO203" s="430"/>
      <c r="AP203" s="430"/>
      <c r="AQ203" s="430"/>
      <c r="AR203" s="430"/>
      <c r="AS203" s="430"/>
      <c r="AT203" s="430"/>
      <c r="AU203" s="430"/>
      <c r="AV203" s="430"/>
      <c r="AW203" s="430"/>
      <c r="AX203" s="430"/>
      <c r="AY203" s="430"/>
      <c r="AZ203" s="430"/>
      <c r="BA203" s="430"/>
      <c r="BB203" s="430"/>
      <c r="BC203" s="430"/>
      <c r="BD203" s="430"/>
      <c r="BE203" s="430"/>
    </row>
    <row r="204" spans="1:57" ht="15.75" customHeight="1">
      <c r="A204" s="430"/>
      <c r="B204" s="430"/>
      <c r="C204" s="430"/>
      <c r="D204" s="430"/>
      <c r="E204" s="430"/>
      <c r="F204" s="430"/>
      <c r="G204" s="430"/>
      <c r="H204" s="430"/>
      <c r="I204" s="430"/>
      <c r="J204" s="581"/>
      <c r="K204" s="581"/>
      <c r="L204" s="582"/>
      <c r="M204" s="581"/>
      <c r="N204" s="430"/>
      <c r="O204" s="430"/>
      <c r="P204" s="430"/>
      <c r="Q204" s="430"/>
      <c r="R204" s="430"/>
      <c r="S204" s="581"/>
      <c r="T204" s="581"/>
      <c r="U204" s="581"/>
      <c r="V204" s="582"/>
      <c r="W204" s="581"/>
      <c r="X204" s="430"/>
      <c r="Y204" s="430"/>
      <c r="Z204" s="430"/>
      <c r="AA204" s="430"/>
      <c r="AB204" s="430"/>
      <c r="AC204" s="430"/>
      <c r="AD204" s="430"/>
      <c r="AE204" s="430"/>
      <c r="AF204" s="430"/>
      <c r="AG204" s="430"/>
      <c r="AH204" s="430"/>
      <c r="AI204" s="430"/>
      <c r="AJ204" s="430"/>
      <c r="AK204" s="430"/>
      <c r="AL204" s="430"/>
      <c r="AM204" s="430"/>
      <c r="AN204" s="430"/>
      <c r="AO204" s="430"/>
      <c r="AP204" s="430"/>
      <c r="AQ204" s="430"/>
      <c r="AR204" s="430"/>
      <c r="AS204" s="430"/>
      <c r="AT204" s="430"/>
      <c r="AU204" s="430"/>
      <c r="AV204" s="430"/>
      <c r="AW204" s="430"/>
      <c r="AX204" s="430"/>
      <c r="AY204" s="430"/>
      <c r="AZ204" s="430"/>
      <c r="BA204" s="430"/>
      <c r="BB204" s="430"/>
      <c r="BC204" s="430"/>
      <c r="BD204" s="430"/>
      <c r="BE204" s="430"/>
    </row>
    <row r="205" spans="1:57" ht="15.75" customHeight="1">
      <c r="A205" s="430"/>
      <c r="B205" s="430"/>
      <c r="C205" s="430"/>
      <c r="D205" s="430"/>
      <c r="E205" s="430"/>
      <c r="F205" s="430"/>
      <c r="G205" s="430"/>
      <c r="H205" s="430"/>
      <c r="I205" s="430"/>
      <c r="J205" s="581"/>
      <c r="K205" s="581"/>
      <c r="L205" s="582"/>
      <c r="M205" s="581"/>
      <c r="N205" s="430"/>
      <c r="O205" s="430"/>
      <c r="P205" s="430"/>
      <c r="Q205" s="430"/>
      <c r="R205" s="430"/>
      <c r="S205" s="581"/>
      <c r="T205" s="581"/>
      <c r="U205" s="581"/>
      <c r="V205" s="582"/>
      <c r="W205" s="581"/>
      <c r="X205" s="430"/>
      <c r="Y205" s="430"/>
      <c r="Z205" s="430"/>
      <c r="AA205" s="430"/>
      <c r="AB205" s="430"/>
      <c r="AC205" s="430"/>
      <c r="AD205" s="430"/>
      <c r="AE205" s="430"/>
      <c r="AF205" s="430"/>
      <c r="AG205" s="430"/>
      <c r="AH205" s="430"/>
      <c r="AI205" s="430"/>
      <c r="AJ205" s="430"/>
      <c r="AK205" s="430"/>
      <c r="AL205" s="430"/>
      <c r="AM205" s="430"/>
      <c r="AN205" s="430"/>
      <c r="AO205" s="430"/>
      <c r="AP205" s="430"/>
      <c r="AQ205" s="430"/>
      <c r="AR205" s="430"/>
      <c r="AS205" s="430"/>
      <c r="AT205" s="430"/>
      <c r="AU205" s="430"/>
      <c r="AV205" s="430"/>
      <c r="AW205" s="430"/>
      <c r="AX205" s="430"/>
      <c r="AY205" s="430"/>
      <c r="AZ205" s="430"/>
      <c r="BA205" s="430"/>
      <c r="BB205" s="430"/>
      <c r="BC205" s="430"/>
      <c r="BD205" s="430"/>
      <c r="BE205" s="430"/>
    </row>
    <row r="206" spans="1:57" ht="15.75" customHeight="1">
      <c r="A206" s="430"/>
      <c r="B206" s="430"/>
      <c r="C206" s="430"/>
      <c r="D206" s="430"/>
      <c r="E206" s="430"/>
      <c r="F206" s="430"/>
      <c r="G206" s="430"/>
      <c r="H206" s="430"/>
      <c r="I206" s="430"/>
      <c r="J206" s="581"/>
      <c r="K206" s="581"/>
      <c r="L206" s="582"/>
      <c r="M206" s="581"/>
      <c r="N206" s="430"/>
      <c r="O206" s="430"/>
      <c r="P206" s="430"/>
      <c r="Q206" s="430"/>
      <c r="R206" s="430"/>
      <c r="S206" s="581"/>
      <c r="T206" s="581"/>
      <c r="U206" s="581"/>
      <c r="V206" s="582"/>
      <c r="W206" s="581"/>
      <c r="X206" s="430"/>
      <c r="Y206" s="430"/>
      <c r="Z206" s="430"/>
      <c r="AA206" s="430"/>
      <c r="AB206" s="430"/>
      <c r="AC206" s="430"/>
      <c r="AD206" s="430"/>
      <c r="AE206" s="430"/>
      <c r="AF206" s="430"/>
      <c r="AG206" s="430"/>
      <c r="AH206" s="430"/>
      <c r="AI206" s="430"/>
      <c r="AJ206" s="430"/>
      <c r="AK206" s="430"/>
      <c r="AL206" s="430"/>
      <c r="AM206" s="430"/>
      <c r="AN206" s="430"/>
      <c r="AO206" s="430"/>
      <c r="AP206" s="430"/>
      <c r="AQ206" s="430"/>
      <c r="AR206" s="430"/>
      <c r="AS206" s="430"/>
      <c r="AT206" s="430"/>
      <c r="AU206" s="430"/>
      <c r="AV206" s="430"/>
      <c r="AW206" s="430"/>
      <c r="AX206" s="430"/>
      <c r="AY206" s="430"/>
      <c r="AZ206" s="430"/>
      <c r="BA206" s="430"/>
      <c r="BB206" s="430"/>
      <c r="BC206" s="430"/>
      <c r="BD206" s="430"/>
      <c r="BE206" s="430"/>
    </row>
    <row r="207" spans="1:57" ht="15.75" customHeight="1">
      <c r="A207" s="430"/>
      <c r="B207" s="430"/>
      <c r="C207" s="430"/>
      <c r="D207" s="430"/>
      <c r="E207" s="430"/>
      <c r="F207" s="430"/>
      <c r="G207" s="430"/>
      <c r="H207" s="430"/>
      <c r="I207" s="430"/>
      <c r="J207" s="581"/>
      <c r="K207" s="581"/>
      <c r="L207" s="582"/>
      <c r="M207" s="581"/>
      <c r="N207" s="430"/>
      <c r="O207" s="430"/>
      <c r="P207" s="430"/>
      <c r="Q207" s="430"/>
      <c r="R207" s="430"/>
      <c r="S207" s="581"/>
      <c r="T207" s="581"/>
      <c r="U207" s="581"/>
      <c r="V207" s="582"/>
      <c r="W207" s="581"/>
      <c r="X207" s="430"/>
      <c r="Y207" s="430"/>
      <c r="Z207" s="430"/>
      <c r="AA207" s="430"/>
      <c r="AB207" s="430"/>
      <c r="AC207" s="430"/>
      <c r="AD207" s="430"/>
      <c r="AE207" s="430"/>
      <c r="AF207" s="430"/>
      <c r="AG207" s="430"/>
      <c r="AH207" s="430"/>
      <c r="AI207" s="430"/>
      <c r="AJ207" s="430"/>
      <c r="AK207" s="430"/>
      <c r="AL207" s="430"/>
      <c r="AM207" s="430"/>
      <c r="AN207" s="430"/>
      <c r="AO207" s="430"/>
      <c r="AP207" s="430"/>
      <c r="AQ207" s="430"/>
      <c r="AR207" s="430"/>
      <c r="AS207" s="430"/>
      <c r="AT207" s="430"/>
      <c r="AU207" s="430"/>
      <c r="AV207" s="430"/>
      <c r="AW207" s="430"/>
      <c r="AX207" s="430"/>
      <c r="AY207" s="430"/>
      <c r="AZ207" s="430"/>
      <c r="BA207" s="430"/>
      <c r="BB207" s="430"/>
      <c r="BC207" s="430"/>
      <c r="BD207" s="430"/>
      <c r="BE207" s="430"/>
    </row>
    <row r="208" spans="1:57" ht="15.75" customHeight="1">
      <c r="A208" s="430"/>
      <c r="B208" s="430"/>
      <c r="C208" s="430"/>
      <c r="D208" s="430"/>
      <c r="E208" s="430"/>
      <c r="F208" s="430"/>
      <c r="G208" s="430"/>
      <c r="H208" s="430"/>
      <c r="I208" s="430"/>
      <c r="J208" s="581"/>
      <c r="K208" s="581"/>
      <c r="L208" s="582"/>
      <c r="M208" s="581"/>
      <c r="N208" s="430"/>
      <c r="O208" s="430"/>
      <c r="P208" s="430"/>
      <c r="Q208" s="430"/>
      <c r="R208" s="430"/>
      <c r="S208" s="581"/>
      <c r="T208" s="581"/>
      <c r="U208" s="581"/>
      <c r="V208" s="582"/>
      <c r="W208" s="581"/>
      <c r="X208" s="430"/>
      <c r="Y208" s="430"/>
      <c r="Z208" s="430"/>
      <c r="AA208" s="430"/>
      <c r="AB208" s="430"/>
      <c r="AC208" s="430"/>
      <c r="AD208" s="430"/>
      <c r="AE208" s="430"/>
      <c r="AF208" s="430"/>
      <c r="AG208" s="430"/>
      <c r="AH208" s="430"/>
      <c r="AI208" s="430"/>
      <c r="AJ208" s="430"/>
      <c r="AK208" s="430"/>
      <c r="AL208" s="430"/>
      <c r="AM208" s="430"/>
      <c r="AN208" s="430"/>
      <c r="AO208" s="430"/>
      <c r="AP208" s="430"/>
      <c r="AQ208" s="430"/>
      <c r="AR208" s="430"/>
      <c r="AS208" s="430"/>
      <c r="AT208" s="430"/>
      <c r="AU208" s="430"/>
      <c r="AV208" s="430"/>
      <c r="AW208" s="430"/>
      <c r="AX208" s="430"/>
      <c r="AY208" s="430"/>
      <c r="AZ208" s="430"/>
      <c r="BA208" s="430"/>
      <c r="BB208" s="430"/>
      <c r="BC208" s="430"/>
      <c r="BD208" s="430"/>
      <c r="BE208" s="430"/>
    </row>
    <row r="209" spans="1:57" ht="15.75" customHeight="1">
      <c r="A209" s="430"/>
      <c r="B209" s="430"/>
      <c r="C209" s="430"/>
      <c r="D209" s="430"/>
      <c r="E209" s="430"/>
      <c r="F209" s="430"/>
      <c r="G209" s="430"/>
      <c r="H209" s="430"/>
      <c r="I209" s="430"/>
      <c r="J209" s="581"/>
      <c r="K209" s="581"/>
      <c r="L209" s="582"/>
      <c r="M209" s="581"/>
      <c r="N209" s="430"/>
      <c r="O209" s="430"/>
      <c r="P209" s="430"/>
      <c r="Q209" s="430"/>
      <c r="R209" s="430"/>
      <c r="S209" s="581"/>
      <c r="T209" s="581"/>
      <c r="U209" s="581"/>
      <c r="V209" s="582"/>
      <c r="W209" s="581"/>
      <c r="X209" s="430"/>
      <c r="Y209" s="430"/>
      <c r="Z209" s="430"/>
      <c r="AA209" s="430"/>
      <c r="AB209" s="430"/>
      <c r="AC209" s="430"/>
      <c r="AD209" s="430"/>
      <c r="AE209" s="430"/>
      <c r="AF209" s="430"/>
      <c r="AG209" s="430"/>
      <c r="AH209" s="430"/>
      <c r="AI209" s="430"/>
      <c r="AJ209" s="430"/>
      <c r="AK209" s="430"/>
      <c r="AL209" s="430"/>
      <c r="AM209" s="430"/>
      <c r="AN209" s="430"/>
      <c r="AO209" s="430"/>
      <c r="AP209" s="430"/>
      <c r="AQ209" s="430"/>
      <c r="AR209" s="430"/>
      <c r="AS209" s="430"/>
      <c r="AT209" s="430"/>
      <c r="AU209" s="430"/>
      <c r="AV209" s="430"/>
      <c r="AW209" s="430"/>
      <c r="AX209" s="430"/>
      <c r="AY209" s="430"/>
      <c r="AZ209" s="430"/>
      <c r="BA209" s="430"/>
      <c r="BB209" s="430"/>
      <c r="BC209" s="430"/>
      <c r="BD209" s="430"/>
      <c r="BE209" s="430"/>
    </row>
    <row r="210" spans="1:57" ht="15.75" customHeight="1">
      <c r="A210" s="430"/>
      <c r="B210" s="430"/>
      <c r="C210" s="430"/>
      <c r="D210" s="430"/>
      <c r="E210" s="430"/>
      <c r="F210" s="430"/>
      <c r="G210" s="430"/>
      <c r="H210" s="430"/>
      <c r="I210" s="430"/>
      <c r="J210" s="581"/>
      <c r="K210" s="581"/>
      <c r="L210" s="582"/>
      <c r="M210" s="581"/>
      <c r="N210" s="430"/>
      <c r="O210" s="430"/>
      <c r="P210" s="430"/>
      <c r="Q210" s="430"/>
      <c r="R210" s="430"/>
      <c r="S210" s="581"/>
      <c r="T210" s="581"/>
      <c r="U210" s="581"/>
      <c r="V210" s="582"/>
      <c r="W210" s="581"/>
      <c r="X210" s="430"/>
      <c r="Y210" s="430"/>
      <c r="Z210" s="430"/>
      <c r="AA210" s="430"/>
      <c r="AB210" s="430"/>
      <c r="AC210" s="430"/>
      <c r="AD210" s="430"/>
      <c r="AE210" s="430"/>
      <c r="AF210" s="430"/>
      <c r="AG210" s="430"/>
      <c r="AH210" s="430"/>
      <c r="AI210" s="430"/>
      <c r="AJ210" s="430"/>
      <c r="AK210" s="430"/>
      <c r="AL210" s="430"/>
      <c r="AM210" s="430"/>
      <c r="AN210" s="430"/>
      <c r="AO210" s="430"/>
      <c r="AP210" s="430"/>
      <c r="AQ210" s="430"/>
      <c r="AR210" s="430"/>
      <c r="AS210" s="430"/>
      <c r="AT210" s="430"/>
      <c r="AU210" s="430"/>
      <c r="AV210" s="430"/>
      <c r="AW210" s="430"/>
      <c r="AX210" s="430"/>
      <c r="AY210" s="430"/>
      <c r="AZ210" s="430"/>
      <c r="BA210" s="430"/>
      <c r="BB210" s="430"/>
      <c r="BC210" s="430"/>
      <c r="BD210" s="430"/>
      <c r="BE210" s="430"/>
    </row>
    <row r="211" spans="1:57" ht="15.75" customHeight="1">
      <c r="A211" s="430"/>
      <c r="B211" s="430"/>
      <c r="C211" s="430"/>
      <c r="D211" s="430"/>
      <c r="E211" s="430"/>
      <c r="F211" s="430"/>
      <c r="G211" s="430"/>
      <c r="H211" s="430"/>
      <c r="I211" s="430"/>
      <c r="J211" s="581"/>
      <c r="K211" s="581"/>
      <c r="L211" s="582"/>
      <c r="M211" s="581"/>
      <c r="N211" s="430"/>
      <c r="O211" s="430"/>
      <c r="P211" s="430"/>
      <c r="Q211" s="430"/>
      <c r="R211" s="430"/>
      <c r="S211" s="581"/>
      <c r="T211" s="581"/>
      <c r="U211" s="581"/>
      <c r="V211" s="582"/>
      <c r="W211" s="581"/>
      <c r="X211" s="430"/>
      <c r="Y211" s="430"/>
      <c r="Z211" s="430"/>
      <c r="AA211" s="430"/>
      <c r="AB211" s="430"/>
      <c r="AC211" s="430"/>
      <c r="AD211" s="430"/>
      <c r="AE211" s="430"/>
      <c r="AF211" s="430"/>
      <c r="AG211" s="430"/>
      <c r="AH211" s="430"/>
      <c r="AI211" s="430"/>
      <c r="AJ211" s="430"/>
      <c r="AK211" s="430"/>
      <c r="AL211" s="430"/>
      <c r="AM211" s="430"/>
      <c r="AN211" s="430"/>
      <c r="AO211" s="430"/>
      <c r="AP211" s="430"/>
      <c r="AQ211" s="430"/>
      <c r="AR211" s="430"/>
      <c r="AS211" s="430"/>
      <c r="AT211" s="430"/>
      <c r="AU211" s="430"/>
      <c r="AV211" s="430"/>
      <c r="AW211" s="430"/>
      <c r="AX211" s="430"/>
      <c r="AY211" s="430"/>
      <c r="AZ211" s="430"/>
      <c r="BA211" s="430"/>
      <c r="BB211" s="430"/>
      <c r="BC211" s="430"/>
      <c r="BD211" s="430"/>
      <c r="BE211" s="430"/>
    </row>
    <row r="212" spans="1:57" ht="15.75" customHeight="1">
      <c r="A212" s="430"/>
      <c r="B212" s="430"/>
      <c r="C212" s="430"/>
      <c r="D212" s="430"/>
      <c r="E212" s="430"/>
      <c r="F212" s="430"/>
      <c r="G212" s="430"/>
      <c r="H212" s="430"/>
      <c r="I212" s="430"/>
      <c r="J212" s="581"/>
      <c r="K212" s="581"/>
      <c r="L212" s="582"/>
      <c r="M212" s="581"/>
      <c r="N212" s="430"/>
      <c r="O212" s="430"/>
      <c r="P212" s="430"/>
      <c r="Q212" s="430"/>
      <c r="R212" s="430"/>
      <c r="S212" s="581"/>
      <c r="T212" s="581"/>
      <c r="U212" s="581"/>
      <c r="V212" s="582"/>
      <c r="W212" s="581"/>
      <c r="X212" s="430"/>
      <c r="Y212" s="430"/>
      <c r="Z212" s="430"/>
      <c r="AA212" s="430"/>
      <c r="AB212" s="430"/>
      <c r="AC212" s="430"/>
      <c r="AD212" s="430"/>
      <c r="AE212" s="430"/>
      <c r="AF212" s="430"/>
      <c r="AG212" s="430"/>
      <c r="AH212" s="430"/>
      <c r="AI212" s="430"/>
      <c r="AJ212" s="430"/>
      <c r="AK212" s="430"/>
      <c r="AL212" s="430"/>
      <c r="AM212" s="430"/>
      <c r="AN212" s="430"/>
      <c r="AO212" s="430"/>
      <c r="AP212" s="430"/>
      <c r="AQ212" s="430"/>
      <c r="AR212" s="430"/>
      <c r="AS212" s="430"/>
      <c r="AT212" s="430"/>
      <c r="AU212" s="430"/>
      <c r="AV212" s="430"/>
      <c r="AW212" s="430"/>
      <c r="AX212" s="430"/>
      <c r="AY212" s="430"/>
      <c r="AZ212" s="430"/>
      <c r="BA212" s="430"/>
      <c r="BB212" s="430"/>
      <c r="BC212" s="430"/>
      <c r="BD212" s="430"/>
      <c r="BE212" s="430"/>
    </row>
    <row r="213" spans="1:57" ht="15.75" customHeight="1">
      <c r="A213" s="430"/>
      <c r="B213" s="430"/>
      <c r="C213" s="430"/>
      <c r="D213" s="430"/>
      <c r="E213" s="430"/>
      <c r="F213" s="430"/>
      <c r="G213" s="430"/>
      <c r="H213" s="430"/>
      <c r="I213" s="430"/>
      <c r="J213" s="581"/>
      <c r="K213" s="581"/>
      <c r="L213" s="582"/>
      <c r="M213" s="581"/>
      <c r="N213" s="430"/>
      <c r="O213" s="430"/>
      <c r="P213" s="430"/>
      <c r="Q213" s="430"/>
      <c r="R213" s="430"/>
      <c r="S213" s="581"/>
      <c r="T213" s="581"/>
      <c r="U213" s="581"/>
      <c r="V213" s="582"/>
      <c r="W213" s="581"/>
      <c r="X213" s="430"/>
      <c r="Y213" s="430"/>
      <c r="Z213" s="430"/>
      <c r="AA213" s="430"/>
      <c r="AB213" s="430"/>
      <c r="AC213" s="430"/>
      <c r="AD213" s="430"/>
      <c r="AE213" s="430"/>
      <c r="AF213" s="430"/>
      <c r="AG213" s="430"/>
      <c r="AH213" s="430"/>
      <c r="AI213" s="430"/>
      <c r="AJ213" s="430"/>
      <c r="AK213" s="430"/>
      <c r="AL213" s="430"/>
      <c r="AM213" s="430"/>
      <c r="AN213" s="430"/>
      <c r="AO213" s="430"/>
      <c r="AP213" s="430"/>
      <c r="AQ213" s="430"/>
      <c r="AR213" s="430"/>
      <c r="AS213" s="430"/>
      <c r="AT213" s="430"/>
      <c r="AU213" s="430"/>
      <c r="AV213" s="430"/>
      <c r="AW213" s="430"/>
      <c r="AX213" s="430"/>
      <c r="AY213" s="430"/>
      <c r="AZ213" s="430"/>
      <c r="BA213" s="430"/>
      <c r="BB213" s="430"/>
      <c r="BC213" s="430"/>
      <c r="BD213" s="430"/>
      <c r="BE213" s="430"/>
    </row>
    <row r="214" spans="1:57" ht="15.75" customHeight="1">
      <c r="A214" s="430"/>
      <c r="B214" s="430"/>
      <c r="C214" s="430"/>
      <c r="D214" s="430"/>
      <c r="E214" s="430"/>
      <c r="F214" s="430"/>
      <c r="G214" s="430"/>
      <c r="H214" s="430"/>
      <c r="I214" s="430"/>
      <c r="J214" s="581"/>
      <c r="K214" s="581"/>
      <c r="L214" s="582"/>
      <c r="M214" s="581"/>
      <c r="N214" s="430"/>
      <c r="O214" s="430"/>
      <c r="P214" s="430"/>
      <c r="Q214" s="430"/>
      <c r="R214" s="430"/>
      <c r="S214" s="581"/>
      <c r="T214" s="581"/>
      <c r="U214" s="581"/>
      <c r="V214" s="582"/>
      <c r="W214" s="581"/>
      <c r="X214" s="430"/>
      <c r="Y214" s="430"/>
      <c r="Z214" s="430"/>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0"/>
      <c r="AY214" s="430"/>
      <c r="AZ214" s="430"/>
      <c r="BA214" s="430"/>
      <c r="BB214" s="430"/>
      <c r="BC214" s="430"/>
      <c r="BD214" s="430"/>
      <c r="BE214" s="430"/>
    </row>
    <row r="215" spans="1:57" ht="15.75" customHeight="1">
      <c r="A215" s="430"/>
      <c r="B215" s="430"/>
      <c r="C215" s="430"/>
      <c r="D215" s="430"/>
      <c r="E215" s="430"/>
      <c r="F215" s="430"/>
      <c r="G215" s="430"/>
      <c r="H215" s="430"/>
      <c r="I215" s="430"/>
      <c r="J215" s="581"/>
      <c r="K215" s="581"/>
      <c r="L215" s="582"/>
      <c r="M215" s="581"/>
      <c r="N215" s="430"/>
      <c r="O215" s="430"/>
      <c r="P215" s="430"/>
      <c r="Q215" s="430"/>
      <c r="R215" s="430"/>
      <c r="S215" s="581"/>
      <c r="T215" s="581"/>
      <c r="U215" s="581"/>
      <c r="V215" s="582"/>
      <c r="W215" s="581"/>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0"/>
      <c r="AY215" s="430"/>
      <c r="AZ215" s="430"/>
      <c r="BA215" s="430"/>
      <c r="BB215" s="430"/>
      <c r="BC215" s="430"/>
      <c r="BD215" s="430"/>
      <c r="BE215" s="430"/>
    </row>
    <row r="216" spans="1:57" ht="15.75" customHeight="1">
      <c r="A216" s="430"/>
      <c r="B216" s="430"/>
      <c r="C216" s="430"/>
      <c r="D216" s="430"/>
      <c r="E216" s="430"/>
      <c r="F216" s="430"/>
      <c r="G216" s="430"/>
      <c r="H216" s="430"/>
      <c r="I216" s="430"/>
      <c r="J216" s="581"/>
      <c r="K216" s="581"/>
      <c r="L216" s="582"/>
      <c r="M216" s="581"/>
      <c r="N216" s="430"/>
      <c r="O216" s="430"/>
      <c r="P216" s="430"/>
      <c r="Q216" s="430"/>
      <c r="R216" s="430"/>
      <c r="S216" s="581"/>
      <c r="T216" s="581"/>
      <c r="U216" s="581"/>
      <c r="V216" s="582"/>
      <c r="W216" s="581"/>
      <c r="X216" s="430"/>
      <c r="Y216" s="430"/>
      <c r="Z216" s="430"/>
      <c r="AA216" s="430"/>
      <c r="AB216" s="430"/>
      <c r="AC216" s="430"/>
      <c r="AD216" s="430"/>
      <c r="AE216" s="430"/>
      <c r="AF216" s="430"/>
      <c r="AG216" s="430"/>
      <c r="AH216" s="430"/>
      <c r="AI216" s="430"/>
      <c r="AJ216" s="430"/>
      <c r="AK216" s="430"/>
      <c r="AL216" s="430"/>
      <c r="AM216" s="430"/>
      <c r="AN216" s="430"/>
      <c r="AO216" s="430"/>
      <c r="AP216" s="430"/>
      <c r="AQ216" s="430"/>
      <c r="AR216" s="430"/>
      <c r="AS216" s="430"/>
      <c r="AT216" s="430"/>
      <c r="AU216" s="430"/>
      <c r="AV216" s="430"/>
      <c r="AW216" s="430"/>
      <c r="AX216" s="430"/>
      <c r="AY216" s="430"/>
      <c r="AZ216" s="430"/>
      <c r="BA216" s="430"/>
      <c r="BB216" s="430"/>
      <c r="BC216" s="430"/>
      <c r="BD216" s="430"/>
      <c r="BE216" s="430"/>
    </row>
    <row r="217" spans="1:57" ht="15.75" customHeight="1">
      <c r="A217" s="430"/>
      <c r="B217" s="430"/>
      <c r="C217" s="430"/>
      <c r="D217" s="430"/>
      <c r="E217" s="430"/>
      <c r="F217" s="430"/>
      <c r="G217" s="430"/>
      <c r="H217" s="430"/>
      <c r="I217" s="430"/>
      <c r="J217" s="581"/>
      <c r="K217" s="581"/>
      <c r="L217" s="582"/>
      <c r="M217" s="581"/>
      <c r="N217" s="430"/>
      <c r="O217" s="430"/>
      <c r="P217" s="430"/>
      <c r="Q217" s="430"/>
      <c r="R217" s="430"/>
      <c r="S217" s="581"/>
      <c r="T217" s="581"/>
      <c r="U217" s="581"/>
      <c r="V217" s="582"/>
      <c r="W217" s="581"/>
      <c r="X217" s="430"/>
      <c r="Y217" s="430"/>
      <c r="Z217" s="430"/>
      <c r="AA217" s="430"/>
      <c r="AB217" s="430"/>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0"/>
      <c r="AY217" s="430"/>
      <c r="AZ217" s="430"/>
      <c r="BA217" s="430"/>
      <c r="BB217" s="430"/>
      <c r="BC217" s="430"/>
      <c r="BD217" s="430"/>
      <c r="BE217" s="430"/>
    </row>
    <row r="218" spans="1:57" ht="15.75" customHeight="1">
      <c r="A218" s="430"/>
      <c r="B218" s="430"/>
      <c r="C218" s="430"/>
      <c r="D218" s="430"/>
      <c r="E218" s="430"/>
      <c r="F218" s="430"/>
      <c r="G218" s="430"/>
      <c r="H218" s="430"/>
      <c r="I218" s="430"/>
      <c r="J218" s="581"/>
      <c r="K218" s="581"/>
      <c r="L218" s="582"/>
      <c r="M218" s="581"/>
      <c r="N218" s="430"/>
      <c r="O218" s="430"/>
      <c r="P218" s="430"/>
      <c r="Q218" s="430"/>
      <c r="R218" s="430"/>
      <c r="S218" s="581"/>
      <c r="T218" s="581"/>
      <c r="U218" s="581"/>
      <c r="V218" s="582"/>
      <c r="W218" s="581"/>
      <c r="X218" s="430"/>
      <c r="Y218" s="430"/>
      <c r="Z218" s="430"/>
      <c r="AA218" s="430"/>
      <c r="AB218" s="430"/>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0"/>
      <c r="AY218" s="430"/>
      <c r="AZ218" s="430"/>
      <c r="BA218" s="430"/>
      <c r="BB218" s="430"/>
      <c r="BC218" s="430"/>
      <c r="BD218" s="430"/>
      <c r="BE218" s="430"/>
    </row>
    <row r="219" spans="1:57" ht="15.75" customHeight="1">
      <c r="A219" s="430"/>
      <c r="B219" s="430"/>
      <c r="C219" s="430"/>
      <c r="D219" s="430"/>
      <c r="E219" s="430"/>
      <c r="F219" s="430"/>
      <c r="G219" s="430"/>
      <c r="H219" s="430"/>
      <c r="I219" s="430"/>
      <c r="J219" s="581"/>
      <c r="K219" s="581"/>
      <c r="L219" s="582"/>
      <c r="M219" s="581"/>
      <c r="N219" s="430"/>
      <c r="O219" s="430"/>
      <c r="P219" s="430"/>
      <c r="Q219" s="430"/>
      <c r="R219" s="430"/>
      <c r="S219" s="581"/>
      <c r="T219" s="581"/>
      <c r="U219" s="581"/>
      <c r="V219" s="582"/>
      <c r="W219" s="581"/>
      <c r="X219" s="430"/>
      <c r="Y219" s="430"/>
      <c r="Z219" s="430"/>
      <c r="AA219" s="430"/>
      <c r="AB219" s="430"/>
      <c r="AC219" s="430"/>
      <c r="AD219" s="430"/>
      <c r="AE219" s="430"/>
      <c r="AF219" s="430"/>
      <c r="AG219" s="430"/>
      <c r="AH219" s="430"/>
      <c r="AI219" s="430"/>
      <c r="AJ219" s="430"/>
      <c r="AK219" s="430"/>
      <c r="AL219" s="430"/>
      <c r="AM219" s="430"/>
      <c r="AN219" s="430"/>
      <c r="AO219" s="430"/>
      <c r="AP219" s="430"/>
      <c r="AQ219" s="430"/>
      <c r="AR219" s="430"/>
      <c r="AS219" s="430"/>
      <c r="AT219" s="430"/>
      <c r="AU219" s="430"/>
      <c r="AV219" s="430"/>
      <c r="AW219" s="430"/>
      <c r="AX219" s="430"/>
      <c r="AY219" s="430"/>
      <c r="AZ219" s="430"/>
      <c r="BA219" s="430"/>
      <c r="BB219" s="430"/>
      <c r="BC219" s="430"/>
      <c r="BD219" s="430"/>
      <c r="BE219" s="430"/>
    </row>
    <row r="220" spans="1:57" ht="15.75" customHeight="1">
      <c r="A220" s="430"/>
      <c r="B220" s="430"/>
      <c r="C220" s="430"/>
      <c r="D220" s="430"/>
      <c r="E220" s="430"/>
      <c r="F220" s="430"/>
      <c r="G220" s="430"/>
      <c r="H220" s="430"/>
      <c r="I220" s="430"/>
      <c r="J220" s="581"/>
      <c r="K220" s="581"/>
      <c r="L220" s="582"/>
      <c r="M220" s="581"/>
      <c r="N220" s="430"/>
      <c r="O220" s="430"/>
      <c r="P220" s="430"/>
      <c r="Q220" s="430"/>
      <c r="R220" s="430"/>
      <c r="S220" s="581"/>
      <c r="T220" s="581"/>
      <c r="U220" s="581"/>
      <c r="V220" s="582"/>
      <c r="W220" s="581"/>
      <c r="X220" s="430"/>
      <c r="Y220" s="430"/>
      <c r="Z220" s="430"/>
      <c r="AA220" s="430"/>
      <c r="AB220" s="430"/>
      <c r="AC220" s="430"/>
      <c r="AD220" s="430"/>
      <c r="AE220" s="430"/>
      <c r="AF220" s="430"/>
      <c r="AG220" s="430"/>
      <c r="AH220" s="430"/>
      <c r="AI220" s="430"/>
      <c r="AJ220" s="430"/>
      <c r="AK220" s="430"/>
      <c r="AL220" s="430"/>
      <c r="AM220" s="430"/>
      <c r="AN220" s="430"/>
      <c r="AO220" s="430"/>
      <c r="AP220" s="430"/>
      <c r="AQ220" s="430"/>
      <c r="AR220" s="430"/>
      <c r="AS220" s="430"/>
      <c r="AT220" s="430"/>
      <c r="AU220" s="430"/>
      <c r="AV220" s="430"/>
      <c r="AW220" s="430"/>
      <c r="AX220" s="430"/>
      <c r="AY220" s="430"/>
      <c r="AZ220" s="430"/>
      <c r="BA220" s="430"/>
      <c r="BB220" s="430"/>
      <c r="BC220" s="430"/>
      <c r="BD220" s="430"/>
      <c r="BE220" s="430"/>
    </row>
    <row r="221" spans="1:57" ht="15.75" customHeight="1">
      <c r="A221" s="430"/>
      <c r="B221" s="430"/>
      <c r="C221" s="430"/>
      <c r="D221" s="430"/>
      <c r="E221" s="430"/>
      <c r="F221" s="430"/>
      <c r="G221" s="430"/>
      <c r="H221" s="430"/>
      <c r="I221" s="430"/>
      <c r="J221" s="581"/>
      <c r="K221" s="581"/>
      <c r="L221" s="582"/>
      <c r="M221" s="581"/>
      <c r="N221" s="430"/>
      <c r="O221" s="430"/>
      <c r="P221" s="430"/>
      <c r="Q221" s="430"/>
      <c r="R221" s="430"/>
      <c r="S221" s="581"/>
      <c r="T221" s="581"/>
      <c r="U221" s="581"/>
      <c r="V221" s="582"/>
      <c r="W221" s="581"/>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0"/>
      <c r="AY221" s="430"/>
      <c r="AZ221" s="430"/>
      <c r="BA221" s="430"/>
      <c r="BB221" s="430"/>
      <c r="BC221" s="430"/>
      <c r="BD221" s="430"/>
      <c r="BE221" s="430"/>
    </row>
    <row r="222" spans="1:57" ht="15.75" customHeight="1">
      <c r="A222" s="430"/>
      <c r="B222" s="430"/>
      <c r="C222" s="430"/>
      <c r="D222" s="430"/>
      <c r="E222" s="430"/>
      <c r="F222" s="430"/>
      <c r="G222" s="430"/>
      <c r="H222" s="430"/>
      <c r="I222" s="430"/>
      <c r="J222" s="581"/>
      <c r="K222" s="581"/>
      <c r="L222" s="582"/>
      <c r="M222" s="581"/>
      <c r="N222" s="430"/>
      <c r="O222" s="430"/>
      <c r="P222" s="430"/>
      <c r="Q222" s="430"/>
      <c r="R222" s="430"/>
      <c r="S222" s="581"/>
      <c r="T222" s="581"/>
      <c r="U222" s="581"/>
      <c r="V222" s="582"/>
      <c r="W222" s="581"/>
      <c r="X222" s="430"/>
      <c r="Y222" s="430"/>
      <c r="Z222" s="430"/>
      <c r="AA222" s="430"/>
      <c r="AB222" s="430"/>
      <c r="AC222" s="430"/>
      <c r="AD222" s="430"/>
      <c r="AE222" s="430"/>
      <c r="AF222" s="430"/>
      <c r="AG222" s="430"/>
      <c r="AH222" s="430"/>
      <c r="AI222" s="430"/>
      <c r="AJ222" s="430"/>
      <c r="AK222" s="430"/>
      <c r="AL222" s="430"/>
      <c r="AM222" s="430"/>
      <c r="AN222" s="430"/>
      <c r="AO222" s="430"/>
      <c r="AP222" s="430"/>
      <c r="AQ222" s="430"/>
      <c r="AR222" s="430"/>
      <c r="AS222" s="430"/>
      <c r="AT222" s="430"/>
      <c r="AU222" s="430"/>
      <c r="AV222" s="430"/>
      <c r="AW222" s="430"/>
      <c r="AX222" s="430"/>
      <c r="AY222" s="430"/>
      <c r="AZ222" s="430"/>
      <c r="BA222" s="430"/>
      <c r="BB222" s="430"/>
      <c r="BC222" s="430"/>
      <c r="BD222" s="430"/>
      <c r="BE222" s="430"/>
    </row>
    <row r="223" spans="1:57" ht="15.75" customHeight="1">
      <c r="A223" s="430"/>
      <c r="B223" s="430"/>
      <c r="C223" s="430"/>
      <c r="D223" s="430"/>
      <c r="E223" s="430"/>
      <c r="F223" s="430"/>
      <c r="G223" s="430"/>
      <c r="H223" s="430"/>
      <c r="I223" s="430"/>
      <c r="J223" s="581"/>
      <c r="K223" s="581"/>
      <c r="L223" s="582"/>
      <c r="M223" s="581"/>
      <c r="N223" s="430"/>
      <c r="O223" s="430"/>
      <c r="P223" s="430"/>
      <c r="Q223" s="430"/>
      <c r="R223" s="430"/>
      <c r="S223" s="581"/>
      <c r="T223" s="581"/>
      <c r="U223" s="581"/>
      <c r="V223" s="582"/>
      <c r="W223" s="581"/>
      <c r="X223" s="430"/>
      <c r="Y223" s="430"/>
      <c r="Z223" s="430"/>
      <c r="AA223" s="430"/>
      <c r="AB223" s="430"/>
      <c r="AC223" s="430"/>
      <c r="AD223" s="430"/>
      <c r="AE223" s="430"/>
      <c r="AF223" s="430"/>
      <c r="AG223" s="430"/>
      <c r="AH223" s="430"/>
      <c r="AI223" s="430"/>
      <c r="AJ223" s="430"/>
      <c r="AK223" s="430"/>
      <c r="AL223" s="430"/>
      <c r="AM223" s="430"/>
      <c r="AN223" s="430"/>
      <c r="AO223" s="430"/>
      <c r="AP223" s="430"/>
      <c r="AQ223" s="430"/>
      <c r="AR223" s="430"/>
      <c r="AS223" s="430"/>
      <c r="AT223" s="430"/>
      <c r="AU223" s="430"/>
      <c r="AV223" s="430"/>
      <c r="AW223" s="430"/>
      <c r="AX223" s="430"/>
      <c r="AY223" s="430"/>
      <c r="AZ223" s="430"/>
      <c r="BA223" s="430"/>
      <c r="BB223" s="430"/>
      <c r="BC223" s="430"/>
      <c r="BD223" s="430"/>
      <c r="BE223" s="430"/>
    </row>
    <row r="224" spans="1:57" ht="15.75" customHeight="1">
      <c r="A224" s="430"/>
      <c r="B224" s="430"/>
      <c r="C224" s="430"/>
      <c r="D224" s="430"/>
      <c r="E224" s="430"/>
      <c r="F224" s="430"/>
      <c r="G224" s="430"/>
      <c r="H224" s="430"/>
      <c r="I224" s="430"/>
      <c r="J224" s="581"/>
      <c r="K224" s="581"/>
      <c r="L224" s="582"/>
      <c r="M224" s="581"/>
      <c r="N224" s="430"/>
      <c r="O224" s="430"/>
      <c r="P224" s="430"/>
      <c r="Q224" s="430"/>
      <c r="R224" s="430"/>
      <c r="S224" s="581"/>
      <c r="T224" s="581"/>
      <c r="U224" s="581"/>
      <c r="V224" s="582"/>
      <c r="W224" s="581"/>
      <c r="X224" s="430"/>
      <c r="Y224" s="430"/>
      <c r="Z224" s="430"/>
      <c r="AA224" s="430"/>
      <c r="AB224" s="430"/>
      <c r="AC224" s="430"/>
      <c r="AD224" s="430"/>
      <c r="AE224" s="430"/>
      <c r="AF224" s="430"/>
      <c r="AG224" s="430"/>
      <c r="AH224" s="430"/>
      <c r="AI224" s="430"/>
      <c r="AJ224" s="430"/>
      <c r="AK224" s="430"/>
      <c r="AL224" s="430"/>
      <c r="AM224" s="430"/>
      <c r="AN224" s="430"/>
      <c r="AO224" s="430"/>
      <c r="AP224" s="430"/>
      <c r="AQ224" s="430"/>
      <c r="AR224" s="430"/>
      <c r="AS224" s="430"/>
      <c r="AT224" s="430"/>
      <c r="AU224" s="430"/>
      <c r="AV224" s="430"/>
      <c r="AW224" s="430"/>
      <c r="AX224" s="430"/>
      <c r="AY224" s="430"/>
      <c r="AZ224" s="430"/>
      <c r="BA224" s="430"/>
      <c r="BB224" s="430"/>
      <c r="BC224" s="430"/>
      <c r="BD224" s="430"/>
      <c r="BE224" s="430"/>
    </row>
    <row r="225" spans="1:57" ht="15.75" customHeight="1">
      <c r="A225" s="430"/>
      <c r="B225" s="430"/>
      <c r="C225" s="430"/>
      <c r="D225" s="430"/>
      <c r="E225" s="430"/>
      <c r="F225" s="430"/>
      <c r="G225" s="430"/>
      <c r="H225" s="430"/>
      <c r="I225" s="430"/>
      <c r="J225" s="581"/>
      <c r="K225" s="581"/>
      <c r="L225" s="582"/>
      <c r="M225" s="581"/>
      <c r="N225" s="430"/>
      <c r="O225" s="430"/>
      <c r="P225" s="430"/>
      <c r="Q225" s="430"/>
      <c r="R225" s="430"/>
      <c r="S225" s="581"/>
      <c r="T225" s="581"/>
      <c r="U225" s="581"/>
      <c r="V225" s="582"/>
      <c r="W225" s="581"/>
      <c r="X225" s="430"/>
      <c r="Y225" s="430"/>
      <c r="Z225" s="430"/>
      <c r="AA225" s="430"/>
      <c r="AB225" s="430"/>
      <c r="AC225" s="430"/>
      <c r="AD225" s="430"/>
      <c r="AE225" s="430"/>
      <c r="AF225" s="430"/>
      <c r="AG225" s="430"/>
      <c r="AH225" s="430"/>
      <c r="AI225" s="430"/>
      <c r="AJ225" s="430"/>
      <c r="AK225" s="430"/>
      <c r="AL225" s="430"/>
      <c r="AM225" s="430"/>
      <c r="AN225" s="430"/>
      <c r="AO225" s="430"/>
      <c r="AP225" s="430"/>
      <c r="AQ225" s="430"/>
      <c r="AR225" s="430"/>
      <c r="AS225" s="430"/>
      <c r="AT225" s="430"/>
      <c r="AU225" s="430"/>
      <c r="AV225" s="430"/>
      <c r="AW225" s="430"/>
      <c r="AX225" s="430"/>
      <c r="AY225" s="430"/>
      <c r="AZ225" s="430"/>
      <c r="BA225" s="430"/>
      <c r="BB225" s="430"/>
      <c r="BC225" s="430"/>
      <c r="BD225" s="430"/>
      <c r="BE225" s="430"/>
    </row>
    <row r="226" spans="1:57" ht="15.75" customHeight="1">
      <c r="A226" s="430"/>
      <c r="B226" s="430"/>
      <c r="C226" s="430"/>
      <c r="D226" s="430"/>
      <c r="E226" s="430"/>
      <c r="F226" s="430"/>
      <c r="G226" s="430"/>
      <c r="H226" s="430"/>
      <c r="I226" s="430"/>
      <c r="J226" s="581"/>
      <c r="K226" s="581"/>
      <c r="L226" s="582"/>
      <c r="M226" s="581"/>
      <c r="N226" s="430"/>
      <c r="O226" s="430"/>
      <c r="P226" s="430"/>
      <c r="Q226" s="430"/>
      <c r="R226" s="430"/>
      <c r="S226" s="581"/>
      <c r="T226" s="581"/>
      <c r="U226" s="581"/>
      <c r="V226" s="582"/>
      <c r="W226" s="581"/>
      <c r="X226" s="430"/>
      <c r="Y226" s="430"/>
      <c r="Z226" s="430"/>
      <c r="AA226" s="430"/>
      <c r="AB226" s="430"/>
      <c r="AC226" s="430"/>
      <c r="AD226" s="430"/>
      <c r="AE226" s="430"/>
      <c r="AF226" s="430"/>
      <c r="AG226" s="430"/>
      <c r="AH226" s="430"/>
      <c r="AI226" s="430"/>
      <c r="AJ226" s="430"/>
      <c r="AK226" s="430"/>
      <c r="AL226" s="430"/>
      <c r="AM226" s="430"/>
      <c r="AN226" s="430"/>
      <c r="AO226" s="430"/>
      <c r="AP226" s="430"/>
      <c r="AQ226" s="430"/>
      <c r="AR226" s="430"/>
      <c r="AS226" s="430"/>
      <c r="AT226" s="430"/>
      <c r="AU226" s="430"/>
      <c r="AV226" s="430"/>
      <c r="AW226" s="430"/>
      <c r="AX226" s="430"/>
      <c r="AY226" s="430"/>
      <c r="AZ226" s="430"/>
      <c r="BA226" s="430"/>
      <c r="BB226" s="430"/>
      <c r="BC226" s="430"/>
      <c r="BD226" s="430"/>
      <c r="BE226" s="430"/>
    </row>
    <row r="227" spans="1:57" ht="15.75" customHeight="1">
      <c r="A227" s="430"/>
      <c r="B227" s="430"/>
      <c r="C227" s="430"/>
      <c r="D227" s="430"/>
      <c r="E227" s="430"/>
      <c r="F227" s="430"/>
      <c r="G227" s="430"/>
      <c r="H227" s="430"/>
      <c r="I227" s="430"/>
      <c r="J227" s="581"/>
      <c r="K227" s="581"/>
      <c r="L227" s="582"/>
      <c r="M227" s="581"/>
      <c r="N227" s="430"/>
      <c r="O227" s="430"/>
      <c r="P227" s="430"/>
      <c r="Q227" s="430"/>
      <c r="R227" s="430"/>
      <c r="S227" s="581"/>
      <c r="T227" s="581"/>
      <c r="U227" s="581"/>
      <c r="V227" s="582"/>
      <c r="W227" s="581"/>
      <c r="X227" s="430"/>
      <c r="Y227" s="430"/>
      <c r="Z227" s="430"/>
      <c r="AA227" s="430"/>
      <c r="AB227" s="430"/>
      <c r="AC227" s="430"/>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0"/>
      <c r="AY227" s="430"/>
      <c r="AZ227" s="430"/>
      <c r="BA227" s="430"/>
      <c r="BB227" s="430"/>
      <c r="BC227" s="430"/>
      <c r="BD227" s="430"/>
      <c r="BE227" s="430"/>
    </row>
    <row r="228" spans="1:57" ht="15.75" customHeight="1">
      <c r="A228" s="430"/>
      <c r="B228" s="430"/>
      <c r="C228" s="430"/>
      <c r="D228" s="430"/>
      <c r="E228" s="430"/>
      <c r="F228" s="430"/>
      <c r="G228" s="430"/>
      <c r="H228" s="430"/>
      <c r="I228" s="430"/>
      <c r="J228" s="581"/>
      <c r="K228" s="581"/>
      <c r="L228" s="582"/>
      <c r="M228" s="581"/>
      <c r="N228" s="430"/>
      <c r="O228" s="430"/>
      <c r="P228" s="430"/>
      <c r="Q228" s="430"/>
      <c r="R228" s="430"/>
      <c r="S228" s="581"/>
      <c r="T228" s="581"/>
      <c r="U228" s="581"/>
      <c r="V228" s="582"/>
      <c r="W228" s="581"/>
      <c r="X228" s="430"/>
      <c r="Y228" s="430"/>
      <c r="Z228" s="430"/>
      <c r="AA228" s="430"/>
      <c r="AB228" s="430"/>
      <c r="AC228" s="430"/>
      <c r="AD228" s="430"/>
      <c r="AE228" s="430"/>
      <c r="AF228" s="430"/>
      <c r="AG228" s="430"/>
      <c r="AH228" s="430"/>
      <c r="AI228" s="430"/>
      <c r="AJ228" s="430"/>
      <c r="AK228" s="430"/>
      <c r="AL228" s="430"/>
      <c r="AM228" s="430"/>
      <c r="AN228" s="430"/>
      <c r="AO228" s="430"/>
      <c r="AP228" s="430"/>
      <c r="AQ228" s="430"/>
      <c r="AR228" s="430"/>
      <c r="AS228" s="430"/>
      <c r="AT228" s="430"/>
      <c r="AU228" s="430"/>
      <c r="AV228" s="430"/>
      <c r="AW228" s="430"/>
      <c r="AX228" s="430"/>
      <c r="AY228" s="430"/>
      <c r="AZ228" s="430"/>
      <c r="BA228" s="430"/>
      <c r="BB228" s="430"/>
      <c r="BC228" s="430"/>
      <c r="BD228" s="430"/>
      <c r="BE228" s="430"/>
    </row>
    <row r="229" spans="1:57" ht="15.75" customHeight="1">
      <c r="A229" s="430"/>
      <c r="B229" s="430"/>
      <c r="C229" s="430"/>
      <c r="D229" s="430"/>
      <c r="E229" s="430"/>
      <c r="F229" s="430"/>
      <c r="G229" s="430"/>
      <c r="H229" s="430"/>
      <c r="I229" s="430"/>
      <c r="J229" s="581"/>
      <c r="K229" s="581"/>
      <c r="L229" s="582"/>
      <c r="M229" s="581"/>
      <c r="N229" s="430"/>
      <c r="O229" s="430"/>
      <c r="P229" s="430"/>
      <c r="Q229" s="430"/>
      <c r="R229" s="430"/>
      <c r="S229" s="581"/>
      <c r="T229" s="581"/>
      <c r="U229" s="581"/>
      <c r="V229" s="582"/>
      <c r="W229" s="581"/>
      <c r="X229" s="430"/>
      <c r="Y229" s="430"/>
      <c r="Z229" s="430"/>
      <c r="AA229" s="430"/>
      <c r="AB229" s="430"/>
      <c r="AC229" s="430"/>
      <c r="AD229" s="430"/>
      <c r="AE229" s="430"/>
      <c r="AF229" s="430"/>
      <c r="AG229" s="430"/>
      <c r="AH229" s="430"/>
      <c r="AI229" s="430"/>
      <c r="AJ229" s="430"/>
      <c r="AK229" s="430"/>
      <c r="AL229" s="430"/>
      <c r="AM229" s="430"/>
      <c r="AN229" s="430"/>
      <c r="AO229" s="430"/>
      <c r="AP229" s="430"/>
      <c r="AQ229" s="430"/>
      <c r="AR229" s="430"/>
      <c r="AS229" s="430"/>
      <c r="AT229" s="430"/>
      <c r="AU229" s="430"/>
      <c r="AV229" s="430"/>
      <c r="AW229" s="430"/>
      <c r="AX229" s="430"/>
      <c r="AY229" s="430"/>
      <c r="AZ229" s="430"/>
      <c r="BA229" s="430"/>
      <c r="BB229" s="430"/>
      <c r="BC229" s="430"/>
      <c r="BD229" s="430"/>
      <c r="BE229" s="430"/>
    </row>
    <row r="230" spans="1:57" ht="15.75" customHeight="1">
      <c r="A230" s="430"/>
      <c r="B230" s="430"/>
      <c r="C230" s="430"/>
      <c r="D230" s="430"/>
      <c r="E230" s="430"/>
      <c r="F230" s="430"/>
      <c r="G230" s="430"/>
      <c r="H230" s="430"/>
      <c r="I230" s="430"/>
      <c r="J230" s="581"/>
      <c r="K230" s="581"/>
      <c r="L230" s="582"/>
      <c r="M230" s="581"/>
      <c r="N230" s="430"/>
      <c r="O230" s="430"/>
      <c r="P230" s="430"/>
      <c r="Q230" s="430"/>
      <c r="R230" s="430"/>
      <c r="S230" s="581"/>
      <c r="T230" s="581"/>
      <c r="U230" s="581"/>
      <c r="V230" s="582"/>
      <c r="W230" s="581"/>
      <c r="X230" s="430"/>
      <c r="Y230" s="430"/>
      <c r="Z230" s="430"/>
      <c r="AA230" s="430"/>
      <c r="AB230" s="430"/>
      <c r="AC230" s="430"/>
      <c r="AD230" s="430"/>
      <c r="AE230" s="430"/>
      <c r="AF230" s="430"/>
      <c r="AG230" s="430"/>
      <c r="AH230" s="430"/>
      <c r="AI230" s="430"/>
      <c r="AJ230" s="430"/>
      <c r="AK230" s="430"/>
      <c r="AL230" s="430"/>
      <c r="AM230" s="430"/>
      <c r="AN230" s="430"/>
      <c r="AO230" s="430"/>
      <c r="AP230" s="430"/>
      <c r="AQ230" s="430"/>
      <c r="AR230" s="430"/>
      <c r="AS230" s="430"/>
      <c r="AT230" s="430"/>
      <c r="AU230" s="430"/>
      <c r="AV230" s="430"/>
      <c r="AW230" s="430"/>
      <c r="AX230" s="430"/>
      <c r="AY230" s="430"/>
      <c r="AZ230" s="430"/>
      <c r="BA230" s="430"/>
      <c r="BB230" s="430"/>
      <c r="BC230" s="430"/>
      <c r="BD230" s="430"/>
      <c r="BE230" s="430"/>
    </row>
    <row r="231" spans="1:57" ht="15.75" customHeight="1">
      <c r="A231" s="430"/>
      <c r="B231" s="430"/>
      <c r="C231" s="430"/>
      <c r="D231" s="430"/>
      <c r="E231" s="430"/>
      <c r="F231" s="430"/>
      <c r="G231" s="430"/>
      <c r="H231" s="430"/>
      <c r="I231" s="430"/>
      <c r="J231" s="581"/>
      <c r="K231" s="581"/>
      <c r="L231" s="582"/>
      <c r="M231" s="581"/>
      <c r="N231" s="430"/>
      <c r="O231" s="430"/>
      <c r="P231" s="430"/>
      <c r="Q231" s="430"/>
      <c r="R231" s="430"/>
      <c r="S231" s="581"/>
      <c r="T231" s="581"/>
      <c r="U231" s="581"/>
      <c r="V231" s="582"/>
      <c r="W231" s="581"/>
      <c r="X231" s="430"/>
      <c r="Y231" s="430"/>
      <c r="Z231" s="430"/>
      <c r="AA231" s="430"/>
      <c r="AB231" s="430"/>
      <c r="AC231" s="430"/>
      <c r="AD231" s="430"/>
      <c r="AE231" s="430"/>
      <c r="AF231" s="430"/>
      <c r="AG231" s="430"/>
      <c r="AH231" s="430"/>
      <c r="AI231" s="430"/>
      <c r="AJ231" s="430"/>
      <c r="AK231" s="430"/>
      <c r="AL231" s="430"/>
      <c r="AM231" s="430"/>
      <c r="AN231" s="430"/>
      <c r="AO231" s="430"/>
      <c r="AP231" s="430"/>
      <c r="AQ231" s="430"/>
      <c r="AR231" s="430"/>
      <c r="AS231" s="430"/>
      <c r="AT231" s="430"/>
      <c r="AU231" s="430"/>
      <c r="AV231" s="430"/>
      <c r="AW231" s="430"/>
      <c r="AX231" s="430"/>
      <c r="AY231" s="430"/>
      <c r="AZ231" s="430"/>
      <c r="BA231" s="430"/>
      <c r="BB231" s="430"/>
      <c r="BC231" s="430"/>
      <c r="BD231" s="430"/>
      <c r="BE231" s="430"/>
    </row>
    <row r="232" spans="1:57" ht="15.75" customHeight="1">
      <c r="A232" s="430"/>
      <c r="B232" s="430"/>
      <c r="C232" s="430"/>
      <c r="D232" s="430"/>
      <c r="E232" s="430"/>
      <c r="F232" s="430"/>
      <c r="G232" s="430"/>
      <c r="H232" s="430"/>
      <c r="I232" s="430"/>
      <c r="J232" s="581"/>
      <c r="K232" s="581"/>
      <c r="L232" s="582"/>
      <c r="M232" s="581"/>
      <c r="N232" s="430"/>
      <c r="O232" s="430"/>
      <c r="P232" s="430"/>
      <c r="Q232" s="430"/>
      <c r="R232" s="430"/>
      <c r="S232" s="581"/>
      <c r="T232" s="581"/>
      <c r="U232" s="581"/>
      <c r="V232" s="582"/>
      <c r="W232" s="581"/>
      <c r="X232" s="430"/>
      <c r="Y232" s="430"/>
      <c r="Z232" s="430"/>
      <c r="AA232" s="430"/>
      <c r="AB232" s="430"/>
      <c r="AC232" s="430"/>
      <c r="AD232" s="430"/>
      <c r="AE232" s="430"/>
      <c r="AF232" s="430"/>
      <c r="AG232" s="430"/>
      <c r="AH232" s="430"/>
      <c r="AI232" s="430"/>
      <c r="AJ232" s="430"/>
      <c r="AK232" s="430"/>
      <c r="AL232" s="430"/>
      <c r="AM232" s="430"/>
      <c r="AN232" s="430"/>
      <c r="AO232" s="430"/>
      <c r="AP232" s="430"/>
      <c r="AQ232" s="430"/>
      <c r="AR232" s="430"/>
      <c r="AS232" s="430"/>
      <c r="AT232" s="430"/>
      <c r="AU232" s="430"/>
      <c r="AV232" s="430"/>
      <c r="AW232" s="430"/>
      <c r="AX232" s="430"/>
      <c r="AY232" s="430"/>
      <c r="AZ232" s="430"/>
      <c r="BA232" s="430"/>
      <c r="BB232" s="430"/>
      <c r="BC232" s="430"/>
      <c r="BD232" s="430"/>
      <c r="BE232" s="430"/>
    </row>
    <row r="233" spans="1:57" ht="15.75" customHeight="1">
      <c r="A233" s="430"/>
      <c r="B233" s="430"/>
      <c r="C233" s="430"/>
      <c r="D233" s="430"/>
      <c r="E233" s="430"/>
      <c r="F233" s="430"/>
      <c r="G233" s="430"/>
      <c r="H233" s="430"/>
      <c r="I233" s="430"/>
      <c r="J233" s="581"/>
      <c r="K233" s="581"/>
      <c r="L233" s="582"/>
      <c r="M233" s="581"/>
      <c r="N233" s="430"/>
      <c r="O233" s="430"/>
      <c r="P233" s="430"/>
      <c r="Q233" s="430"/>
      <c r="R233" s="430"/>
      <c r="S233" s="581"/>
      <c r="T233" s="581"/>
      <c r="U233" s="581"/>
      <c r="V233" s="582"/>
      <c r="W233" s="581"/>
      <c r="X233" s="430"/>
      <c r="Y233" s="430"/>
      <c r="Z233" s="430"/>
      <c r="AA233" s="430"/>
      <c r="AB233" s="430"/>
      <c r="AC233" s="430"/>
      <c r="AD233" s="430"/>
      <c r="AE233" s="430"/>
      <c r="AF233" s="430"/>
      <c r="AG233" s="430"/>
      <c r="AH233" s="430"/>
      <c r="AI233" s="430"/>
      <c r="AJ233" s="430"/>
      <c r="AK233" s="430"/>
      <c r="AL233" s="430"/>
      <c r="AM233" s="430"/>
      <c r="AN233" s="430"/>
      <c r="AO233" s="430"/>
      <c r="AP233" s="430"/>
      <c r="AQ233" s="430"/>
      <c r="AR233" s="430"/>
      <c r="AS233" s="430"/>
      <c r="AT233" s="430"/>
      <c r="AU233" s="430"/>
      <c r="AV233" s="430"/>
      <c r="AW233" s="430"/>
      <c r="AX233" s="430"/>
      <c r="AY233" s="430"/>
      <c r="AZ233" s="430"/>
      <c r="BA233" s="430"/>
      <c r="BB233" s="430"/>
      <c r="BC233" s="430"/>
      <c r="BD233" s="430"/>
      <c r="BE233" s="430"/>
    </row>
    <row r="234" spans="1:57" ht="15.75" customHeight="1">
      <c r="A234" s="430"/>
      <c r="B234" s="430"/>
      <c r="C234" s="430"/>
      <c r="D234" s="430"/>
      <c r="E234" s="430"/>
      <c r="F234" s="430"/>
      <c r="G234" s="430"/>
      <c r="H234" s="430"/>
      <c r="I234" s="430"/>
      <c r="J234" s="581"/>
      <c r="K234" s="581"/>
      <c r="L234" s="582"/>
      <c r="M234" s="581"/>
      <c r="N234" s="430"/>
      <c r="O234" s="430"/>
      <c r="P234" s="430"/>
      <c r="Q234" s="430"/>
      <c r="R234" s="430"/>
      <c r="S234" s="581"/>
      <c r="T234" s="581"/>
      <c r="U234" s="581"/>
      <c r="V234" s="582"/>
      <c r="W234" s="581"/>
      <c r="X234" s="430"/>
      <c r="Y234" s="430"/>
      <c r="Z234" s="430"/>
      <c r="AA234" s="430"/>
      <c r="AB234" s="430"/>
      <c r="AC234" s="430"/>
      <c r="AD234" s="430"/>
      <c r="AE234" s="430"/>
      <c r="AF234" s="430"/>
      <c r="AG234" s="430"/>
      <c r="AH234" s="430"/>
      <c r="AI234" s="430"/>
      <c r="AJ234" s="430"/>
      <c r="AK234" s="430"/>
      <c r="AL234" s="430"/>
      <c r="AM234" s="430"/>
      <c r="AN234" s="430"/>
      <c r="AO234" s="430"/>
      <c r="AP234" s="430"/>
      <c r="AQ234" s="430"/>
      <c r="AR234" s="430"/>
      <c r="AS234" s="430"/>
      <c r="AT234" s="430"/>
      <c r="AU234" s="430"/>
      <c r="AV234" s="430"/>
      <c r="AW234" s="430"/>
      <c r="AX234" s="430"/>
      <c r="AY234" s="430"/>
      <c r="AZ234" s="430"/>
      <c r="BA234" s="430"/>
      <c r="BB234" s="430"/>
      <c r="BC234" s="430"/>
      <c r="BD234" s="430"/>
      <c r="BE234" s="430"/>
    </row>
    <row r="235" spans="1:57" ht="15.75" customHeight="1">
      <c r="A235" s="430"/>
      <c r="B235" s="430"/>
      <c r="C235" s="430"/>
      <c r="D235" s="430"/>
      <c r="E235" s="430"/>
      <c r="F235" s="430"/>
      <c r="G235" s="430"/>
      <c r="H235" s="430"/>
      <c r="I235" s="430"/>
      <c r="J235" s="581"/>
      <c r="K235" s="581"/>
      <c r="L235" s="582"/>
      <c r="M235" s="581"/>
      <c r="N235" s="430"/>
      <c r="O235" s="430"/>
      <c r="P235" s="430"/>
      <c r="Q235" s="430"/>
      <c r="R235" s="430"/>
      <c r="S235" s="581"/>
      <c r="T235" s="581"/>
      <c r="U235" s="581"/>
      <c r="V235" s="582"/>
      <c r="W235" s="581"/>
      <c r="X235" s="430"/>
      <c r="Y235" s="430"/>
      <c r="Z235" s="430"/>
      <c r="AA235" s="430"/>
      <c r="AB235" s="430"/>
      <c r="AC235" s="430"/>
      <c r="AD235" s="430"/>
      <c r="AE235" s="430"/>
      <c r="AF235" s="430"/>
      <c r="AG235" s="430"/>
      <c r="AH235" s="430"/>
      <c r="AI235" s="430"/>
      <c r="AJ235" s="430"/>
      <c r="AK235" s="430"/>
      <c r="AL235" s="430"/>
      <c r="AM235" s="430"/>
      <c r="AN235" s="430"/>
      <c r="AO235" s="430"/>
      <c r="AP235" s="430"/>
      <c r="AQ235" s="430"/>
      <c r="AR235" s="430"/>
      <c r="AS235" s="430"/>
      <c r="AT235" s="430"/>
      <c r="AU235" s="430"/>
      <c r="AV235" s="430"/>
      <c r="AW235" s="430"/>
      <c r="AX235" s="430"/>
      <c r="AY235" s="430"/>
      <c r="AZ235" s="430"/>
      <c r="BA235" s="430"/>
      <c r="BB235" s="430"/>
      <c r="BC235" s="430"/>
      <c r="BD235" s="430"/>
      <c r="BE235" s="430"/>
    </row>
    <row r="236" spans="1:57" ht="15.75" customHeight="1">
      <c r="A236" s="430"/>
      <c r="B236" s="430"/>
      <c r="C236" s="430"/>
      <c r="D236" s="430"/>
      <c r="E236" s="430"/>
      <c r="F236" s="430"/>
      <c r="G236" s="430"/>
      <c r="H236" s="430"/>
      <c r="I236" s="430"/>
      <c r="J236" s="581"/>
      <c r="K236" s="581"/>
      <c r="L236" s="582"/>
      <c r="M236" s="581"/>
      <c r="N236" s="430"/>
      <c r="O236" s="430"/>
      <c r="P236" s="430"/>
      <c r="Q236" s="430"/>
      <c r="R236" s="430"/>
      <c r="S236" s="581"/>
      <c r="T236" s="581"/>
      <c r="U236" s="581"/>
      <c r="V236" s="582"/>
      <c r="W236" s="581"/>
      <c r="X236" s="430"/>
      <c r="Y236" s="430"/>
      <c r="Z236" s="430"/>
      <c r="AA236" s="430"/>
      <c r="AB236" s="430"/>
      <c r="AC236" s="430"/>
      <c r="AD236" s="430"/>
      <c r="AE236" s="430"/>
      <c r="AF236" s="430"/>
      <c r="AG236" s="430"/>
      <c r="AH236" s="430"/>
      <c r="AI236" s="430"/>
      <c r="AJ236" s="430"/>
      <c r="AK236" s="430"/>
      <c r="AL236" s="430"/>
      <c r="AM236" s="430"/>
      <c r="AN236" s="430"/>
      <c r="AO236" s="430"/>
      <c r="AP236" s="430"/>
      <c r="AQ236" s="430"/>
      <c r="AR236" s="430"/>
      <c r="AS236" s="430"/>
      <c r="AT236" s="430"/>
      <c r="AU236" s="430"/>
      <c r="AV236" s="430"/>
      <c r="AW236" s="430"/>
      <c r="AX236" s="430"/>
      <c r="AY236" s="430"/>
      <c r="AZ236" s="430"/>
      <c r="BA236" s="430"/>
      <c r="BB236" s="430"/>
      <c r="BC236" s="430"/>
      <c r="BD236" s="430"/>
      <c r="BE236" s="430"/>
    </row>
    <row r="237" spans="1:57" ht="15.75" customHeight="1">
      <c r="A237" s="430"/>
      <c r="B237" s="430"/>
      <c r="C237" s="430"/>
      <c r="D237" s="430"/>
      <c r="E237" s="430"/>
      <c r="F237" s="430"/>
      <c r="G237" s="430"/>
      <c r="H237" s="430"/>
      <c r="I237" s="430"/>
      <c r="J237" s="581"/>
      <c r="K237" s="581"/>
      <c r="L237" s="582"/>
      <c r="M237" s="581"/>
      <c r="N237" s="430"/>
      <c r="O237" s="430"/>
      <c r="P237" s="430"/>
      <c r="Q237" s="430"/>
      <c r="R237" s="430"/>
      <c r="S237" s="581"/>
      <c r="T237" s="581"/>
      <c r="U237" s="581"/>
      <c r="V237" s="582"/>
      <c r="W237" s="581"/>
      <c r="X237" s="430"/>
      <c r="Y237" s="430"/>
      <c r="Z237" s="430"/>
      <c r="AA237" s="430"/>
      <c r="AB237" s="430"/>
      <c r="AC237" s="430"/>
      <c r="AD237" s="430"/>
      <c r="AE237" s="430"/>
      <c r="AF237" s="430"/>
      <c r="AG237" s="430"/>
      <c r="AH237" s="430"/>
      <c r="AI237" s="430"/>
      <c r="AJ237" s="430"/>
      <c r="AK237" s="430"/>
      <c r="AL237" s="430"/>
      <c r="AM237" s="430"/>
      <c r="AN237" s="430"/>
      <c r="AO237" s="430"/>
      <c r="AP237" s="430"/>
      <c r="AQ237" s="430"/>
      <c r="AR237" s="430"/>
      <c r="AS237" s="430"/>
      <c r="AT237" s="430"/>
      <c r="AU237" s="430"/>
      <c r="AV237" s="430"/>
      <c r="AW237" s="430"/>
      <c r="AX237" s="430"/>
      <c r="AY237" s="430"/>
      <c r="AZ237" s="430"/>
      <c r="BA237" s="430"/>
      <c r="BB237" s="430"/>
      <c r="BC237" s="430"/>
      <c r="BD237" s="430"/>
      <c r="BE237" s="430"/>
    </row>
    <row r="238" spans="1:57" ht="15.75" customHeight="1">
      <c r="A238" s="430"/>
      <c r="B238" s="430"/>
      <c r="C238" s="430"/>
      <c r="D238" s="430"/>
      <c r="E238" s="430"/>
      <c r="F238" s="430"/>
      <c r="G238" s="430"/>
      <c r="H238" s="430"/>
      <c r="I238" s="430"/>
      <c r="J238" s="581"/>
      <c r="K238" s="581"/>
      <c r="L238" s="582"/>
      <c r="M238" s="581"/>
      <c r="N238" s="430"/>
      <c r="O238" s="430"/>
      <c r="P238" s="430"/>
      <c r="Q238" s="430"/>
      <c r="R238" s="430"/>
      <c r="S238" s="581"/>
      <c r="T238" s="581"/>
      <c r="U238" s="581"/>
      <c r="V238" s="582"/>
      <c r="W238" s="581"/>
      <c r="X238" s="430"/>
      <c r="Y238" s="430"/>
      <c r="Z238" s="430"/>
      <c r="AA238" s="430"/>
      <c r="AB238" s="430"/>
      <c r="AC238" s="430"/>
      <c r="AD238" s="430"/>
      <c r="AE238" s="430"/>
      <c r="AF238" s="430"/>
      <c r="AG238" s="430"/>
      <c r="AH238" s="430"/>
      <c r="AI238" s="430"/>
      <c r="AJ238" s="430"/>
      <c r="AK238" s="430"/>
      <c r="AL238" s="430"/>
      <c r="AM238" s="430"/>
      <c r="AN238" s="430"/>
      <c r="AO238" s="430"/>
      <c r="AP238" s="430"/>
      <c r="AQ238" s="430"/>
      <c r="AR238" s="430"/>
      <c r="AS238" s="430"/>
      <c r="AT238" s="430"/>
      <c r="AU238" s="430"/>
      <c r="AV238" s="430"/>
      <c r="AW238" s="430"/>
      <c r="AX238" s="430"/>
      <c r="AY238" s="430"/>
      <c r="AZ238" s="430"/>
      <c r="BA238" s="430"/>
      <c r="BB238" s="430"/>
      <c r="BC238" s="430"/>
      <c r="BD238" s="430"/>
      <c r="BE238" s="430"/>
    </row>
    <row r="239" spans="1:57" ht="15.75" customHeight="1">
      <c r="A239" s="430"/>
      <c r="B239" s="430"/>
      <c r="C239" s="430"/>
      <c r="D239" s="430"/>
      <c r="E239" s="430"/>
      <c r="F239" s="430"/>
      <c r="G239" s="430"/>
      <c r="H239" s="430"/>
      <c r="I239" s="430"/>
      <c r="J239" s="581"/>
      <c r="K239" s="581"/>
      <c r="L239" s="582"/>
      <c r="M239" s="581"/>
      <c r="N239" s="430"/>
      <c r="O239" s="430"/>
      <c r="P239" s="430"/>
      <c r="Q239" s="430"/>
      <c r="R239" s="430"/>
      <c r="S239" s="581"/>
      <c r="T239" s="581"/>
      <c r="U239" s="581"/>
      <c r="V239" s="582"/>
      <c r="W239" s="581"/>
      <c r="X239" s="430"/>
      <c r="Y239" s="430"/>
      <c r="Z239" s="430"/>
      <c r="AA239" s="430"/>
      <c r="AB239" s="430"/>
      <c r="AC239" s="430"/>
      <c r="AD239" s="430"/>
      <c r="AE239" s="430"/>
      <c r="AF239" s="430"/>
      <c r="AG239" s="430"/>
      <c r="AH239" s="430"/>
      <c r="AI239" s="430"/>
      <c r="AJ239" s="430"/>
      <c r="AK239" s="430"/>
      <c r="AL239" s="430"/>
      <c r="AM239" s="430"/>
      <c r="AN239" s="430"/>
      <c r="AO239" s="430"/>
      <c r="AP239" s="430"/>
      <c r="AQ239" s="430"/>
      <c r="AR239" s="430"/>
      <c r="AS239" s="430"/>
      <c r="AT239" s="430"/>
      <c r="AU239" s="430"/>
      <c r="AV239" s="430"/>
      <c r="AW239" s="430"/>
      <c r="AX239" s="430"/>
      <c r="AY239" s="430"/>
      <c r="AZ239" s="430"/>
      <c r="BA239" s="430"/>
      <c r="BB239" s="430"/>
      <c r="BC239" s="430"/>
      <c r="BD239" s="430"/>
      <c r="BE239" s="430"/>
    </row>
    <row r="240" spans="1:57" ht="15.75" customHeight="1">
      <c r="A240" s="430"/>
      <c r="B240" s="430"/>
      <c r="C240" s="430"/>
      <c r="D240" s="430"/>
      <c r="E240" s="430"/>
      <c r="F240" s="430"/>
      <c r="G240" s="430"/>
      <c r="H240" s="430"/>
      <c r="I240" s="430"/>
      <c r="J240" s="581"/>
      <c r="K240" s="581"/>
      <c r="L240" s="582"/>
      <c r="M240" s="581"/>
      <c r="N240" s="430"/>
      <c r="O240" s="430"/>
      <c r="P240" s="430"/>
      <c r="Q240" s="430"/>
      <c r="R240" s="430"/>
      <c r="S240" s="581"/>
      <c r="T240" s="581"/>
      <c r="U240" s="581"/>
      <c r="V240" s="582"/>
      <c r="W240" s="581"/>
      <c r="X240" s="430"/>
      <c r="Y240" s="430"/>
      <c r="Z240" s="430"/>
      <c r="AA240" s="430"/>
      <c r="AB240" s="430"/>
      <c r="AC240" s="430"/>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0"/>
      <c r="AY240" s="430"/>
      <c r="AZ240" s="430"/>
      <c r="BA240" s="430"/>
      <c r="BB240" s="430"/>
      <c r="BC240" s="430"/>
      <c r="BD240" s="430"/>
      <c r="BE240" s="430"/>
    </row>
    <row r="241" spans="1:57" ht="15.75" customHeight="1">
      <c r="A241" s="430"/>
      <c r="B241" s="430"/>
      <c r="C241" s="430"/>
      <c r="D241" s="430"/>
      <c r="E241" s="430"/>
      <c r="F241" s="430"/>
      <c r="G241" s="430"/>
      <c r="H241" s="430"/>
      <c r="I241" s="430"/>
      <c r="J241" s="581"/>
      <c r="K241" s="581"/>
      <c r="L241" s="582"/>
      <c r="M241" s="581"/>
      <c r="N241" s="430"/>
      <c r="O241" s="430"/>
      <c r="P241" s="430"/>
      <c r="Q241" s="430"/>
      <c r="R241" s="430"/>
      <c r="S241" s="581"/>
      <c r="T241" s="581"/>
      <c r="U241" s="581"/>
      <c r="V241" s="582"/>
      <c r="W241" s="581"/>
      <c r="X241" s="430"/>
      <c r="Y241" s="430"/>
      <c r="Z241" s="430"/>
      <c r="AA241" s="430"/>
      <c r="AB241" s="430"/>
      <c r="AC241" s="430"/>
      <c r="AD241" s="430"/>
      <c r="AE241" s="430"/>
      <c r="AF241" s="430"/>
      <c r="AG241" s="430"/>
      <c r="AH241" s="430"/>
      <c r="AI241" s="430"/>
      <c r="AJ241" s="430"/>
      <c r="AK241" s="430"/>
      <c r="AL241" s="430"/>
      <c r="AM241" s="430"/>
      <c r="AN241" s="430"/>
      <c r="AO241" s="430"/>
      <c r="AP241" s="430"/>
      <c r="AQ241" s="430"/>
      <c r="AR241" s="430"/>
      <c r="AS241" s="430"/>
      <c r="AT241" s="430"/>
      <c r="AU241" s="430"/>
      <c r="AV241" s="430"/>
      <c r="AW241" s="430"/>
      <c r="AX241" s="430"/>
      <c r="AY241" s="430"/>
      <c r="AZ241" s="430"/>
      <c r="BA241" s="430"/>
      <c r="BB241" s="430"/>
      <c r="BC241" s="430"/>
      <c r="BD241" s="430"/>
      <c r="BE241" s="430"/>
    </row>
    <row r="242" spans="1:57" ht="15.75" customHeight="1">
      <c r="A242" s="430"/>
      <c r="B242" s="430"/>
      <c r="C242" s="430"/>
      <c r="D242" s="430"/>
      <c r="E242" s="430"/>
      <c r="F242" s="430"/>
      <c r="G242" s="430"/>
      <c r="H242" s="430"/>
      <c r="I242" s="430"/>
      <c r="J242" s="581"/>
      <c r="K242" s="581"/>
      <c r="L242" s="582"/>
      <c r="M242" s="581"/>
      <c r="N242" s="430"/>
      <c r="O242" s="430"/>
      <c r="P242" s="430"/>
      <c r="Q242" s="430"/>
      <c r="R242" s="430"/>
      <c r="S242" s="581"/>
      <c r="T242" s="581"/>
      <c r="U242" s="581"/>
      <c r="V242" s="582"/>
      <c r="W242" s="581"/>
      <c r="X242" s="430"/>
      <c r="Y242" s="430"/>
      <c r="Z242" s="430"/>
      <c r="AA242" s="430"/>
      <c r="AB242" s="430"/>
      <c r="AC242" s="430"/>
      <c r="AD242" s="430"/>
      <c r="AE242" s="430"/>
      <c r="AF242" s="430"/>
      <c r="AG242" s="430"/>
      <c r="AH242" s="430"/>
      <c r="AI242" s="430"/>
      <c r="AJ242" s="430"/>
      <c r="AK242" s="430"/>
      <c r="AL242" s="430"/>
      <c r="AM242" s="430"/>
      <c r="AN242" s="430"/>
      <c r="AO242" s="430"/>
      <c r="AP242" s="430"/>
      <c r="AQ242" s="430"/>
      <c r="AR242" s="430"/>
      <c r="AS242" s="430"/>
      <c r="AT242" s="430"/>
      <c r="AU242" s="430"/>
      <c r="AV242" s="430"/>
      <c r="AW242" s="430"/>
      <c r="AX242" s="430"/>
      <c r="AY242" s="430"/>
      <c r="AZ242" s="430"/>
      <c r="BA242" s="430"/>
      <c r="BB242" s="430"/>
      <c r="BC242" s="430"/>
      <c r="BD242" s="430"/>
      <c r="BE242" s="430"/>
    </row>
    <row r="243" spans="1:57" ht="15.75" customHeight="1">
      <c r="A243" s="430"/>
      <c r="B243" s="430"/>
      <c r="C243" s="430"/>
      <c r="D243" s="430"/>
      <c r="E243" s="430"/>
      <c r="F243" s="430"/>
      <c r="G243" s="430"/>
      <c r="H243" s="430"/>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c r="AF243" s="430"/>
      <c r="AG243" s="430"/>
      <c r="AH243" s="430"/>
      <c r="AI243" s="430"/>
      <c r="AJ243" s="430"/>
      <c r="AK243" s="430"/>
      <c r="AL243" s="430"/>
      <c r="AM243" s="430"/>
      <c r="AN243" s="430"/>
      <c r="AO243" s="430"/>
      <c r="AP243" s="430"/>
      <c r="AQ243" s="430"/>
      <c r="AR243" s="430"/>
      <c r="AS243" s="430"/>
      <c r="AT243" s="430"/>
      <c r="AU243" s="430"/>
      <c r="AV243" s="430"/>
      <c r="AW243" s="430"/>
      <c r="AX243" s="430"/>
      <c r="AY243" s="430"/>
      <c r="AZ243" s="430"/>
      <c r="BA243" s="430"/>
      <c r="BB243" s="430"/>
      <c r="BC243" s="430"/>
      <c r="BD243" s="430"/>
      <c r="BE243" s="430"/>
    </row>
    <row r="244" spans="1:57" ht="15.75" customHeight="1">
      <c r="A244" s="430"/>
      <c r="B244" s="430"/>
      <c r="C244" s="430"/>
      <c r="D244" s="430"/>
      <c r="E244" s="430"/>
      <c r="F244" s="430"/>
      <c r="G244" s="430"/>
      <c r="H244" s="430"/>
      <c r="I244" s="430"/>
      <c r="J244" s="430"/>
      <c r="K244" s="430"/>
      <c r="L244" s="430"/>
      <c r="M244" s="430"/>
      <c r="N244" s="430"/>
      <c r="O244" s="430"/>
      <c r="P244" s="430"/>
      <c r="Q244" s="430"/>
      <c r="R244" s="430"/>
      <c r="S244" s="430"/>
      <c r="T244" s="430"/>
      <c r="U244" s="430"/>
      <c r="V244" s="430"/>
      <c r="W244" s="430"/>
      <c r="X244" s="430"/>
      <c r="Y244" s="430"/>
      <c r="Z244" s="430"/>
      <c r="AA244" s="430"/>
      <c r="AB244" s="430"/>
      <c r="AC244" s="430"/>
      <c r="AD244" s="430"/>
      <c r="AE244" s="430"/>
      <c r="AF244" s="430"/>
      <c r="AG244" s="430"/>
      <c r="AH244" s="430"/>
      <c r="AI244" s="430"/>
      <c r="AJ244" s="430"/>
      <c r="AK244" s="430"/>
      <c r="AL244" s="430"/>
      <c r="AM244" s="430"/>
      <c r="AN244" s="430"/>
      <c r="AO244" s="430"/>
      <c r="AP244" s="430"/>
      <c r="AQ244" s="430"/>
      <c r="AR244" s="430"/>
      <c r="AS244" s="430"/>
      <c r="AT244" s="430"/>
      <c r="AU244" s="430"/>
      <c r="AV244" s="430"/>
      <c r="AW244" s="430"/>
      <c r="AX244" s="430"/>
      <c r="AY244" s="430"/>
      <c r="AZ244" s="430"/>
      <c r="BA244" s="430"/>
      <c r="BB244" s="430"/>
      <c r="BC244" s="430"/>
      <c r="BD244" s="430"/>
      <c r="BE244" s="430"/>
    </row>
    <row r="245" spans="1:57" ht="15.75" customHeight="1">
      <c r="A245" s="430"/>
      <c r="B245" s="430"/>
      <c r="C245" s="430"/>
      <c r="D245" s="430"/>
      <c r="E245" s="430"/>
      <c r="F245" s="430"/>
      <c r="G245" s="430"/>
      <c r="H245" s="430"/>
      <c r="I245" s="430"/>
      <c r="J245" s="430"/>
      <c r="K245" s="430"/>
      <c r="L245" s="430"/>
      <c r="M245" s="430"/>
      <c r="N245" s="430"/>
      <c r="O245" s="430"/>
      <c r="P245" s="430"/>
      <c r="Q245" s="430"/>
      <c r="R245" s="430"/>
      <c r="S245" s="430"/>
      <c r="T245" s="430"/>
      <c r="U245" s="430"/>
      <c r="V245" s="430"/>
      <c r="W245" s="430"/>
      <c r="X245" s="430"/>
      <c r="Y245" s="430"/>
      <c r="Z245" s="430"/>
      <c r="AA245" s="430"/>
      <c r="AB245" s="430"/>
      <c r="AC245" s="430"/>
      <c r="AD245" s="430"/>
      <c r="AE245" s="430"/>
      <c r="AF245" s="430"/>
      <c r="AG245" s="430"/>
      <c r="AH245" s="430"/>
      <c r="AI245" s="430"/>
      <c r="AJ245" s="430"/>
      <c r="AK245" s="430"/>
      <c r="AL245" s="430"/>
      <c r="AM245" s="430"/>
      <c r="AN245" s="430"/>
      <c r="AO245" s="430"/>
      <c r="AP245" s="430"/>
      <c r="AQ245" s="430"/>
      <c r="AR245" s="430"/>
      <c r="AS245" s="430"/>
      <c r="AT245" s="430"/>
      <c r="AU245" s="430"/>
      <c r="AV245" s="430"/>
      <c r="AW245" s="430"/>
      <c r="AX245" s="430"/>
      <c r="AY245" s="430"/>
      <c r="AZ245" s="430"/>
      <c r="BA245" s="430"/>
      <c r="BB245" s="430"/>
      <c r="BC245" s="430"/>
      <c r="BD245" s="430"/>
      <c r="BE245" s="430"/>
    </row>
    <row r="246" spans="1:57" ht="15.75" customHeight="1">
      <c r="A246" s="430"/>
      <c r="B246" s="430"/>
      <c r="C246" s="430"/>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c r="AN246" s="430"/>
      <c r="AO246" s="430"/>
      <c r="AP246" s="430"/>
      <c r="AQ246" s="430"/>
      <c r="AR246" s="430"/>
      <c r="AS246" s="430"/>
      <c r="AT246" s="430"/>
      <c r="AU246" s="430"/>
      <c r="AV246" s="430"/>
      <c r="AW246" s="430"/>
      <c r="AX246" s="430"/>
      <c r="AY246" s="430"/>
      <c r="AZ246" s="430"/>
      <c r="BA246" s="430"/>
      <c r="BB246" s="430"/>
      <c r="BC246" s="430"/>
      <c r="BD246" s="430"/>
      <c r="BE246" s="430"/>
    </row>
    <row r="247" spans="1:57" ht="15.75" customHeight="1">
      <c r="A247" s="430"/>
      <c r="B247" s="430"/>
      <c r="C247" s="430"/>
      <c r="D247" s="430"/>
      <c r="E247" s="430"/>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0"/>
      <c r="AY247" s="430"/>
      <c r="AZ247" s="430"/>
      <c r="BA247" s="430"/>
      <c r="BB247" s="430"/>
      <c r="BC247" s="430"/>
      <c r="BD247" s="430"/>
      <c r="BE247" s="430"/>
    </row>
    <row r="248" spans="1:57" ht="15.75" customHeight="1">
      <c r="A248" s="430"/>
      <c r="B248" s="430"/>
      <c r="C248" s="430"/>
      <c r="D248" s="430"/>
      <c r="E248" s="430"/>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30"/>
      <c r="AY248" s="430"/>
      <c r="AZ248" s="430"/>
      <c r="BA248" s="430"/>
      <c r="BB248" s="430"/>
      <c r="BC248" s="430"/>
      <c r="BD248" s="430"/>
      <c r="BE248" s="430"/>
    </row>
    <row r="249" spans="1:57" ht="15.75" customHeight="1">
      <c r="A249" s="430"/>
      <c r="B249" s="430"/>
      <c r="C249" s="430"/>
      <c r="D249" s="430"/>
      <c r="E249" s="430"/>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0"/>
      <c r="AY249" s="430"/>
      <c r="AZ249" s="430"/>
      <c r="BA249" s="430"/>
      <c r="BB249" s="430"/>
      <c r="BC249" s="430"/>
      <c r="BD249" s="430"/>
      <c r="BE249" s="430"/>
    </row>
    <row r="250" spans="1:57" ht="15.75" customHeight="1">
      <c r="A250" s="430"/>
      <c r="B250" s="430"/>
      <c r="C250" s="430"/>
      <c r="D250" s="430"/>
      <c r="E250" s="430"/>
      <c r="F250" s="430"/>
      <c r="G250" s="430"/>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c r="AN250" s="430"/>
      <c r="AO250" s="430"/>
      <c r="AP250" s="430"/>
      <c r="AQ250" s="430"/>
      <c r="AR250" s="430"/>
      <c r="AS250" s="430"/>
      <c r="AT250" s="430"/>
      <c r="AU250" s="430"/>
      <c r="AV250" s="430"/>
      <c r="AW250" s="430"/>
      <c r="AX250" s="430"/>
      <c r="AY250" s="430"/>
      <c r="AZ250" s="430"/>
      <c r="BA250" s="430"/>
      <c r="BB250" s="430"/>
      <c r="BC250" s="430"/>
      <c r="BD250" s="430"/>
      <c r="BE250" s="430"/>
    </row>
    <row r="251" spans="1:57" ht="15.75" customHeight="1">
      <c r="A251" s="430"/>
      <c r="B251" s="430"/>
      <c r="C251" s="430"/>
      <c r="D251" s="430"/>
      <c r="E251" s="430"/>
      <c r="F251" s="430"/>
      <c r="G251" s="430"/>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c r="AN251" s="430"/>
      <c r="AO251" s="430"/>
      <c r="AP251" s="430"/>
      <c r="AQ251" s="430"/>
      <c r="AR251" s="430"/>
      <c r="AS251" s="430"/>
      <c r="AT251" s="430"/>
      <c r="AU251" s="430"/>
      <c r="AV251" s="430"/>
      <c r="AW251" s="430"/>
      <c r="AX251" s="430"/>
      <c r="AY251" s="430"/>
      <c r="AZ251" s="430"/>
      <c r="BA251" s="430"/>
      <c r="BB251" s="430"/>
      <c r="BC251" s="430"/>
      <c r="BD251" s="430"/>
      <c r="BE251" s="430"/>
    </row>
    <row r="252" spans="1:57" ht="15.75" customHeight="1">
      <c r="A252" s="430"/>
      <c r="B252" s="430"/>
      <c r="C252" s="430"/>
      <c r="D252" s="430"/>
      <c r="E252" s="430"/>
      <c r="F252" s="430"/>
      <c r="G252" s="430"/>
      <c r="H252" s="430"/>
      <c r="I252" s="430"/>
      <c r="J252" s="430"/>
      <c r="K252" s="430"/>
      <c r="L252" s="430"/>
      <c r="M252" s="430"/>
      <c r="N252" s="430"/>
      <c r="O252" s="430"/>
      <c r="P252" s="430"/>
      <c r="Q252" s="430"/>
      <c r="R252" s="430"/>
      <c r="S252" s="430"/>
      <c r="T252" s="430"/>
      <c r="U252" s="430"/>
      <c r="V252" s="430"/>
      <c r="W252" s="430"/>
      <c r="X252" s="430"/>
      <c r="Y252" s="430"/>
      <c r="Z252" s="430"/>
      <c r="AA252" s="430"/>
      <c r="AB252" s="430"/>
      <c r="AC252" s="430"/>
      <c r="AD252" s="430"/>
      <c r="AE252" s="430"/>
      <c r="AF252" s="430"/>
      <c r="AG252" s="430"/>
      <c r="AH252" s="430"/>
      <c r="AI252" s="430"/>
      <c r="AJ252" s="430"/>
      <c r="AK252" s="430"/>
      <c r="AL252" s="430"/>
      <c r="AM252" s="430"/>
      <c r="AN252" s="430"/>
      <c r="AO252" s="430"/>
      <c r="AP252" s="430"/>
      <c r="AQ252" s="430"/>
      <c r="AR252" s="430"/>
      <c r="AS252" s="430"/>
      <c r="AT252" s="430"/>
      <c r="AU252" s="430"/>
      <c r="AV252" s="430"/>
      <c r="AW252" s="430"/>
      <c r="AX252" s="430"/>
      <c r="AY252" s="430"/>
      <c r="AZ252" s="430"/>
      <c r="BA252" s="430"/>
      <c r="BB252" s="430"/>
      <c r="BC252" s="430"/>
      <c r="BD252" s="430"/>
      <c r="BE252" s="430"/>
    </row>
    <row r="253" spans="1:57" ht="15.75" customHeight="1">
      <c r="A253" s="430"/>
      <c r="B253" s="430"/>
      <c r="C253" s="430"/>
      <c r="D253" s="430"/>
      <c r="E253" s="430"/>
      <c r="F253" s="430"/>
      <c r="G253" s="430"/>
      <c r="H253" s="430"/>
      <c r="I253" s="430"/>
      <c r="J253" s="430"/>
      <c r="K253" s="430"/>
      <c r="L253" s="430"/>
      <c r="M253" s="430"/>
      <c r="N253" s="430"/>
      <c r="O253" s="430"/>
      <c r="P253" s="430"/>
      <c r="Q253" s="430"/>
      <c r="R253" s="430"/>
      <c r="S253" s="430"/>
      <c r="T253" s="430"/>
      <c r="U253" s="430"/>
      <c r="V253" s="430"/>
      <c r="W253" s="430"/>
      <c r="X253" s="430"/>
      <c r="Y253" s="430"/>
      <c r="Z253" s="430"/>
      <c r="AA253" s="430"/>
      <c r="AB253" s="430"/>
      <c r="AC253" s="430"/>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0"/>
      <c r="AY253" s="430"/>
      <c r="AZ253" s="430"/>
      <c r="BA253" s="430"/>
      <c r="BB253" s="430"/>
      <c r="BC253" s="430"/>
      <c r="BD253" s="430"/>
      <c r="BE253" s="430"/>
    </row>
    <row r="254" spans="1:57" ht="15.75" customHeight="1">
      <c r="A254" s="430"/>
      <c r="B254" s="430"/>
      <c r="C254" s="430"/>
      <c r="D254" s="430"/>
      <c r="E254" s="430"/>
      <c r="F254" s="430"/>
      <c r="G254" s="430"/>
      <c r="H254" s="430"/>
      <c r="I254" s="430"/>
      <c r="J254" s="430"/>
      <c r="K254" s="430"/>
      <c r="L254" s="430"/>
      <c r="M254" s="430"/>
      <c r="N254" s="430"/>
      <c r="O254" s="430"/>
      <c r="P254" s="430"/>
      <c r="Q254" s="430"/>
      <c r="R254" s="430"/>
      <c r="S254" s="430"/>
      <c r="T254" s="430"/>
      <c r="U254" s="430"/>
      <c r="V254" s="430"/>
      <c r="W254" s="430"/>
      <c r="X254" s="430"/>
      <c r="Y254" s="430"/>
      <c r="Z254" s="430"/>
      <c r="AA254" s="430"/>
      <c r="AB254" s="430"/>
      <c r="AC254" s="430"/>
      <c r="AD254" s="430"/>
      <c r="AE254" s="430"/>
      <c r="AF254" s="430"/>
      <c r="AG254" s="430"/>
      <c r="AH254" s="430"/>
      <c r="AI254" s="430"/>
      <c r="AJ254" s="430"/>
      <c r="AK254" s="430"/>
      <c r="AL254" s="430"/>
      <c r="AM254" s="430"/>
      <c r="AN254" s="430"/>
      <c r="AO254" s="430"/>
      <c r="AP254" s="430"/>
      <c r="AQ254" s="430"/>
      <c r="AR254" s="430"/>
      <c r="AS254" s="430"/>
      <c r="AT254" s="430"/>
      <c r="AU254" s="430"/>
      <c r="AV254" s="430"/>
      <c r="AW254" s="430"/>
      <c r="AX254" s="430"/>
      <c r="AY254" s="430"/>
      <c r="AZ254" s="430"/>
      <c r="BA254" s="430"/>
      <c r="BB254" s="430"/>
      <c r="BC254" s="430"/>
      <c r="BD254" s="430"/>
      <c r="BE254" s="430"/>
    </row>
    <row r="255" spans="1:57" ht="15.75" customHeight="1">
      <c r="A255" s="430"/>
      <c r="B255" s="430"/>
      <c r="C255" s="430"/>
      <c r="D255" s="430"/>
      <c r="E255" s="430"/>
      <c r="F255" s="430"/>
      <c r="G255" s="430"/>
      <c r="H255" s="430"/>
      <c r="I255" s="430"/>
      <c r="J255" s="430"/>
      <c r="K255" s="430"/>
      <c r="L255" s="430"/>
      <c r="M255" s="430"/>
      <c r="N255" s="430"/>
      <c r="O255" s="430"/>
      <c r="P255" s="430"/>
      <c r="Q255" s="430"/>
      <c r="R255" s="430"/>
      <c r="S255" s="430"/>
      <c r="T255" s="430"/>
      <c r="U255" s="430"/>
      <c r="V255" s="430"/>
      <c r="W255" s="430"/>
      <c r="X255" s="430"/>
      <c r="Y255" s="430"/>
      <c r="Z255" s="430"/>
      <c r="AA255" s="430"/>
      <c r="AB255" s="430"/>
      <c r="AC255" s="430"/>
      <c r="AD255" s="430"/>
      <c r="AE255" s="430"/>
      <c r="AF255" s="430"/>
      <c r="AG255" s="430"/>
      <c r="AH255" s="430"/>
      <c r="AI255" s="430"/>
      <c r="AJ255" s="430"/>
      <c r="AK255" s="430"/>
      <c r="AL255" s="430"/>
      <c r="AM255" s="430"/>
      <c r="AN255" s="430"/>
      <c r="AO255" s="430"/>
      <c r="AP255" s="430"/>
      <c r="AQ255" s="430"/>
      <c r="AR255" s="430"/>
      <c r="AS255" s="430"/>
      <c r="AT255" s="430"/>
      <c r="AU255" s="430"/>
      <c r="AV255" s="430"/>
      <c r="AW255" s="430"/>
      <c r="AX255" s="430"/>
      <c r="AY255" s="430"/>
      <c r="AZ255" s="430"/>
      <c r="BA255" s="430"/>
      <c r="BB255" s="430"/>
      <c r="BC255" s="430"/>
      <c r="BD255" s="430"/>
      <c r="BE255" s="430"/>
    </row>
    <row r="256" spans="1:57" ht="15.75" customHeight="1">
      <c r="A256" s="430"/>
      <c r="B256" s="430"/>
      <c r="C256" s="430"/>
      <c r="D256" s="430"/>
      <c r="E256" s="430"/>
      <c r="F256" s="430"/>
      <c r="G256" s="430"/>
      <c r="H256" s="430"/>
      <c r="I256" s="430"/>
      <c r="J256" s="430"/>
      <c r="K256" s="430"/>
      <c r="L256" s="430"/>
      <c r="M256" s="430"/>
      <c r="N256" s="430"/>
      <c r="O256" s="430"/>
      <c r="P256" s="430"/>
      <c r="Q256" s="430"/>
      <c r="R256" s="430"/>
      <c r="S256" s="430"/>
      <c r="T256" s="430"/>
      <c r="U256" s="430"/>
      <c r="V256" s="430"/>
      <c r="W256" s="430"/>
      <c r="X256" s="430"/>
      <c r="Y256" s="430"/>
      <c r="Z256" s="430"/>
      <c r="AA256" s="430"/>
      <c r="AB256" s="430"/>
      <c r="AC256" s="430"/>
      <c r="AD256" s="430"/>
      <c r="AE256" s="430"/>
      <c r="AF256" s="430"/>
      <c r="AG256" s="430"/>
      <c r="AH256" s="430"/>
      <c r="AI256" s="430"/>
      <c r="AJ256" s="430"/>
      <c r="AK256" s="430"/>
      <c r="AL256" s="430"/>
      <c r="AM256" s="430"/>
      <c r="AN256" s="430"/>
      <c r="AO256" s="430"/>
      <c r="AP256" s="430"/>
      <c r="AQ256" s="430"/>
      <c r="AR256" s="430"/>
      <c r="AS256" s="430"/>
      <c r="AT256" s="430"/>
      <c r="AU256" s="430"/>
      <c r="AV256" s="430"/>
      <c r="AW256" s="430"/>
      <c r="AX256" s="430"/>
      <c r="AY256" s="430"/>
      <c r="AZ256" s="430"/>
      <c r="BA256" s="430"/>
      <c r="BB256" s="430"/>
      <c r="BC256" s="430"/>
      <c r="BD256" s="430"/>
      <c r="BE256" s="430"/>
    </row>
    <row r="257" spans="1:57" ht="15.75" customHeight="1">
      <c r="A257" s="430"/>
      <c r="B257" s="430"/>
      <c r="C257" s="430"/>
      <c r="D257" s="430"/>
      <c r="E257" s="430"/>
      <c r="F257" s="430"/>
      <c r="G257" s="430"/>
      <c r="H257" s="430"/>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c r="AF257" s="430"/>
      <c r="AG257" s="430"/>
      <c r="AH257" s="430"/>
      <c r="AI257" s="430"/>
      <c r="AJ257" s="430"/>
      <c r="AK257" s="430"/>
      <c r="AL257" s="430"/>
      <c r="AM257" s="430"/>
      <c r="AN257" s="430"/>
      <c r="AO257" s="430"/>
      <c r="AP257" s="430"/>
      <c r="AQ257" s="430"/>
      <c r="AR257" s="430"/>
      <c r="AS257" s="430"/>
      <c r="AT257" s="430"/>
      <c r="AU257" s="430"/>
      <c r="AV257" s="430"/>
      <c r="AW257" s="430"/>
      <c r="AX257" s="430"/>
      <c r="AY257" s="430"/>
      <c r="AZ257" s="430"/>
      <c r="BA257" s="430"/>
      <c r="BB257" s="430"/>
      <c r="BC257" s="430"/>
      <c r="BD257" s="430"/>
      <c r="BE257" s="430"/>
    </row>
    <row r="258" spans="1:57" ht="15.75" customHeight="1">
      <c r="A258" s="430"/>
      <c r="B258" s="430"/>
      <c r="C258" s="430"/>
      <c r="D258" s="430"/>
      <c r="E258" s="430"/>
      <c r="F258" s="430"/>
      <c r="G258" s="430"/>
      <c r="H258" s="430"/>
      <c r="I258" s="430"/>
      <c r="J258" s="430"/>
      <c r="K258" s="430"/>
      <c r="L258" s="430"/>
      <c r="M258" s="430"/>
      <c r="N258" s="430"/>
      <c r="O258" s="430"/>
      <c r="P258" s="430"/>
      <c r="Q258" s="430"/>
      <c r="R258" s="430"/>
      <c r="S258" s="430"/>
      <c r="T258" s="430"/>
      <c r="U258" s="430"/>
      <c r="V258" s="430"/>
      <c r="W258" s="430"/>
      <c r="X258" s="430"/>
      <c r="Y258" s="430"/>
      <c r="Z258" s="430"/>
      <c r="AA258" s="430"/>
      <c r="AB258" s="430"/>
      <c r="AC258" s="430"/>
      <c r="AD258" s="430"/>
      <c r="AE258" s="430"/>
      <c r="AF258" s="430"/>
      <c r="AG258" s="430"/>
      <c r="AH258" s="430"/>
      <c r="AI258" s="430"/>
      <c r="AJ258" s="430"/>
      <c r="AK258" s="430"/>
      <c r="AL258" s="430"/>
      <c r="AM258" s="430"/>
      <c r="AN258" s="430"/>
      <c r="AO258" s="430"/>
      <c r="AP258" s="430"/>
      <c r="AQ258" s="430"/>
      <c r="AR258" s="430"/>
      <c r="AS258" s="430"/>
      <c r="AT258" s="430"/>
      <c r="AU258" s="430"/>
      <c r="AV258" s="430"/>
      <c r="AW258" s="430"/>
      <c r="AX258" s="430"/>
      <c r="AY258" s="430"/>
      <c r="AZ258" s="430"/>
      <c r="BA258" s="430"/>
      <c r="BB258" s="430"/>
      <c r="BC258" s="430"/>
      <c r="BD258" s="430"/>
      <c r="BE258" s="430"/>
    </row>
    <row r="259" spans="1:57" ht="15.75" customHeight="1">
      <c r="A259" s="430"/>
      <c r="B259" s="430"/>
      <c r="C259" s="430"/>
      <c r="D259" s="430"/>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c r="AN259" s="430"/>
      <c r="AO259" s="430"/>
      <c r="AP259" s="430"/>
      <c r="AQ259" s="430"/>
      <c r="AR259" s="430"/>
      <c r="AS259" s="430"/>
      <c r="AT259" s="430"/>
      <c r="AU259" s="430"/>
      <c r="AV259" s="430"/>
      <c r="AW259" s="430"/>
      <c r="AX259" s="430"/>
      <c r="AY259" s="430"/>
      <c r="AZ259" s="430"/>
      <c r="BA259" s="430"/>
      <c r="BB259" s="430"/>
      <c r="BC259" s="430"/>
      <c r="BD259" s="430"/>
      <c r="BE259" s="430"/>
    </row>
    <row r="260" spans="1:57" ht="15.75" customHeight="1">
      <c r="A260" s="430"/>
      <c r="B260" s="430"/>
      <c r="C260" s="430"/>
      <c r="D260" s="430"/>
      <c r="E260" s="430"/>
      <c r="F260" s="430"/>
      <c r="G260" s="430"/>
      <c r="H260" s="430"/>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c r="AF260" s="430"/>
      <c r="AG260" s="430"/>
      <c r="AH260" s="430"/>
      <c r="AI260" s="430"/>
      <c r="AJ260" s="430"/>
      <c r="AK260" s="430"/>
      <c r="AL260" s="430"/>
      <c r="AM260" s="430"/>
      <c r="AN260" s="430"/>
      <c r="AO260" s="430"/>
      <c r="AP260" s="430"/>
      <c r="AQ260" s="430"/>
      <c r="AR260" s="430"/>
      <c r="AS260" s="430"/>
      <c r="AT260" s="430"/>
      <c r="AU260" s="430"/>
      <c r="AV260" s="430"/>
      <c r="AW260" s="430"/>
      <c r="AX260" s="430"/>
      <c r="AY260" s="430"/>
      <c r="AZ260" s="430"/>
      <c r="BA260" s="430"/>
      <c r="BB260" s="430"/>
      <c r="BC260" s="430"/>
      <c r="BD260" s="430"/>
      <c r="BE260" s="430"/>
    </row>
    <row r="261" spans="1:57" ht="15.75" customHeight="1">
      <c r="A261" s="430"/>
      <c r="B261" s="430"/>
      <c r="C261" s="430"/>
      <c r="D261" s="430"/>
      <c r="E261" s="430"/>
      <c r="F261" s="430"/>
      <c r="G261" s="430"/>
      <c r="H261" s="430"/>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c r="AF261" s="430"/>
      <c r="AG261" s="430"/>
      <c r="AH261" s="430"/>
      <c r="AI261" s="430"/>
      <c r="AJ261" s="430"/>
      <c r="AK261" s="430"/>
      <c r="AL261" s="430"/>
      <c r="AM261" s="430"/>
      <c r="AN261" s="430"/>
      <c r="AO261" s="430"/>
      <c r="AP261" s="430"/>
      <c r="AQ261" s="430"/>
      <c r="AR261" s="430"/>
      <c r="AS261" s="430"/>
      <c r="AT261" s="430"/>
      <c r="AU261" s="430"/>
      <c r="AV261" s="430"/>
      <c r="AW261" s="430"/>
      <c r="AX261" s="430"/>
      <c r="AY261" s="430"/>
      <c r="AZ261" s="430"/>
      <c r="BA261" s="430"/>
      <c r="BB261" s="430"/>
      <c r="BC261" s="430"/>
      <c r="BD261" s="430"/>
      <c r="BE261" s="430"/>
    </row>
    <row r="262" spans="1:57" ht="15.75" customHeight="1">
      <c r="A262" s="430"/>
      <c r="B262" s="430"/>
      <c r="C262" s="430"/>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0"/>
      <c r="Z262" s="430"/>
      <c r="AA262" s="430"/>
      <c r="AB262" s="430"/>
      <c r="AC262" s="430"/>
      <c r="AD262" s="430"/>
      <c r="AE262" s="430"/>
      <c r="AF262" s="430"/>
      <c r="AG262" s="430"/>
      <c r="AH262" s="430"/>
      <c r="AI262" s="430"/>
      <c r="AJ262" s="430"/>
      <c r="AK262" s="430"/>
      <c r="AL262" s="430"/>
      <c r="AM262" s="430"/>
      <c r="AN262" s="430"/>
      <c r="AO262" s="430"/>
      <c r="AP262" s="430"/>
      <c r="AQ262" s="430"/>
      <c r="AR262" s="430"/>
      <c r="AS262" s="430"/>
      <c r="AT262" s="430"/>
      <c r="AU262" s="430"/>
      <c r="AV262" s="430"/>
      <c r="AW262" s="430"/>
      <c r="AX262" s="430"/>
      <c r="AY262" s="430"/>
      <c r="AZ262" s="430"/>
      <c r="BA262" s="430"/>
      <c r="BB262" s="430"/>
      <c r="BC262" s="430"/>
      <c r="BD262" s="430"/>
      <c r="BE262" s="430"/>
    </row>
    <row r="263" spans="1:57" ht="15.75" customHeight="1">
      <c r="A263" s="430"/>
      <c r="B263" s="430"/>
      <c r="C263" s="430"/>
      <c r="D263" s="430"/>
      <c r="E263" s="430"/>
      <c r="F263" s="430"/>
      <c r="G263" s="430"/>
      <c r="H263" s="430"/>
      <c r="I263" s="430"/>
      <c r="J263" s="430"/>
      <c r="K263" s="430"/>
      <c r="L263" s="430"/>
      <c r="M263" s="430"/>
      <c r="N263" s="430"/>
      <c r="O263" s="430"/>
      <c r="P263" s="430"/>
      <c r="Q263" s="430"/>
      <c r="R263" s="430"/>
      <c r="S263" s="430"/>
      <c r="T263" s="430"/>
      <c r="U263" s="430"/>
      <c r="V263" s="430"/>
      <c r="W263" s="430"/>
      <c r="X263" s="430"/>
      <c r="Y263" s="430"/>
      <c r="Z263" s="430"/>
      <c r="AA263" s="430"/>
      <c r="AB263" s="430"/>
      <c r="AC263" s="430"/>
      <c r="AD263" s="430"/>
      <c r="AE263" s="430"/>
      <c r="AF263" s="430"/>
      <c r="AG263" s="430"/>
      <c r="AH263" s="430"/>
      <c r="AI263" s="430"/>
      <c r="AJ263" s="430"/>
      <c r="AK263" s="430"/>
      <c r="AL263" s="430"/>
      <c r="AM263" s="430"/>
      <c r="AN263" s="430"/>
      <c r="AO263" s="430"/>
      <c r="AP263" s="430"/>
      <c r="AQ263" s="430"/>
      <c r="AR263" s="430"/>
      <c r="AS263" s="430"/>
      <c r="AT263" s="430"/>
      <c r="AU263" s="430"/>
      <c r="AV263" s="430"/>
      <c r="AW263" s="430"/>
      <c r="AX263" s="430"/>
      <c r="AY263" s="430"/>
      <c r="AZ263" s="430"/>
      <c r="BA263" s="430"/>
      <c r="BB263" s="430"/>
      <c r="BC263" s="430"/>
      <c r="BD263" s="430"/>
      <c r="BE263" s="430"/>
    </row>
    <row r="264" spans="1:57" ht="15.75" customHeight="1">
      <c r="A264" s="430"/>
      <c r="B264" s="430"/>
      <c r="C264" s="430"/>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c r="AF264" s="430"/>
      <c r="AG264" s="430"/>
      <c r="AH264" s="430"/>
      <c r="AI264" s="430"/>
      <c r="AJ264" s="430"/>
      <c r="AK264" s="430"/>
      <c r="AL264" s="430"/>
      <c r="AM264" s="430"/>
      <c r="AN264" s="430"/>
      <c r="AO264" s="430"/>
      <c r="AP264" s="430"/>
      <c r="AQ264" s="430"/>
      <c r="AR264" s="430"/>
      <c r="AS264" s="430"/>
      <c r="AT264" s="430"/>
      <c r="AU264" s="430"/>
      <c r="AV264" s="430"/>
      <c r="AW264" s="430"/>
      <c r="AX264" s="430"/>
      <c r="AY264" s="430"/>
      <c r="AZ264" s="430"/>
      <c r="BA264" s="430"/>
      <c r="BB264" s="430"/>
      <c r="BC264" s="430"/>
      <c r="BD264" s="430"/>
      <c r="BE264" s="430"/>
    </row>
    <row r="265" spans="1:57" ht="15.75" customHeight="1">
      <c r="A265" s="430"/>
      <c r="B265" s="430"/>
      <c r="C265" s="430"/>
      <c r="D265" s="430"/>
      <c r="E265" s="430"/>
      <c r="F265" s="430"/>
      <c r="G265" s="430"/>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430"/>
      <c r="AL265" s="430"/>
      <c r="AM265" s="430"/>
      <c r="AN265" s="430"/>
      <c r="AO265" s="430"/>
      <c r="AP265" s="430"/>
      <c r="AQ265" s="430"/>
      <c r="AR265" s="430"/>
      <c r="AS265" s="430"/>
      <c r="AT265" s="430"/>
      <c r="AU265" s="430"/>
      <c r="AV265" s="430"/>
      <c r="AW265" s="430"/>
      <c r="AX265" s="430"/>
      <c r="AY265" s="430"/>
      <c r="AZ265" s="430"/>
      <c r="BA265" s="430"/>
      <c r="BB265" s="430"/>
      <c r="BC265" s="430"/>
      <c r="BD265" s="430"/>
      <c r="BE265" s="430"/>
    </row>
    <row r="266" spans="1:57" ht="15.75" customHeight="1">
      <c r="A266" s="430"/>
      <c r="B266" s="430"/>
      <c r="C266" s="430"/>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c r="AF266" s="430"/>
      <c r="AG266" s="430"/>
      <c r="AH266" s="430"/>
      <c r="AI266" s="430"/>
      <c r="AJ266" s="430"/>
      <c r="AK266" s="430"/>
      <c r="AL266" s="430"/>
      <c r="AM266" s="430"/>
      <c r="AN266" s="430"/>
      <c r="AO266" s="430"/>
      <c r="AP266" s="430"/>
      <c r="AQ266" s="430"/>
      <c r="AR266" s="430"/>
      <c r="AS266" s="430"/>
      <c r="AT266" s="430"/>
      <c r="AU266" s="430"/>
      <c r="AV266" s="430"/>
      <c r="AW266" s="430"/>
      <c r="AX266" s="430"/>
      <c r="AY266" s="430"/>
      <c r="AZ266" s="430"/>
      <c r="BA266" s="430"/>
      <c r="BB266" s="430"/>
      <c r="BC266" s="430"/>
      <c r="BD266" s="430"/>
      <c r="BE266" s="430"/>
    </row>
    <row r="267" spans="1:57" ht="15.75" customHeight="1">
      <c r="A267" s="430"/>
      <c r="B267" s="430"/>
      <c r="C267" s="430"/>
      <c r="D267" s="430"/>
      <c r="E267" s="430"/>
      <c r="F267" s="430"/>
      <c r="G267" s="430"/>
      <c r="H267" s="430"/>
      <c r="I267" s="430"/>
      <c r="J267" s="430"/>
      <c r="K267" s="430"/>
      <c r="L267" s="430"/>
      <c r="M267" s="430"/>
      <c r="N267" s="430"/>
      <c r="O267" s="430"/>
      <c r="P267" s="430"/>
      <c r="Q267" s="430"/>
      <c r="R267" s="430"/>
      <c r="S267" s="430"/>
      <c r="T267" s="430"/>
      <c r="U267" s="430"/>
      <c r="V267" s="430"/>
      <c r="W267" s="430"/>
      <c r="X267" s="430"/>
      <c r="Y267" s="430"/>
      <c r="Z267" s="430"/>
      <c r="AA267" s="430"/>
      <c r="AB267" s="430"/>
      <c r="AC267" s="430"/>
      <c r="AD267" s="430"/>
      <c r="AE267" s="430"/>
      <c r="AF267" s="430"/>
      <c r="AG267" s="430"/>
      <c r="AH267" s="430"/>
      <c r="AI267" s="430"/>
      <c r="AJ267" s="430"/>
      <c r="AK267" s="430"/>
      <c r="AL267" s="430"/>
      <c r="AM267" s="430"/>
      <c r="AN267" s="430"/>
      <c r="AO267" s="430"/>
      <c r="AP267" s="430"/>
      <c r="AQ267" s="430"/>
      <c r="AR267" s="430"/>
      <c r="AS267" s="430"/>
      <c r="AT267" s="430"/>
      <c r="AU267" s="430"/>
      <c r="AV267" s="430"/>
      <c r="AW267" s="430"/>
      <c r="AX267" s="430"/>
      <c r="AY267" s="430"/>
      <c r="AZ267" s="430"/>
      <c r="BA267" s="430"/>
      <c r="BB267" s="430"/>
      <c r="BC267" s="430"/>
      <c r="BD267" s="430"/>
      <c r="BE267" s="430"/>
    </row>
    <row r="268" spans="1:57" ht="15.75" customHeight="1">
      <c r="A268" s="430"/>
      <c r="B268" s="430"/>
      <c r="C268" s="430"/>
      <c r="D268" s="430"/>
      <c r="E268" s="430"/>
      <c r="F268" s="430"/>
      <c r="G268" s="430"/>
      <c r="H268" s="430"/>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c r="AN268" s="430"/>
      <c r="AO268" s="430"/>
      <c r="AP268" s="430"/>
      <c r="AQ268" s="430"/>
      <c r="AR268" s="430"/>
      <c r="AS268" s="430"/>
      <c r="AT268" s="430"/>
      <c r="AU268" s="430"/>
      <c r="AV268" s="430"/>
      <c r="AW268" s="430"/>
      <c r="AX268" s="430"/>
      <c r="AY268" s="430"/>
      <c r="AZ268" s="430"/>
      <c r="BA268" s="430"/>
      <c r="BB268" s="430"/>
      <c r="BC268" s="430"/>
      <c r="BD268" s="430"/>
      <c r="BE268" s="430"/>
    </row>
    <row r="269" spans="1:57" ht="15.75" customHeight="1">
      <c r="A269" s="430"/>
      <c r="B269" s="430"/>
      <c r="C269" s="430"/>
      <c r="D269" s="430"/>
      <c r="E269" s="430"/>
      <c r="F269" s="430"/>
      <c r="G269" s="430"/>
      <c r="H269" s="430"/>
      <c r="I269" s="430"/>
      <c r="J269" s="430"/>
      <c r="K269" s="430"/>
      <c r="L269" s="430"/>
      <c r="M269" s="430"/>
      <c r="N269" s="430"/>
      <c r="O269" s="430"/>
      <c r="P269" s="430"/>
      <c r="Q269" s="430"/>
      <c r="R269" s="430"/>
      <c r="S269" s="430"/>
      <c r="T269" s="430"/>
      <c r="U269" s="430"/>
      <c r="V269" s="430"/>
      <c r="W269" s="430"/>
      <c r="X269" s="430"/>
      <c r="Y269" s="430"/>
      <c r="Z269" s="430"/>
      <c r="AA269" s="430"/>
      <c r="AB269" s="430"/>
      <c r="AC269" s="430"/>
      <c r="AD269" s="430"/>
      <c r="AE269" s="430"/>
      <c r="AF269" s="430"/>
      <c r="AG269" s="430"/>
      <c r="AH269" s="430"/>
      <c r="AI269" s="430"/>
      <c r="AJ269" s="430"/>
      <c r="AK269" s="430"/>
      <c r="AL269" s="430"/>
      <c r="AM269" s="430"/>
      <c r="AN269" s="430"/>
      <c r="AO269" s="430"/>
      <c r="AP269" s="430"/>
      <c r="AQ269" s="430"/>
      <c r="AR269" s="430"/>
      <c r="AS269" s="430"/>
      <c r="AT269" s="430"/>
      <c r="AU269" s="430"/>
      <c r="AV269" s="430"/>
      <c r="AW269" s="430"/>
      <c r="AX269" s="430"/>
      <c r="AY269" s="430"/>
      <c r="AZ269" s="430"/>
      <c r="BA269" s="430"/>
      <c r="BB269" s="430"/>
      <c r="BC269" s="430"/>
      <c r="BD269" s="430"/>
      <c r="BE269" s="430"/>
    </row>
    <row r="270" spans="1:57" ht="15.75" customHeight="1">
      <c r="A270" s="430"/>
      <c r="B270" s="430"/>
      <c r="C270" s="430"/>
      <c r="D270" s="430"/>
      <c r="E270" s="430"/>
      <c r="F270" s="430"/>
      <c r="G270" s="430"/>
      <c r="H270" s="430"/>
      <c r="I270" s="430"/>
      <c r="J270" s="430"/>
      <c r="K270" s="430"/>
      <c r="L270" s="430"/>
      <c r="M270" s="430"/>
      <c r="N270" s="430"/>
      <c r="O270" s="430"/>
      <c r="P270" s="430"/>
      <c r="Q270" s="430"/>
      <c r="R270" s="430"/>
      <c r="S270" s="430"/>
      <c r="T270" s="430"/>
      <c r="U270" s="430"/>
      <c r="V270" s="430"/>
      <c r="W270" s="430"/>
      <c r="X270" s="430"/>
      <c r="Y270" s="430"/>
      <c r="Z270" s="430"/>
      <c r="AA270" s="430"/>
      <c r="AB270" s="430"/>
      <c r="AC270" s="430"/>
      <c r="AD270" s="430"/>
      <c r="AE270" s="430"/>
      <c r="AF270" s="430"/>
      <c r="AG270" s="430"/>
      <c r="AH270" s="430"/>
      <c r="AI270" s="430"/>
      <c r="AJ270" s="430"/>
      <c r="AK270" s="430"/>
      <c r="AL270" s="430"/>
      <c r="AM270" s="430"/>
      <c r="AN270" s="430"/>
      <c r="AO270" s="430"/>
      <c r="AP270" s="430"/>
      <c r="AQ270" s="430"/>
      <c r="AR270" s="430"/>
      <c r="AS270" s="430"/>
      <c r="AT270" s="430"/>
      <c r="AU270" s="430"/>
      <c r="AV270" s="430"/>
      <c r="AW270" s="430"/>
      <c r="AX270" s="430"/>
      <c r="AY270" s="430"/>
      <c r="AZ270" s="430"/>
      <c r="BA270" s="430"/>
      <c r="BB270" s="430"/>
      <c r="BC270" s="430"/>
      <c r="BD270" s="430"/>
      <c r="BE270" s="430"/>
    </row>
    <row r="271" spans="1:57" ht="15.75" customHeight="1">
      <c r="A271" s="430"/>
      <c r="B271" s="430"/>
      <c r="C271" s="430"/>
      <c r="D271" s="430"/>
      <c r="E271" s="430"/>
      <c r="F271" s="430"/>
      <c r="G271" s="430"/>
      <c r="H271" s="430"/>
      <c r="I271" s="430"/>
      <c r="J271" s="430"/>
      <c r="K271" s="430"/>
      <c r="L271" s="430"/>
      <c r="M271" s="430"/>
      <c r="N271" s="430"/>
      <c r="O271" s="430"/>
      <c r="P271" s="430"/>
      <c r="Q271" s="430"/>
      <c r="R271" s="430"/>
      <c r="S271" s="430"/>
      <c r="T271" s="430"/>
      <c r="U271" s="430"/>
      <c r="V271" s="430"/>
      <c r="W271" s="430"/>
      <c r="X271" s="430"/>
      <c r="Y271" s="430"/>
      <c r="Z271" s="430"/>
      <c r="AA271" s="430"/>
      <c r="AB271" s="430"/>
      <c r="AC271" s="430"/>
      <c r="AD271" s="430"/>
      <c r="AE271" s="430"/>
      <c r="AF271" s="430"/>
      <c r="AG271" s="430"/>
      <c r="AH271" s="430"/>
      <c r="AI271" s="430"/>
      <c r="AJ271" s="430"/>
      <c r="AK271" s="430"/>
      <c r="AL271" s="430"/>
      <c r="AM271" s="430"/>
      <c r="AN271" s="430"/>
      <c r="AO271" s="430"/>
      <c r="AP271" s="430"/>
      <c r="AQ271" s="430"/>
      <c r="AR271" s="430"/>
      <c r="AS271" s="430"/>
      <c r="AT271" s="430"/>
      <c r="AU271" s="430"/>
      <c r="AV271" s="430"/>
      <c r="AW271" s="430"/>
      <c r="AX271" s="430"/>
      <c r="AY271" s="430"/>
      <c r="AZ271" s="430"/>
      <c r="BA271" s="430"/>
      <c r="BB271" s="430"/>
      <c r="BC271" s="430"/>
      <c r="BD271" s="430"/>
      <c r="BE271" s="430"/>
    </row>
    <row r="272" spans="1:57" ht="15.75" customHeight="1">
      <c r="A272" s="430"/>
      <c r="B272" s="430"/>
      <c r="C272" s="430"/>
      <c r="D272" s="430"/>
      <c r="E272" s="430"/>
      <c r="F272" s="430"/>
      <c r="G272" s="430"/>
      <c r="H272" s="430"/>
      <c r="I272" s="430"/>
      <c r="J272" s="430"/>
      <c r="K272" s="430"/>
      <c r="L272" s="430"/>
      <c r="M272" s="430"/>
      <c r="N272" s="430"/>
      <c r="O272" s="430"/>
      <c r="P272" s="430"/>
      <c r="Q272" s="430"/>
      <c r="R272" s="430"/>
      <c r="S272" s="430"/>
      <c r="T272" s="430"/>
      <c r="U272" s="430"/>
      <c r="V272" s="430"/>
      <c r="W272" s="430"/>
      <c r="X272" s="430"/>
      <c r="Y272" s="430"/>
      <c r="Z272" s="430"/>
      <c r="AA272" s="430"/>
      <c r="AB272" s="430"/>
      <c r="AC272" s="430"/>
      <c r="AD272" s="430"/>
      <c r="AE272" s="430"/>
      <c r="AF272" s="430"/>
      <c r="AG272" s="430"/>
      <c r="AH272" s="430"/>
      <c r="AI272" s="430"/>
      <c r="AJ272" s="430"/>
      <c r="AK272" s="430"/>
      <c r="AL272" s="430"/>
      <c r="AM272" s="430"/>
      <c r="AN272" s="430"/>
      <c r="AO272" s="430"/>
      <c r="AP272" s="430"/>
      <c r="AQ272" s="430"/>
      <c r="AR272" s="430"/>
      <c r="AS272" s="430"/>
      <c r="AT272" s="430"/>
      <c r="AU272" s="430"/>
      <c r="AV272" s="430"/>
      <c r="AW272" s="430"/>
      <c r="AX272" s="430"/>
      <c r="AY272" s="430"/>
      <c r="AZ272" s="430"/>
      <c r="BA272" s="430"/>
      <c r="BB272" s="430"/>
      <c r="BC272" s="430"/>
      <c r="BD272" s="430"/>
      <c r="BE272" s="430"/>
    </row>
    <row r="273" spans="1:57" ht="15.75" customHeight="1">
      <c r="A273" s="430"/>
      <c r="B273" s="430"/>
      <c r="C273" s="430"/>
      <c r="D273" s="430"/>
      <c r="E273" s="430"/>
      <c r="F273" s="430"/>
      <c r="G273" s="430"/>
      <c r="H273" s="430"/>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430"/>
      <c r="AL273" s="430"/>
      <c r="AM273" s="430"/>
      <c r="AN273" s="430"/>
      <c r="AO273" s="430"/>
      <c r="AP273" s="430"/>
      <c r="AQ273" s="430"/>
      <c r="AR273" s="430"/>
      <c r="AS273" s="430"/>
      <c r="AT273" s="430"/>
      <c r="AU273" s="430"/>
      <c r="AV273" s="430"/>
      <c r="AW273" s="430"/>
      <c r="AX273" s="430"/>
      <c r="AY273" s="430"/>
      <c r="AZ273" s="430"/>
      <c r="BA273" s="430"/>
      <c r="BB273" s="430"/>
      <c r="BC273" s="430"/>
      <c r="BD273" s="430"/>
      <c r="BE273" s="430"/>
    </row>
    <row r="274" spans="1:57" ht="15.75" customHeight="1">
      <c r="A274" s="430"/>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0"/>
      <c r="AJ274" s="430"/>
      <c r="AK274" s="430"/>
      <c r="AL274" s="430"/>
      <c r="AM274" s="430"/>
      <c r="AN274" s="430"/>
      <c r="AO274" s="430"/>
      <c r="AP274" s="430"/>
      <c r="AQ274" s="430"/>
      <c r="AR274" s="430"/>
      <c r="AS274" s="430"/>
      <c r="AT274" s="430"/>
      <c r="AU274" s="430"/>
      <c r="AV274" s="430"/>
      <c r="AW274" s="430"/>
      <c r="AX274" s="430"/>
      <c r="AY274" s="430"/>
      <c r="AZ274" s="430"/>
      <c r="BA274" s="430"/>
      <c r="BB274" s="430"/>
      <c r="BC274" s="430"/>
      <c r="BD274" s="430"/>
      <c r="BE274" s="430"/>
    </row>
    <row r="275" spans="1:57" ht="15.75" customHeight="1">
      <c r="A275" s="430"/>
      <c r="B275" s="430"/>
      <c r="C275" s="430"/>
      <c r="D275" s="430"/>
      <c r="E275" s="430"/>
      <c r="F275" s="430"/>
      <c r="G275" s="430"/>
      <c r="H275" s="430"/>
      <c r="I275" s="430"/>
      <c r="J275" s="430"/>
      <c r="K275" s="430"/>
      <c r="L275" s="430"/>
      <c r="M275" s="430"/>
      <c r="N275" s="430"/>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c r="AN275" s="430"/>
      <c r="AO275" s="430"/>
      <c r="AP275" s="430"/>
      <c r="AQ275" s="430"/>
      <c r="AR275" s="430"/>
      <c r="AS275" s="430"/>
      <c r="AT275" s="430"/>
      <c r="AU275" s="430"/>
      <c r="AV275" s="430"/>
      <c r="AW275" s="430"/>
      <c r="AX275" s="430"/>
      <c r="AY275" s="430"/>
      <c r="AZ275" s="430"/>
      <c r="BA275" s="430"/>
      <c r="BB275" s="430"/>
      <c r="BC275" s="430"/>
      <c r="BD275" s="430"/>
      <c r="BE275" s="430"/>
    </row>
    <row r="276" spans="1:57" ht="15.75" customHeight="1">
      <c r="A276" s="430"/>
      <c r="B276" s="430"/>
      <c r="C276" s="430"/>
      <c r="D276" s="430"/>
      <c r="E276" s="430"/>
      <c r="F276" s="430"/>
      <c r="G276" s="430"/>
      <c r="H276" s="430"/>
      <c r="I276" s="430"/>
      <c r="J276" s="430"/>
      <c r="K276" s="430"/>
      <c r="L276" s="430"/>
      <c r="M276" s="430"/>
      <c r="N276" s="430"/>
      <c r="O276" s="430"/>
      <c r="P276" s="430"/>
      <c r="Q276" s="430"/>
      <c r="R276" s="430"/>
      <c r="S276" s="430"/>
      <c r="T276" s="430"/>
      <c r="U276" s="430"/>
      <c r="V276" s="430"/>
      <c r="W276" s="430"/>
      <c r="X276" s="430"/>
      <c r="Y276" s="430"/>
      <c r="Z276" s="430"/>
      <c r="AA276" s="430"/>
      <c r="AB276" s="430"/>
      <c r="AC276" s="430"/>
      <c r="AD276" s="430"/>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430"/>
      <c r="AZ276" s="430"/>
      <c r="BA276" s="430"/>
      <c r="BB276" s="430"/>
      <c r="BC276" s="430"/>
      <c r="BD276" s="430"/>
      <c r="BE276" s="430"/>
    </row>
    <row r="277" spans="1:57" ht="15.75" customHeight="1">
      <c r="A277" s="430"/>
      <c r="B277" s="430"/>
      <c r="C277" s="430"/>
      <c r="D277" s="430"/>
      <c r="E277" s="430"/>
      <c r="F277" s="430"/>
      <c r="G277" s="430"/>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c r="AP277" s="430"/>
      <c r="AQ277" s="430"/>
      <c r="AR277" s="430"/>
      <c r="AS277" s="430"/>
      <c r="AT277" s="430"/>
      <c r="AU277" s="430"/>
      <c r="AV277" s="430"/>
      <c r="AW277" s="430"/>
      <c r="AX277" s="430"/>
      <c r="AY277" s="430"/>
      <c r="AZ277" s="430"/>
      <c r="BA277" s="430"/>
      <c r="BB277" s="430"/>
      <c r="BC277" s="430"/>
      <c r="BD277" s="430"/>
      <c r="BE277" s="430"/>
    </row>
    <row r="278" spans="1:57" ht="15.75" customHeight="1">
      <c r="A278" s="430"/>
      <c r="B278" s="430"/>
      <c r="C278" s="430"/>
      <c r="D278" s="430"/>
      <c r="E278" s="430"/>
      <c r="F278" s="430"/>
      <c r="G278" s="430"/>
      <c r="H278" s="430"/>
      <c r="I278" s="430"/>
      <c r="J278" s="430"/>
      <c r="K278" s="430"/>
      <c r="L278" s="430"/>
      <c r="M278" s="430"/>
      <c r="N278" s="430"/>
      <c r="O278" s="430"/>
      <c r="P278" s="430"/>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c r="AN278" s="430"/>
      <c r="AO278" s="430"/>
      <c r="AP278" s="430"/>
      <c r="AQ278" s="430"/>
      <c r="AR278" s="430"/>
      <c r="AS278" s="430"/>
      <c r="AT278" s="430"/>
      <c r="AU278" s="430"/>
      <c r="AV278" s="430"/>
      <c r="AW278" s="430"/>
      <c r="AX278" s="430"/>
      <c r="AY278" s="430"/>
      <c r="AZ278" s="430"/>
      <c r="BA278" s="430"/>
      <c r="BB278" s="430"/>
      <c r="BC278" s="430"/>
      <c r="BD278" s="430"/>
      <c r="BE278" s="430"/>
    </row>
    <row r="279" spans="1:57" ht="15.75" customHeight="1">
      <c r="A279" s="430"/>
      <c r="B279" s="430"/>
      <c r="C279" s="430"/>
      <c r="D279" s="430"/>
      <c r="E279" s="430"/>
      <c r="F279" s="430"/>
      <c r="G279" s="430"/>
      <c r="H279" s="430"/>
      <c r="I279" s="430"/>
      <c r="J279" s="430"/>
      <c r="K279" s="430"/>
      <c r="L279" s="430"/>
      <c r="M279" s="430"/>
      <c r="N279" s="430"/>
      <c r="O279" s="430"/>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c r="AN279" s="430"/>
      <c r="AO279" s="430"/>
      <c r="AP279" s="430"/>
      <c r="AQ279" s="430"/>
      <c r="AR279" s="430"/>
      <c r="AS279" s="430"/>
      <c r="AT279" s="430"/>
      <c r="AU279" s="430"/>
      <c r="AV279" s="430"/>
      <c r="AW279" s="430"/>
      <c r="AX279" s="430"/>
      <c r="AY279" s="430"/>
      <c r="AZ279" s="430"/>
      <c r="BA279" s="430"/>
      <c r="BB279" s="430"/>
      <c r="BC279" s="430"/>
      <c r="BD279" s="430"/>
      <c r="BE279" s="430"/>
    </row>
    <row r="280" spans="1:57" ht="15.75" customHeight="1">
      <c r="A280" s="430"/>
      <c r="B280" s="430"/>
      <c r="C280" s="430"/>
      <c r="D280" s="430"/>
      <c r="E280" s="430"/>
      <c r="F280" s="430"/>
      <c r="G280" s="430"/>
      <c r="H280" s="430"/>
      <c r="I280" s="430"/>
      <c r="J280" s="430"/>
      <c r="K280" s="430"/>
      <c r="L280" s="430"/>
      <c r="M280" s="430"/>
      <c r="N280" s="430"/>
      <c r="O280" s="430"/>
      <c r="P280" s="430"/>
      <c r="Q280" s="430"/>
      <c r="R280" s="430"/>
      <c r="S280" s="430"/>
      <c r="T280" s="430"/>
      <c r="U280" s="430"/>
      <c r="V280" s="430"/>
      <c r="W280" s="430"/>
      <c r="X280" s="430"/>
      <c r="Y280" s="430"/>
      <c r="Z280" s="430"/>
      <c r="AA280" s="430"/>
      <c r="AB280" s="430"/>
      <c r="AC280" s="430"/>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0"/>
      <c r="AY280" s="430"/>
      <c r="AZ280" s="430"/>
      <c r="BA280" s="430"/>
      <c r="BB280" s="430"/>
      <c r="BC280" s="430"/>
      <c r="BD280" s="430"/>
      <c r="BE280" s="430"/>
    </row>
    <row r="281" spans="1:57" ht="15.75" customHeight="1">
      <c r="A281" s="430"/>
      <c r="B281" s="430"/>
      <c r="C281" s="430"/>
      <c r="D281" s="430"/>
      <c r="E281" s="430"/>
      <c r="F281" s="430"/>
      <c r="G281" s="430"/>
      <c r="H281" s="430"/>
      <c r="I281" s="430"/>
      <c r="J281" s="430"/>
      <c r="K281" s="430"/>
      <c r="L281" s="430"/>
      <c r="M281" s="430"/>
      <c r="N281" s="430"/>
      <c r="O281" s="430"/>
      <c r="P281" s="430"/>
      <c r="Q281" s="430"/>
      <c r="R281" s="430"/>
      <c r="S281" s="430"/>
      <c r="T281" s="430"/>
      <c r="U281" s="430"/>
      <c r="V281" s="430"/>
      <c r="W281" s="430"/>
      <c r="X281" s="430"/>
      <c r="Y281" s="430"/>
      <c r="Z281" s="430"/>
      <c r="AA281" s="430"/>
      <c r="AB281" s="430"/>
      <c r="AC281" s="430"/>
      <c r="AD281" s="430"/>
      <c r="AE281" s="430"/>
      <c r="AF281" s="430"/>
      <c r="AG281" s="430"/>
      <c r="AH281" s="430"/>
      <c r="AI281" s="430"/>
      <c r="AJ281" s="430"/>
      <c r="AK281" s="430"/>
      <c r="AL281" s="430"/>
      <c r="AM281" s="430"/>
      <c r="AN281" s="430"/>
      <c r="AO281" s="430"/>
      <c r="AP281" s="430"/>
      <c r="AQ281" s="430"/>
      <c r="AR281" s="430"/>
      <c r="AS281" s="430"/>
      <c r="AT281" s="430"/>
      <c r="AU281" s="430"/>
      <c r="AV281" s="430"/>
      <c r="AW281" s="430"/>
      <c r="AX281" s="430"/>
      <c r="AY281" s="430"/>
      <c r="AZ281" s="430"/>
      <c r="BA281" s="430"/>
      <c r="BB281" s="430"/>
      <c r="BC281" s="430"/>
      <c r="BD281" s="430"/>
      <c r="BE281" s="430"/>
    </row>
    <row r="282" spans="1:57" ht="15.75" customHeight="1">
      <c r="A282" s="430"/>
      <c r="B282" s="430"/>
      <c r="C282" s="430"/>
      <c r="D282" s="430"/>
      <c r="E282" s="430"/>
      <c r="F282" s="430"/>
      <c r="G282" s="430"/>
      <c r="H282" s="430"/>
      <c r="I282" s="430"/>
      <c r="J282" s="430"/>
      <c r="K282" s="430"/>
      <c r="L282" s="430"/>
      <c r="M282" s="430"/>
      <c r="N282" s="430"/>
      <c r="O282" s="430"/>
      <c r="P282" s="430"/>
      <c r="Q282" s="430"/>
      <c r="R282" s="430"/>
      <c r="S282" s="430"/>
      <c r="T282" s="430"/>
      <c r="U282" s="430"/>
      <c r="V282" s="430"/>
      <c r="W282" s="430"/>
      <c r="X282" s="430"/>
      <c r="Y282" s="430"/>
      <c r="Z282" s="430"/>
      <c r="AA282" s="430"/>
      <c r="AB282" s="430"/>
      <c r="AC282" s="430"/>
      <c r="AD282" s="430"/>
      <c r="AE282" s="430"/>
      <c r="AF282" s="430"/>
      <c r="AG282" s="430"/>
      <c r="AH282" s="430"/>
      <c r="AI282" s="430"/>
      <c r="AJ282" s="430"/>
      <c r="AK282" s="430"/>
      <c r="AL282" s="430"/>
      <c r="AM282" s="430"/>
      <c r="AN282" s="430"/>
      <c r="AO282" s="430"/>
      <c r="AP282" s="430"/>
      <c r="AQ282" s="430"/>
      <c r="AR282" s="430"/>
      <c r="AS282" s="430"/>
      <c r="AT282" s="430"/>
      <c r="AU282" s="430"/>
      <c r="AV282" s="430"/>
      <c r="AW282" s="430"/>
      <c r="AX282" s="430"/>
      <c r="AY282" s="430"/>
      <c r="AZ282" s="430"/>
      <c r="BA282" s="430"/>
      <c r="BB282" s="430"/>
      <c r="BC282" s="430"/>
      <c r="BD282" s="430"/>
      <c r="BE282" s="430"/>
    </row>
    <row r="283" spans="1:57" ht="15.75" customHeight="1">
      <c r="A283" s="430"/>
      <c r="B283" s="430"/>
      <c r="C283" s="430"/>
      <c r="D283" s="430"/>
      <c r="E283" s="430"/>
      <c r="F283" s="430"/>
      <c r="G283" s="430"/>
      <c r="H283" s="430"/>
      <c r="I283" s="430"/>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c r="AG283" s="430"/>
      <c r="AH283" s="430"/>
      <c r="AI283" s="430"/>
      <c r="AJ283" s="430"/>
      <c r="AK283" s="430"/>
      <c r="AL283" s="430"/>
      <c r="AM283" s="430"/>
      <c r="AN283" s="430"/>
      <c r="AO283" s="430"/>
      <c r="AP283" s="430"/>
      <c r="AQ283" s="430"/>
      <c r="AR283" s="430"/>
      <c r="AS283" s="430"/>
      <c r="AT283" s="430"/>
      <c r="AU283" s="430"/>
      <c r="AV283" s="430"/>
      <c r="AW283" s="430"/>
      <c r="AX283" s="430"/>
      <c r="AY283" s="430"/>
      <c r="AZ283" s="430"/>
      <c r="BA283" s="430"/>
      <c r="BB283" s="430"/>
      <c r="BC283" s="430"/>
      <c r="BD283" s="430"/>
      <c r="BE283" s="430"/>
    </row>
    <row r="284" spans="1:57" ht="15.75" customHeight="1">
      <c r="A284" s="430"/>
      <c r="B284" s="430"/>
      <c r="C284" s="430"/>
      <c r="D284" s="430"/>
      <c r="E284" s="430"/>
      <c r="F284" s="430"/>
      <c r="G284" s="430"/>
      <c r="H284" s="430"/>
      <c r="I284" s="430"/>
      <c r="J284" s="430"/>
      <c r="K284" s="430"/>
      <c r="L284" s="430"/>
      <c r="M284" s="430"/>
      <c r="N284" s="430"/>
      <c r="O284" s="430"/>
      <c r="P284" s="430"/>
      <c r="Q284" s="430"/>
      <c r="R284" s="430"/>
      <c r="S284" s="430"/>
      <c r="T284" s="430"/>
      <c r="U284" s="430"/>
      <c r="V284" s="430"/>
      <c r="W284" s="430"/>
      <c r="X284" s="430"/>
      <c r="Y284" s="430"/>
      <c r="Z284" s="430"/>
      <c r="AA284" s="430"/>
      <c r="AB284" s="430"/>
      <c r="AC284" s="430"/>
      <c r="AD284" s="430"/>
      <c r="AE284" s="430"/>
      <c r="AF284" s="430"/>
      <c r="AG284" s="430"/>
      <c r="AH284" s="430"/>
      <c r="AI284" s="430"/>
      <c r="AJ284" s="430"/>
      <c r="AK284" s="430"/>
      <c r="AL284" s="430"/>
      <c r="AM284" s="430"/>
      <c r="AN284" s="430"/>
      <c r="AO284" s="430"/>
      <c r="AP284" s="430"/>
      <c r="AQ284" s="430"/>
      <c r="AR284" s="430"/>
      <c r="AS284" s="430"/>
      <c r="AT284" s="430"/>
      <c r="AU284" s="430"/>
      <c r="AV284" s="430"/>
      <c r="AW284" s="430"/>
      <c r="AX284" s="430"/>
      <c r="AY284" s="430"/>
      <c r="AZ284" s="430"/>
      <c r="BA284" s="430"/>
      <c r="BB284" s="430"/>
      <c r="BC284" s="430"/>
      <c r="BD284" s="430"/>
      <c r="BE284" s="430"/>
    </row>
    <row r="285" spans="1:57" ht="15.75" customHeight="1">
      <c r="A285" s="430"/>
      <c r="B285" s="430"/>
      <c r="C285" s="430"/>
      <c r="D285" s="430"/>
      <c r="E285" s="430"/>
      <c r="F285" s="430"/>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c r="AN285" s="430"/>
      <c r="AO285" s="430"/>
      <c r="AP285" s="430"/>
      <c r="AQ285" s="430"/>
      <c r="AR285" s="430"/>
      <c r="AS285" s="430"/>
      <c r="AT285" s="430"/>
      <c r="AU285" s="430"/>
      <c r="AV285" s="430"/>
      <c r="AW285" s="430"/>
      <c r="AX285" s="430"/>
      <c r="AY285" s="430"/>
      <c r="AZ285" s="430"/>
      <c r="BA285" s="430"/>
      <c r="BB285" s="430"/>
      <c r="BC285" s="430"/>
      <c r="BD285" s="430"/>
      <c r="BE285" s="430"/>
    </row>
    <row r="286" spans="1:57" ht="15.75" customHeight="1">
      <c r="A286" s="430"/>
      <c r="B286" s="430"/>
      <c r="C286" s="430"/>
      <c r="D286" s="430"/>
      <c r="E286" s="430"/>
      <c r="F286" s="430"/>
      <c r="G286" s="430"/>
      <c r="H286" s="430"/>
      <c r="I286" s="430"/>
      <c r="J286" s="430"/>
      <c r="K286" s="430"/>
      <c r="L286" s="430"/>
      <c r="M286" s="430"/>
      <c r="N286" s="430"/>
      <c r="O286" s="430"/>
      <c r="P286" s="430"/>
      <c r="Q286" s="430"/>
      <c r="R286" s="430"/>
      <c r="S286" s="430"/>
      <c r="T286" s="430"/>
      <c r="U286" s="430"/>
      <c r="V286" s="430"/>
      <c r="W286" s="430"/>
      <c r="X286" s="430"/>
      <c r="Y286" s="430"/>
      <c r="Z286" s="430"/>
      <c r="AA286" s="430"/>
      <c r="AB286" s="430"/>
      <c r="AC286" s="430"/>
      <c r="AD286" s="430"/>
      <c r="AE286" s="430"/>
      <c r="AF286" s="430"/>
      <c r="AG286" s="430"/>
      <c r="AH286" s="430"/>
      <c r="AI286" s="430"/>
      <c r="AJ286" s="430"/>
      <c r="AK286" s="430"/>
      <c r="AL286" s="430"/>
      <c r="AM286" s="430"/>
      <c r="AN286" s="430"/>
      <c r="AO286" s="430"/>
      <c r="AP286" s="430"/>
      <c r="AQ286" s="430"/>
      <c r="AR286" s="430"/>
      <c r="AS286" s="430"/>
      <c r="AT286" s="430"/>
      <c r="AU286" s="430"/>
      <c r="AV286" s="430"/>
      <c r="AW286" s="430"/>
      <c r="AX286" s="430"/>
      <c r="AY286" s="430"/>
      <c r="AZ286" s="430"/>
      <c r="BA286" s="430"/>
      <c r="BB286" s="430"/>
      <c r="BC286" s="430"/>
      <c r="BD286" s="430"/>
      <c r="BE286" s="430"/>
    </row>
    <row r="287" spans="1:57" ht="15.75" customHeight="1">
      <c r="A287" s="430"/>
      <c r="B287" s="430"/>
      <c r="C287" s="430"/>
      <c r="D287" s="430"/>
      <c r="E287" s="430"/>
      <c r="F287" s="430"/>
      <c r="G287" s="430"/>
      <c r="H287" s="430"/>
      <c r="I287" s="430"/>
      <c r="J287" s="430"/>
      <c r="K287" s="430"/>
      <c r="L287" s="430"/>
      <c r="M287" s="430"/>
      <c r="N287" s="430"/>
      <c r="O287" s="430"/>
      <c r="P287" s="430"/>
      <c r="Q287" s="430"/>
      <c r="R287" s="430"/>
      <c r="S287" s="430"/>
      <c r="T287" s="430"/>
      <c r="U287" s="430"/>
      <c r="V287" s="430"/>
      <c r="W287" s="430"/>
      <c r="X287" s="430"/>
      <c r="Y287" s="430"/>
      <c r="Z287" s="430"/>
      <c r="AA287" s="430"/>
      <c r="AB287" s="430"/>
      <c r="AC287" s="430"/>
      <c r="AD287" s="430"/>
      <c r="AE287" s="430"/>
      <c r="AF287" s="430"/>
      <c r="AG287" s="430"/>
      <c r="AH287" s="430"/>
      <c r="AI287" s="430"/>
      <c r="AJ287" s="430"/>
      <c r="AK287" s="430"/>
      <c r="AL287" s="430"/>
      <c r="AM287" s="430"/>
      <c r="AN287" s="430"/>
      <c r="AO287" s="430"/>
      <c r="AP287" s="430"/>
      <c r="AQ287" s="430"/>
      <c r="AR287" s="430"/>
      <c r="AS287" s="430"/>
      <c r="AT287" s="430"/>
      <c r="AU287" s="430"/>
      <c r="AV287" s="430"/>
      <c r="AW287" s="430"/>
      <c r="AX287" s="430"/>
      <c r="AY287" s="430"/>
      <c r="AZ287" s="430"/>
      <c r="BA287" s="430"/>
      <c r="BB287" s="430"/>
      <c r="BC287" s="430"/>
      <c r="BD287" s="430"/>
      <c r="BE287" s="430"/>
    </row>
    <row r="288" spans="1:57" ht="15.75" customHeight="1">
      <c r="A288" s="430"/>
      <c r="B288" s="430"/>
      <c r="C288" s="430"/>
      <c r="D288" s="430"/>
      <c r="E288" s="430"/>
      <c r="F288" s="430"/>
      <c r="G288" s="430"/>
      <c r="H288" s="430"/>
      <c r="I288" s="430"/>
      <c r="J288" s="430"/>
      <c r="K288" s="430"/>
      <c r="L288" s="430"/>
      <c r="M288" s="430"/>
      <c r="N288" s="430"/>
      <c r="O288" s="430"/>
      <c r="P288" s="430"/>
      <c r="Q288" s="430"/>
      <c r="R288" s="430"/>
      <c r="S288" s="430"/>
      <c r="T288" s="430"/>
      <c r="U288" s="430"/>
      <c r="V288" s="430"/>
      <c r="W288" s="430"/>
      <c r="X288" s="430"/>
      <c r="Y288" s="430"/>
      <c r="Z288" s="430"/>
      <c r="AA288" s="430"/>
      <c r="AB288" s="430"/>
      <c r="AC288" s="430"/>
      <c r="AD288" s="430"/>
      <c r="AE288" s="430"/>
      <c r="AF288" s="430"/>
      <c r="AG288" s="430"/>
      <c r="AH288" s="430"/>
      <c r="AI288" s="430"/>
      <c r="AJ288" s="430"/>
      <c r="AK288" s="430"/>
      <c r="AL288" s="430"/>
      <c r="AM288" s="430"/>
      <c r="AN288" s="430"/>
      <c r="AO288" s="430"/>
      <c r="AP288" s="430"/>
      <c r="AQ288" s="430"/>
      <c r="AR288" s="430"/>
      <c r="AS288" s="430"/>
      <c r="AT288" s="430"/>
      <c r="AU288" s="430"/>
      <c r="AV288" s="430"/>
      <c r="AW288" s="430"/>
      <c r="AX288" s="430"/>
      <c r="AY288" s="430"/>
      <c r="AZ288" s="430"/>
      <c r="BA288" s="430"/>
      <c r="BB288" s="430"/>
      <c r="BC288" s="430"/>
      <c r="BD288" s="430"/>
      <c r="BE288" s="430"/>
    </row>
    <row r="289" spans="1:57" ht="15.75" customHeight="1">
      <c r="A289" s="430"/>
      <c r="B289" s="430"/>
      <c r="C289" s="430"/>
      <c r="D289" s="430"/>
      <c r="E289" s="430"/>
      <c r="F289" s="430"/>
      <c r="G289" s="430"/>
      <c r="H289" s="430"/>
      <c r="I289" s="430"/>
      <c r="J289" s="430"/>
      <c r="K289" s="430"/>
      <c r="L289" s="430"/>
      <c r="M289" s="430"/>
      <c r="N289" s="430"/>
      <c r="O289" s="430"/>
      <c r="P289" s="430"/>
      <c r="Q289" s="430"/>
      <c r="R289" s="430"/>
      <c r="S289" s="430"/>
      <c r="T289" s="430"/>
      <c r="U289" s="430"/>
      <c r="V289" s="430"/>
      <c r="W289" s="430"/>
      <c r="X289" s="430"/>
      <c r="Y289" s="430"/>
      <c r="Z289" s="430"/>
      <c r="AA289" s="430"/>
      <c r="AB289" s="430"/>
      <c r="AC289" s="430"/>
      <c r="AD289" s="430"/>
      <c r="AE289" s="430"/>
      <c r="AF289" s="430"/>
      <c r="AG289" s="430"/>
      <c r="AH289" s="430"/>
      <c r="AI289" s="430"/>
      <c r="AJ289" s="430"/>
      <c r="AK289" s="430"/>
      <c r="AL289" s="430"/>
      <c r="AM289" s="430"/>
      <c r="AN289" s="430"/>
      <c r="AO289" s="430"/>
      <c r="AP289" s="430"/>
      <c r="AQ289" s="430"/>
      <c r="AR289" s="430"/>
      <c r="AS289" s="430"/>
      <c r="AT289" s="430"/>
      <c r="AU289" s="430"/>
      <c r="AV289" s="430"/>
      <c r="AW289" s="430"/>
      <c r="AX289" s="430"/>
      <c r="AY289" s="430"/>
      <c r="AZ289" s="430"/>
      <c r="BA289" s="430"/>
      <c r="BB289" s="430"/>
      <c r="BC289" s="430"/>
      <c r="BD289" s="430"/>
      <c r="BE289" s="430"/>
    </row>
    <row r="290" spans="1:57" ht="15.75" customHeight="1">
      <c r="A290" s="430"/>
      <c r="B290" s="430"/>
      <c r="C290" s="430"/>
      <c r="D290" s="430"/>
      <c r="E290" s="430"/>
      <c r="F290" s="430"/>
      <c r="G290" s="430"/>
      <c r="H290" s="430"/>
      <c r="I290" s="430"/>
      <c r="J290" s="430"/>
      <c r="K290" s="430"/>
      <c r="L290" s="430"/>
      <c r="M290" s="430"/>
      <c r="N290" s="430"/>
      <c r="O290" s="430"/>
      <c r="P290" s="430"/>
      <c r="Q290" s="430"/>
      <c r="R290" s="430"/>
      <c r="S290" s="430"/>
      <c r="T290" s="430"/>
      <c r="U290" s="430"/>
      <c r="V290" s="430"/>
      <c r="W290" s="430"/>
      <c r="X290" s="430"/>
      <c r="Y290" s="430"/>
      <c r="Z290" s="430"/>
      <c r="AA290" s="430"/>
      <c r="AB290" s="430"/>
      <c r="AC290" s="430"/>
      <c r="AD290" s="430"/>
      <c r="AE290" s="430"/>
      <c r="AF290" s="430"/>
      <c r="AG290" s="430"/>
      <c r="AH290" s="430"/>
      <c r="AI290" s="430"/>
      <c r="AJ290" s="430"/>
      <c r="AK290" s="430"/>
      <c r="AL290" s="430"/>
      <c r="AM290" s="430"/>
      <c r="AN290" s="430"/>
      <c r="AO290" s="430"/>
      <c r="AP290" s="430"/>
      <c r="AQ290" s="430"/>
      <c r="AR290" s="430"/>
      <c r="AS290" s="430"/>
      <c r="AT290" s="430"/>
      <c r="AU290" s="430"/>
      <c r="AV290" s="430"/>
      <c r="AW290" s="430"/>
      <c r="AX290" s="430"/>
      <c r="AY290" s="430"/>
      <c r="AZ290" s="430"/>
      <c r="BA290" s="430"/>
      <c r="BB290" s="430"/>
      <c r="BC290" s="430"/>
      <c r="BD290" s="430"/>
      <c r="BE290" s="430"/>
    </row>
    <row r="291" spans="1:57" ht="15.75" customHeight="1">
      <c r="A291" s="430"/>
      <c r="B291" s="430"/>
      <c r="C291" s="430"/>
      <c r="D291" s="430"/>
      <c r="E291" s="430"/>
      <c r="F291" s="430"/>
      <c r="G291" s="430"/>
      <c r="H291" s="430"/>
      <c r="I291" s="430"/>
      <c r="J291" s="430"/>
      <c r="K291" s="430"/>
      <c r="L291" s="430"/>
      <c r="M291" s="430"/>
      <c r="N291" s="430"/>
      <c r="O291" s="430"/>
      <c r="P291" s="430"/>
      <c r="Q291" s="430"/>
      <c r="R291" s="430"/>
      <c r="S291" s="430"/>
      <c r="T291" s="430"/>
      <c r="U291" s="430"/>
      <c r="V291" s="430"/>
      <c r="W291" s="430"/>
      <c r="X291" s="430"/>
      <c r="Y291" s="430"/>
      <c r="Z291" s="430"/>
      <c r="AA291" s="430"/>
      <c r="AB291" s="430"/>
      <c r="AC291" s="430"/>
      <c r="AD291" s="430"/>
      <c r="AE291" s="430"/>
      <c r="AF291" s="430"/>
      <c r="AG291" s="430"/>
      <c r="AH291" s="430"/>
      <c r="AI291" s="430"/>
      <c r="AJ291" s="430"/>
      <c r="AK291" s="430"/>
      <c r="AL291" s="430"/>
      <c r="AM291" s="430"/>
      <c r="AN291" s="430"/>
      <c r="AO291" s="430"/>
      <c r="AP291" s="430"/>
      <c r="AQ291" s="430"/>
      <c r="AR291" s="430"/>
      <c r="AS291" s="430"/>
      <c r="AT291" s="430"/>
      <c r="AU291" s="430"/>
      <c r="AV291" s="430"/>
      <c r="AW291" s="430"/>
      <c r="AX291" s="430"/>
      <c r="AY291" s="430"/>
      <c r="AZ291" s="430"/>
      <c r="BA291" s="430"/>
      <c r="BB291" s="430"/>
      <c r="BC291" s="430"/>
      <c r="BD291" s="430"/>
      <c r="BE291" s="430"/>
    </row>
    <row r="292" spans="1:57" ht="15.75" customHeight="1">
      <c r="A292" s="430"/>
      <c r="B292" s="430"/>
      <c r="C292" s="430"/>
      <c r="D292" s="430"/>
      <c r="E292" s="430"/>
      <c r="F292" s="430"/>
      <c r="G292" s="430"/>
      <c r="H292" s="430"/>
      <c r="I292" s="430"/>
      <c r="J292" s="430"/>
      <c r="K292" s="430"/>
      <c r="L292" s="430"/>
      <c r="M292" s="430"/>
      <c r="N292" s="430"/>
      <c r="O292" s="430"/>
      <c r="P292" s="430"/>
      <c r="Q292" s="430"/>
      <c r="R292" s="430"/>
      <c r="S292" s="430"/>
      <c r="T292" s="430"/>
      <c r="U292" s="430"/>
      <c r="V292" s="430"/>
      <c r="W292" s="430"/>
      <c r="X292" s="430"/>
      <c r="Y292" s="430"/>
      <c r="Z292" s="430"/>
      <c r="AA292" s="430"/>
      <c r="AB292" s="430"/>
      <c r="AC292" s="430"/>
      <c r="AD292" s="430"/>
      <c r="AE292" s="430"/>
      <c r="AF292" s="430"/>
      <c r="AG292" s="430"/>
      <c r="AH292" s="430"/>
      <c r="AI292" s="430"/>
      <c r="AJ292" s="430"/>
      <c r="AK292" s="430"/>
      <c r="AL292" s="430"/>
      <c r="AM292" s="430"/>
      <c r="AN292" s="430"/>
      <c r="AO292" s="430"/>
      <c r="AP292" s="430"/>
      <c r="AQ292" s="430"/>
      <c r="AR292" s="430"/>
      <c r="AS292" s="430"/>
      <c r="AT292" s="430"/>
      <c r="AU292" s="430"/>
      <c r="AV292" s="430"/>
      <c r="AW292" s="430"/>
      <c r="AX292" s="430"/>
      <c r="AY292" s="430"/>
      <c r="AZ292" s="430"/>
      <c r="BA292" s="430"/>
      <c r="BB292" s="430"/>
      <c r="BC292" s="430"/>
      <c r="BD292" s="430"/>
      <c r="BE292" s="430"/>
    </row>
    <row r="293" spans="1:57" ht="15.75" customHeight="1">
      <c r="A293" s="430"/>
      <c r="B293" s="430"/>
      <c r="C293" s="430"/>
      <c r="D293" s="430"/>
      <c r="E293" s="430"/>
      <c r="F293" s="430"/>
      <c r="G293" s="430"/>
      <c r="H293" s="430"/>
      <c r="I293" s="430"/>
      <c r="J293" s="430"/>
      <c r="K293" s="430"/>
      <c r="L293" s="430"/>
      <c r="M293" s="430"/>
      <c r="N293" s="430"/>
      <c r="O293" s="430"/>
      <c r="P293" s="430"/>
      <c r="Q293" s="430"/>
      <c r="R293" s="430"/>
      <c r="S293" s="430"/>
      <c r="T293" s="430"/>
      <c r="U293" s="430"/>
      <c r="V293" s="430"/>
      <c r="W293" s="430"/>
      <c r="X293" s="430"/>
      <c r="Y293" s="430"/>
      <c r="Z293" s="430"/>
      <c r="AA293" s="430"/>
      <c r="AB293" s="430"/>
      <c r="AC293" s="430"/>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0"/>
      <c r="AY293" s="430"/>
      <c r="AZ293" s="430"/>
      <c r="BA293" s="430"/>
      <c r="BB293" s="430"/>
      <c r="BC293" s="430"/>
      <c r="BD293" s="430"/>
      <c r="BE293" s="430"/>
    </row>
    <row r="294" spans="1:57" ht="15.75" customHeight="1">
      <c r="A294" s="430"/>
      <c r="B294" s="430"/>
      <c r="C294" s="430"/>
      <c r="D294" s="430"/>
      <c r="E294" s="430"/>
      <c r="F294" s="430"/>
      <c r="G294" s="430"/>
      <c r="H294" s="430"/>
      <c r="I294" s="430"/>
      <c r="J294" s="430"/>
      <c r="K294" s="430"/>
      <c r="L294" s="430"/>
      <c r="M294" s="430"/>
      <c r="N294" s="430"/>
      <c r="O294" s="430"/>
      <c r="P294" s="430"/>
      <c r="Q294" s="430"/>
      <c r="R294" s="430"/>
      <c r="S294" s="430"/>
      <c r="T294" s="430"/>
      <c r="U294" s="430"/>
      <c r="V294" s="430"/>
      <c r="W294" s="430"/>
      <c r="X294" s="430"/>
      <c r="Y294" s="430"/>
      <c r="Z294" s="430"/>
      <c r="AA294" s="430"/>
      <c r="AB294" s="430"/>
      <c r="AC294" s="430"/>
      <c r="AD294" s="430"/>
      <c r="AE294" s="430"/>
      <c r="AF294" s="430"/>
      <c r="AG294" s="430"/>
      <c r="AH294" s="430"/>
      <c r="AI294" s="430"/>
      <c r="AJ294" s="430"/>
      <c r="AK294" s="430"/>
      <c r="AL294" s="430"/>
      <c r="AM294" s="430"/>
      <c r="AN294" s="430"/>
      <c r="AO294" s="430"/>
      <c r="AP294" s="430"/>
      <c r="AQ294" s="430"/>
      <c r="AR294" s="430"/>
      <c r="AS294" s="430"/>
      <c r="AT294" s="430"/>
      <c r="AU294" s="430"/>
      <c r="AV294" s="430"/>
      <c r="AW294" s="430"/>
      <c r="AX294" s="430"/>
      <c r="AY294" s="430"/>
      <c r="AZ294" s="430"/>
      <c r="BA294" s="430"/>
      <c r="BB294" s="430"/>
      <c r="BC294" s="430"/>
      <c r="BD294" s="430"/>
      <c r="BE294" s="430"/>
    </row>
    <row r="295" spans="1:57" ht="15.75" customHeight="1">
      <c r="A295" s="430"/>
      <c r="B295" s="430"/>
      <c r="C295" s="430"/>
      <c r="D295" s="430"/>
      <c r="E295" s="430"/>
      <c r="F295" s="430"/>
      <c r="G295" s="430"/>
      <c r="H295" s="430"/>
      <c r="I295" s="430"/>
      <c r="J295" s="430"/>
      <c r="K295" s="430"/>
      <c r="L295" s="430"/>
      <c r="M295" s="430"/>
      <c r="N295" s="430"/>
      <c r="O295" s="430"/>
      <c r="P295" s="430"/>
      <c r="Q295" s="430"/>
      <c r="R295" s="430"/>
      <c r="S295" s="430"/>
      <c r="T295" s="430"/>
      <c r="U295" s="430"/>
      <c r="V295" s="430"/>
      <c r="W295" s="430"/>
      <c r="X295" s="430"/>
      <c r="Y295" s="430"/>
      <c r="Z295" s="430"/>
      <c r="AA295" s="430"/>
      <c r="AB295" s="430"/>
      <c r="AC295" s="430"/>
      <c r="AD295" s="430"/>
      <c r="AE295" s="430"/>
      <c r="AF295" s="430"/>
      <c r="AG295" s="430"/>
      <c r="AH295" s="430"/>
      <c r="AI295" s="430"/>
      <c r="AJ295" s="430"/>
      <c r="AK295" s="430"/>
      <c r="AL295" s="430"/>
      <c r="AM295" s="430"/>
      <c r="AN295" s="430"/>
      <c r="AO295" s="430"/>
      <c r="AP295" s="430"/>
      <c r="AQ295" s="430"/>
      <c r="AR295" s="430"/>
      <c r="AS295" s="430"/>
      <c r="AT295" s="430"/>
      <c r="AU295" s="430"/>
      <c r="AV295" s="430"/>
      <c r="AW295" s="430"/>
      <c r="AX295" s="430"/>
      <c r="AY295" s="430"/>
      <c r="AZ295" s="430"/>
      <c r="BA295" s="430"/>
      <c r="BB295" s="430"/>
      <c r="BC295" s="430"/>
      <c r="BD295" s="430"/>
      <c r="BE295" s="430"/>
    </row>
    <row r="296" spans="1:57" ht="15.75" customHeight="1">
      <c r="A296" s="430"/>
      <c r="B296" s="430"/>
      <c r="C296" s="430"/>
      <c r="D296" s="430"/>
      <c r="E296" s="430"/>
      <c r="F296" s="430"/>
      <c r="G296" s="430"/>
      <c r="H296" s="430"/>
      <c r="I296" s="430"/>
      <c r="J296" s="430"/>
      <c r="K296" s="430"/>
      <c r="L296" s="430"/>
      <c r="M296" s="430"/>
      <c r="N296" s="430"/>
      <c r="O296" s="430"/>
      <c r="P296" s="430"/>
      <c r="Q296" s="430"/>
      <c r="R296" s="430"/>
      <c r="S296" s="430"/>
      <c r="T296" s="430"/>
      <c r="U296" s="430"/>
      <c r="V296" s="430"/>
      <c r="W296" s="430"/>
      <c r="X296" s="430"/>
      <c r="Y296" s="430"/>
      <c r="Z296" s="430"/>
      <c r="AA296" s="430"/>
      <c r="AB296" s="430"/>
      <c r="AC296" s="430"/>
      <c r="AD296" s="430"/>
      <c r="AE296" s="430"/>
      <c r="AF296" s="430"/>
      <c r="AG296" s="430"/>
      <c r="AH296" s="430"/>
      <c r="AI296" s="430"/>
      <c r="AJ296" s="430"/>
      <c r="AK296" s="430"/>
      <c r="AL296" s="430"/>
      <c r="AM296" s="430"/>
      <c r="AN296" s="430"/>
      <c r="AO296" s="430"/>
      <c r="AP296" s="430"/>
      <c r="AQ296" s="430"/>
      <c r="AR296" s="430"/>
      <c r="AS296" s="430"/>
      <c r="AT296" s="430"/>
      <c r="AU296" s="430"/>
      <c r="AV296" s="430"/>
      <c r="AW296" s="430"/>
      <c r="AX296" s="430"/>
      <c r="AY296" s="430"/>
      <c r="AZ296" s="430"/>
      <c r="BA296" s="430"/>
      <c r="BB296" s="430"/>
      <c r="BC296" s="430"/>
      <c r="BD296" s="430"/>
      <c r="BE296" s="430"/>
    </row>
    <row r="297" spans="1:57" ht="15.75" customHeight="1">
      <c r="A297" s="430"/>
      <c r="B297" s="430"/>
      <c r="C297" s="430"/>
      <c r="D297" s="430"/>
      <c r="E297" s="430"/>
      <c r="F297" s="430"/>
      <c r="G297" s="430"/>
      <c r="H297" s="430"/>
      <c r="I297" s="430"/>
      <c r="J297" s="430"/>
      <c r="K297" s="430"/>
      <c r="L297" s="430"/>
      <c r="M297" s="430"/>
      <c r="N297" s="430"/>
      <c r="O297" s="430"/>
      <c r="P297" s="430"/>
      <c r="Q297" s="430"/>
      <c r="R297" s="430"/>
      <c r="S297" s="430"/>
      <c r="T297" s="430"/>
      <c r="U297" s="430"/>
      <c r="V297" s="430"/>
      <c r="W297" s="430"/>
      <c r="X297" s="430"/>
      <c r="Y297" s="430"/>
      <c r="Z297" s="430"/>
      <c r="AA297" s="430"/>
      <c r="AB297" s="430"/>
      <c r="AC297" s="430"/>
      <c r="AD297" s="430"/>
      <c r="AE297" s="430"/>
      <c r="AF297" s="430"/>
      <c r="AG297" s="430"/>
      <c r="AH297" s="430"/>
      <c r="AI297" s="430"/>
      <c r="AJ297" s="430"/>
      <c r="AK297" s="430"/>
      <c r="AL297" s="430"/>
      <c r="AM297" s="430"/>
      <c r="AN297" s="430"/>
      <c r="AO297" s="430"/>
      <c r="AP297" s="430"/>
      <c r="AQ297" s="430"/>
      <c r="AR297" s="430"/>
      <c r="AS297" s="430"/>
      <c r="AT297" s="430"/>
      <c r="AU297" s="430"/>
      <c r="AV297" s="430"/>
      <c r="AW297" s="430"/>
      <c r="AX297" s="430"/>
      <c r="AY297" s="430"/>
      <c r="AZ297" s="430"/>
      <c r="BA297" s="430"/>
      <c r="BB297" s="430"/>
      <c r="BC297" s="430"/>
      <c r="BD297" s="430"/>
      <c r="BE297" s="430"/>
    </row>
    <row r="298" spans="1:57" ht="15.75" customHeight="1">
      <c r="A298" s="430"/>
      <c r="B298" s="430"/>
      <c r="C298" s="430"/>
      <c r="D298" s="430"/>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row>
    <row r="299" spans="1:57" ht="15.75" customHeight="1">
      <c r="A299" s="430"/>
      <c r="B299" s="430"/>
      <c r="C299" s="430"/>
      <c r="D299" s="430"/>
      <c r="E299" s="430"/>
      <c r="F299" s="430"/>
      <c r="G299" s="430"/>
      <c r="H299" s="430"/>
      <c r="I299" s="430"/>
      <c r="J299" s="430"/>
      <c r="K299" s="430"/>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430"/>
      <c r="AL299" s="430"/>
      <c r="AM299" s="430"/>
      <c r="AN299" s="430"/>
      <c r="AO299" s="430"/>
      <c r="AP299" s="430"/>
      <c r="AQ299" s="430"/>
      <c r="AR299" s="430"/>
      <c r="AS299" s="430"/>
      <c r="AT299" s="430"/>
      <c r="AU299" s="430"/>
      <c r="AV299" s="430"/>
      <c r="AW299" s="430"/>
      <c r="AX299" s="430"/>
      <c r="AY299" s="430"/>
      <c r="AZ299" s="430"/>
      <c r="BA299" s="430"/>
      <c r="BB299" s="430"/>
      <c r="BC299" s="430"/>
      <c r="BD299" s="430"/>
      <c r="BE299" s="430"/>
    </row>
    <row r="300" spans="1:57" ht="15.75" customHeight="1">
      <c r="A300" s="430"/>
      <c r="B300" s="430"/>
      <c r="C300" s="430"/>
      <c r="D300" s="430"/>
      <c r="E300" s="430"/>
      <c r="F300" s="430"/>
      <c r="G300" s="430"/>
      <c r="H300" s="430"/>
      <c r="I300" s="430"/>
      <c r="J300" s="430"/>
      <c r="K300" s="430"/>
      <c r="L300" s="430"/>
      <c r="M300" s="430"/>
      <c r="N300" s="430"/>
      <c r="O300" s="430"/>
      <c r="P300" s="430"/>
      <c r="Q300" s="430"/>
      <c r="R300" s="430"/>
      <c r="S300" s="430"/>
      <c r="T300" s="430"/>
      <c r="U300" s="430"/>
      <c r="V300" s="430"/>
      <c r="W300" s="430"/>
      <c r="X300" s="430"/>
      <c r="Y300" s="430"/>
      <c r="Z300" s="430"/>
      <c r="AA300" s="430"/>
      <c r="AB300" s="430"/>
      <c r="AC300" s="430"/>
      <c r="AD300" s="430"/>
      <c r="AE300" s="430"/>
      <c r="AF300" s="430"/>
      <c r="AG300" s="430"/>
      <c r="AH300" s="430"/>
      <c r="AI300" s="430"/>
      <c r="AJ300" s="430"/>
      <c r="AK300" s="430"/>
      <c r="AL300" s="430"/>
      <c r="AM300" s="430"/>
      <c r="AN300" s="430"/>
      <c r="AO300" s="430"/>
      <c r="AP300" s="430"/>
      <c r="AQ300" s="430"/>
      <c r="AR300" s="430"/>
      <c r="AS300" s="430"/>
      <c r="AT300" s="430"/>
      <c r="AU300" s="430"/>
      <c r="AV300" s="430"/>
      <c r="AW300" s="430"/>
      <c r="AX300" s="430"/>
      <c r="AY300" s="430"/>
      <c r="AZ300" s="430"/>
      <c r="BA300" s="430"/>
      <c r="BB300" s="430"/>
      <c r="BC300" s="430"/>
      <c r="BD300" s="430"/>
      <c r="BE300" s="430"/>
    </row>
    <row r="301" spans="1:57" ht="15.75" customHeight="1">
      <c r="A301" s="430"/>
      <c r="B301" s="430"/>
      <c r="C301" s="430"/>
      <c r="D301" s="430"/>
      <c r="E301" s="430"/>
      <c r="F301" s="430"/>
      <c r="G301" s="430"/>
      <c r="H301" s="430"/>
      <c r="I301" s="430"/>
      <c r="J301" s="430"/>
      <c r="K301" s="430"/>
      <c r="L301" s="430"/>
      <c r="M301" s="430"/>
      <c r="N301" s="430"/>
      <c r="O301" s="430"/>
      <c r="P301" s="430"/>
      <c r="Q301" s="430"/>
      <c r="R301" s="430"/>
      <c r="S301" s="430"/>
      <c r="T301" s="430"/>
      <c r="U301" s="430"/>
      <c r="V301" s="430"/>
      <c r="W301" s="430"/>
      <c r="X301" s="430"/>
      <c r="Y301" s="430"/>
      <c r="Z301" s="430"/>
      <c r="AA301" s="430"/>
      <c r="AB301" s="430"/>
      <c r="AC301" s="430"/>
      <c r="AD301" s="430"/>
      <c r="AE301" s="430"/>
      <c r="AF301" s="430"/>
      <c r="AG301" s="430"/>
      <c r="AH301" s="430"/>
      <c r="AI301" s="430"/>
      <c r="AJ301" s="430"/>
      <c r="AK301" s="430"/>
      <c r="AL301" s="430"/>
      <c r="AM301" s="430"/>
      <c r="AN301" s="430"/>
      <c r="AO301" s="430"/>
      <c r="AP301" s="430"/>
      <c r="AQ301" s="430"/>
      <c r="AR301" s="430"/>
      <c r="AS301" s="430"/>
      <c r="AT301" s="430"/>
      <c r="AU301" s="430"/>
      <c r="AV301" s="430"/>
      <c r="AW301" s="430"/>
      <c r="AX301" s="430"/>
      <c r="AY301" s="430"/>
      <c r="AZ301" s="430"/>
      <c r="BA301" s="430"/>
      <c r="BB301" s="430"/>
      <c r="BC301" s="430"/>
      <c r="BD301" s="430"/>
      <c r="BE301" s="430"/>
    </row>
    <row r="302" spans="1:57" ht="15.75" customHeight="1">
      <c r="A302" s="430"/>
      <c r="B302" s="430"/>
      <c r="C302" s="430"/>
      <c r="D302" s="430"/>
      <c r="E302" s="430"/>
      <c r="F302" s="430"/>
      <c r="G302" s="430"/>
      <c r="H302" s="430"/>
      <c r="I302" s="430"/>
      <c r="J302" s="430"/>
      <c r="K302" s="430"/>
      <c r="L302" s="430"/>
      <c r="M302" s="430"/>
      <c r="N302" s="430"/>
      <c r="O302" s="430"/>
      <c r="P302" s="430"/>
      <c r="Q302" s="430"/>
      <c r="R302" s="430"/>
      <c r="S302" s="430"/>
      <c r="T302" s="430"/>
      <c r="U302" s="430"/>
      <c r="V302" s="430"/>
      <c r="W302" s="430"/>
      <c r="X302" s="430"/>
      <c r="Y302" s="430"/>
      <c r="Z302" s="430"/>
      <c r="AA302" s="430"/>
      <c r="AB302" s="430"/>
      <c r="AC302" s="430"/>
      <c r="AD302" s="430"/>
      <c r="AE302" s="430"/>
      <c r="AF302" s="430"/>
      <c r="AG302" s="430"/>
      <c r="AH302" s="430"/>
      <c r="AI302" s="430"/>
      <c r="AJ302" s="430"/>
      <c r="AK302" s="430"/>
      <c r="AL302" s="430"/>
      <c r="AM302" s="430"/>
      <c r="AN302" s="430"/>
      <c r="AO302" s="430"/>
      <c r="AP302" s="430"/>
      <c r="AQ302" s="430"/>
      <c r="AR302" s="430"/>
      <c r="AS302" s="430"/>
      <c r="AT302" s="430"/>
      <c r="AU302" s="430"/>
      <c r="AV302" s="430"/>
      <c r="AW302" s="430"/>
      <c r="AX302" s="430"/>
      <c r="AY302" s="430"/>
      <c r="AZ302" s="430"/>
      <c r="BA302" s="430"/>
      <c r="BB302" s="430"/>
      <c r="BC302" s="430"/>
      <c r="BD302" s="430"/>
      <c r="BE302" s="430"/>
    </row>
    <row r="303" spans="1:57" ht="15.75" customHeight="1">
      <c r="A303" s="430"/>
      <c r="B303" s="430"/>
      <c r="C303" s="430"/>
      <c r="D303" s="430"/>
      <c r="E303" s="430"/>
      <c r="F303" s="430"/>
      <c r="G303" s="430"/>
      <c r="H303" s="430"/>
      <c r="I303" s="430"/>
      <c r="J303" s="430"/>
      <c r="K303" s="430"/>
      <c r="L303" s="430"/>
      <c r="M303" s="430"/>
      <c r="N303" s="430"/>
      <c r="O303" s="430"/>
      <c r="P303" s="430"/>
      <c r="Q303" s="430"/>
      <c r="R303" s="430"/>
      <c r="S303" s="430"/>
      <c r="T303" s="430"/>
      <c r="U303" s="430"/>
      <c r="V303" s="430"/>
      <c r="W303" s="430"/>
      <c r="X303" s="430"/>
      <c r="Y303" s="430"/>
      <c r="Z303" s="430"/>
      <c r="AA303" s="430"/>
      <c r="AB303" s="430"/>
      <c r="AC303" s="430"/>
      <c r="AD303" s="430"/>
      <c r="AE303" s="430"/>
      <c r="AF303" s="430"/>
      <c r="AG303" s="430"/>
      <c r="AH303" s="430"/>
      <c r="AI303" s="430"/>
      <c r="AJ303" s="430"/>
      <c r="AK303" s="430"/>
      <c r="AL303" s="430"/>
      <c r="AM303" s="430"/>
      <c r="AN303" s="430"/>
      <c r="AO303" s="430"/>
      <c r="AP303" s="430"/>
      <c r="AQ303" s="430"/>
      <c r="AR303" s="430"/>
      <c r="AS303" s="430"/>
      <c r="AT303" s="430"/>
      <c r="AU303" s="430"/>
      <c r="AV303" s="430"/>
      <c r="AW303" s="430"/>
      <c r="AX303" s="430"/>
      <c r="AY303" s="430"/>
      <c r="AZ303" s="430"/>
      <c r="BA303" s="430"/>
      <c r="BB303" s="430"/>
      <c r="BC303" s="430"/>
      <c r="BD303" s="430"/>
      <c r="BE303" s="430"/>
    </row>
    <row r="304" spans="1:57" ht="15.75" customHeight="1">
      <c r="A304" s="430"/>
      <c r="B304" s="430"/>
      <c r="C304" s="430"/>
      <c r="D304" s="430"/>
      <c r="E304" s="430"/>
      <c r="F304" s="430"/>
      <c r="G304" s="430"/>
      <c r="H304" s="430"/>
      <c r="I304" s="430"/>
      <c r="J304" s="430"/>
      <c r="K304" s="430"/>
      <c r="L304" s="430"/>
      <c r="M304" s="430"/>
      <c r="N304" s="430"/>
      <c r="O304" s="430"/>
      <c r="P304" s="430"/>
      <c r="Q304" s="430"/>
      <c r="R304" s="430"/>
      <c r="S304" s="430"/>
      <c r="T304" s="430"/>
      <c r="U304" s="430"/>
      <c r="V304" s="430"/>
      <c r="W304" s="430"/>
      <c r="X304" s="430"/>
      <c r="Y304" s="430"/>
      <c r="Z304" s="430"/>
      <c r="AA304" s="430"/>
      <c r="AB304" s="430"/>
      <c r="AC304" s="430"/>
      <c r="AD304" s="430"/>
      <c r="AE304" s="430"/>
      <c r="AF304" s="430"/>
      <c r="AG304" s="430"/>
      <c r="AH304" s="430"/>
      <c r="AI304" s="430"/>
      <c r="AJ304" s="430"/>
      <c r="AK304" s="430"/>
      <c r="AL304" s="430"/>
      <c r="AM304" s="430"/>
      <c r="AN304" s="430"/>
      <c r="AO304" s="430"/>
      <c r="AP304" s="430"/>
      <c r="AQ304" s="430"/>
      <c r="AR304" s="430"/>
      <c r="AS304" s="430"/>
      <c r="AT304" s="430"/>
      <c r="AU304" s="430"/>
      <c r="AV304" s="430"/>
      <c r="AW304" s="430"/>
      <c r="AX304" s="430"/>
      <c r="AY304" s="430"/>
      <c r="AZ304" s="430"/>
      <c r="BA304" s="430"/>
      <c r="BB304" s="430"/>
      <c r="BC304" s="430"/>
      <c r="BD304" s="430"/>
      <c r="BE304" s="430"/>
    </row>
    <row r="305" spans="1:57" ht="15.75" customHeight="1">
      <c r="A305" s="430"/>
      <c r="B305" s="430"/>
      <c r="C305" s="430"/>
      <c r="D305" s="430"/>
      <c r="E305" s="430"/>
      <c r="F305" s="430"/>
      <c r="G305" s="430"/>
      <c r="H305" s="430"/>
      <c r="I305" s="430"/>
      <c r="J305" s="430"/>
      <c r="K305" s="430"/>
      <c r="L305" s="430"/>
      <c r="M305" s="430"/>
      <c r="N305" s="430"/>
      <c r="O305" s="430"/>
      <c r="P305" s="430"/>
      <c r="Q305" s="430"/>
      <c r="R305" s="430"/>
      <c r="S305" s="430"/>
      <c r="T305" s="430"/>
      <c r="U305" s="430"/>
      <c r="V305" s="430"/>
      <c r="W305" s="430"/>
      <c r="X305" s="430"/>
      <c r="Y305" s="430"/>
      <c r="Z305" s="430"/>
      <c r="AA305" s="430"/>
      <c r="AB305" s="430"/>
      <c r="AC305" s="430"/>
      <c r="AD305" s="430"/>
      <c r="AE305" s="430"/>
      <c r="AF305" s="430"/>
      <c r="AG305" s="430"/>
      <c r="AH305" s="430"/>
      <c r="AI305" s="430"/>
      <c r="AJ305" s="430"/>
      <c r="AK305" s="430"/>
      <c r="AL305" s="430"/>
      <c r="AM305" s="430"/>
      <c r="AN305" s="430"/>
      <c r="AO305" s="430"/>
      <c r="AP305" s="430"/>
      <c r="AQ305" s="430"/>
      <c r="AR305" s="430"/>
      <c r="AS305" s="430"/>
      <c r="AT305" s="430"/>
      <c r="AU305" s="430"/>
      <c r="AV305" s="430"/>
      <c r="AW305" s="430"/>
      <c r="AX305" s="430"/>
      <c r="AY305" s="430"/>
      <c r="AZ305" s="430"/>
      <c r="BA305" s="430"/>
      <c r="BB305" s="430"/>
      <c r="BC305" s="430"/>
      <c r="BD305" s="430"/>
      <c r="BE305" s="430"/>
    </row>
    <row r="306" spans="1:57" ht="15.75" customHeight="1">
      <c r="A306" s="430"/>
      <c r="B306" s="430"/>
      <c r="C306" s="430"/>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0"/>
      <c r="Z306" s="430"/>
      <c r="AA306" s="430"/>
      <c r="AB306" s="430"/>
      <c r="AC306" s="430"/>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0"/>
      <c r="AY306" s="430"/>
      <c r="AZ306" s="430"/>
      <c r="BA306" s="430"/>
      <c r="BB306" s="430"/>
      <c r="BC306" s="430"/>
      <c r="BD306" s="430"/>
      <c r="BE306" s="430"/>
    </row>
    <row r="307" spans="1:57" ht="15.75" customHeight="1">
      <c r="A307" s="430"/>
      <c r="B307" s="430"/>
      <c r="C307" s="430"/>
      <c r="D307" s="430"/>
      <c r="E307" s="430"/>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0"/>
      <c r="AY307" s="430"/>
      <c r="AZ307" s="430"/>
      <c r="BA307" s="430"/>
      <c r="BB307" s="430"/>
      <c r="BC307" s="430"/>
      <c r="BD307" s="430"/>
      <c r="BE307" s="430"/>
    </row>
    <row r="308" spans="1:57" ht="15.75" customHeight="1">
      <c r="A308" s="430"/>
      <c r="B308" s="430"/>
      <c r="C308" s="430"/>
      <c r="D308" s="430"/>
      <c r="E308" s="430"/>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30"/>
      <c r="AY308" s="430"/>
      <c r="AZ308" s="430"/>
      <c r="BA308" s="430"/>
      <c r="BB308" s="430"/>
      <c r="BC308" s="430"/>
      <c r="BD308" s="430"/>
      <c r="BE308" s="430"/>
    </row>
    <row r="309" spans="1:57" ht="15.75" customHeight="1">
      <c r="A309" s="430"/>
      <c r="B309" s="430"/>
      <c r="C309" s="430"/>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0"/>
      <c r="Z309" s="430"/>
      <c r="AA309" s="430"/>
      <c r="AB309" s="430"/>
      <c r="AC309" s="430"/>
      <c r="AD309" s="430"/>
      <c r="AE309" s="430"/>
      <c r="AF309" s="430"/>
      <c r="AG309" s="430"/>
      <c r="AH309" s="430"/>
      <c r="AI309" s="430"/>
      <c r="AJ309" s="430"/>
      <c r="AK309" s="430"/>
      <c r="AL309" s="430"/>
      <c r="AM309" s="430"/>
      <c r="AN309" s="430"/>
      <c r="AO309" s="430"/>
      <c r="AP309" s="430"/>
      <c r="AQ309" s="430"/>
      <c r="AR309" s="430"/>
      <c r="AS309" s="430"/>
      <c r="AT309" s="430"/>
      <c r="AU309" s="430"/>
      <c r="AV309" s="430"/>
      <c r="AW309" s="430"/>
      <c r="AX309" s="430"/>
      <c r="AY309" s="430"/>
      <c r="AZ309" s="430"/>
      <c r="BA309" s="430"/>
      <c r="BB309" s="430"/>
      <c r="BC309" s="430"/>
      <c r="BD309" s="430"/>
      <c r="BE309" s="430"/>
    </row>
    <row r="310" spans="1:57" ht="15.75" customHeight="1">
      <c r="A310" s="430"/>
      <c r="B310" s="430"/>
      <c r="C310" s="430"/>
      <c r="D310" s="430"/>
      <c r="E310" s="430"/>
      <c r="F310" s="430"/>
      <c r="G310" s="430"/>
      <c r="H310" s="430"/>
      <c r="I310" s="430"/>
      <c r="J310" s="430"/>
      <c r="K310" s="430"/>
      <c r="L310" s="430"/>
      <c r="M310" s="430"/>
      <c r="N310" s="430"/>
      <c r="O310" s="430"/>
      <c r="P310" s="430"/>
      <c r="Q310" s="430"/>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c r="AN310" s="430"/>
      <c r="AO310" s="430"/>
      <c r="AP310" s="430"/>
      <c r="AQ310" s="430"/>
      <c r="AR310" s="430"/>
      <c r="AS310" s="430"/>
      <c r="AT310" s="430"/>
      <c r="AU310" s="430"/>
      <c r="AV310" s="430"/>
      <c r="AW310" s="430"/>
      <c r="AX310" s="430"/>
      <c r="AY310" s="430"/>
      <c r="AZ310" s="430"/>
      <c r="BA310" s="430"/>
      <c r="BB310" s="430"/>
      <c r="BC310" s="430"/>
      <c r="BD310" s="430"/>
      <c r="BE310" s="430"/>
    </row>
    <row r="311" spans="1:57" ht="15.75" customHeight="1">
      <c r="A311" s="430"/>
      <c r="B311" s="430"/>
      <c r="C311" s="430"/>
      <c r="D311" s="430"/>
      <c r="E311" s="430"/>
      <c r="F311" s="430"/>
      <c r="G311" s="430"/>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c r="AU311" s="430"/>
      <c r="AV311" s="430"/>
      <c r="AW311" s="430"/>
      <c r="AX311" s="430"/>
      <c r="AY311" s="430"/>
      <c r="AZ311" s="430"/>
      <c r="BA311" s="430"/>
      <c r="BB311" s="430"/>
      <c r="BC311" s="430"/>
      <c r="BD311" s="430"/>
      <c r="BE311" s="430"/>
    </row>
    <row r="312" spans="1:57" ht="15.75" customHeight="1">
      <c r="A312" s="430"/>
      <c r="B312" s="430"/>
      <c r="C312" s="430"/>
      <c r="D312" s="430"/>
      <c r="E312" s="430"/>
      <c r="F312" s="430"/>
      <c r="G312" s="430"/>
      <c r="H312" s="430"/>
      <c r="I312" s="430"/>
      <c r="J312" s="430"/>
      <c r="K312" s="430"/>
      <c r="L312" s="430"/>
      <c r="M312" s="430"/>
      <c r="N312" s="430"/>
      <c r="O312" s="430"/>
      <c r="P312" s="430"/>
      <c r="Q312" s="430"/>
      <c r="R312" s="430"/>
      <c r="S312" s="430"/>
      <c r="T312" s="430"/>
      <c r="U312" s="430"/>
      <c r="V312" s="430"/>
      <c r="W312" s="430"/>
      <c r="X312" s="430"/>
      <c r="Y312" s="430"/>
      <c r="Z312" s="430"/>
      <c r="AA312" s="430"/>
      <c r="AB312" s="430"/>
      <c r="AC312" s="430"/>
      <c r="AD312" s="430"/>
      <c r="AE312" s="430"/>
      <c r="AF312" s="430"/>
      <c r="AG312" s="430"/>
      <c r="AH312" s="430"/>
      <c r="AI312" s="430"/>
      <c r="AJ312" s="430"/>
      <c r="AK312" s="430"/>
      <c r="AL312" s="430"/>
      <c r="AM312" s="430"/>
      <c r="AN312" s="430"/>
      <c r="AO312" s="430"/>
      <c r="AP312" s="430"/>
      <c r="AQ312" s="430"/>
      <c r="AR312" s="430"/>
      <c r="AS312" s="430"/>
      <c r="AT312" s="430"/>
      <c r="AU312" s="430"/>
      <c r="AV312" s="430"/>
      <c r="AW312" s="430"/>
      <c r="AX312" s="430"/>
      <c r="AY312" s="430"/>
      <c r="AZ312" s="430"/>
      <c r="BA312" s="430"/>
      <c r="BB312" s="430"/>
      <c r="BC312" s="430"/>
      <c r="BD312" s="430"/>
      <c r="BE312" s="430"/>
    </row>
    <row r="313" spans="1:57" ht="15.75" customHeight="1">
      <c r="A313" s="430"/>
      <c r="B313" s="430"/>
      <c r="C313" s="430"/>
      <c r="D313" s="430"/>
      <c r="E313" s="430"/>
      <c r="F313" s="430"/>
      <c r="G313" s="430"/>
      <c r="H313" s="430"/>
      <c r="I313" s="430"/>
      <c r="J313" s="430"/>
      <c r="K313" s="430"/>
      <c r="L313" s="430"/>
      <c r="M313" s="430"/>
      <c r="N313" s="430"/>
      <c r="O313" s="430"/>
      <c r="P313" s="430"/>
      <c r="Q313" s="430"/>
      <c r="R313" s="430"/>
      <c r="S313" s="430"/>
      <c r="T313" s="430"/>
      <c r="U313" s="430"/>
      <c r="V313" s="430"/>
      <c r="W313" s="430"/>
      <c r="X313" s="430"/>
      <c r="Y313" s="430"/>
      <c r="Z313" s="430"/>
      <c r="AA313" s="430"/>
      <c r="AB313" s="430"/>
      <c r="AC313" s="430"/>
      <c r="AD313" s="430"/>
      <c r="AE313" s="430"/>
      <c r="AF313" s="430"/>
      <c r="AG313" s="430"/>
      <c r="AH313" s="430"/>
      <c r="AI313" s="430"/>
      <c r="AJ313" s="430"/>
      <c r="AK313" s="430"/>
      <c r="AL313" s="430"/>
      <c r="AM313" s="430"/>
      <c r="AN313" s="430"/>
      <c r="AO313" s="430"/>
      <c r="AP313" s="430"/>
      <c r="AQ313" s="430"/>
      <c r="AR313" s="430"/>
      <c r="AS313" s="430"/>
      <c r="AT313" s="430"/>
      <c r="AU313" s="430"/>
      <c r="AV313" s="430"/>
      <c r="AW313" s="430"/>
      <c r="AX313" s="430"/>
      <c r="AY313" s="430"/>
      <c r="AZ313" s="430"/>
      <c r="BA313" s="430"/>
      <c r="BB313" s="430"/>
      <c r="BC313" s="430"/>
      <c r="BD313" s="430"/>
      <c r="BE313" s="430"/>
    </row>
    <row r="314" spans="1:57" ht="15.75" customHeight="1">
      <c r="A314" s="430"/>
      <c r="B314" s="430"/>
      <c r="C314" s="430"/>
      <c r="D314" s="430"/>
      <c r="E314" s="430"/>
      <c r="F314" s="430"/>
      <c r="G314" s="430"/>
      <c r="H314" s="430"/>
      <c r="I314" s="430"/>
      <c r="J314" s="430"/>
      <c r="K314" s="430"/>
      <c r="L314" s="430"/>
      <c r="M314" s="430"/>
      <c r="N314" s="430"/>
      <c r="O314" s="430"/>
      <c r="P314" s="430"/>
      <c r="Q314" s="430"/>
      <c r="R314" s="430"/>
      <c r="S314" s="430"/>
      <c r="T314" s="430"/>
      <c r="U314" s="430"/>
      <c r="V314" s="430"/>
      <c r="W314" s="430"/>
      <c r="X314" s="430"/>
      <c r="Y314" s="430"/>
      <c r="Z314" s="430"/>
      <c r="AA314" s="430"/>
      <c r="AB314" s="430"/>
      <c r="AC314" s="430"/>
      <c r="AD314" s="430"/>
      <c r="AE314" s="430"/>
      <c r="AF314" s="430"/>
      <c r="AG314" s="430"/>
      <c r="AH314" s="430"/>
      <c r="AI314" s="430"/>
      <c r="AJ314" s="430"/>
      <c r="AK314" s="430"/>
      <c r="AL314" s="430"/>
      <c r="AM314" s="430"/>
      <c r="AN314" s="430"/>
      <c r="AO314" s="430"/>
      <c r="AP314" s="430"/>
      <c r="AQ314" s="430"/>
      <c r="AR314" s="430"/>
      <c r="AS314" s="430"/>
      <c r="AT314" s="430"/>
      <c r="AU314" s="430"/>
      <c r="AV314" s="430"/>
      <c r="AW314" s="430"/>
      <c r="AX314" s="430"/>
      <c r="AY314" s="430"/>
      <c r="AZ314" s="430"/>
      <c r="BA314" s="430"/>
      <c r="BB314" s="430"/>
      <c r="BC314" s="430"/>
      <c r="BD314" s="430"/>
      <c r="BE314" s="430"/>
    </row>
    <row r="315" spans="1:57" ht="15.75" customHeight="1">
      <c r="A315" s="430"/>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430"/>
      <c r="AN315" s="430"/>
      <c r="AO315" s="430"/>
      <c r="AP315" s="430"/>
      <c r="AQ315" s="430"/>
      <c r="AR315" s="430"/>
      <c r="AS315" s="430"/>
      <c r="AT315" s="430"/>
      <c r="AU315" s="430"/>
      <c r="AV315" s="430"/>
      <c r="AW315" s="430"/>
      <c r="AX315" s="430"/>
      <c r="AY315" s="430"/>
      <c r="AZ315" s="430"/>
      <c r="BA315" s="430"/>
      <c r="BB315" s="430"/>
      <c r="BC315" s="430"/>
      <c r="BD315" s="430"/>
      <c r="BE315" s="430"/>
    </row>
    <row r="316" spans="1:57" ht="15.7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430"/>
      <c r="AN316" s="430"/>
      <c r="AO316" s="430"/>
      <c r="AP316" s="430"/>
      <c r="AQ316" s="430"/>
      <c r="AR316" s="430"/>
      <c r="AS316" s="430"/>
      <c r="AT316" s="430"/>
      <c r="AU316" s="430"/>
      <c r="AV316" s="430"/>
      <c r="AW316" s="430"/>
      <c r="AX316" s="430"/>
      <c r="AY316" s="430"/>
      <c r="AZ316" s="430"/>
      <c r="BA316" s="430"/>
      <c r="BB316" s="430"/>
      <c r="BC316" s="430"/>
      <c r="BD316" s="430"/>
      <c r="BE316" s="430"/>
    </row>
    <row r="317" spans="1:57" ht="15.7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430"/>
      <c r="AN317" s="430"/>
      <c r="AO317" s="430"/>
      <c r="AP317" s="430"/>
      <c r="AQ317" s="430"/>
      <c r="AR317" s="430"/>
      <c r="AS317" s="430"/>
      <c r="AT317" s="430"/>
      <c r="AU317" s="430"/>
      <c r="AV317" s="430"/>
      <c r="AW317" s="430"/>
      <c r="AX317" s="430"/>
      <c r="AY317" s="430"/>
      <c r="AZ317" s="430"/>
      <c r="BA317" s="430"/>
      <c r="BB317" s="430"/>
      <c r="BC317" s="430"/>
      <c r="BD317" s="430"/>
      <c r="BE317" s="430"/>
    </row>
    <row r="318" spans="1:57" ht="15.7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430"/>
      <c r="AN318" s="430"/>
      <c r="AO318" s="430"/>
      <c r="AP318" s="430"/>
      <c r="AQ318" s="430"/>
      <c r="AR318" s="430"/>
      <c r="AS318" s="430"/>
      <c r="AT318" s="430"/>
      <c r="AU318" s="430"/>
      <c r="AV318" s="430"/>
      <c r="AW318" s="430"/>
      <c r="AX318" s="430"/>
      <c r="AY318" s="430"/>
      <c r="AZ318" s="430"/>
      <c r="BA318" s="430"/>
      <c r="BB318" s="430"/>
      <c r="BC318" s="430"/>
      <c r="BD318" s="430"/>
      <c r="BE318" s="430"/>
    </row>
    <row r="319" spans="1:57" ht="15.7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0"/>
      <c r="AY319" s="430"/>
      <c r="AZ319" s="430"/>
      <c r="BA319" s="430"/>
      <c r="BB319" s="430"/>
      <c r="BC319" s="430"/>
      <c r="BD319" s="430"/>
      <c r="BE319" s="430"/>
    </row>
    <row r="320" spans="1:57" ht="15.7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430"/>
      <c r="AN320" s="430"/>
      <c r="AO320" s="430"/>
      <c r="AP320" s="430"/>
      <c r="AQ320" s="430"/>
      <c r="AR320" s="430"/>
      <c r="AS320" s="430"/>
      <c r="AT320" s="430"/>
      <c r="AU320" s="430"/>
      <c r="AV320" s="430"/>
      <c r="AW320" s="430"/>
      <c r="AX320" s="430"/>
      <c r="AY320" s="430"/>
      <c r="AZ320" s="430"/>
      <c r="BA320" s="430"/>
      <c r="BB320" s="430"/>
      <c r="BC320" s="430"/>
      <c r="BD320" s="430"/>
      <c r="BE320" s="430"/>
    </row>
    <row r="321" spans="1:57" ht="15.7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430"/>
      <c r="AN321" s="430"/>
      <c r="AO321" s="430"/>
      <c r="AP321" s="430"/>
      <c r="AQ321" s="430"/>
      <c r="AR321" s="430"/>
      <c r="AS321" s="430"/>
      <c r="AT321" s="430"/>
      <c r="AU321" s="430"/>
      <c r="AV321" s="430"/>
      <c r="AW321" s="430"/>
      <c r="AX321" s="430"/>
      <c r="AY321" s="430"/>
      <c r="AZ321" s="430"/>
      <c r="BA321" s="430"/>
      <c r="BB321" s="430"/>
      <c r="BC321" s="430"/>
      <c r="BD321" s="430"/>
      <c r="BE321" s="430"/>
    </row>
    <row r="322" spans="1:57" ht="15.7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430"/>
      <c r="AN322" s="430"/>
      <c r="AO322" s="430"/>
      <c r="AP322" s="430"/>
      <c r="AQ322" s="430"/>
      <c r="AR322" s="430"/>
      <c r="AS322" s="430"/>
      <c r="AT322" s="430"/>
      <c r="AU322" s="430"/>
      <c r="AV322" s="430"/>
      <c r="AW322" s="430"/>
      <c r="AX322" s="430"/>
      <c r="AY322" s="430"/>
      <c r="AZ322" s="430"/>
      <c r="BA322" s="430"/>
      <c r="BB322" s="430"/>
      <c r="BC322" s="430"/>
      <c r="BD322" s="430"/>
      <c r="BE322" s="430"/>
    </row>
    <row r="323" spans="1:57" ht="15.7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430"/>
      <c r="AN323" s="430"/>
      <c r="AO323" s="430"/>
      <c r="AP323" s="430"/>
      <c r="AQ323" s="430"/>
      <c r="AR323" s="430"/>
      <c r="AS323" s="430"/>
      <c r="AT323" s="430"/>
      <c r="AU323" s="430"/>
      <c r="AV323" s="430"/>
      <c r="AW323" s="430"/>
      <c r="AX323" s="430"/>
      <c r="AY323" s="430"/>
      <c r="AZ323" s="430"/>
      <c r="BA323" s="430"/>
      <c r="BB323" s="430"/>
      <c r="BC323" s="430"/>
      <c r="BD323" s="430"/>
      <c r="BE323" s="430"/>
    </row>
    <row r="324" spans="1:57" ht="15.7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430"/>
      <c r="AN324" s="430"/>
      <c r="AO324" s="430"/>
      <c r="AP324" s="430"/>
      <c r="AQ324" s="430"/>
      <c r="AR324" s="430"/>
      <c r="AS324" s="430"/>
      <c r="AT324" s="430"/>
      <c r="AU324" s="430"/>
      <c r="AV324" s="430"/>
      <c r="AW324" s="430"/>
      <c r="AX324" s="430"/>
      <c r="AY324" s="430"/>
      <c r="AZ324" s="430"/>
      <c r="BA324" s="430"/>
      <c r="BB324" s="430"/>
      <c r="BC324" s="430"/>
      <c r="BD324" s="430"/>
      <c r="BE324" s="430"/>
    </row>
    <row r="325" spans="1:57" ht="15.7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430"/>
      <c r="AN325" s="430"/>
      <c r="AO325" s="430"/>
      <c r="AP325" s="430"/>
      <c r="AQ325" s="430"/>
      <c r="AR325" s="430"/>
      <c r="AS325" s="430"/>
      <c r="AT325" s="430"/>
      <c r="AU325" s="430"/>
      <c r="AV325" s="430"/>
      <c r="AW325" s="430"/>
      <c r="AX325" s="430"/>
      <c r="AY325" s="430"/>
      <c r="AZ325" s="430"/>
      <c r="BA325" s="430"/>
      <c r="BB325" s="430"/>
      <c r="BC325" s="430"/>
      <c r="BD325" s="430"/>
      <c r="BE325" s="430"/>
    </row>
    <row r="326" spans="1:57" ht="15.7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430"/>
      <c r="AN326" s="430"/>
      <c r="AO326" s="430"/>
      <c r="AP326" s="430"/>
      <c r="AQ326" s="430"/>
      <c r="AR326" s="430"/>
      <c r="AS326" s="430"/>
      <c r="AT326" s="430"/>
      <c r="AU326" s="430"/>
      <c r="AV326" s="430"/>
      <c r="AW326" s="430"/>
      <c r="AX326" s="430"/>
      <c r="AY326" s="430"/>
      <c r="AZ326" s="430"/>
      <c r="BA326" s="430"/>
      <c r="BB326" s="430"/>
      <c r="BC326" s="430"/>
      <c r="BD326" s="430"/>
      <c r="BE326" s="430"/>
    </row>
    <row r="327" spans="1:57" ht="15.7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430"/>
      <c r="AN327" s="430"/>
      <c r="AO327" s="430"/>
      <c r="AP327" s="430"/>
      <c r="AQ327" s="430"/>
      <c r="AR327" s="430"/>
      <c r="AS327" s="430"/>
      <c r="AT327" s="430"/>
      <c r="AU327" s="430"/>
      <c r="AV327" s="430"/>
      <c r="AW327" s="430"/>
      <c r="AX327" s="430"/>
      <c r="AY327" s="430"/>
      <c r="AZ327" s="430"/>
      <c r="BA327" s="430"/>
      <c r="BB327" s="430"/>
      <c r="BC327" s="430"/>
      <c r="BD327" s="430"/>
      <c r="BE327" s="430"/>
    </row>
    <row r="328" spans="1:57" ht="15.7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430"/>
      <c r="AN328" s="430"/>
      <c r="AO328" s="430"/>
      <c r="AP328" s="430"/>
      <c r="AQ328" s="430"/>
      <c r="AR328" s="430"/>
      <c r="AS328" s="430"/>
      <c r="AT328" s="430"/>
      <c r="AU328" s="430"/>
      <c r="AV328" s="430"/>
      <c r="AW328" s="430"/>
      <c r="AX328" s="430"/>
      <c r="AY328" s="430"/>
      <c r="AZ328" s="430"/>
      <c r="BA328" s="430"/>
      <c r="BB328" s="430"/>
      <c r="BC328" s="430"/>
      <c r="BD328" s="430"/>
      <c r="BE328" s="430"/>
    </row>
    <row r="329" spans="1:57" ht="15.75"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430"/>
      <c r="AN329" s="430"/>
      <c r="AO329" s="430"/>
      <c r="AP329" s="430"/>
      <c r="AQ329" s="430"/>
      <c r="AR329" s="430"/>
      <c r="AS329" s="430"/>
      <c r="AT329" s="430"/>
      <c r="AU329" s="430"/>
      <c r="AV329" s="430"/>
      <c r="AW329" s="430"/>
      <c r="AX329" s="430"/>
      <c r="AY329" s="430"/>
      <c r="AZ329" s="430"/>
      <c r="BA329" s="430"/>
      <c r="BB329" s="430"/>
      <c r="BC329" s="430"/>
      <c r="BD329" s="430"/>
      <c r="BE329" s="430"/>
    </row>
    <row r="330" spans="1:57" ht="15.75" customHeight="1">
      <c r="A330" s="430"/>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430"/>
      <c r="AN330" s="430"/>
      <c r="AO330" s="430"/>
      <c r="AP330" s="430"/>
      <c r="AQ330" s="430"/>
      <c r="AR330" s="430"/>
      <c r="AS330" s="430"/>
      <c r="AT330" s="430"/>
      <c r="AU330" s="430"/>
      <c r="AV330" s="430"/>
      <c r="AW330" s="430"/>
      <c r="AX330" s="430"/>
      <c r="AY330" s="430"/>
      <c r="AZ330" s="430"/>
      <c r="BA330" s="430"/>
      <c r="BB330" s="430"/>
      <c r="BC330" s="430"/>
      <c r="BD330" s="430"/>
      <c r="BE330" s="430"/>
    </row>
    <row r="331" spans="1:57" ht="15.7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430"/>
      <c r="AN331" s="430"/>
      <c r="AO331" s="430"/>
      <c r="AP331" s="430"/>
      <c r="AQ331" s="430"/>
      <c r="AR331" s="430"/>
      <c r="AS331" s="430"/>
      <c r="AT331" s="430"/>
      <c r="AU331" s="430"/>
      <c r="AV331" s="430"/>
      <c r="AW331" s="430"/>
      <c r="AX331" s="430"/>
      <c r="AY331" s="430"/>
      <c r="AZ331" s="430"/>
      <c r="BA331" s="430"/>
      <c r="BB331" s="430"/>
      <c r="BC331" s="430"/>
      <c r="BD331" s="430"/>
      <c r="BE331" s="430"/>
    </row>
    <row r="332" spans="1:57" ht="15.7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430"/>
      <c r="AN332" s="430"/>
      <c r="AO332" s="430"/>
      <c r="AP332" s="430"/>
      <c r="AQ332" s="430"/>
      <c r="AR332" s="430"/>
      <c r="AS332" s="430"/>
      <c r="AT332" s="430"/>
      <c r="AU332" s="430"/>
      <c r="AV332" s="430"/>
      <c r="AW332" s="430"/>
      <c r="AX332" s="430"/>
      <c r="AY332" s="430"/>
      <c r="AZ332" s="430"/>
      <c r="BA332" s="430"/>
      <c r="BB332" s="430"/>
      <c r="BC332" s="430"/>
      <c r="BD332" s="430"/>
      <c r="BE332" s="430"/>
    </row>
    <row r="333" spans="1:57" ht="15.7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430"/>
      <c r="AN333" s="430"/>
      <c r="AO333" s="430"/>
      <c r="AP333" s="430"/>
      <c r="AQ333" s="430"/>
      <c r="AR333" s="430"/>
      <c r="AS333" s="430"/>
      <c r="AT333" s="430"/>
      <c r="AU333" s="430"/>
      <c r="AV333" s="430"/>
      <c r="AW333" s="430"/>
      <c r="AX333" s="430"/>
      <c r="AY333" s="430"/>
      <c r="AZ333" s="430"/>
      <c r="BA333" s="430"/>
      <c r="BB333" s="430"/>
      <c r="BC333" s="430"/>
      <c r="BD333" s="430"/>
      <c r="BE333" s="430"/>
    </row>
    <row r="334" spans="1:57" ht="15.7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0"/>
      <c r="AY334" s="430"/>
      <c r="AZ334" s="430"/>
      <c r="BA334" s="430"/>
      <c r="BB334" s="430"/>
      <c r="BC334" s="430"/>
      <c r="BD334" s="430"/>
      <c r="BE334" s="430"/>
    </row>
    <row r="335" spans="1:57" ht="15.7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430"/>
      <c r="AN335" s="430"/>
      <c r="AO335" s="430"/>
      <c r="AP335" s="430"/>
      <c r="AQ335" s="430"/>
      <c r="AR335" s="430"/>
      <c r="AS335" s="430"/>
      <c r="AT335" s="430"/>
      <c r="AU335" s="430"/>
      <c r="AV335" s="430"/>
      <c r="AW335" s="430"/>
      <c r="AX335" s="430"/>
      <c r="AY335" s="430"/>
      <c r="AZ335" s="430"/>
      <c r="BA335" s="430"/>
      <c r="BB335" s="430"/>
      <c r="BC335" s="430"/>
      <c r="BD335" s="430"/>
      <c r="BE335" s="430"/>
    </row>
    <row r="336" spans="1:57" ht="15.7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430"/>
      <c r="AN336" s="430"/>
      <c r="AO336" s="430"/>
      <c r="AP336" s="430"/>
      <c r="AQ336" s="430"/>
      <c r="AR336" s="430"/>
      <c r="AS336" s="430"/>
      <c r="AT336" s="430"/>
      <c r="AU336" s="430"/>
      <c r="AV336" s="430"/>
      <c r="AW336" s="430"/>
      <c r="AX336" s="430"/>
      <c r="AY336" s="430"/>
      <c r="AZ336" s="430"/>
      <c r="BA336" s="430"/>
      <c r="BB336" s="430"/>
      <c r="BC336" s="430"/>
      <c r="BD336" s="430"/>
      <c r="BE336" s="430"/>
    </row>
    <row r="337" spans="1:57" ht="15.7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430"/>
      <c r="AN337" s="430"/>
      <c r="AO337" s="430"/>
      <c r="AP337" s="430"/>
      <c r="AQ337" s="430"/>
      <c r="AR337" s="430"/>
      <c r="AS337" s="430"/>
      <c r="AT337" s="430"/>
      <c r="AU337" s="430"/>
      <c r="AV337" s="430"/>
      <c r="AW337" s="430"/>
      <c r="AX337" s="430"/>
      <c r="AY337" s="430"/>
      <c r="AZ337" s="430"/>
      <c r="BA337" s="430"/>
      <c r="BB337" s="430"/>
      <c r="BC337" s="430"/>
      <c r="BD337" s="430"/>
      <c r="BE337" s="430"/>
    </row>
    <row r="338" spans="1:57" ht="15.7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430"/>
      <c r="AN338" s="430"/>
      <c r="AO338" s="430"/>
      <c r="AP338" s="430"/>
      <c r="AQ338" s="430"/>
      <c r="AR338" s="430"/>
      <c r="AS338" s="430"/>
      <c r="AT338" s="430"/>
      <c r="AU338" s="430"/>
      <c r="AV338" s="430"/>
      <c r="AW338" s="430"/>
      <c r="AX338" s="430"/>
      <c r="AY338" s="430"/>
      <c r="AZ338" s="430"/>
      <c r="BA338" s="430"/>
      <c r="BB338" s="430"/>
      <c r="BC338" s="430"/>
      <c r="BD338" s="430"/>
      <c r="BE338" s="430"/>
    </row>
    <row r="339" spans="1:57" ht="15.7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c r="AN339" s="430"/>
      <c r="AO339" s="430"/>
      <c r="AP339" s="430"/>
      <c r="AQ339" s="430"/>
      <c r="AR339" s="430"/>
      <c r="AS339" s="430"/>
      <c r="AT339" s="430"/>
      <c r="AU339" s="430"/>
      <c r="AV339" s="430"/>
      <c r="AW339" s="430"/>
      <c r="AX339" s="430"/>
      <c r="AY339" s="430"/>
      <c r="AZ339" s="430"/>
      <c r="BA339" s="430"/>
      <c r="BB339" s="430"/>
      <c r="BC339" s="430"/>
      <c r="BD339" s="430"/>
      <c r="BE339" s="430"/>
    </row>
    <row r="340" spans="1:57" ht="15.7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c r="AN340" s="430"/>
      <c r="AO340" s="430"/>
      <c r="AP340" s="430"/>
      <c r="AQ340" s="430"/>
      <c r="AR340" s="430"/>
      <c r="AS340" s="430"/>
      <c r="AT340" s="430"/>
      <c r="AU340" s="430"/>
      <c r="AV340" s="430"/>
      <c r="AW340" s="430"/>
      <c r="AX340" s="430"/>
      <c r="AY340" s="430"/>
      <c r="AZ340" s="430"/>
      <c r="BA340" s="430"/>
      <c r="BB340" s="430"/>
      <c r="BC340" s="430"/>
      <c r="BD340" s="430"/>
      <c r="BE340" s="430"/>
    </row>
    <row r="341" spans="1:57" ht="15.7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430"/>
      <c r="AN341" s="430"/>
      <c r="AO341" s="430"/>
      <c r="AP341" s="430"/>
      <c r="AQ341" s="430"/>
      <c r="AR341" s="430"/>
      <c r="AS341" s="430"/>
      <c r="AT341" s="430"/>
      <c r="AU341" s="430"/>
      <c r="AV341" s="430"/>
      <c r="AW341" s="430"/>
      <c r="AX341" s="430"/>
      <c r="AY341" s="430"/>
      <c r="AZ341" s="430"/>
      <c r="BA341" s="430"/>
      <c r="BB341" s="430"/>
      <c r="BC341" s="430"/>
      <c r="BD341" s="430"/>
      <c r="BE341" s="430"/>
    </row>
    <row r="342" spans="1:57" ht="15.7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430"/>
      <c r="AN342" s="430"/>
      <c r="AO342" s="430"/>
      <c r="AP342" s="430"/>
      <c r="AQ342" s="430"/>
      <c r="AR342" s="430"/>
      <c r="AS342" s="430"/>
      <c r="AT342" s="430"/>
      <c r="AU342" s="430"/>
      <c r="AV342" s="430"/>
      <c r="AW342" s="430"/>
      <c r="AX342" s="430"/>
      <c r="AY342" s="430"/>
      <c r="AZ342" s="430"/>
      <c r="BA342" s="430"/>
      <c r="BB342" s="430"/>
      <c r="BC342" s="430"/>
      <c r="BD342" s="430"/>
      <c r="BE342" s="430"/>
    </row>
    <row r="343" spans="1:57" ht="15.7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430"/>
      <c r="AN343" s="430"/>
      <c r="AO343" s="430"/>
      <c r="AP343" s="430"/>
      <c r="AQ343" s="430"/>
      <c r="AR343" s="430"/>
      <c r="AS343" s="430"/>
      <c r="AT343" s="430"/>
      <c r="AU343" s="430"/>
      <c r="AV343" s="430"/>
      <c r="AW343" s="430"/>
      <c r="AX343" s="430"/>
      <c r="AY343" s="430"/>
      <c r="AZ343" s="430"/>
      <c r="BA343" s="430"/>
      <c r="BB343" s="430"/>
      <c r="BC343" s="430"/>
      <c r="BD343" s="430"/>
      <c r="BE343" s="430"/>
    </row>
    <row r="344" spans="1:57" ht="15.75"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430"/>
      <c r="AN344" s="430"/>
      <c r="AO344" s="430"/>
      <c r="AP344" s="430"/>
      <c r="AQ344" s="430"/>
      <c r="AR344" s="430"/>
      <c r="AS344" s="430"/>
      <c r="AT344" s="430"/>
      <c r="AU344" s="430"/>
      <c r="AV344" s="430"/>
      <c r="AW344" s="430"/>
      <c r="AX344" s="430"/>
      <c r="AY344" s="430"/>
      <c r="AZ344" s="430"/>
      <c r="BA344" s="430"/>
      <c r="BB344" s="430"/>
      <c r="BC344" s="430"/>
      <c r="BD344" s="430"/>
      <c r="BE344" s="430"/>
    </row>
    <row r="345" spans="1:57" ht="15.75" customHeight="1">
      <c r="A345" s="430"/>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430"/>
      <c r="AN345" s="430"/>
      <c r="AO345" s="430"/>
      <c r="AP345" s="430"/>
      <c r="AQ345" s="430"/>
      <c r="AR345" s="430"/>
      <c r="AS345" s="430"/>
      <c r="AT345" s="430"/>
      <c r="AU345" s="430"/>
      <c r="AV345" s="430"/>
      <c r="AW345" s="430"/>
      <c r="AX345" s="430"/>
      <c r="AY345" s="430"/>
      <c r="AZ345" s="430"/>
      <c r="BA345" s="430"/>
      <c r="BB345" s="430"/>
      <c r="BC345" s="430"/>
      <c r="BD345" s="430"/>
      <c r="BE345" s="430"/>
    </row>
    <row r="346" spans="1:57" ht="15.7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430"/>
      <c r="AN346" s="430"/>
      <c r="AO346" s="430"/>
      <c r="AP346" s="430"/>
      <c r="AQ346" s="430"/>
      <c r="AR346" s="430"/>
      <c r="AS346" s="430"/>
      <c r="AT346" s="430"/>
      <c r="AU346" s="430"/>
      <c r="AV346" s="430"/>
      <c r="AW346" s="430"/>
      <c r="AX346" s="430"/>
      <c r="AY346" s="430"/>
      <c r="AZ346" s="430"/>
      <c r="BA346" s="430"/>
      <c r="BB346" s="430"/>
      <c r="BC346" s="430"/>
      <c r="BD346" s="430"/>
      <c r="BE346" s="430"/>
    </row>
    <row r="347" spans="1:57" ht="15.7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430"/>
      <c r="AN347" s="430"/>
      <c r="AO347" s="430"/>
      <c r="AP347" s="430"/>
      <c r="AQ347" s="430"/>
      <c r="AR347" s="430"/>
      <c r="AS347" s="430"/>
      <c r="AT347" s="430"/>
      <c r="AU347" s="430"/>
      <c r="AV347" s="430"/>
      <c r="AW347" s="430"/>
      <c r="AX347" s="430"/>
      <c r="AY347" s="430"/>
      <c r="AZ347" s="430"/>
      <c r="BA347" s="430"/>
      <c r="BB347" s="430"/>
      <c r="BC347" s="430"/>
      <c r="BD347" s="430"/>
      <c r="BE347" s="430"/>
    </row>
    <row r="348" spans="1:57" ht="15.7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430"/>
      <c r="AN348" s="430"/>
      <c r="AO348" s="430"/>
      <c r="AP348" s="430"/>
      <c r="AQ348" s="430"/>
      <c r="AR348" s="430"/>
      <c r="AS348" s="430"/>
      <c r="AT348" s="430"/>
      <c r="AU348" s="430"/>
      <c r="AV348" s="430"/>
      <c r="AW348" s="430"/>
      <c r="AX348" s="430"/>
      <c r="AY348" s="430"/>
      <c r="AZ348" s="430"/>
      <c r="BA348" s="430"/>
      <c r="BB348" s="430"/>
      <c r="BC348" s="430"/>
      <c r="BD348" s="430"/>
      <c r="BE348" s="430"/>
    </row>
    <row r="349" spans="1:57" ht="15.75"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430"/>
      <c r="AN349" s="430"/>
      <c r="AO349" s="430"/>
      <c r="AP349" s="430"/>
      <c r="AQ349" s="430"/>
      <c r="AR349" s="430"/>
      <c r="AS349" s="430"/>
      <c r="AT349" s="430"/>
      <c r="AU349" s="430"/>
      <c r="AV349" s="430"/>
      <c r="AW349" s="430"/>
      <c r="AX349" s="430"/>
      <c r="AY349" s="430"/>
      <c r="AZ349" s="430"/>
      <c r="BA349" s="430"/>
      <c r="BB349" s="430"/>
      <c r="BC349" s="430"/>
      <c r="BD349" s="430"/>
      <c r="BE349" s="430"/>
    </row>
    <row r="350" spans="1:57" ht="15.7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430"/>
      <c r="AN350" s="430"/>
      <c r="AO350" s="430"/>
      <c r="AP350" s="430"/>
      <c r="AQ350" s="430"/>
      <c r="AR350" s="430"/>
      <c r="AS350" s="430"/>
      <c r="AT350" s="430"/>
      <c r="AU350" s="430"/>
      <c r="AV350" s="430"/>
      <c r="AW350" s="430"/>
      <c r="AX350" s="430"/>
      <c r="AY350" s="430"/>
      <c r="AZ350" s="430"/>
      <c r="BA350" s="430"/>
      <c r="BB350" s="430"/>
      <c r="BC350" s="430"/>
      <c r="BD350" s="430"/>
      <c r="BE350" s="430"/>
    </row>
    <row r="351" spans="1:57" ht="15.7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430"/>
      <c r="AN351" s="430"/>
      <c r="AO351" s="430"/>
      <c r="AP351" s="430"/>
      <c r="AQ351" s="430"/>
      <c r="AR351" s="430"/>
      <c r="AS351" s="430"/>
      <c r="AT351" s="430"/>
      <c r="AU351" s="430"/>
      <c r="AV351" s="430"/>
      <c r="AW351" s="430"/>
      <c r="AX351" s="430"/>
      <c r="AY351" s="430"/>
      <c r="AZ351" s="430"/>
      <c r="BA351" s="430"/>
      <c r="BB351" s="430"/>
      <c r="BC351" s="430"/>
      <c r="BD351" s="430"/>
      <c r="BE351" s="430"/>
    </row>
    <row r="352" spans="1:57" ht="15.7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430"/>
      <c r="AN352" s="430"/>
      <c r="AO352" s="430"/>
      <c r="AP352" s="430"/>
      <c r="AQ352" s="430"/>
      <c r="AR352" s="430"/>
      <c r="AS352" s="430"/>
      <c r="AT352" s="430"/>
      <c r="AU352" s="430"/>
      <c r="AV352" s="430"/>
      <c r="AW352" s="430"/>
      <c r="AX352" s="430"/>
      <c r="AY352" s="430"/>
      <c r="AZ352" s="430"/>
      <c r="BA352" s="430"/>
      <c r="BB352" s="430"/>
      <c r="BC352" s="430"/>
      <c r="BD352" s="430"/>
      <c r="BE352" s="430"/>
    </row>
    <row r="353" spans="1:57" ht="15.7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430"/>
      <c r="AN353" s="430"/>
      <c r="AO353" s="430"/>
      <c r="AP353" s="430"/>
      <c r="AQ353" s="430"/>
      <c r="AR353" s="430"/>
      <c r="AS353" s="430"/>
      <c r="AT353" s="430"/>
      <c r="AU353" s="430"/>
      <c r="AV353" s="430"/>
      <c r="AW353" s="430"/>
      <c r="AX353" s="430"/>
      <c r="AY353" s="430"/>
      <c r="AZ353" s="430"/>
      <c r="BA353" s="430"/>
      <c r="BB353" s="430"/>
      <c r="BC353" s="430"/>
      <c r="BD353" s="430"/>
      <c r="BE353" s="430"/>
    </row>
    <row r="354" spans="1:57" ht="15.7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430"/>
      <c r="AN354" s="430"/>
      <c r="AO354" s="430"/>
      <c r="AP354" s="430"/>
      <c r="AQ354" s="430"/>
      <c r="AR354" s="430"/>
      <c r="AS354" s="430"/>
      <c r="AT354" s="430"/>
      <c r="AU354" s="430"/>
      <c r="AV354" s="430"/>
      <c r="AW354" s="430"/>
      <c r="AX354" s="430"/>
      <c r="AY354" s="430"/>
      <c r="AZ354" s="430"/>
      <c r="BA354" s="430"/>
      <c r="BB354" s="430"/>
      <c r="BC354" s="430"/>
      <c r="BD354" s="430"/>
      <c r="BE354" s="430"/>
    </row>
    <row r="355" spans="1:57" ht="15.7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430"/>
      <c r="AN355" s="430"/>
      <c r="AO355" s="430"/>
      <c r="AP355" s="430"/>
      <c r="AQ355" s="430"/>
      <c r="AR355" s="430"/>
      <c r="AS355" s="430"/>
      <c r="AT355" s="430"/>
      <c r="AU355" s="430"/>
      <c r="AV355" s="430"/>
      <c r="AW355" s="430"/>
      <c r="AX355" s="430"/>
      <c r="AY355" s="430"/>
      <c r="AZ355" s="430"/>
      <c r="BA355" s="430"/>
      <c r="BB355" s="430"/>
      <c r="BC355" s="430"/>
      <c r="BD355" s="430"/>
      <c r="BE355" s="430"/>
    </row>
    <row r="356" spans="1:57" ht="15.7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430"/>
      <c r="AN356" s="430"/>
      <c r="AO356" s="430"/>
      <c r="AP356" s="430"/>
      <c r="AQ356" s="430"/>
      <c r="AR356" s="430"/>
      <c r="AS356" s="430"/>
      <c r="AT356" s="430"/>
      <c r="AU356" s="430"/>
      <c r="AV356" s="430"/>
      <c r="AW356" s="430"/>
      <c r="AX356" s="430"/>
      <c r="AY356" s="430"/>
      <c r="AZ356" s="430"/>
      <c r="BA356" s="430"/>
      <c r="BB356" s="430"/>
      <c r="BC356" s="430"/>
      <c r="BD356" s="430"/>
      <c r="BE356" s="430"/>
    </row>
    <row r="357" spans="1:57" ht="15.7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430"/>
      <c r="AN357" s="430"/>
      <c r="AO357" s="430"/>
      <c r="AP357" s="430"/>
      <c r="AQ357" s="430"/>
      <c r="AR357" s="430"/>
      <c r="AS357" s="430"/>
      <c r="AT357" s="430"/>
      <c r="AU357" s="430"/>
      <c r="AV357" s="430"/>
      <c r="AW357" s="430"/>
      <c r="AX357" s="430"/>
      <c r="AY357" s="430"/>
      <c r="AZ357" s="430"/>
      <c r="BA357" s="430"/>
      <c r="BB357" s="430"/>
      <c r="BC357" s="430"/>
      <c r="BD357" s="430"/>
      <c r="BE357" s="430"/>
    </row>
    <row r="358" spans="1:57" ht="15.75" customHeight="1">
      <c r="A358" s="430"/>
      <c r="B358" s="430"/>
      <c r="C358" s="430"/>
      <c r="D358" s="430"/>
      <c r="E358" s="430"/>
      <c r="F358" s="430"/>
      <c r="G358" s="430"/>
      <c r="H358" s="430"/>
      <c r="I358" s="430"/>
      <c r="J358" s="430"/>
      <c r="K358" s="430"/>
      <c r="L358" s="430"/>
      <c r="M358" s="430"/>
      <c r="N358" s="430"/>
      <c r="O358" s="430"/>
      <c r="P358" s="430"/>
      <c r="Q358" s="430"/>
      <c r="R358" s="430"/>
      <c r="S358" s="430"/>
      <c r="T358" s="430"/>
      <c r="U358" s="430"/>
      <c r="V358" s="430"/>
      <c r="W358" s="430"/>
      <c r="X358" s="430"/>
      <c r="Y358" s="430"/>
      <c r="Z358" s="430"/>
      <c r="AA358" s="430"/>
      <c r="AB358" s="430"/>
      <c r="AC358" s="430"/>
      <c r="AD358" s="430"/>
      <c r="AE358" s="430"/>
      <c r="AF358" s="430"/>
      <c r="AG358" s="430"/>
      <c r="AH358" s="430"/>
      <c r="AI358" s="430"/>
      <c r="AJ358" s="430"/>
      <c r="AK358" s="430"/>
      <c r="AL358" s="430"/>
      <c r="AM358" s="430"/>
      <c r="AN358" s="430"/>
      <c r="AO358" s="430"/>
      <c r="AP358" s="430"/>
      <c r="AQ358" s="430"/>
      <c r="AR358" s="430"/>
      <c r="AS358" s="430"/>
      <c r="AT358" s="430"/>
      <c r="AU358" s="430"/>
      <c r="AV358" s="430"/>
      <c r="AW358" s="430"/>
      <c r="AX358" s="430"/>
      <c r="AY358" s="430"/>
      <c r="AZ358" s="430"/>
      <c r="BA358" s="430"/>
      <c r="BB358" s="430"/>
      <c r="BC358" s="430"/>
      <c r="BD358" s="430"/>
      <c r="BE358" s="430"/>
    </row>
    <row r="359" spans="1:57" ht="15.75" customHeight="1">
      <c r="A359" s="430"/>
      <c r="B359" s="430"/>
      <c r="C359" s="430"/>
      <c r="D359" s="430"/>
      <c r="E359" s="430"/>
      <c r="F359" s="430"/>
      <c r="G359" s="430"/>
      <c r="H359" s="430"/>
      <c r="I359" s="430"/>
      <c r="J359" s="430"/>
      <c r="K359" s="430"/>
      <c r="L359" s="430"/>
      <c r="M359" s="430"/>
      <c r="N359" s="430"/>
      <c r="O359" s="430"/>
      <c r="P359" s="430"/>
      <c r="Q359" s="430"/>
      <c r="R359" s="430"/>
      <c r="S359" s="430"/>
      <c r="T359" s="430"/>
      <c r="U359" s="430"/>
      <c r="V359" s="430"/>
      <c r="W359" s="430"/>
      <c r="X359" s="430"/>
      <c r="Y359" s="430"/>
      <c r="Z359" s="430"/>
      <c r="AA359" s="430"/>
      <c r="AB359" s="430"/>
      <c r="AC359" s="430"/>
      <c r="AD359" s="430"/>
      <c r="AE359" s="430"/>
      <c r="AF359" s="430"/>
      <c r="AG359" s="430"/>
      <c r="AH359" s="430"/>
      <c r="AI359" s="430"/>
      <c r="AJ359" s="430"/>
      <c r="AK359" s="430"/>
      <c r="AL359" s="430"/>
      <c r="AM359" s="430"/>
      <c r="AN359" s="430"/>
      <c r="AO359" s="430"/>
      <c r="AP359" s="430"/>
      <c r="AQ359" s="430"/>
      <c r="AR359" s="430"/>
      <c r="AS359" s="430"/>
      <c r="AT359" s="430"/>
      <c r="AU359" s="430"/>
      <c r="AV359" s="430"/>
      <c r="AW359" s="430"/>
      <c r="AX359" s="430"/>
      <c r="AY359" s="430"/>
      <c r="AZ359" s="430"/>
      <c r="BA359" s="430"/>
      <c r="BB359" s="430"/>
      <c r="BC359" s="430"/>
      <c r="BD359" s="430"/>
      <c r="BE359" s="430"/>
    </row>
    <row r="360" spans="1:57" ht="15.75" customHeight="1">
      <c r="A360" s="430"/>
      <c r="B360" s="430"/>
      <c r="C360" s="430"/>
      <c r="D360" s="430"/>
      <c r="E360" s="430"/>
      <c r="F360" s="430"/>
      <c r="G360" s="430"/>
      <c r="H360" s="430"/>
      <c r="I360" s="430"/>
      <c r="J360" s="430"/>
      <c r="K360" s="430"/>
      <c r="L360" s="430"/>
      <c r="M360" s="430"/>
      <c r="N360" s="430"/>
      <c r="O360" s="430"/>
      <c r="P360" s="430"/>
      <c r="Q360" s="430"/>
      <c r="R360" s="430"/>
      <c r="S360" s="430"/>
      <c r="T360" s="430"/>
      <c r="U360" s="430"/>
      <c r="V360" s="430"/>
      <c r="W360" s="430"/>
      <c r="X360" s="430"/>
      <c r="Y360" s="430"/>
      <c r="Z360" s="430"/>
      <c r="AA360" s="430"/>
      <c r="AB360" s="430"/>
      <c r="AC360" s="430"/>
      <c r="AD360" s="430"/>
      <c r="AE360" s="430"/>
      <c r="AF360" s="430"/>
      <c r="AG360" s="430"/>
      <c r="AH360" s="430"/>
      <c r="AI360" s="430"/>
      <c r="AJ360" s="430"/>
      <c r="AK360" s="430"/>
      <c r="AL360" s="430"/>
      <c r="AM360" s="430"/>
      <c r="AN360" s="430"/>
      <c r="AO360" s="430"/>
      <c r="AP360" s="430"/>
      <c r="AQ360" s="430"/>
      <c r="AR360" s="430"/>
      <c r="AS360" s="430"/>
      <c r="AT360" s="430"/>
      <c r="AU360" s="430"/>
      <c r="AV360" s="430"/>
      <c r="AW360" s="430"/>
      <c r="AX360" s="430"/>
      <c r="AY360" s="430"/>
      <c r="AZ360" s="430"/>
      <c r="BA360" s="430"/>
      <c r="BB360" s="430"/>
      <c r="BC360" s="430"/>
      <c r="BD360" s="430"/>
      <c r="BE360" s="430"/>
    </row>
    <row r="361" spans="1:57" ht="15.75" customHeight="1">
      <c r="A361" s="430"/>
      <c r="B361" s="430"/>
      <c r="C361" s="430"/>
      <c r="D361" s="430"/>
      <c r="E361" s="430"/>
      <c r="F361" s="430"/>
      <c r="G361" s="430"/>
      <c r="H361" s="430"/>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430"/>
      <c r="AL361" s="430"/>
      <c r="AM361" s="430"/>
      <c r="AN361" s="430"/>
      <c r="AO361" s="430"/>
      <c r="AP361" s="430"/>
      <c r="AQ361" s="430"/>
      <c r="AR361" s="430"/>
      <c r="AS361" s="430"/>
      <c r="AT361" s="430"/>
      <c r="AU361" s="430"/>
      <c r="AV361" s="430"/>
      <c r="AW361" s="430"/>
      <c r="AX361" s="430"/>
      <c r="AY361" s="430"/>
      <c r="AZ361" s="430"/>
      <c r="BA361" s="430"/>
      <c r="BB361" s="430"/>
      <c r="BC361" s="430"/>
      <c r="BD361" s="430"/>
      <c r="BE361" s="430"/>
    </row>
    <row r="362" spans="1:57" ht="15.75" customHeight="1">
      <c r="A362" s="430"/>
      <c r="B362" s="430"/>
      <c r="C362" s="430"/>
      <c r="D362" s="430"/>
      <c r="E362" s="430"/>
      <c r="F362" s="430"/>
      <c r="G362" s="430"/>
      <c r="H362" s="430"/>
      <c r="I362" s="430"/>
      <c r="J362" s="430"/>
      <c r="K362" s="430"/>
      <c r="L362" s="430"/>
      <c r="M362" s="430"/>
      <c r="N362" s="430"/>
      <c r="O362" s="430"/>
      <c r="P362" s="430"/>
      <c r="Q362" s="430"/>
      <c r="R362" s="430"/>
      <c r="S362" s="430"/>
      <c r="T362" s="430"/>
      <c r="U362" s="430"/>
      <c r="V362" s="430"/>
      <c r="W362" s="430"/>
      <c r="X362" s="430"/>
      <c r="Y362" s="430"/>
      <c r="Z362" s="430"/>
      <c r="AA362" s="430"/>
      <c r="AB362" s="430"/>
      <c r="AC362" s="430"/>
      <c r="AD362" s="430"/>
      <c r="AE362" s="430"/>
      <c r="AF362" s="430"/>
      <c r="AG362" s="430"/>
      <c r="AH362" s="430"/>
      <c r="AI362" s="430"/>
      <c r="AJ362" s="430"/>
      <c r="AK362" s="430"/>
      <c r="AL362" s="430"/>
      <c r="AM362" s="430"/>
      <c r="AN362" s="430"/>
      <c r="AO362" s="430"/>
      <c r="AP362" s="430"/>
      <c r="AQ362" s="430"/>
      <c r="AR362" s="430"/>
      <c r="AS362" s="430"/>
      <c r="AT362" s="430"/>
      <c r="AU362" s="430"/>
      <c r="AV362" s="430"/>
      <c r="AW362" s="430"/>
      <c r="AX362" s="430"/>
      <c r="AY362" s="430"/>
      <c r="AZ362" s="430"/>
      <c r="BA362" s="430"/>
      <c r="BB362" s="430"/>
      <c r="BC362" s="430"/>
      <c r="BD362" s="430"/>
      <c r="BE362" s="430"/>
    </row>
    <row r="363" spans="1:57" ht="15.75" customHeight="1">
      <c r="A363" s="430"/>
      <c r="B363" s="430"/>
      <c r="C363" s="430"/>
      <c r="D363" s="430"/>
      <c r="E363" s="430"/>
      <c r="F363" s="430"/>
      <c r="G363" s="430"/>
      <c r="H363" s="430"/>
      <c r="I363" s="430"/>
      <c r="J363" s="430"/>
      <c r="K363" s="430"/>
      <c r="L363" s="430"/>
      <c r="M363" s="430"/>
      <c r="N363" s="430"/>
      <c r="O363" s="430"/>
      <c r="P363" s="430"/>
      <c r="Q363" s="430"/>
      <c r="R363" s="430"/>
      <c r="S363" s="430"/>
      <c r="T363" s="430"/>
      <c r="U363" s="430"/>
      <c r="V363" s="430"/>
      <c r="W363" s="430"/>
      <c r="X363" s="430"/>
      <c r="Y363" s="430"/>
      <c r="Z363" s="430"/>
      <c r="AA363" s="430"/>
      <c r="AB363" s="430"/>
      <c r="AC363" s="430"/>
      <c r="AD363" s="430"/>
      <c r="AE363" s="430"/>
      <c r="AF363" s="430"/>
      <c r="AG363" s="430"/>
      <c r="AH363" s="430"/>
      <c r="AI363" s="430"/>
      <c r="AJ363" s="430"/>
      <c r="AK363" s="430"/>
      <c r="AL363" s="430"/>
      <c r="AM363" s="430"/>
      <c r="AN363" s="430"/>
      <c r="AO363" s="430"/>
      <c r="AP363" s="430"/>
      <c r="AQ363" s="430"/>
      <c r="AR363" s="430"/>
      <c r="AS363" s="430"/>
      <c r="AT363" s="430"/>
      <c r="AU363" s="430"/>
      <c r="AV363" s="430"/>
      <c r="AW363" s="430"/>
      <c r="AX363" s="430"/>
      <c r="AY363" s="430"/>
      <c r="AZ363" s="430"/>
      <c r="BA363" s="430"/>
      <c r="BB363" s="430"/>
      <c r="BC363" s="430"/>
      <c r="BD363" s="430"/>
      <c r="BE363" s="430"/>
    </row>
    <row r="364" spans="1:57" ht="15.75" customHeight="1">
      <c r="A364" s="430"/>
      <c r="B364" s="430"/>
      <c r="C364" s="430"/>
      <c r="D364" s="430"/>
      <c r="E364" s="430"/>
      <c r="F364" s="430"/>
      <c r="G364" s="430"/>
      <c r="H364" s="430"/>
      <c r="I364" s="430"/>
      <c r="J364" s="430"/>
      <c r="K364" s="430"/>
      <c r="L364" s="430"/>
      <c r="M364" s="430"/>
      <c r="N364" s="430"/>
      <c r="O364" s="430"/>
      <c r="P364" s="430"/>
      <c r="Q364" s="430"/>
      <c r="R364" s="430"/>
      <c r="S364" s="430"/>
      <c r="T364" s="430"/>
      <c r="U364" s="430"/>
      <c r="V364" s="430"/>
      <c r="W364" s="430"/>
      <c r="X364" s="430"/>
      <c r="Y364" s="430"/>
      <c r="Z364" s="430"/>
      <c r="AA364" s="430"/>
      <c r="AB364" s="430"/>
      <c r="AC364" s="430"/>
      <c r="AD364" s="430"/>
      <c r="AE364" s="430"/>
      <c r="AF364" s="430"/>
      <c r="AG364" s="430"/>
      <c r="AH364" s="430"/>
      <c r="AI364" s="430"/>
      <c r="AJ364" s="430"/>
      <c r="AK364" s="430"/>
      <c r="AL364" s="430"/>
      <c r="AM364" s="430"/>
      <c r="AN364" s="430"/>
      <c r="AO364" s="430"/>
      <c r="AP364" s="430"/>
      <c r="AQ364" s="430"/>
      <c r="AR364" s="430"/>
      <c r="AS364" s="430"/>
      <c r="AT364" s="430"/>
      <c r="AU364" s="430"/>
      <c r="AV364" s="430"/>
      <c r="AW364" s="430"/>
      <c r="AX364" s="430"/>
      <c r="AY364" s="430"/>
      <c r="AZ364" s="430"/>
      <c r="BA364" s="430"/>
      <c r="BB364" s="430"/>
      <c r="BC364" s="430"/>
      <c r="BD364" s="430"/>
      <c r="BE364" s="430"/>
    </row>
    <row r="365" spans="1:57" ht="15.75" customHeight="1">
      <c r="A365" s="430"/>
      <c r="B365" s="430"/>
      <c r="C365" s="430"/>
      <c r="D365" s="430"/>
      <c r="E365" s="430"/>
      <c r="F365" s="430"/>
      <c r="G365" s="430"/>
      <c r="H365" s="430"/>
      <c r="I365" s="430"/>
      <c r="J365" s="430"/>
      <c r="K365" s="430"/>
      <c r="L365" s="430"/>
      <c r="M365" s="430"/>
      <c r="N365" s="430"/>
      <c r="O365" s="430"/>
      <c r="P365" s="430"/>
      <c r="Q365" s="430"/>
      <c r="R365" s="430"/>
      <c r="S365" s="430"/>
      <c r="T365" s="430"/>
      <c r="U365" s="430"/>
      <c r="V365" s="430"/>
      <c r="W365" s="430"/>
      <c r="X365" s="430"/>
      <c r="Y365" s="430"/>
      <c r="Z365" s="430"/>
      <c r="AA365" s="430"/>
      <c r="AB365" s="430"/>
      <c r="AC365" s="430"/>
      <c r="AD365" s="430"/>
      <c r="AE365" s="430"/>
      <c r="AF365" s="430"/>
      <c r="AG365" s="430"/>
      <c r="AH365" s="430"/>
      <c r="AI365" s="430"/>
      <c r="AJ365" s="430"/>
      <c r="AK365" s="430"/>
      <c r="AL365" s="430"/>
      <c r="AM365" s="430"/>
      <c r="AN365" s="430"/>
      <c r="AO365" s="430"/>
      <c r="AP365" s="430"/>
      <c r="AQ365" s="430"/>
      <c r="AR365" s="430"/>
      <c r="AS365" s="430"/>
      <c r="AT365" s="430"/>
      <c r="AU365" s="430"/>
      <c r="AV365" s="430"/>
      <c r="AW365" s="430"/>
      <c r="AX365" s="430"/>
      <c r="AY365" s="430"/>
      <c r="AZ365" s="430"/>
      <c r="BA365" s="430"/>
      <c r="BB365" s="430"/>
      <c r="BC365" s="430"/>
      <c r="BD365" s="430"/>
      <c r="BE365" s="430"/>
    </row>
    <row r="366" spans="1:57" ht="15.75" customHeight="1">
      <c r="A366" s="430"/>
      <c r="B366" s="430"/>
      <c r="C366" s="430"/>
      <c r="D366" s="430"/>
      <c r="E366" s="430"/>
      <c r="F366" s="430"/>
      <c r="G366" s="430"/>
      <c r="H366" s="430"/>
      <c r="I366" s="430"/>
      <c r="J366" s="430"/>
      <c r="K366" s="430"/>
      <c r="L366" s="430"/>
      <c r="M366" s="430"/>
      <c r="N366" s="430"/>
      <c r="O366" s="430"/>
      <c r="P366" s="430"/>
      <c r="Q366" s="430"/>
      <c r="R366" s="430"/>
      <c r="S366" s="430"/>
      <c r="T366" s="430"/>
      <c r="U366" s="430"/>
      <c r="V366" s="430"/>
      <c r="W366" s="430"/>
      <c r="X366" s="430"/>
      <c r="Y366" s="430"/>
      <c r="Z366" s="430"/>
      <c r="AA366" s="430"/>
      <c r="AB366" s="430"/>
      <c r="AC366" s="430"/>
      <c r="AD366" s="430"/>
      <c r="AE366" s="430"/>
      <c r="AF366" s="430"/>
      <c r="AG366" s="430"/>
      <c r="AH366" s="430"/>
      <c r="AI366" s="430"/>
      <c r="AJ366" s="430"/>
      <c r="AK366" s="430"/>
      <c r="AL366" s="430"/>
      <c r="AM366" s="430"/>
      <c r="AN366" s="430"/>
      <c r="AO366" s="430"/>
      <c r="AP366" s="430"/>
      <c r="AQ366" s="430"/>
      <c r="AR366" s="430"/>
      <c r="AS366" s="430"/>
      <c r="AT366" s="430"/>
      <c r="AU366" s="430"/>
      <c r="AV366" s="430"/>
      <c r="AW366" s="430"/>
      <c r="AX366" s="430"/>
      <c r="AY366" s="430"/>
      <c r="AZ366" s="430"/>
      <c r="BA366" s="430"/>
      <c r="BB366" s="430"/>
      <c r="BC366" s="430"/>
      <c r="BD366" s="430"/>
      <c r="BE366" s="430"/>
    </row>
    <row r="367" spans="1:57" ht="15.75" customHeight="1">
      <c r="A367" s="430"/>
      <c r="B367" s="430"/>
      <c r="C367" s="430"/>
      <c r="D367" s="430"/>
      <c r="E367" s="430"/>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0"/>
      <c r="AY367" s="430"/>
      <c r="AZ367" s="430"/>
      <c r="BA367" s="430"/>
      <c r="BB367" s="430"/>
      <c r="BC367" s="430"/>
      <c r="BD367" s="430"/>
      <c r="BE367" s="430"/>
    </row>
    <row r="368" spans="1:57" ht="15.75" customHeight="1">
      <c r="A368" s="430"/>
      <c r="B368" s="430"/>
      <c r="C368" s="430"/>
      <c r="D368" s="430"/>
      <c r="E368" s="430"/>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30"/>
      <c r="AY368" s="430"/>
      <c r="AZ368" s="430"/>
      <c r="BA368" s="430"/>
      <c r="BB368" s="430"/>
      <c r="BC368" s="430"/>
      <c r="BD368" s="430"/>
      <c r="BE368" s="430"/>
    </row>
    <row r="369" spans="1:57" ht="15.75" customHeight="1">
      <c r="A369" s="430"/>
      <c r="B369" s="430"/>
      <c r="C369" s="430"/>
      <c r="D369" s="430"/>
      <c r="E369" s="430"/>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30"/>
      <c r="AY369" s="430"/>
      <c r="AZ369" s="430"/>
      <c r="BA369" s="430"/>
      <c r="BB369" s="430"/>
      <c r="BC369" s="430"/>
      <c r="BD369" s="430"/>
      <c r="BE369" s="430"/>
    </row>
    <row r="370" spans="1:57" ht="15.75" customHeight="1">
      <c r="A370" s="430"/>
      <c r="B370" s="430"/>
      <c r="C370" s="430"/>
      <c r="D370" s="430"/>
      <c r="E370" s="430"/>
      <c r="F370" s="430"/>
      <c r="G370" s="430"/>
      <c r="H370" s="430"/>
      <c r="I370" s="430"/>
      <c r="J370" s="430"/>
      <c r="K370" s="430"/>
      <c r="L370" s="430"/>
      <c r="M370" s="430"/>
      <c r="N370" s="430"/>
      <c r="O370" s="430"/>
      <c r="P370" s="430"/>
      <c r="Q370" s="430"/>
      <c r="R370" s="430"/>
      <c r="S370" s="430"/>
      <c r="T370" s="430"/>
      <c r="U370" s="430"/>
      <c r="V370" s="430"/>
      <c r="W370" s="430"/>
      <c r="X370" s="430"/>
      <c r="Y370" s="430"/>
      <c r="Z370" s="430"/>
      <c r="AA370" s="430"/>
      <c r="AB370" s="430"/>
      <c r="AC370" s="430"/>
      <c r="AD370" s="430"/>
      <c r="AE370" s="430"/>
      <c r="AF370" s="430"/>
      <c r="AG370" s="430"/>
      <c r="AH370" s="430"/>
      <c r="AI370" s="430"/>
      <c r="AJ370" s="430"/>
      <c r="AK370" s="430"/>
      <c r="AL370" s="430"/>
      <c r="AM370" s="430"/>
      <c r="AN370" s="430"/>
      <c r="AO370" s="430"/>
      <c r="AP370" s="430"/>
      <c r="AQ370" s="430"/>
      <c r="AR370" s="430"/>
      <c r="AS370" s="430"/>
      <c r="AT370" s="430"/>
      <c r="AU370" s="430"/>
      <c r="AV370" s="430"/>
      <c r="AW370" s="430"/>
      <c r="AX370" s="430"/>
      <c r="AY370" s="430"/>
      <c r="AZ370" s="430"/>
      <c r="BA370" s="430"/>
      <c r="BB370" s="430"/>
      <c r="BC370" s="430"/>
      <c r="BD370" s="430"/>
      <c r="BE370" s="430"/>
    </row>
    <row r="371" spans="1:57" ht="15.75" customHeight="1">
      <c r="A371" s="430"/>
      <c r="B371" s="430"/>
      <c r="C371" s="430"/>
      <c r="D371" s="430"/>
      <c r="E371" s="430"/>
      <c r="F371" s="430"/>
      <c r="G371" s="430"/>
      <c r="H371" s="430"/>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c r="AN371" s="430"/>
      <c r="AO371" s="430"/>
      <c r="AP371" s="430"/>
      <c r="AQ371" s="430"/>
      <c r="AR371" s="430"/>
      <c r="AS371" s="430"/>
      <c r="AT371" s="430"/>
      <c r="AU371" s="430"/>
      <c r="AV371" s="430"/>
      <c r="AW371" s="430"/>
      <c r="AX371" s="430"/>
      <c r="AY371" s="430"/>
      <c r="AZ371" s="430"/>
      <c r="BA371" s="430"/>
      <c r="BB371" s="430"/>
      <c r="BC371" s="430"/>
      <c r="BD371" s="430"/>
      <c r="BE371" s="430"/>
    </row>
    <row r="372" spans="1:57" ht="15.75" customHeight="1">
      <c r="A372" s="430"/>
      <c r="B372" s="430"/>
      <c r="C372" s="430"/>
      <c r="D372" s="430"/>
      <c r="E372" s="430"/>
      <c r="F372" s="430"/>
      <c r="G372" s="430"/>
      <c r="H372" s="430"/>
      <c r="I372" s="430"/>
      <c r="J372" s="430"/>
      <c r="K372" s="430"/>
      <c r="L372" s="430"/>
      <c r="M372" s="430"/>
      <c r="N372" s="430"/>
      <c r="O372" s="430"/>
      <c r="P372" s="430"/>
      <c r="Q372" s="430"/>
      <c r="R372" s="430"/>
      <c r="S372" s="430"/>
      <c r="T372" s="430"/>
      <c r="U372" s="430"/>
      <c r="V372" s="430"/>
      <c r="W372" s="430"/>
      <c r="X372" s="430"/>
      <c r="Y372" s="430"/>
      <c r="Z372" s="430"/>
      <c r="AA372" s="430"/>
      <c r="AB372" s="430"/>
      <c r="AC372" s="430"/>
      <c r="AD372" s="430"/>
      <c r="AE372" s="430"/>
      <c r="AF372" s="430"/>
      <c r="AG372" s="430"/>
      <c r="AH372" s="430"/>
      <c r="AI372" s="430"/>
      <c r="AJ372" s="430"/>
      <c r="AK372" s="430"/>
      <c r="AL372" s="430"/>
      <c r="AM372" s="430"/>
      <c r="AN372" s="430"/>
      <c r="AO372" s="430"/>
      <c r="AP372" s="430"/>
      <c r="AQ372" s="430"/>
      <c r="AR372" s="430"/>
      <c r="AS372" s="430"/>
      <c r="AT372" s="430"/>
      <c r="AU372" s="430"/>
      <c r="AV372" s="430"/>
      <c r="AW372" s="430"/>
      <c r="AX372" s="430"/>
      <c r="AY372" s="430"/>
      <c r="AZ372" s="430"/>
      <c r="BA372" s="430"/>
      <c r="BB372" s="430"/>
      <c r="BC372" s="430"/>
      <c r="BD372" s="430"/>
      <c r="BE372" s="430"/>
    </row>
    <row r="373" spans="1:57" ht="15.75" customHeight="1">
      <c r="A373" s="430"/>
      <c r="B373" s="430"/>
      <c r="C373" s="430"/>
      <c r="D373" s="430"/>
      <c r="E373" s="430"/>
      <c r="F373" s="430"/>
      <c r="G373" s="430"/>
      <c r="H373" s="430"/>
      <c r="I373" s="430"/>
      <c r="J373" s="430"/>
      <c r="K373" s="430"/>
      <c r="L373" s="430"/>
      <c r="M373" s="430"/>
      <c r="N373" s="430"/>
      <c r="O373" s="430"/>
      <c r="P373" s="430"/>
      <c r="Q373" s="430"/>
      <c r="R373" s="430"/>
      <c r="S373" s="430"/>
      <c r="T373" s="430"/>
      <c r="U373" s="430"/>
      <c r="V373" s="430"/>
      <c r="W373" s="430"/>
      <c r="X373" s="430"/>
      <c r="Y373" s="430"/>
      <c r="Z373" s="430"/>
      <c r="AA373" s="430"/>
      <c r="AB373" s="430"/>
      <c r="AC373" s="430"/>
      <c r="AD373" s="430"/>
      <c r="AE373" s="430"/>
      <c r="AF373" s="430"/>
      <c r="AG373" s="430"/>
      <c r="AH373" s="430"/>
      <c r="AI373" s="430"/>
      <c r="AJ373" s="430"/>
      <c r="AK373" s="430"/>
      <c r="AL373" s="430"/>
      <c r="AM373" s="430"/>
      <c r="AN373" s="430"/>
      <c r="AO373" s="430"/>
      <c r="AP373" s="430"/>
      <c r="AQ373" s="430"/>
      <c r="AR373" s="430"/>
      <c r="AS373" s="430"/>
      <c r="AT373" s="430"/>
      <c r="AU373" s="430"/>
      <c r="AV373" s="430"/>
      <c r="AW373" s="430"/>
      <c r="AX373" s="430"/>
      <c r="AY373" s="430"/>
      <c r="AZ373" s="430"/>
      <c r="BA373" s="430"/>
      <c r="BB373" s="430"/>
      <c r="BC373" s="430"/>
      <c r="BD373" s="430"/>
      <c r="BE373" s="430"/>
    </row>
    <row r="374" spans="1:57" ht="15.75" customHeight="1">
      <c r="A374" s="430"/>
      <c r="B374" s="430"/>
      <c r="C374" s="430"/>
      <c r="D374" s="430"/>
      <c r="E374" s="430"/>
      <c r="F374" s="430"/>
      <c r="G374" s="430"/>
      <c r="H374" s="430"/>
      <c r="I374" s="430"/>
      <c r="J374" s="430"/>
      <c r="K374" s="430"/>
      <c r="L374" s="430"/>
      <c r="M374" s="430"/>
      <c r="N374" s="430"/>
      <c r="O374" s="430"/>
      <c r="P374" s="430"/>
      <c r="Q374" s="430"/>
      <c r="R374" s="430"/>
      <c r="S374" s="430"/>
      <c r="T374" s="430"/>
      <c r="U374" s="430"/>
      <c r="V374" s="430"/>
      <c r="W374" s="430"/>
      <c r="X374" s="430"/>
      <c r="Y374" s="430"/>
      <c r="Z374" s="430"/>
      <c r="AA374" s="430"/>
      <c r="AB374" s="430"/>
      <c r="AC374" s="430"/>
      <c r="AD374" s="430"/>
      <c r="AE374" s="430"/>
      <c r="AF374" s="430"/>
      <c r="AG374" s="430"/>
      <c r="AH374" s="430"/>
      <c r="AI374" s="430"/>
      <c r="AJ374" s="430"/>
      <c r="AK374" s="430"/>
      <c r="AL374" s="430"/>
      <c r="AM374" s="430"/>
      <c r="AN374" s="430"/>
      <c r="AO374" s="430"/>
      <c r="AP374" s="430"/>
      <c r="AQ374" s="430"/>
      <c r="AR374" s="430"/>
      <c r="AS374" s="430"/>
      <c r="AT374" s="430"/>
      <c r="AU374" s="430"/>
      <c r="AV374" s="430"/>
      <c r="AW374" s="430"/>
      <c r="AX374" s="430"/>
      <c r="AY374" s="430"/>
      <c r="AZ374" s="430"/>
      <c r="BA374" s="430"/>
      <c r="BB374" s="430"/>
      <c r="BC374" s="430"/>
      <c r="BD374" s="430"/>
      <c r="BE374" s="430"/>
    </row>
    <row r="375" spans="1:57" ht="15.75" customHeight="1">
      <c r="A375" s="430"/>
      <c r="B375" s="430"/>
      <c r="C375" s="430"/>
      <c r="D375" s="430"/>
      <c r="E375" s="430"/>
      <c r="F375" s="430"/>
      <c r="G375" s="430"/>
      <c r="H375" s="430"/>
      <c r="I375" s="430"/>
      <c r="J375" s="430"/>
      <c r="K375" s="430"/>
      <c r="L375" s="430"/>
      <c r="M375" s="430"/>
      <c r="N375" s="430"/>
      <c r="O375" s="430"/>
      <c r="P375" s="430"/>
      <c r="Q375" s="430"/>
      <c r="R375" s="430"/>
      <c r="S375" s="430"/>
      <c r="T375" s="430"/>
      <c r="U375" s="430"/>
      <c r="V375" s="430"/>
      <c r="W375" s="430"/>
      <c r="X375" s="430"/>
      <c r="Y375" s="430"/>
      <c r="Z375" s="430"/>
      <c r="AA375" s="430"/>
      <c r="AB375" s="430"/>
      <c r="AC375" s="430"/>
      <c r="AD375" s="430"/>
      <c r="AE375" s="430"/>
      <c r="AF375" s="430"/>
      <c r="AG375" s="430"/>
      <c r="AH375" s="430"/>
      <c r="AI375" s="430"/>
      <c r="AJ375" s="430"/>
      <c r="AK375" s="430"/>
      <c r="AL375" s="430"/>
      <c r="AM375" s="430"/>
      <c r="AN375" s="430"/>
      <c r="AO375" s="430"/>
      <c r="AP375" s="430"/>
      <c r="AQ375" s="430"/>
      <c r="AR375" s="430"/>
      <c r="AS375" s="430"/>
      <c r="AT375" s="430"/>
      <c r="AU375" s="430"/>
      <c r="AV375" s="430"/>
      <c r="AW375" s="430"/>
      <c r="AX375" s="430"/>
      <c r="AY375" s="430"/>
      <c r="AZ375" s="430"/>
      <c r="BA375" s="430"/>
      <c r="BB375" s="430"/>
      <c r="BC375" s="430"/>
      <c r="BD375" s="430"/>
      <c r="BE375" s="430"/>
    </row>
    <row r="376" spans="1:57" ht="15.75" customHeight="1">
      <c r="A376" s="430"/>
      <c r="B376" s="430"/>
      <c r="C376" s="430"/>
      <c r="D376" s="430"/>
      <c r="E376" s="430"/>
      <c r="F376" s="430"/>
      <c r="G376" s="430"/>
      <c r="H376" s="430"/>
      <c r="I376" s="430"/>
      <c r="J376" s="430"/>
      <c r="K376" s="430"/>
      <c r="L376" s="430"/>
      <c r="M376" s="430"/>
      <c r="N376" s="430"/>
      <c r="O376" s="430"/>
      <c r="P376" s="430"/>
      <c r="Q376" s="430"/>
      <c r="R376" s="430"/>
      <c r="S376" s="430"/>
      <c r="T376" s="430"/>
      <c r="U376" s="430"/>
      <c r="V376" s="430"/>
      <c r="W376" s="430"/>
      <c r="X376" s="430"/>
      <c r="Y376" s="430"/>
      <c r="Z376" s="430"/>
      <c r="AA376" s="430"/>
      <c r="AB376" s="430"/>
      <c r="AC376" s="430"/>
      <c r="AD376" s="430"/>
      <c r="AE376" s="430"/>
      <c r="AF376" s="430"/>
      <c r="AG376" s="430"/>
      <c r="AH376" s="430"/>
      <c r="AI376" s="430"/>
      <c r="AJ376" s="430"/>
      <c r="AK376" s="430"/>
      <c r="AL376" s="430"/>
      <c r="AM376" s="430"/>
      <c r="AN376" s="430"/>
      <c r="AO376" s="430"/>
      <c r="AP376" s="430"/>
      <c r="AQ376" s="430"/>
      <c r="AR376" s="430"/>
      <c r="AS376" s="430"/>
      <c r="AT376" s="430"/>
      <c r="AU376" s="430"/>
      <c r="AV376" s="430"/>
      <c r="AW376" s="430"/>
      <c r="AX376" s="430"/>
      <c r="AY376" s="430"/>
      <c r="AZ376" s="430"/>
      <c r="BA376" s="430"/>
      <c r="BB376" s="430"/>
      <c r="BC376" s="430"/>
      <c r="BD376" s="430"/>
      <c r="BE376" s="430"/>
    </row>
    <row r="377" spans="1:57" ht="15.75" customHeight="1">
      <c r="A377" s="430"/>
      <c r="B377" s="430"/>
      <c r="C377" s="430"/>
      <c r="D377" s="430"/>
      <c r="E377" s="430"/>
      <c r="F377" s="430"/>
      <c r="G377" s="430"/>
      <c r="H377" s="430"/>
      <c r="I377" s="430"/>
      <c r="J377" s="430"/>
      <c r="K377" s="430"/>
      <c r="L377" s="430"/>
      <c r="M377" s="430"/>
      <c r="N377" s="430"/>
      <c r="O377" s="430"/>
      <c r="P377" s="430"/>
      <c r="Q377" s="430"/>
      <c r="R377" s="430"/>
      <c r="S377" s="430"/>
      <c r="T377" s="430"/>
      <c r="U377" s="430"/>
      <c r="V377" s="430"/>
      <c r="W377" s="430"/>
      <c r="X377" s="430"/>
      <c r="Y377" s="430"/>
      <c r="Z377" s="430"/>
      <c r="AA377" s="430"/>
      <c r="AB377" s="430"/>
      <c r="AC377" s="430"/>
      <c r="AD377" s="430"/>
      <c r="AE377" s="430"/>
      <c r="AF377" s="430"/>
      <c r="AG377" s="430"/>
      <c r="AH377" s="430"/>
      <c r="AI377" s="430"/>
      <c r="AJ377" s="430"/>
      <c r="AK377" s="430"/>
      <c r="AL377" s="430"/>
      <c r="AM377" s="430"/>
      <c r="AN377" s="430"/>
      <c r="AO377" s="430"/>
      <c r="AP377" s="430"/>
      <c r="AQ377" s="430"/>
      <c r="AR377" s="430"/>
      <c r="AS377" s="430"/>
      <c r="AT377" s="430"/>
      <c r="AU377" s="430"/>
      <c r="AV377" s="430"/>
      <c r="AW377" s="430"/>
      <c r="AX377" s="430"/>
      <c r="AY377" s="430"/>
      <c r="AZ377" s="430"/>
      <c r="BA377" s="430"/>
      <c r="BB377" s="430"/>
      <c r="BC377" s="430"/>
      <c r="BD377" s="430"/>
      <c r="BE377" s="430"/>
    </row>
    <row r="378" spans="1:57" ht="15.75" customHeight="1">
      <c r="A378" s="430"/>
      <c r="B378" s="430"/>
      <c r="C378" s="430"/>
      <c r="D378" s="430"/>
      <c r="E378" s="430"/>
      <c r="F378" s="430"/>
      <c r="G378" s="430"/>
      <c r="H378" s="430"/>
      <c r="I378" s="430"/>
      <c r="J378" s="430"/>
      <c r="K378" s="430"/>
      <c r="L378" s="430"/>
      <c r="M378" s="430"/>
      <c r="N378" s="430"/>
      <c r="O378" s="430"/>
      <c r="P378" s="430"/>
      <c r="Q378" s="430"/>
      <c r="R378" s="430"/>
      <c r="S378" s="430"/>
      <c r="T378" s="430"/>
      <c r="U378" s="430"/>
      <c r="V378" s="430"/>
      <c r="W378" s="430"/>
      <c r="X378" s="430"/>
      <c r="Y378" s="430"/>
      <c r="Z378" s="430"/>
      <c r="AA378" s="430"/>
      <c r="AB378" s="430"/>
      <c r="AC378" s="430"/>
      <c r="AD378" s="430"/>
      <c r="AE378" s="430"/>
      <c r="AF378" s="430"/>
      <c r="AG378" s="430"/>
      <c r="AH378" s="430"/>
      <c r="AI378" s="430"/>
      <c r="AJ378" s="430"/>
      <c r="AK378" s="430"/>
      <c r="AL378" s="430"/>
      <c r="AM378" s="430"/>
      <c r="AN378" s="430"/>
      <c r="AO378" s="430"/>
      <c r="AP378" s="430"/>
      <c r="AQ378" s="430"/>
      <c r="AR378" s="430"/>
      <c r="AS378" s="430"/>
      <c r="AT378" s="430"/>
      <c r="AU378" s="430"/>
      <c r="AV378" s="430"/>
      <c r="AW378" s="430"/>
      <c r="AX378" s="430"/>
      <c r="AY378" s="430"/>
      <c r="AZ378" s="430"/>
      <c r="BA378" s="430"/>
      <c r="BB378" s="430"/>
      <c r="BC378" s="430"/>
      <c r="BD378" s="430"/>
      <c r="BE378" s="430"/>
    </row>
    <row r="379" spans="1:57" ht="15.75" customHeight="1">
      <c r="A379" s="430"/>
      <c r="B379" s="430"/>
      <c r="C379" s="430"/>
      <c r="D379" s="430"/>
      <c r="E379" s="430"/>
      <c r="F379" s="430"/>
      <c r="G379" s="430"/>
      <c r="H379" s="430"/>
      <c r="I379" s="430"/>
      <c r="J379" s="430"/>
      <c r="K379" s="430"/>
      <c r="L379" s="430"/>
      <c r="M379" s="430"/>
      <c r="N379" s="430"/>
      <c r="O379" s="430"/>
      <c r="P379" s="430"/>
      <c r="Q379" s="430"/>
      <c r="R379" s="430"/>
      <c r="S379" s="430"/>
      <c r="T379" s="430"/>
      <c r="U379" s="430"/>
      <c r="V379" s="430"/>
      <c r="W379" s="430"/>
      <c r="X379" s="430"/>
      <c r="Y379" s="430"/>
      <c r="Z379" s="430"/>
      <c r="AA379" s="430"/>
      <c r="AB379" s="430"/>
      <c r="AC379" s="430"/>
      <c r="AD379" s="430"/>
      <c r="AE379" s="430"/>
      <c r="AF379" s="430"/>
      <c r="AG379" s="430"/>
      <c r="AH379" s="430"/>
      <c r="AI379" s="430"/>
      <c r="AJ379" s="430"/>
      <c r="AK379" s="430"/>
      <c r="AL379" s="430"/>
      <c r="AM379" s="430"/>
      <c r="AN379" s="430"/>
      <c r="AO379" s="430"/>
      <c r="AP379" s="430"/>
      <c r="AQ379" s="430"/>
      <c r="AR379" s="430"/>
      <c r="AS379" s="430"/>
      <c r="AT379" s="430"/>
      <c r="AU379" s="430"/>
      <c r="AV379" s="430"/>
      <c r="AW379" s="430"/>
      <c r="AX379" s="430"/>
      <c r="AY379" s="430"/>
      <c r="AZ379" s="430"/>
      <c r="BA379" s="430"/>
      <c r="BB379" s="430"/>
      <c r="BC379" s="430"/>
      <c r="BD379" s="430"/>
      <c r="BE379" s="430"/>
    </row>
    <row r="380" spans="1:57" ht="15.75" customHeight="1">
      <c r="A380" s="430"/>
      <c r="B380" s="430"/>
      <c r="C380" s="430"/>
      <c r="D380" s="430"/>
      <c r="E380" s="430"/>
      <c r="F380" s="430"/>
      <c r="G380" s="430"/>
      <c r="H380" s="430"/>
      <c r="I380" s="430"/>
      <c r="J380" s="430"/>
      <c r="K380" s="430"/>
      <c r="L380" s="430"/>
      <c r="M380" s="430"/>
      <c r="N380" s="430"/>
      <c r="O380" s="430"/>
      <c r="P380" s="430"/>
      <c r="Q380" s="430"/>
      <c r="R380" s="430"/>
      <c r="S380" s="430"/>
      <c r="T380" s="430"/>
      <c r="U380" s="430"/>
      <c r="V380" s="430"/>
      <c r="W380" s="430"/>
      <c r="X380" s="430"/>
      <c r="Y380" s="430"/>
      <c r="Z380" s="430"/>
      <c r="AA380" s="430"/>
      <c r="AB380" s="430"/>
      <c r="AC380" s="430"/>
      <c r="AD380" s="430"/>
      <c r="AE380" s="430"/>
      <c r="AF380" s="430"/>
      <c r="AG380" s="430"/>
      <c r="AH380" s="430"/>
      <c r="AI380" s="430"/>
      <c r="AJ380" s="430"/>
      <c r="AK380" s="430"/>
      <c r="AL380" s="430"/>
      <c r="AM380" s="430"/>
      <c r="AN380" s="430"/>
      <c r="AO380" s="430"/>
      <c r="AP380" s="430"/>
      <c r="AQ380" s="430"/>
      <c r="AR380" s="430"/>
      <c r="AS380" s="430"/>
      <c r="AT380" s="430"/>
      <c r="AU380" s="430"/>
      <c r="AV380" s="430"/>
      <c r="AW380" s="430"/>
      <c r="AX380" s="430"/>
      <c r="AY380" s="430"/>
      <c r="AZ380" s="430"/>
      <c r="BA380" s="430"/>
      <c r="BB380" s="430"/>
      <c r="BC380" s="430"/>
      <c r="BD380" s="430"/>
      <c r="BE380" s="430"/>
    </row>
    <row r="381" spans="1:57" ht="15.75" customHeight="1">
      <c r="A381" s="430"/>
      <c r="B381" s="430"/>
      <c r="C381" s="430"/>
      <c r="D381" s="430"/>
      <c r="E381" s="430"/>
      <c r="F381" s="430"/>
      <c r="G381" s="430"/>
      <c r="H381" s="430"/>
      <c r="I381" s="430"/>
      <c r="J381" s="430"/>
      <c r="K381" s="430"/>
      <c r="L381" s="430"/>
      <c r="M381" s="430"/>
      <c r="N381" s="430"/>
      <c r="O381" s="430"/>
      <c r="P381" s="430"/>
      <c r="Q381" s="430"/>
      <c r="R381" s="430"/>
      <c r="S381" s="430"/>
      <c r="T381" s="430"/>
      <c r="U381" s="430"/>
      <c r="V381" s="430"/>
      <c r="W381" s="430"/>
      <c r="X381" s="430"/>
      <c r="Y381" s="430"/>
      <c r="Z381" s="430"/>
      <c r="AA381" s="430"/>
      <c r="AB381" s="430"/>
      <c r="AC381" s="430"/>
      <c r="AD381" s="430"/>
      <c r="AE381" s="430"/>
      <c r="AF381" s="430"/>
      <c r="AG381" s="430"/>
      <c r="AH381" s="430"/>
      <c r="AI381" s="430"/>
      <c r="AJ381" s="430"/>
      <c r="AK381" s="430"/>
      <c r="AL381" s="430"/>
      <c r="AM381" s="430"/>
      <c r="AN381" s="430"/>
      <c r="AO381" s="430"/>
      <c r="AP381" s="430"/>
      <c r="AQ381" s="430"/>
      <c r="AR381" s="430"/>
      <c r="AS381" s="430"/>
      <c r="AT381" s="430"/>
      <c r="AU381" s="430"/>
      <c r="AV381" s="430"/>
      <c r="AW381" s="430"/>
      <c r="AX381" s="430"/>
      <c r="AY381" s="430"/>
      <c r="AZ381" s="430"/>
      <c r="BA381" s="430"/>
      <c r="BB381" s="430"/>
      <c r="BC381" s="430"/>
      <c r="BD381" s="430"/>
      <c r="BE381" s="430"/>
    </row>
    <row r="382" spans="1:57" ht="15.75" customHeight="1">
      <c r="A382" s="430"/>
      <c r="B382" s="430"/>
      <c r="C382" s="430"/>
      <c r="D382" s="430"/>
      <c r="E382" s="430"/>
      <c r="F382" s="430"/>
      <c r="G382" s="430"/>
      <c r="H382" s="430"/>
      <c r="I382" s="430"/>
      <c r="J382" s="430"/>
      <c r="K382" s="430"/>
      <c r="L382" s="430"/>
      <c r="M382" s="430"/>
      <c r="N382" s="430"/>
      <c r="O382" s="430"/>
      <c r="P382" s="430"/>
      <c r="Q382" s="430"/>
      <c r="R382" s="430"/>
      <c r="S382" s="430"/>
      <c r="T382" s="430"/>
      <c r="U382" s="430"/>
      <c r="V382" s="430"/>
      <c r="W382" s="430"/>
      <c r="X382" s="430"/>
      <c r="Y382" s="430"/>
      <c r="Z382" s="430"/>
      <c r="AA382" s="430"/>
      <c r="AB382" s="430"/>
      <c r="AC382" s="430"/>
      <c r="AD382" s="430"/>
      <c r="AE382" s="430"/>
      <c r="AF382" s="430"/>
      <c r="AG382" s="430"/>
      <c r="AH382" s="430"/>
      <c r="AI382" s="430"/>
      <c r="AJ382" s="430"/>
      <c r="AK382" s="430"/>
      <c r="AL382" s="430"/>
      <c r="AM382" s="430"/>
      <c r="AN382" s="430"/>
      <c r="AO382" s="430"/>
      <c r="AP382" s="430"/>
      <c r="AQ382" s="430"/>
      <c r="AR382" s="430"/>
      <c r="AS382" s="430"/>
      <c r="AT382" s="430"/>
      <c r="AU382" s="430"/>
      <c r="AV382" s="430"/>
      <c r="AW382" s="430"/>
      <c r="AX382" s="430"/>
      <c r="AY382" s="430"/>
      <c r="AZ382" s="430"/>
      <c r="BA382" s="430"/>
      <c r="BB382" s="430"/>
      <c r="BC382" s="430"/>
      <c r="BD382" s="430"/>
      <c r="BE382" s="430"/>
    </row>
    <row r="383" spans="1:57" ht="15.75" customHeight="1">
      <c r="A383" s="430"/>
      <c r="B383" s="430"/>
      <c r="C383" s="430"/>
      <c r="D383" s="430"/>
      <c r="E383" s="430"/>
      <c r="F383" s="430"/>
      <c r="G383" s="430"/>
      <c r="H383" s="430"/>
      <c r="I383" s="430"/>
      <c r="J383" s="430"/>
      <c r="K383" s="430"/>
      <c r="L383" s="430"/>
      <c r="M383" s="430"/>
      <c r="N383" s="430"/>
      <c r="O383" s="430"/>
      <c r="P383" s="430"/>
      <c r="Q383" s="430"/>
      <c r="R383" s="430"/>
      <c r="S383" s="430"/>
      <c r="T383" s="430"/>
      <c r="U383" s="430"/>
      <c r="V383" s="430"/>
      <c r="W383" s="430"/>
      <c r="X383" s="430"/>
      <c r="Y383" s="430"/>
      <c r="Z383" s="430"/>
      <c r="AA383" s="430"/>
      <c r="AB383" s="430"/>
      <c r="AC383" s="430"/>
      <c r="AD383" s="430"/>
      <c r="AE383" s="430"/>
      <c r="AF383" s="430"/>
      <c r="AG383" s="430"/>
      <c r="AH383" s="430"/>
      <c r="AI383" s="430"/>
      <c r="AJ383" s="430"/>
      <c r="AK383" s="430"/>
      <c r="AL383" s="430"/>
      <c r="AM383" s="430"/>
      <c r="AN383" s="430"/>
      <c r="AO383" s="430"/>
      <c r="AP383" s="430"/>
      <c r="AQ383" s="430"/>
      <c r="AR383" s="430"/>
      <c r="AS383" s="430"/>
      <c r="AT383" s="430"/>
      <c r="AU383" s="430"/>
      <c r="AV383" s="430"/>
      <c r="AW383" s="430"/>
      <c r="AX383" s="430"/>
      <c r="AY383" s="430"/>
      <c r="AZ383" s="430"/>
      <c r="BA383" s="430"/>
      <c r="BB383" s="430"/>
      <c r="BC383" s="430"/>
      <c r="BD383" s="430"/>
      <c r="BE383" s="430"/>
    </row>
    <row r="384" spans="1:57" ht="15.75" customHeight="1">
      <c r="A384" s="430"/>
      <c r="B384" s="430"/>
      <c r="C384" s="430"/>
      <c r="D384" s="430"/>
      <c r="E384" s="430"/>
      <c r="F384" s="430"/>
      <c r="G384" s="430"/>
      <c r="H384" s="430"/>
      <c r="I384" s="430"/>
      <c r="J384" s="430"/>
      <c r="K384" s="430"/>
      <c r="L384" s="430"/>
      <c r="M384" s="430"/>
      <c r="N384" s="430"/>
      <c r="O384" s="430"/>
      <c r="P384" s="430"/>
      <c r="Q384" s="430"/>
      <c r="R384" s="430"/>
      <c r="S384" s="430"/>
      <c r="T384" s="430"/>
      <c r="U384" s="430"/>
      <c r="V384" s="430"/>
      <c r="W384" s="430"/>
      <c r="X384" s="430"/>
      <c r="Y384" s="430"/>
      <c r="Z384" s="430"/>
      <c r="AA384" s="430"/>
      <c r="AB384" s="430"/>
      <c r="AC384" s="430"/>
      <c r="AD384" s="430"/>
      <c r="AE384" s="430"/>
      <c r="AF384" s="430"/>
      <c r="AG384" s="430"/>
      <c r="AH384" s="430"/>
      <c r="AI384" s="430"/>
      <c r="AJ384" s="430"/>
      <c r="AK384" s="430"/>
      <c r="AL384" s="430"/>
      <c r="AM384" s="430"/>
      <c r="AN384" s="430"/>
      <c r="AO384" s="430"/>
      <c r="AP384" s="430"/>
      <c r="AQ384" s="430"/>
      <c r="AR384" s="430"/>
      <c r="AS384" s="430"/>
      <c r="AT384" s="430"/>
      <c r="AU384" s="430"/>
      <c r="AV384" s="430"/>
      <c r="AW384" s="430"/>
      <c r="AX384" s="430"/>
      <c r="AY384" s="430"/>
      <c r="AZ384" s="430"/>
      <c r="BA384" s="430"/>
      <c r="BB384" s="430"/>
      <c r="BC384" s="430"/>
      <c r="BD384" s="430"/>
      <c r="BE384" s="430"/>
    </row>
    <row r="385" spans="1:57" ht="15.75" customHeight="1">
      <c r="A385" s="430"/>
      <c r="B385" s="430"/>
      <c r="C385" s="430"/>
      <c r="D385" s="430"/>
      <c r="E385" s="430"/>
      <c r="F385" s="430"/>
      <c r="G385" s="430"/>
      <c r="H385" s="430"/>
      <c r="I385" s="430"/>
      <c r="J385" s="430"/>
      <c r="K385" s="430"/>
      <c r="L385" s="430"/>
      <c r="M385" s="430"/>
      <c r="N385" s="430"/>
      <c r="O385" s="430"/>
      <c r="P385" s="430"/>
      <c r="Q385" s="430"/>
      <c r="R385" s="430"/>
      <c r="S385" s="430"/>
      <c r="T385" s="430"/>
      <c r="U385" s="430"/>
      <c r="V385" s="430"/>
      <c r="W385" s="430"/>
      <c r="X385" s="430"/>
      <c r="Y385" s="430"/>
      <c r="Z385" s="430"/>
      <c r="AA385" s="430"/>
      <c r="AB385" s="430"/>
      <c r="AC385" s="430"/>
      <c r="AD385" s="430"/>
      <c r="AE385" s="430"/>
      <c r="AF385" s="430"/>
      <c r="AG385" s="430"/>
      <c r="AH385" s="430"/>
      <c r="AI385" s="430"/>
      <c r="AJ385" s="430"/>
      <c r="AK385" s="430"/>
      <c r="AL385" s="430"/>
      <c r="AM385" s="430"/>
      <c r="AN385" s="430"/>
      <c r="AO385" s="430"/>
      <c r="AP385" s="430"/>
      <c r="AQ385" s="430"/>
      <c r="AR385" s="430"/>
      <c r="AS385" s="430"/>
      <c r="AT385" s="430"/>
      <c r="AU385" s="430"/>
      <c r="AV385" s="430"/>
      <c r="AW385" s="430"/>
      <c r="AX385" s="430"/>
      <c r="AY385" s="430"/>
      <c r="AZ385" s="430"/>
      <c r="BA385" s="430"/>
      <c r="BB385" s="430"/>
      <c r="BC385" s="430"/>
      <c r="BD385" s="430"/>
      <c r="BE385" s="430"/>
    </row>
    <row r="386" spans="1:57" ht="15.75" customHeight="1">
      <c r="A386" s="430"/>
      <c r="B386" s="430"/>
      <c r="C386" s="430"/>
      <c r="D386" s="430"/>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row>
    <row r="387" spans="1:57" ht="15.75" customHeight="1">
      <c r="A387" s="430"/>
      <c r="B387" s="430"/>
      <c r="C387" s="430"/>
      <c r="D387" s="430"/>
      <c r="E387" s="430"/>
      <c r="F387" s="430"/>
      <c r="G387" s="430"/>
      <c r="H387" s="430"/>
      <c r="I387" s="430"/>
      <c r="J387" s="430"/>
      <c r="K387" s="430"/>
      <c r="L387" s="430"/>
      <c r="M387" s="430"/>
      <c r="N387" s="430"/>
      <c r="O387" s="430"/>
      <c r="P387" s="430"/>
      <c r="Q387" s="430"/>
      <c r="R387" s="430"/>
      <c r="S387" s="430"/>
      <c r="T387" s="430"/>
      <c r="U387" s="430"/>
      <c r="V387" s="430"/>
      <c r="W387" s="430"/>
      <c r="X387" s="430"/>
      <c r="Y387" s="430"/>
      <c r="Z387" s="430"/>
      <c r="AA387" s="430"/>
      <c r="AB387" s="430"/>
      <c r="AC387" s="430"/>
      <c r="AD387" s="430"/>
      <c r="AE387" s="430"/>
      <c r="AF387" s="430"/>
      <c r="AG387" s="430"/>
      <c r="AH387" s="430"/>
      <c r="AI387" s="430"/>
      <c r="AJ387" s="430"/>
      <c r="AK387" s="430"/>
      <c r="AL387" s="430"/>
      <c r="AM387" s="430"/>
      <c r="AN387" s="430"/>
      <c r="AO387" s="430"/>
      <c r="AP387" s="430"/>
      <c r="AQ387" s="430"/>
      <c r="AR387" s="430"/>
      <c r="AS387" s="430"/>
      <c r="AT387" s="430"/>
      <c r="AU387" s="430"/>
      <c r="AV387" s="430"/>
      <c r="AW387" s="430"/>
      <c r="AX387" s="430"/>
      <c r="AY387" s="430"/>
      <c r="AZ387" s="430"/>
      <c r="BA387" s="430"/>
      <c r="BB387" s="430"/>
      <c r="BC387" s="430"/>
      <c r="BD387" s="430"/>
      <c r="BE387" s="430"/>
    </row>
    <row r="388" spans="1:57" ht="15.75" customHeight="1">
      <c r="A388" s="430"/>
      <c r="B388" s="430"/>
      <c r="C388" s="430"/>
      <c r="D388" s="430"/>
      <c r="E388" s="430"/>
      <c r="F388" s="430"/>
      <c r="G388" s="430"/>
      <c r="H388" s="430"/>
      <c r="I388" s="430"/>
      <c r="J388" s="430"/>
      <c r="K388" s="430"/>
      <c r="L388" s="430"/>
      <c r="M388" s="430"/>
      <c r="N388" s="430"/>
      <c r="O388" s="430"/>
      <c r="P388" s="430"/>
      <c r="Q388" s="430"/>
      <c r="R388" s="430"/>
      <c r="S388" s="430"/>
      <c r="T388" s="430"/>
      <c r="U388" s="430"/>
      <c r="V388" s="430"/>
      <c r="W388" s="430"/>
      <c r="X388" s="430"/>
      <c r="Y388" s="430"/>
      <c r="Z388" s="430"/>
      <c r="AA388" s="430"/>
      <c r="AB388" s="430"/>
      <c r="AC388" s="430"/>
      <c r="AD388" s="430"/>
      <c r="AE388" s="430"/>
      <c r="AF388" s="430"/>
      <c r="AG388" s="430"/>
      <c r="AH388" s="430"/>
      <c r="AI388" s="430"/>
      <c r="AJ388" s="430"/>
      <c r="AK388" s="430"/>
      <c r="AL388" s="430"/>
      <c r="AM388" s="430"/>
      <c r="AN388" s="430"/>
      <c r="AO388" s="430"/>
      <c r="AP388" s="430"/>
      <c r="AQ388" s="430"/>
      <c r="AR388" s="430"/>
      <c r="AS388" s="430"/>
      <c r="AT388" s="430"/>
      <c r="AU388" s="430"/>
      <c r="AV388" s="430"/>
      <c r="AW388" s="430"/>
      <c r="AX388" s="430"/>
      <c r="AY388" s="430"/>
      <c r="AZ388" s="430"/>
      <c r="BA388" s="430"/>
      <c r="BB388" s="430"/>
      <c r="BC388" s="430"/>
      <c r="BD388" s="430"/>
      <c r="BE388" s="430"/>
    </row>
    <row r="389" spans="1:57" ht="15.75" customHeight="1">
      <c r="A389" s="430"/>
      <c r="B389" s="430"/>
      <c r="C389" s="430"/>
      <c r="D389" s="430"/>
      <c r="E389" s="430"/>
      <c r="F389" s="430"/>
      <c r="G389" s="430"/>
      <c r="H389" s="430"/>
      <c r="I389" s="430"/>
      <c r="J389" s="430"/>
      <c r="K389" s="430"/>
      <c r="L389" s="430"/>
      <c r="M389" s="430"/>
      <c r="N389" s="430"/>
      <c r="O389" s="430"/>
      <c r="P389" s="430"/>
      <c r="Q389" s="430"/>
      <c r="R389" s="430"/>
      <c r="S389" s="430"/>
      <c r="T389" s="430"/>
      <c r="U389" s="430"/>
      <c r="V389" s="430"/>
      <c r="W389" s="430"/>
      <c r="X389" s="430"/>
      <c r="Y389" s="430"/>
      <c r="Z389" s="430"/>
      <c r="AA389" s="430"/>
      <c r="AB389" s="430"/>
      <c r="AC389" s="430"/>
      <c r="AD389" s="430"/>
      <c r="AE389" s="430"/>
      <c r="AF389" s="430"/>
      <c r="AG389" s="430"/>
      <c r="AH389" s="430"/>
      <c r="AI389" s="430"/>
      <c r="AJ389" s="430"/>
      <c r="AK389" s="430"/>
      <c r="AL389" s="430"/>
      <c r="AM389" s="430"/>
      <c r="AN389" s="430"/>
      <c r="AO389" s="430"/>
      <c r="AP389" s="430"/>
      <c r="AQ389" s="430"/>
      <c r="AR389" s="430"/>
      <c r="AS389" s="430"/>
      <c r="AT389" s="430"/>
      <c r="AU389" s="430"/>
      <c r="AV389" s="430"/>
      <c r="AW389" s="430"/>
      <c r="AX389" s="430"/>
      <c r="AY389" s="430"/>
      <c r="AZ389" s="430"/>
      <c r="BA389" s="430"/>
      <c r="BB389" s="430"/>
      <c r="BC389" s="430"/>
      <c r="BD389" s="430"/>
      <c r="BE389" s="430"/>
    </row>
    <row r="390" spans="1:57" ht="15.75" customHeight="1">
      <c r="A390" s="430"/>
      <c r="B390" s="430"/>
      <c r="C390" s="430"/>
      <c r="D390" s="430"/>
      <c r="E390" s="430"/>
      <c r="F390" s="430"/>
      <c r="G390" s="430"/>
      <c r="H390" s="430"/>
      <c r="I390" s="430"/>
      <c r="J390" s="430"/>
      <c r="K390" s="430"/>
      <c r="L390" s="430"/>
      <c r="M390" s="430"/>
      <c r="N390" s="430"/>
      <c r="O390" s="430"/>
      <c r="P390" s="430"/>
      <c r="Q390" s="430"/>
      <c r="R390" s="430"/>
      <c r="S390" s="430"/>
      <c r="T390" s="430"/>
      <c r="U390" s="430"/>
      <c r="V390" s="430"/>
      <c r="W390" s="430"/>
      <c r="X390" s="430"/>
      <c r="Y390" s="430"/>
      <c r="Z390" s="430"/>
      <c r="AA390" s="430"/>
      <c r="AB390" s="430"/>
      <c r="AC390" s="430"/>
      <c r="AD390" s="430"/>
      <c r="AE390" s="430"/>
      <c r="AF390" s="430"/>
      <c r="AG390" s="430"/>
      <c r="AH390" s="430"/>
      <c r="AI390" s="430"/>
      <c r="AJ390" s="430"/>
      <c r="AK390" s="430"/>
      <c r="AL390" s="430"/>
      <c r="AM390" s="430"/>
      <c r="AN390" s="430"/>
      <c r="AO390" s="430"/>
      <c r="AP390" s="430"/>
      <c r="AQ390" s="430"/>
      <c r="AR390" s="430"/>
      <c r="AS390" s="430"/>
      <c r="AT390" s="430"/>
      <c r="AU390" s="430"/>
      <c r="AV390" s="430"/>
      <c r="AW390" s="430"/>
      <c r="AX390" s="430"/>
      <c r="AY390" s="430"/>
      <c r="AZ390" s="430"/>
      <c r="BA390" s="430"/>
      <c r="BB390" s="430"/>
      <c r="BC390" s="430"/>
      <c r="BD390" s="430"/>
      <c r="BE390" s="430"/>
    </row>
    <row r="391" spans="1:57" ht="15.75" customHeight="1">
      <c r="A391" s="430"/>
      <c r="B391" s="430"/>
      <c r="C391" s="430"/>
      <c r="D391" s="430"/>
      <c r="E391" s="430"/>
      <c r="F391" s="430"/>
      <c r="G391" s="430"/>
      <c r="H391" s="430"/>
      <c r="I391" s="430"/>
      <c r="J391" s="430"/>
      <c r="K391" s="430"/>
      <c r="L391" s="430"/>
      <c r="M391" s="430"/>
      <c r="N391" s="430"/>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430"/>
      <c r="AL391" s="430"/>
      <c r="AM391" s="430"/>
      <c r="AN391" s="430"/>
      <c r="AO391" s="430"/>
      <c r="AP391" s="430"/>
      <c r="AQ391" s="430"/>
      <c r="AR391" s="430"/>
      <c r="AS391" s="430"/>
      <c r="AT391" s="430"/>
      <c r="AU391" s="430"/>
      <c r="AV391" s="430"/>
      <c r="AW391" s="430"/>
      <c r="AX391" s="430"/>
      <c r="AY391" s="430"/>
      <c r="AZ391" s="430"/>
      <c r="BA391" s="430"/>
      <c r="BB391" s="430"/>
      <c r="BC391" s="430"/>
      <c r="BD391" s="430"/>
      <c r="BE391" s="430"/>
    </row>
    <row r="392" spans="1:57" ht="15.75" customHeight="1">
      <c r="A392" s="430"/>
      <c r="B392" s="430"/>
      <c r="C392" s="430"/>
      <c r="D392" s="430"/>
      <c r="E392" s="430"/>
      <c r="F392" s="430"/>
      <c r="G392" s="430"/>
      <c r="H392" s="430"/>
      <c r="I392" s="430"/>
      <c r="J392" s="430"/>
      <c r="K392" s="430"/>
      <c r="L392" s="430"/>
      <c r="M392" s="430"/>
      <c r="N392" s="430"/>
      <c r="O392" s="430"/>
      <c r="P392" s="430"/>
      <c r="Q392" s="430"/>
      <c r="R392" s="430"/>
      <c r="S392" s="430"/>
      <c r="T392" s="430"/>
      <c r="U392" s="430"/>
      <c r="V392" s="430"/>
      <c r="W392" s="430"/>
      <c r="X392" s="430"/>
      <c r="Y392" s="430"/>
      <c r="Z392" s="430"/>
      <c r="AA392" s="430"/>
      <c r="AB392" s="430"/>
      <c r="AC392" s="430"/>
      <c r="AD392" s="430"/>
      <c r="AE392" s="430"/>
      <c r="AF392" s="430"/>
      <c r="AG392" s="430"/>
      <c r="AH392" s="430"/>
      <c r="AI392" s="430"/>
      <c r="AJ392" s="430"/>
      <c r="AK392" s="430"/>
      <c r="AL392" s="430"/>
      <c r="AM392" s="430"/>
      <c r="AN392" s="430"/>
      <c r="AO392" s="430"/>
      <c r="AP392" s="430"/>
      <c r="AQ392" s="430"/>
      <c r="AR392" s="430"/>
      <c r="AS392" s="430"/>
      <c r="AT392" s="430"/>
      <c r="AU392" s="430"/>
      <c r="AV392" s="430"/>
      <c r="AW392" s="430"/>
      <c r="AX392" s="430"/>
      <c r="AY392" s="430"/>
      <c r="AZ392" s="430"/>
      <c r="BA392" s="430"/>
      <c r="BB392" s="430"/>
      <c r="BC392" s="430"/>
      <c r="BD392" s="430"/>
      <c r="BE392" s="430"/>
    </row>
    <row r="393" spans="1:57" ht="15.75" customHeight="1">
      <c r="A393" s="430"/>
      <c r="B393" s="430"/>
      <c r="C393" s="430"/>
      <c r="D393" s="430"/>
      <c r="E393" s="430"/>
      <c r="F393" s="430"/>
      <c r="G393" s="430"/>
      <c r="H393" s="430"/>
      <c r="I393" s="430"/>
      <c r="J393" s="430"/>
      <c r="K393" s="430"/>
      <c r="L393" s="430"/>
      <c r="M393" s="430"/>
      <c r="N393" s="430"/>
      <c r="O393" s="430"/>
      <c r="P393" s="430"/>
      <c r="Q393" s="430"/>
      <c r="R393" s="430"/>
      <c r="S393" s="430"/>
      <c r="T393" s="430"/>
      <c r="U393" s="430"/>
      <c r="V393" s="430"/>
      <c r="W393" s="430"/>
      <c r="X393" s="430"/>
      <c r="Y393" s="430"/>
      <c r="Z393" s="430"/>
      <c r="AA393" s="430"/>
      <c r="AB393" s="430"/>
      <c r="AC393" s="430"/>
      <c r="AD393" s="430"/>
      <c r="AE393" s="430"/>
      <c r="AF393" s="430"/>
      <c r="AG393" s="430"/>
      <c r="AH393" s="430"/>
      <c r="AI393" s="430"/>
      <c r="AJ393" s="430"/>
      <c r="AK393" s="430"/>
      <c r="AL393" s="430"/>
      <c r="AM393" s="430"/>
      <c r="AN393" s="430"/>
      <c r="AO393" s="430"/>
      <c r="AP393" s="430"/>
      <c r="AQ393" s="430"/>
      <c r="AR393" s="430"/>
      <c r="AS393" s="430"/>
      <c r="AT393" s="430"/>
      <c r="AU393" s="430"/>
      <c r="AV393" s="430"/>
      <c r="AW393" s="430"/>
      <c r="AX393" s="430"/>
      <c r="AY393" s="430"/>
      <c r="AZ393" s="430"/>
      <c r="BA393" s="430"/>
      <c r="BB393" s="430"/>
      <c r="BC393" s="430"/>
      <c r="BD393" s="430"/>
      <c r="BE393" s="430"/>
    </row>
    <row r="394" spans="1:57" ht="15.75" customHeight="1">
      <c r="A394" s="430"/>
      <c r="B394" s="430"/>
      <c r="C394" s="430"/>
      <c r="D394" s="430"/>
      <c r="E394" s="430"/>
      <c r="F394" s="430"/>
      <c r="G394" s="430"/>
      <c r="H394" s="430"/>
      <c r="I394" s="430"/>
      <c r="J394" s="430"/>
      <c r="K394" s="430"/>
      <c r="L394" s="430"/>
      <c r="M394" s="430"/>
      <c r="N394" s="430"/>
      <c r="O394" s="430"/>
      <c r="P394" s="430"/>
      <c r="Q394" s="430"/>
      <c r="R394" s="430"/>
      <c r="S394" s="430"/>
      <c r="T394" s="430"/>
      <c r="U394" s="430"/>
      <c r="V394" s="430"/>
      <c r="W394" s="430"/>
      <c r="X394" s="430"/>
      <c r="Y394" s="430"/>
      <c r="Z394" s="430"/>
      <c r="AA394" s="430"/>
      <c r="AB394" s="430"/>
      <c r="AC394" s="430"/>
      <c r="AD394" s="430"/>
      <c r="AE394" s="430"/>
      <c r="AF394" s="430"/>
      <c r="AG394" s="430"/>
      <c r="AH394" s="430"/>
      <c r="AI394" s="430"/>
      <c r="AJ394" s="430"/>
      <c r="AK394" s="430"/>
      <c r="AL394" s="430"/>
      <c r="AM394" s="430"/>
      <c r="AN394" s="430"/>
      <c r="AO394" s="430"/>
      <c r="AP394" s="430"/>
      <c r="AQ394" s="430"/>
      <c r="AR394" s="430"/>
      <c r="AS394" s="430"/>
      <c r="AT394" s="430"/>
      <c r="AU394" s="430"/>
      <c r="AV394" s="430"/>
      <c r="AW394" s="430"/>
      <c r="AX394" s="430"/>
      <c r="AY394" s="430"/>
      <c r="AZ394" s="430"/>
      <c r="BA394" s="430"/>
      <c r="BB394" s="430"/>
      <c r="BC394" s="430"/>
      <c r="BD394" s="430"/>
      <c r="BE394" s="430"/>
    </row>
    <row r="395" spans="1:57" ht="15.75" customHeight="1">
      <c r="A395" s="430"/>
      <c r="B395" s="430"/>
      <c r="C395" s="430"/>
      <c r="D395" s="430"/>
      <c r="E395" s="430"/>
      <c r="F395" s="430"/>
      <c r="G395" s="430"/>
      <c r="H395" s="430"/>
      <c r="I395" s="430"/>
      <c r="J395" s="430"/>
      <c r="K395" s="430"/>
      <c r="L395" s="430"/>
      <c r="M395" s="430"/>
      <c r="N395" s="430"/>
      <c r="O395" s="430"/>
      <c r="P395" s="430"/>
      <c r="Q395" s="430"/>
      <c r="R395" s="430"/>
      <c r="S395" s="430"/>
      <c r="T395" s="430"/>
      <c r="U395" s="430"/>
      <c r="V395" s="430"/>
      <c r="W395" s="430"/>
      <c r="X395" s="430"/>
      <c r="Y395" s="430"/>
      <c r="Z395" s="430"/>
      <c r="AA395" s="430"/>
      <c r="AB395" s="430"/>
      <c r="AC395" s="430"/>
      <c r="AD395" s="430"/>
      <c r="AE395" s="430"/>
      <c r="AF395" s="430"/>
      <c r="AG395" s="430"/>
      <c r="AH395" s="430"/>
      <c r="AI395" s="430"/>
      <c r="AJ395" s="430"/>
      <c r="AK395" s="430"/>
      <c r="AL395" s="430"/>
      <c r="AM395" s="430"/>
      <c r="AN395" s="430"/>
      <c r="AO395" s="430"/>
      <c r="AP395" s="430"/>
      <c r="AQ395" s="430"/>
      <c r="AR395" s="430"/>
      <c r="AS395" s="430"/>
      <c r="AT395" s="430"/>
      <c r="AU395" s="430"/>
      <c r="AV395" s="430"/>
      <c r="AW395" s="430"/>
      <c r="AX395" s="430"/>
      <c r="AY395" s="430"/>
      <c r="AZ395" s="430"/>
      <c r="BA395" s="430"/>
      <c r="BB395" s="430"/>
      <c r="BC395" s="430"/>
      <c r="BD395" s="430"/>
      <c r="BE395" s="430"/>
    </row>
    <row r="396" spans="1:57" ht="15.75" customHeight="1">
      <c r="A396" s="430"/>
      <c r="B396" s="430"/>
      <c r="C396" s="430"/>
      <c r="D396" s="430"/>
      <c r="E396" s="430"/>
      <c r="F396" s="430"/>
      <c r="G396" s="430"/>
      <c r="H396" s="430"/>
      <c r="I396" s="430"/>
      <c r="J396" s="430"/>
      <c r="K396" s="430"/>
      <c r="L396" s="430"/>
      <c r="M396" s="430"/>
      <c r="N396" s="430"/>
      <c r="O396" s="430"/>
      <c r="P396" s="430"/>
      <c r="Q396" s="430"/>
      <c r="R396" s="430"/>
      <c r="S396" s="430"/>
      <c r="T396" s="430"/>
      <c r="U396" s="430"/>
      <c r="V396" s="430"/>
      <c r="W396" s="430"/>
      <c r="X396" s="430"/>
      <c r="Y396" s="430"/>
      <c r="Z396" s="430"/>
      <c r="AA396" s="430"/>
      <c r="AB396" s="430"/>
      <c r="AC396" s="430"/>
      <c r="AD396" s="430"/>
      <c r="AE396" s="430"/>
      <c r="AF396" s="430"/>
      <c r="AG396" s="430"/>
      <c r="AH396" s="430"/>
      <c r="AI396" s="430"/>
      <c r="AJ396" s="430"/>
      <c r="AK396" s="430"/>
      <c r="AL396" s="430"/>
      <c r="AM396" s="430"/>
      <c r="AN396" s="430"/>
      <c r="AO396" s="430"/>
      <c r="AP396" s="430"/>
      <c r="AQ396" s="430"/>
      <c r="AR396" s="430"/>
      <c r="AS396" s="430"/>
      <c r="AT396" s="430"/>
      <c r="AU396" s="430"/>
      <c r="AV396" s="430"/>
      <c r="AW396" s="430"/>
      <c r="AX396" s="430"/>
      <c r="AY396" s="430"/>
      <c r="AZ396" s="430"/>
      <c r="BA396" s="430"/>
      <c r="BB396" s="430"/>
      <c r="BC396" s="430"/>
      <c r="BD396" s="430"/>
      <c r="BE396" s="430"/>
    </row>
    <row r="397" spans="1:57" ht="15.75" customHeight="1">
      <c r="A397" s="430"/>
      <c r="B397" s="430"/>
      <c r="C397" s="430"/>
      <c r="D397" s="430"/>
      <c r="E397" s="430"/>
      <c r="F397" s="430"/>
      <c r="G397" s="430"/>
      <c r="H397" s="430"/>
      <c r="I397" s="430"/>
      <c r="J397" s="430"/>
      <c r="K397" s="430"/>
      <c r="L397" s="430"/>
      <c r="M397" s="430"/>
      <c r="N397" s="430"/>
      <c r="O397" s="430"/>
      <c r="P397" s="430"/>
      <c r="Q397" s="430"/>
      <c r="R397" s="430"/>
      <c r="S397" s="430"/>
      <c r="T397" s="430"/>
      <c r="U397" s="430"/>
      <c r="V397" s="430"/>
      <c r="W397" s="430"/>
      <c r="X397" s="430"/>
      <c r="Y397" s="430"/>
      <c r="Z397" s="430"/>
      <c r="AA397" s="430"/>
      <c r="AB397" s="430"/>
      <c r="AC397" s="430"/>
      <c r="AD397" s="430"/>
      <c r="AE397" s="430"/>
      <c r="AF397" s="430"/>
      <c r="AG397" s="430"/>
      <c r="AH397" s="430"/>
      <c r="AI397" s="430"/>
      <c r="AJ397" s="430"/>
      <c r="AK397" s="430"/>
      <c r="AL397" s="430"/>
      <c r="AM397" s="430"/>
      <c r="AN397" s="430"/>
      <c r="AO397" s="430"/>
      <c r="AP397" s="430"/>
      <c r="AQ397" s="430"/>
      <c r="AR397" s="430"/>
      <c r="AS397" s="430"/>
      <c r="AT397" s="430"/>
      <c r="AU397" s="430"/>
      <c r="AV397" s="430"/>
      <c r="AW397" s="430"/>
      <c r="AX397" s="430"/>
      <c r="AY397" s="430"/>
      <c r="AZ397" s="430"/>
      <c r="BA397" s="430"/>
      <c r="BB397" s="430"/>
      <c r="BC397" s="430"/>
      <c r="BD397" s="430"/>
      <c r="BE397" s="430"/>
    </row>
    <row r="398" spans="1:57" ht="15.75" customHeight="1">
      <c r="A398" s="430"/>
      <c r="B398" s="430"/>
      <c r="C398" s="430"/>
      <c r="D398" s="430"/>
      <c r="E398" s="430"/>
      <c r="F398" s="430"/>
      <c r="G398" s="430"/>
      <c r="H398" s="430"/>
      <c r="I398" s="430"/>
      <c r="J398" s="430"/>
      <c r="K398" s="430"/>
      <c r="L398" s="430"/>
      <c r="M398" s="430"/>
      <c r="N398" s="430"/>
      <c r="O398" s="430"/>
      <c r="P398" s="430"/>
      <c r="Q398" s="430"/>
      <c r="R398" s="430"/>
      <c r="S398" s="430"/>
      <c r="T398" s="430"/>
      <c r="U398" s="430"/>
      <c r="V398" s="430"/>
      <c r="W398" s="430"/>
      <c r="X398" s="430"/>
      <c r="Y398" s="430"/>
      <c r="Z398" s="430"/>
      <c r="AA398" s="430"/>
      <c r="AB398" s="430"/>
      <c r="AC398" s="430"/>
      <c r="AD398" s="430"/>
      <c r="AE398" s="430"/>
      <c r="AF398" s="430"/>
      <c r="AG398" s="430"/>
      <c r="AH398" s="430"/>
      <c r="AI398" s="430"/>
      <c r="AJ398" s="430"/>
      <c r="AK398" s="430"/>
      <c r="AL398" s="430"/>
      <c r="AM398" s="430"/>
      <c r="AN398" s="430"/>
      <c r="AO398" s="430"/>
      <c r="AP398" s="430"/>
      <c r="AQ398" s="430"/>
      <c r="AR398" s="430"/>
      <c r="AS398" s="430"/>
      <c r="AT398" s="430"/>
      <c r="AU398" s="430"/>
      <c r="AV398" s="430"/>
      <c r="AW398" s="430"/>
      <c r="AX398" s="430"/>
      <c r="AY398" s="430"/>
      <c r="AZ398" s="430"/>
      <c r="BA398" s="430"/>
      <c r="BB398" s="430"/>
      <c r="BC398" s="430"/>
      <c r="BD398" s="430"/>
      <c r="BE398" s="430"/>
    </row>
    <row r="399" spans="1:57" ht="15.75" customHeight="1">
      <c r="A399" s="430"/>
      <c r="B399" s="430"/>
      <c r="C399" s="430"/>
      <c r="D399" s="430"/>
      <c r="E399" s="430"/>
      <c r="F399" s="430"/>
      <c r="G399" s="430"/>
      <c r="H399" s="430"/>
      <c r="I399" s="430"/>
      <c r="J399" s="430"/>
      <c r="K399" s="430"/>
      <c r="L399" s="430"/>
      <c r="M399" s="430"/>
      <c r="N399" s="430"/>
      <c r="O399" s="430"/>
      <c r="P399" s="430"/>
      <c r="Q399" s="430"/>
      <c r="R399" s="430"/>
      <c r="S399" s="430"/>
      <c r="T399" s="430"/>
      <c r="U399" s="430"/>
      <c r="V399" s="430"/>
      <c r="W399" s="430"/>
      <c r="X399" s="430"/>
      <c r="Y399" s="430"/>
      <c r="Z399" s="430"/>
      <c r="AA399" s="430"/>
      <c r="AB399" s="430"/>
      <c r="AC399" s="430"/>
      <c r="AD399" s="430"/>
      <c r="AE399" s="430"/>
      <c r="AF399" s="430"/>
      <c r="AG399" s="430"/>
      <c r="AH399" s="430"/>
      <c r="AI399" s="430"/>
      <c r="AJ399" s="430"/>
      <c r="AK399" s="430"/>
      <c r="AL399" s="430"/>
      <c r="AM399" s="430"/>
      <c r="AN399" s="430"/>
      <c r="AO399" s="430"/>
      <c r="AP399" s="430"/>
      <c r="AQ399" s="430"/>
      <c r="AR399" s="430"/>
      <c r="AS399" s="430"/>
      <c r="AT399" s="430"/>
      <c r="AU399" s="430"/>
      <c r="AV399" s="430"/>
      <c r="AW399" s="430"/>
      <c r="AX399" s="430"/>
      <c r="AY399" s="430"/>
      <c r="AZ399" s="430"/>
      <c r="BA399" s="430"/>
      <c r="BB399" s="430"/>
      <c r="BC399" s="430"/>
      <c r="BD399" s="430"/>
      <c r="BE399" s="430"/>
    </row>
    <row r="400" spans="1:57" ht="15.75" customHeight="1">
      <c r="A400" s="430"/>
      <c r="B400" s="430"/>
      <c r="C400" s="430"/>
      <c r="D400" s="430"/>
      <c r="E400" s="430"/>
      <c r="F400" s="430"/>
      <c r="G400" s="430"/>
      <c r="H400" s="430"/>
      <c r="I400" s="430"/>
      <c r="J400" s="430"/>
      <c r="K400" s="430"/>
      <c r="L400" s="430"/>
      <c r="M400" s="430"/>
      <c r="N400" s="430"/>
      <c r="O400" s="430"/>
      <c r="P400" s="430"/>
      <c r="Q400" s="430"/>
      <c r="R400" s="430"/>
      <c r="S400" s="430"/>
      <c r="T400" s="430"/>
      <c r="U400" s="430"/>
      <c r="V400" s="430"/>
      <c r="W400" s="430"/>
      <c r="X400" s="430"/>
      <c r="Y400" s="430"/>
      <c r="Z400" s="430"/>
      <c r="AA400" s="430"/>
      <c r="AB400" s="430"/>
      <c r="AC400" s="430"/>
      <c r="AD400" s="430"/>
      <c r="AE400" s="430"/>
      <c r="AF400" s="430"/>
      <c r="AG400" s="430"/>
      <c r="AH400" s="430"/>
      <c r="AI400" s="430"/>
      <c r="AJ400" s="430"/>
      <c r="AK400" s="430"/>
      <c r="AL400" s="430"/>
      <c r="AM400" s="430"/>
      <c r="AN400" s="430"/>
      <c r="AO400" s="430"/>
      <c r="AP400" s="430"/>
      <c r="AQ400" s="430"/>
      <c r="AR400" s="430"/>
      <c r="AS400" s="430"/>
      <c r="AT400" s="430"/>
      <c r="AU400" s="430"/>
      <c r="AV400" s="430"/>
      <c r="AW400" s="430"/>
      <c r="AX400" s="430"/>
      <c r="AY400" s="430"/>
      <c r="AZ400" s="430"/>
      <c r="BA400" s="430"/>
      <c r="BB400" s="430"/>
      <c r="BC400" s="430"/>
      <c r="BD400" s="430"/>
      <c r="BE400" s="430"/>
    </row>
    <row r="401" spans="1:57" ht="15.75" customHeight="1">
      <c r="A401" s="430"/>
      <c r="B401" s="430"/>
      <c r="C401" s="430"/>
      <c r="D401" s="430"/>
      <c r="E401" s="430"/>
      <c r="F401" s="430"/>
      <c r="G401" s="430"/>
      <c r="H401" s="430"/>
      <c r="I401" s="430"/>
      <c r="J401" s="430"/>
      <c r="K401" s="430"/>
      <c r="L401" s="430"/>
      <c r="M401" s="430"/>
      <c r="N401" s="430"/>
      <c r="O401" s="430"/>
      <c r="P401" s="430"/>
      <c r="Q401" s="430"/>
      <c r="R401" s="430"/>
      <c r="S401" s="430"/>
      <c r="T401" s="430"/>
      <c r="U401" s="430"/>
      <c r="V401" s="430"/>
      <c r="W401" s="430"/>
      <c r="X401" s="430"/>
      <c r="Y401" s="430"/>
      <c r="Z401" s="430"/>
      <c r="AA401" s="430"/>
      <c r="AB401" s="430"/>
      <c r="AC401" s="430"/>
      <c r="AD401" s="430"/>
      <c r="AE401" s="430"/>
      <c r="AF401" s="430"/>
      <c r="AG401" s="430"/>
      <c r="AH401" s="430"/>
      <c r="AI401" s="430"/>
      <c r="AJ401" s="430"/>
      <c r="AK401" s="430"/>
      <c r="AL401" s="430"/>
      <c r="AM401" s="430"/>
      <c r="AN401" s="430"/>
      <c r="AO401" s="430"/>
      <c r="AP401" s="430"/>
      <c r="AQ401" s="430"/>
      <c r="AR401" s="430"/>
      <c r="AS401" s="430"/>
      <c r="AT401" s="430"/>
      <c r="AU401" s="430"/>
      <c r="AV401" s="430"/>
      <c r="AW401" s="430"/>
      <c r="AX401" s="430"/>
      <c r="AY401" s="430"/>
      <c r="AZ401" s="430"/>
      <c r="BA401" s="430"/>
      <c r="BB401" s="430"/>
      <c r="BC401" s="430"/>
      <c r="BD401" s="430"/>
      <c r="BE401" s="430"/>
    </row>
    <row r="402" spans="1:57" ht="15.75" customHeight="1">
      <c r="A402" s="430"/>
      <c r="B402" s="430"/>
      <c r="C402" s="430"/>
      <c r="D402" s="430"/>
      <c r="E402" s="430"/>
      <c r="F402" s="430"/>
      <c r="G402" s="430"/>
      <c r="H402" s="430"/>
      <c r="I402" s="430"/>
      <c r="J402" s="430"/>
      <c r="K402" s="430"/>
      <c r="L402" s="430"/>
      <c r="M402" s="430"/>
      <c r="N402" s="430"/>
      <c r="O402" s="430"/>
      <c r="P402" s="430"/>
      <c r="Q402" s="430"/>
      <c r="R402" s="430"/>
      <c r="S402" s="430"/>
      <c r="T402" s="430"/>
      <c r="U402" s="430"/>
      <c r="V402" s="430"/>
      <c r="W402" s="430"/>
      <c r="X402" s="430"/>
      <c r="Y402" s="430"/>
      <c r="Z402" s="430"/>
      <c r="AA402" s="430"/>
      <c r="AB402" s="430"/>
      <c r="AC402" s="430"/>
      <c r="AD402" s="430"/>
      <c r="AE402" s="430"/>
      <c r="AF402" s="430"/>
      <c r="AG402" s="430"/>
      <c r="AH402" s="430"/>
      <c r="AI402" s="430"/>
      <c r="AJ402" s="430"/>
      <c r="AK402" s="430"/>
      <c r="AL402" s="430"/>
      <c r="AM402" s="430"/>
      <c r="AN402" s="430"/>
      <c r="AO402" s="430"/>
      <c r="AP402" s="430"/>
      <c r="AQ402" s="430"/>
      <c r="AR402" s="430"/>
      <c r="AS402" s="430"/>
      <c r="AT402" s="430"/>
      <c r="AU402" s="430"/>
      <c r="AV402" s="430"/>
      <c r="AW402" s="430"/>
      <c r="AX402" s="430"/>
      <c r="AY402" s="430"/>
      <c r="AZ402" s="430"/>
      <c r="BA402" s="430"/>
      <c r="BB402" s="430"/>
      <c r="BC402" s="430"/>
      <c r="BD402" s="430"/>
      <c r="BE402" s="430"/>
    </row>
    <row r="403" spans="1:57" ht="15.75" customHeight="1">
      <c r="A403" s="430"/>
      <c r="B403" s="430"/>
      <c r="C403" s="430"/>
      <c r="D403" s="430"/>
      <c r="E403" s="430"/>
      <c r="F403" s="430"/>
      <c r="G403" s="430"/>
      <c r="H403" s="430"/>
      <c r="I403" s="430"/>
      <c r="J403" s="430"/>
      <c r="K403" s="430"/>
      <c r="L403" s="430"/>
      <c r="M403" s="430"/>
      <c r="N403" s="430"/>
      <c r="O403" s="430"/>
      <c r="P403" s="430"/>
      <c r="Q403" s="430"/>
      <c r="R403" s="430"/>
      <c r="S403" s="430"/>
      <c r="T403" s="430"/>
      <c r="U403" s="430"/>
      <c r="V403" s="430"/>
      <c r="W403" s="430"/>
      <c r="X403" s="430"/>
      <c r="Y403" s="430"/>
      <c r="Z403" s="430"/>
      <c r="AA403" s="430"/>
      <c r="AB403" s="430"/>
      <c r="AC403" s="430"/>
      <c r="AD403" s="430"/>
      <c r="AE403" s="430"/>
      <c r="AF403" s="430"/>
      <c r="AG403" s="430"/>
      <c r="AH403" s="430"/>
      <c r="AI403" s="430"/>
      <c r="AJ403" s="430"/>
      <c r="AK403" s="430"/>
      <c r="AL403" s="430"/>
      <c r="AM403" s="430"/>
      <c r="AN403" s="430"/>
      <c r="AO403" s="430"/>
      <c r="AP403" s="430"/>
      <c r="AQ403" s="430"/>
      <c r="AR403" s="430"/>
      <c r="AS403" s="430"/>
      <c r="AT403" s="430"/>
      <c r="AU403" s="430"/>
      <c r="AV403" s="430"/>
      <c r="AW403" s="430"/>
      <c r="AX403" s="430"/>
      <c r="AY403" s="430"/>
      <c r="AZ403" s="430"/>
      <c r="BA403" s="430"/>
      <c r="BB403" s="430"/>
      <c r="BC403" s="430"/>
      <c r="BD403" s="430"/>
      <c r="BE403" s="430"/>
    </row>
    <row r="404" spans="1:57" ht="15.75" customHeight="1">
      <c r="A404" s="430"/>
      <c r="B404" s="430"/>
      <c r="C404" s="430"/>
      <c r="D404" s="430"/>
      <c r="E404" s="430"/>
      <c r="F404" s="430"/>
      <c r="G404" s="430"/>
      <c r="H404" s="430"/>
      <c r="I404" s="430"/>
      <c r="J404" s="430"/>
      <c r="K404" s="430"/>
      <c r="L404" s="430"/>
      <c r="M404" s="430"/>
      <c r="N404" s="430"/>
      <c r="O404" s="430"/>
      <c r="P404" s="430"/>
      <c r="Q404" s="430"/>
      <c r="R404" s="430"/>
      <c r="S404" s="430"/>
      <c r="T404" s="430"/>
      <c r="U404" s="430"/>
      <c r="V404" s="430"/>
      <c r="W404" s="430"/>
      <c r="X404" s="430"/>
      <c r="Y404" s="430"/>
      <c r="Z404" s="430"/>
      <c r="AA404" s="430"/>
      <c r="AB404" s="430"/>
      <c r="AC404" s="430"/>
      <c r="AD404" s="430"/>
      <c r="AE404" s="430"/>
      <c r="AF404" s="430"/>
      <c r="AG404" s="430"/>
      <c r="AH404" s="430"/>
      <c r="AI404" s="430"/>
      <c r="AJ404" s="430"/>
      <c r="AK404" s="430"/>
      <c r="AL404" s="430"/>
      <c r="AM404" s="430"/>
      <c r="AN404" s="430"/>
      <c r="AO404" s="430"/>
      <c r="AP404" s="430"/>
      <c r="AQ404" s="430"/>
      <c r="AR404" s="430"/>
      <c r="AS404" s="430"/>
      <c r="AT404" s="430"/>
      <c r="AU404" s="430"/>
      <c r="AV404" s="430"/>
      <c r="AW404" s="430"/>
      <c r="AX404" s="430"/>
      <c r="AY404" s="430"/>
      <c r="AZ404" s="430"/>
      <c r="BA404" s="430"/>
      <c r="BB404" s="430"/>
      <c r="BC404" s="430"/>
      <c r="BD404" s="430"/>
      <c r="BE404" s="430"/>
    </row>
    <row r="405" spans="1:57" ht="15.75" customHeight="1">
      <c r="A405" s="430"/>
      <c r="B405" s="430"/>
      <c r="C405" s="430"/>
      <c r="D405" s="430"/>
      <c r="E405" s="430"/>
      <c r="F405" s="430"/>
      <c r="G405" s="430"/>
      <c r="H405" s="430"/>
      <c r="I405" s="430"/>
      <c r="J405" s="430"/>
      <c r="K405" s="430"/>
      <c r="L405" s="430"/>
      <c r="M405" s="430"/>
      <c r="N405" s="430"/>
      <c r="O405" s="430"/>
      <c r="P405" s="430"/>
      <c r="Q405" s="430"/>
      <c r="R405" s="430"/>
      <c r="S405" s="430"/>
      <c r="T405" s="430"/>
      <c r="U405" s="430"/>
      <c r="V405" s="430"/>
      <c r="W405" s="430"/>
      <c r="X405" s="430"/>
      <c r="Y405" s="430"/>
      <c r="Z405" s="430"/>
      <c r="AA405" s="430"/>
      <c r="AB405" s="430"/>
      <c r="AC405" s="430"/>
      <c r="AD405" s="430"/>
      <c r="AE405" s="430"/>
      <c r="AF405" s="430"/>
      <c r="AG405" s="430"/>
      <c r="AH405" s="430"/>
      <c r="AI405" s="430"/>
      <c r="AJ405" s="430"/>
      <c r="AK405" s="430"/>
      <c r="AL405" s="430"/>
      <c r="AM405" s="430"/>
      <c r="AN405" s="430"/>
      <c r="AO405" s="430"/>
      <c r="AP405" s="430"/>
      <c r="AQ405" s="430"/>
      <c r="AR405" s="430"/>
      <c r="AS405" s="430"/>
      <c r="AT405" s="430"/>
      <c r="AU405" s="430"/>
      <c r="AV405" s="430"/>
      <c r="AW405" s="430"/>
      <c r="AX405" s="430"/>
      <c r="AY405" s="430"/>
      <c r="AZ405" s="430"/>
      <c r="BA405" s="430"/>
      <c r="BB405" s="430"/>
      <c r="BC405" s="430"/>
      <c r="BD405" s="430"/>
      <c r="BE405" s="430"/>
    </row>
    <row r="406" spans="1:57" ht="15.75" customHeight="1">
      <c r="A406" s="430"/>
      <c r="B406" s="430"/>
      <c r="C406" s="430"/>
      <c r="D406" s="430"/>
      <c r="E406" s="430"/>
      <c r="F406" s="430"/>
      <c r="G406" s="430"/>
      <c r="H406" s="430"/>
      <c r="I406" s="430"/>
      <c r="J406" s="430"/>
      <c r="K406" s="430"/>
      <c r="L406" s="430"/>
      <c r="M406" s="430"/>
      <c r="N406" s="430"/>
      <c r="O406" s="430"/>
      <c r="P406" s="430"/>
      <c r="Q406" s="430"/>
      <c r="R406" s="430"/>
      <c r="S406" s="430"/>
      <c r="T406" s="430"/>
      <c r="U406" s="430"/>
      <c r="V406" s="430"/>
      <c r="W406" s="430"/>
      <c r="X406" s="430"/>
      <c r="Y406" s="430"/>
      <c r="Z406" s="430"/>
      <c r="AA406" s="430"/>
      <c r="AB406" s="430"/>
      <c r="AC406" s="430"/>
      <c r="AD406" s="430"/>
      <c r="AE406" s="430"/>
      <c r="AF406" s="430"/>
      <c r="AG406" s="430"/>
      <c r="AH406" s="430"/>
      <c r="AI406" s="430"/>
      <c r="AJ406" s="430"/>
      <c r="AK406" s="430"/>
      <c r="AL406" s="430"/>
      <c r="AM406" s="430"/>
      <c r="AN406" s="430"/>
      <c r="AO406" s="430"/>
      <c r="AP406" s="430"/>
      <c r="AQ406" s="430"/>
      <c r="AR406" s="430"/>
      <c r="AS406" s="430"/>
      <c r="AT406" s="430"/>
      <c r="AU406" s="430"/>
      <c r="AV406" s="430"/>
      <c r="AW406" s="430"/>
      <c r="AX406" s="430"/>
      <c r="AY406" s="430"/>
      <c r="AZ406" s="430"/>
      <c r="BA406" s="430"/>
      <c r="BB406" s="430"/>
      <c r="BC406" s="430"/>
      <c r="BD406" s="430"/>
      <c r="BE406" s="430"/>
    </row>
    <row r="407" spans="1:57" ht="15.75" customHeight="1">
      <c r="A407" s="430"/>
      <c r="B407" s="430"/>
      <c r="C407" s="430"/>
      <c r="D407" s="430"/>
      <c r="E407" s="430"/>
      <c r="F407" s="430"/>
      <c r="G407" s="430"/>
      <c r="H407" s="430"/>
      <c r="I407" s="430"/>
      <c r="J407" s="430"/>
      <c r="K407" s="430"/>
      <c r="L407" s="430"/>
      <c r="M407" s="430"/>
      <c r="N407" s="430"/>
      <c r="O407" s="430"/>
      <c r="P407" s="430"/>
      <c r="Q407" s="430"/>
      <c r="R407" s="430"/>
      <c r="S407" s="430"/>
      <c r="T407" s="430"/>
      <c r="U407" s="430"/>
      <c r="V407" s="430"/>
      <c r="W407" s="430"/>
      <c r="X407" s="430"/>
      <c r="Y407" s="430"/>
      <c r="Z407" s="430"/>
      <c r="AA407" s="430"/>
      <c r="AB407" s="430"/>
      <c r="AC407" s="430"/>
      <c r="AD407" s="430"/>
      <c r="AE407" s="430"/>
      <c r="AF407" s="430"/>
      <c r="AG407" s="430"/>
      <c r="AH407" s="430"/>
      <c r="AI407" s="430"/>
      <c r="AJ407" s="430"/>
      <c r="AK407" s="430"/>
      <c r="AL407" s="430"/>
      <c r="AM407" s="430"/>
      <c r="AN407" s="430"/>
      <c r="AO407" s="430"/>
      <c r="AP407" s="430"/>
      <c r="AQ407" s="430"/>
      <c r="AR407" s="430"/>
      <c r="AS407" s="430"/>
      <c r="AT407" s="430"/>
      <c r="AU407" s="430"/>
      <c r="AV407" s="430"/>
      <c r="AW407" s="430"/>
      <c r="AX407" s="430"/>
      <c r="AY407" s="430"/>
      <c r="AZ407" s="430"/>
      <c r="BA407" s="430"/>
      <c r="BB407" s="430"/>
      <c r="BC407" s="430"/>
      <c r="BD407" s="430"/>
      <c r="BE407" s="430"/>
    </row>
    <row r="408" spans="1:57" ht="15.75" customHeight="1">
      <c r="A408" s="430"/>
      <c r="B408" s="430"/>
      <c r="C408" s="430"/>
      <c r="D408" s="430"/>
      <c r="E408" s="430"/>
      <c r="F408" s="430"/>
      <c r="G408" s="430"/>
      <c r="H408" s="430"/>
      <c r="I408" s="430"/>
      <c r="J408" s="430"/>
      <c r="K408" s="430"/>
      <c r="L408" s="430"/>
      <c r="M408" s="430"/>
      <c r="N408" s="430"/>
      <c r="O408" s="430"/>
      <c r="P408" s="430"/>
      <c r="Q408" s="430"/>
      <c r="R408" s="430"/>
      <c r="S408" s="430"/>
      <c r="T408" s="430"/>
      <c r="U408" s="430"/>
      <c r="V408" s="430"/>
      <c r="W408" s="430"/>
      <c r="X408" s="430"/>
      <c r="Y408" s="430"/>
      <c r="Z408" s="430"/>
      <c r="AA408" s="430"/>
      <c r="AB408" s="430"/>
      <c r="AC408" s="430"/>
      <c r="AD408" s="430"/>
      <c r="AE408" s="430"/>
      <c r="AF408" s="430"/>
      <c r="AG408" s="430"/>
      <c r="AH408" s="430"/>
      <c r="AI408" s="430"/>
      <c r="AJ408" s="430"/>
      <c r="AK408" s="430"/>
      <c r="AL408" s="430"/>
      <c r="AM408" s="430"/>
      <c r="AN408" s="430"/>
      <c r="AO408" s="430"/>
      <c r="AP408" s="430"/>
      <c r="AQ408" s="430"/>
      <c r="AR408" s="430"/>
      <c r="AS408" s="430"/>
      <c r="AT408" s="430"/>
      <c r="AU408" s="430"/>
      <c r="AV408" s="430"/>
      <c r="AW408" s="430"/>
      <c r="AX408" s="430"/>
      <c r="AY408" s="430"/>
      <c r="AZ408" s="430"/>
      <c r="BA408" s="430"/>
      <c r="BB408" s="430"/>
      <c r="BC408" s="430"/>
      <c r="BD408" s="430"/>
      <c r="BE408" s="430"/>
    </row>
    <row r="409" spans="1:57" ht="15.75" customHeight="1">
      <c r="A409" s="430"/>
      <c r="B409" s="430"/>
      <c r="C409" s="430"/>
      <c r="D409" s="430"/>
      <c r="E409" s="430"/>
      <c r="F409" s="430"/>
      <c r="G409" s="430"/>
      <c r="H409" s="430"/>
      <c r="I409" s="430"/>
      <c r="J409" s="430"/>
      <c r="K409" s="430"/>
      <c r="L409" s="430"/>
      <c r="M409" s="430"/>
      <c r="N409" s="430"/>
      <c r="O409" s="430"/>
      <c r="P409" s="430"/>
      <c r="Q409" s="430"/>
      <c r="R409" s="430"/>
      <c r="S409" s="430"/>
      <c r="T409" s="430"/>
      <c r="U409" s="430"/>
      <c r="V409" s="430"/>
      <c r="W409" s="430"/>
      <c r="X409" s="430"/>
      <c r="Y409" s="430"/>
      <c r="Z409" s="430"/>
      <c r="AA409" s="430"/>
      <c r="AB409" s="430"/>
      <c r="AC409" s="430"/>
      <c r="AD409" s="430"/>
      <c r="AE409" s="430"/>
      <c r="AF409" s="430"/>
      <c r="AG409" s="430"/>
      <c r="AH409" s="430"/>
      <c r="AI409" s="430"/>
      <c r="AJ409" s="430"/>
      <c r="AK409" s="430"/>
      <c r="AL409" s="430"/>
      <c r="AM409" s="430"/>
      <c r="AN409" s="430"/>
      <c r="AO409" s="430"/>
      <c r="AP409" s="430"/>
      <c r="AQ409" s="430"/>
      <c r="AR409" s="430"/>
      <c r="AS409" s="430"/>
      <c r="AT409" s="430"/>
      <c r="AU409" s="430"/>
      <c r="AV409" s="430"/>
      <c r="AW409" s="430"/>
      <c r="AX409" s="430"/>
      <c r="AY409" s="430"/>
      <c r="AZ409" s="430"/>
      <c r="BA409" s="430"/>
      <c r="BB409" s="430"/>
      <c r="BC409" s="430"/>
      <c r="BD409" s="430"/>
      <c r="BE409" s="430"/>
    </row>
    <row r="410" spans="1:57" ht="15.75" customHeight="1">
      <c r="A410" s="430"/>
      <c r="B410" s="430"/>
      <c r="C410" s="430"/>
      <c r="D410" s="430"/>
      <c r="E410" s="430"/>
      <c r="F410" s="430"/>
      <c r="G410" s="430"/>
      <c r="H410" s="430"/>
      <c r="I410" s="430"/>
      <c r="J410" s="430"/>
      <c r="K410" s="430"/>
      <c r="L410" s="430"/>
      <c r="M410" s="430"/>
      <c r="N410" s="430"/>
      <c r="O410" s="430"/>
      <c r="P410" s="430"/>
      <c r="Q410" s="430"/>
      <c r="R410" s="430"/>
      <c r="S410" s="430"/>
      <c r="T410" s="430"/>
      <c r="U410" s="430"/>
      <c r="V410" s="430"/>
      <c r="W410" s="430"/>
      <c r="X410" s="430"/>
      <c r="Y410" s="430"/>
      <c r="Z410" s="430"/>
      <c r="AA410" s="430"/>
      <c r="AB410" s="430"/>
      <c r="AC410" s="430"/>
      <c r="AD410" s="430"/>
      <c r="AE410" s="430"/>
      <c r="AF410" s="430"/>
      <c r="AG410" s="430"/>
      <c r="AH410" s="430"/>
      <c r="AI410" s="430"/>
      <c r="AJ410" s="430"/>
      <c r="AK410" s="430"/>
      <c r="AL410" s="430"/>
      <c r="AM410" s="430"/>
      <c r="AN410" s="430"/>
      <c r="AO410" s="430"/>
      <c r="AP410" s="430"/>
      <c r="AQ410" s="430"/>
      <c r="AR410" s="430"/>
      <c r="AS410" s="430"/>
      <c r="AT410" s="430"/>
      <c r="AU410" s="430"/>
      <c r="AV410" s="430"/>
      <c r="AW410" s="430"/>
      <c r="AX410" s="430"/>
      <c r="AY410" s="430"/>
      <c r="AZ410" s="430"/>
      <c r="BA410" s="430"/>
      <c r="BB410" s="430"/>
      <c r="BC410" s="430"/>
      <c r="BD410" s="430"/>
      <c r="BE410" s="430"/>
    </row>
    <row r="411" spans="1:57" ht="15.75" customHeight="1">
      <c r="A411" s="430"/>
      <c r="B411" s="430"/>
      <c r="C411" s="430"/>
      <c r="D411" s="430"/>
      <c r="E411" s="430"/>
      <c r="F411" s="430"/>
      <c r="G411" s="430"/>
      <c r="H411" s="430"/>
      <c r="I411" s="430"/>
      <c r="J411" s="430"/>
      <c r="K411" s="430"/>
      <c r="L411" s="430"/>
      <c r="M411" s="430"/>
      <c r="N411" s="430"/>
      <c r="O411" s="430"/>
      <c r="P411" s="430"/>
      <c r="Q411" s="430"/>
      <c r="R411" s="430"/>
      <c r="S411" s="430"/>
      <c r="T411" s="430"/>
      <c r="U411" s="430"/>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430"/>
      <c r="AY411" s="430"/>
      <c r="AZ411" s="430"/>
      <c r="BA411" s="430"/>
      <c r="BB411" s="430"/>
      <c r="BC411" s="430"/>
      <c r="BD411" s="430"/>
      <c r="BE411" s="430"/>
    </row>
    <row r="412" spans="1:57" ht="15.75" customHeight="1">
      <c r="A412" s="430"/>
      <c r="B412" s="430"/>
      <c r="C412" s="430"/>
      <c r="D412" s="430"/>
      <c r="E412" s="430"/>
      <c r="F412" s="430"/>
      <c r="G412" s="430"/>
      <c r="H412" s="430"/>
      <c r="I412" s="430"/>
      <c r="J412" s="430"/>
      <c r="K412" s="430"/>
      <c r="L412" s="430"/>
      <c r="M412" s="430"/>
      <c r="N412" s="430"/>
      <c r="O412" s="430"/>
      <c r="P412" s="430"/>
      <c r="Q412" s="430"/>
      <c r="R412" s="430"/>
      <c r="S412" s="430"/>
      <c r="T412" s="430"/>
      <c r="U412" s="430"/>
      <c r="V412" s="430"/>
      <c r="W412" s="430"/>
      <c r="X412" s="430"/>
      <c r="Y412" s="430"/>
      <c r="Z412" s="430"/>
      <c r="AA412" s="430"/>
      <c r="AB412" s="430"/>
      <c r="AC412" s="430"/>
      <c r="AD412" s="430"/>
      <c r="AE412" s="430"/>
      <c r="AF412" s="430"/>
      <c r="AG412" s="430"/>
      <c r="AH412" s="430"/>
      <c r="AI412" s="430"/>
      <c r="AJ412" s="430"/>
      <c r="AK412" s="430"/>
      <c r="AL412" s="430"/>
      <c r="AM412" s="430"/>
      <c r="AN412" s="430"/>
      <c r="AO412" s="430"/>
      <c r="AP412" s="430"/>
      <c r="AQ412" s="430"/>
      <c r="AR412" s="430"/>
      <c r="AS412" s="430"/>
      <c r="AT412" s="430"/>
      <c r="AU412" s="430"/>
      <c r="AV412" s="430"/>
      <c r="AW412" s="430"/>
      <c r="AX412" s="430"/>
      <c r="AY412" s="430"/>
      <c r="AZ412" s="430"/>
      <c r="BA412" s="430"/>
      <c r="BB412" s="430"/>
      <c r="BC412" s="430"/>
      <c r="BD412" s="430"/>
      <c r="BE412" s="430"/>
    </row>
    <row r="413" spans="1:57" ht="15.75" customHeight="1">
      <c r="A413" s="430"/>
      <c r="B413" s="430"/>
      <c r="C413" s="430"/>
      <c r="D413" s="430"/>
      <c r="E413" s="430"/>
      <c r="F413" s="430"/>
      <c r="G413" s="430"/>
      <c r="H413" s="430"/>
      <c r="I413" s="430"/>
      <c r="J413" s="430"/>
      <c r="K413" s="430"/>
      <c r="L413" s="430"/>
      <c r="M413" s="430"/>
      <c r="N413" s="430"/>
      <c r="O413" s="430"/>
      <c r="P413" s="430"/>
      <c r="Q413" s="430"/>
      <c r="R413" s="430"/>
      <c r="S413" s="430"/>
      <c r="T413" s="430"/>
      <c r="U413" s="430"/>
      <c r="V413" s="430"/>
      <c r="W413" s="430"/>
      <c r="X413" s="430"/>
      <c r="Y413" s="430"/>
      <c r="Z413" s="430"/>
      <c r="AA413" s="430"/>
      <c r="AB413" s="430"/>
      <c r="AC413" s="430"/>
      <c r="AD413" s="430"/>
      <c r="AE413" s="430"/>
      <c r="AF413" s="430"/>
      <c r="AG413" s="430"/>
      <c r="AH413" s="430"/>
      <c r="AI413" s="430"/>
      <c r="AJ413" s="430"/>
      <c r="AK413" s="430"/>
      <c r="AL413" s="430"/>
      <c r="AM413" s="430"/>
      <c r="AN413" s="430"/>
      <c r="AO413" s="430"/>
      <c r="AP413" s="430"/>
      <c r="AQ413" s="430"/>
      <c r="AR413" s="430"/>
      <c r="AS413" s="430"/>
      <c r="AT413" s="430"/>
      <c r="AU413" s="430"/>
      <c r="AV413" s="430"/>
      <c r="AW413" s="430"/>
      <c r="AX413" s="430"/>
      <c r="AY413" s="430"/>
      <c r="AZ413" s="430"/>
      <c r="BA413" s="430"/>
      <c r="BB413" s="430"/>
      <c r="BC413" s="430"/>
      <c r="BD413" s="430"/>
      <c r="BE413" s="430"/>
    </row>
    <row r="414" spans="1:57" ht="15.75" customHeight="1">
      <c r="A414" s="430"/>
      <c r="B414" s="430"/>
      <c r="C414" s="430"/>
      <c r="D414" s="430"/>
      <c r="E414" s="430"/>
      <c r="F414" s="430"/>
      <c r="G414" s="430"/>
      <c r="H414" s="430"/>
      <c r="I414" s="430"/>
      <c r="J414" s="430"/>
      <c r="K414" s="430"/>
      <c r="L414" s="430"/>
      <c r="M414" s="430"/>
      <c r="N414" s="430"/>
      <c r="O414" s="430"/>
      <c r="P414" s="430"/>
      <c r="Q414" s="430"/>
      <c r="R414" s="430"/>
      <c r="S414" s="430"/>
      <c r="T414" s="430"/>
      <c r="U414" s="430"/>
      <c r="V414" s="430"/>
      <c r="W414" s="430"/>
      <c r="X414" s="430"/>
      <c r="Y414" s="430"/>
      <c r="Z414" s="430"/>
      <c r="AA414" s="430"/>
      <c r="AB414" s="430"/>
      <c r="AC414" s="430"/>
      <c r="AD414" s="430"/>
      <c r="AE414" s="430"/>
      <c r="AF414" s="430"/>
      <c r="AG414" s="430"/>
      <c r="AH414" s="430"/>
      <c r="AI414" s="430"/>
      <c r="AJ414" s="430"/>
      <c r="AK414" s="430"/>
      <c r="AL414" s="430"/>
      <c r="AM414" s="430"/>
      <c r="AN414" s="430"/>
      <c r="AO414" s="430"/>
      <c r="AP414" s="430"/>
      <c r="AQ414" s="430"/>
      <c r="AR414" s="430"/>
      <c r="AS414" s="430"/>
      <c r="AT414" s="430"/>
      <c r="AU414" s="430"/>
      <c r="AV414" s="430"/>
      <c r="AW414" s="430"/>
      <c r="AX414" s="430"/>
      <c r="AY414" s="430"/>
      <c r="AZ414" s="430"/>
      <c r="BA414" s="430"/>
      <c r="BB414" s="430"/>
      <c r="BC414" s="430"/>
      <c r="BD414" s="430"/>
      <c r="BE414" s="430"/>
    </row>
    <row r="415" spans="1:57" ht="15.75" customHeight="1">
      <c r="A415" s="430"/>
      <c r="B415" s="430"/>
      <c r="C415" s="430"/>
      <c r="D415" s="430"/>
      <c r="E415" s="430"/>
      <c r="F415" s="430"/>
      <c r="G415" s="430"/>
      <c r="H415" s="430"/>
      <c r="I415" s="430"/>
      <c r="J415" s="430"/>
      <c r="K415" s="430"/>
      <c r="L415" s="430"/>
      <c r="M415" s="430"/>
      <c r="N415" s="430"/>
      <c r="O415" s="430"/>
      <c r="P415" s="430"/>
      <c r="Q415" s="430"/>
      <c r="R415" s="430"/>
      <c r="S415" s="430"/>
      <c r="T415" s="430"/>
      <c r="U415" s="430"/>
      <c r="V415" s="430"/>
      <c r="W415" s="430"/>
      <c r="X415" s="430"/>
      <c r="Y415" s="430"/>
      <c r="Z415" s="430"/>
      <c r="AA415" s="430"/>
      <c r="AB415" s="430"/>
      <c r="AC415" s="430"/>
      <c r="AD415" s="430"/>
      <c r="AE415" s="430"/>
      <c r="AF415" s="430"/>
      <c r="AG415" s="430"/>
      <c r="AH415" s="430"/>
      <c r="AI415" s="430"/>
      <c r="AJ415" s="430"/>
      <c r="AK415" s="430"/>
      <c r="AL415" s="430"/>
      <c r="AM415" s="430"/>
      <c r="AN415" s="430"/>
      <c r="AO415" s="430"/>
      <c r="AP415" s="430"/>
      <c r="AQ415" s="430"/>
      <c r="AR415" s="430"/>
      <c r="AS415" s="430"/>
      <c r="AT415" s="430"/>
      <c r="AU415" s="430"/>
      <c r="AV415" s="430"/>
      <c r="AW415" s="430"/>
      <c r="AX415" s="430"/>
      <c r="AY415" s="430"/>
      <c r="AZ415" s="430"/>
      <c r="BA415" s="430"/>
      <c r="BB415" s="430"/>
      <c r="BC415" s="430"/>
      <c r="BD415" s="430"/>
      <c r="BE415" s="430"/>
    </row>
    <row r="416" spans="1:57" ht="15.75" customHeight="1">
      <c r="A416" s="430"/>
      <c r="B416" s="430"/>
      <c r="C416" s="430"/>
      <c r="D416" s="430"/>
      <c r="E416" s="430"/>
      <c r="F416" s="430"/>
      <c r="G416" s="430"/>
      <c r="H416" s="430"/>
      <c r="I416" s="430"/>
      <c r="J416" s="430"/>
      <c r="K416" s="430"/>
      <c r="L416" s="430"/>
      <c r="M416" s="430"/>
      <c r="N416" s="430"/>
      <c r="O416" s="430"/>
      <c r="P416" s="430"/>
      <c r="Q416" s="430"/>
      <c r="R416" s="430"/>
      <c r="S416" s="430"/>
      <c r="T416" s="430"/>
      <c r="U416" s="430"/>
      <c r="V416" s="430"/>
      <c r="W416" s="430"/>
      <c r="X416" s="430"/>
      <c r="Y416" s="430"/>
      <c r="Z416" s="430"/>
      <c r="AA416" s="430"/>
      <c r="AB416" s="430"/>
      <c r="AC416" s="430"/>
      <c r="AD416" s="430"/>
      <c r="AE416" s="430"/>
      <c r="AF416" s="430"/>
      <c r="AG416" s="430"/>
      <c r="AH416" s="430"/>
      <c r="AI416" s="430"/>
      <c r="AJ416" s="430"/>
      <c r="AK416" s="430"/>
      <c r="AL416" s="430"/>
      <c r="AM416" s="430"/>
      <c r="AN416" s="430"/>
      <c r="AO416" s="430"/>
      <c r="AP416" s="430"/>
      <c r="AQ416" s="430"/>
      <c r="AR416" s="430"/>
      <c r="AS416" s="430"/>
      <c r="AT416" s="430"/>
      <c r="AU416" s="430"/>
      <c r="AV416" s="430"/>
      <c r="AW416" s="430"/>
      <c r="AX416" s="430"/>
      <c r="AY416" s="430"/>
      <c r="AZ416" s="430"/>
      <c r="BA416" s="430"/>
      <c r="BB416" s="430"/>
      <c r="BC416" s="430"/>
      <c r="BD416" s="430"/>
      <c r="BE416" s="430"/>
    </row>
    <row r="417" spans="1:57" ht="15.75" customHeight="1">
      <c r="A417" s="430"/>
      <c r="B417" s="430"/>
      <c r="C417" s="430"/>
      <c r="D417" s="430"/>
      <c r="E417" s="430"/>
      <c r="F417" s="430"/>
      <c r="G417" s="430"/>
      <c r="H417" s="430"/>
      <c r="I417" s="430"/>
      <c r="J417" s="430"/>
      <c r="K417" s="430"/>
      <c r="L417" s="430"/>
      <c r="M417" s="430"/>
      <c r="N417" s="430"/>
      <c r="O417" s="430"/>
      <c r="P417" s="430"/>
      <c r="Q417" s="430"/>
      <c r="R417" s="430"/>
      <c r="S417" s="430"/>
      <c r="T417" s="430"/>
      <c r="U417" s="430"/>
      <c r="V417" s="430"/>
      <c r="W417" s="430"/>
      <c r="X417" s="430"/>
      <c r="Y417" s="430"/>
      <c r="Z417" s="430"/>
      <c r="AA417" s="430"/>
      <c r="AB417" s="430"/>
      <c r="AC417" s="430"/>
      <c r="AD417" s="430"/>
      <c r="AE417" s="430"/>
      <c r="AF417" s="430"/>
      <c r="AG417" s="430"/>
      <c r="AH417" s="430"/>
      <c r="AI417" s="430"/>
      <c r="AJ417" s="430"/>
      <c r="AK417" s="430"/>
      <c r="AL417" s="430"/>
      <c r="AM417" s="430"/>
      <c r="AN417" s="430"/>
      <c r="AO417" s="430"/>
      <c r="AP417" s="430"/>
      <c r="AQ417" s="430"/>
      <c r="AR417" s="430"/>
      <c r="AS417" s="430"/>
      <c r="AT417" s="430"/>
      <c r="AU417" s="430"/>
      <c r="AV417" s="430"/>
      <c r="AW417" s="430"/>
      <c r="AX417" s="430"/>
      <c r="AY417" s="430"/>
      <c r="AZ417" s="430"/>
      <c r="BA417" s="430"/>
      <c r="BB417" s="430"/>
      <c r="BC417" s="430"/>
      <c r="BD417" s="430"/>
      <c r="BE417" s="430"/>
    </row>
    <row r="418" spans="1:57" ht="15.75" customHeight="1">
      <c r="A418" s="430"/>
      <c r="B418" s="430"/>
      <c r="C418" s="430"/>
      <c r="D418" s="430"/>
      <c r="E418" s="430"/>
      <c r="F418" s="430"/>
      <c r="G418" s="430"/>
      <c r="H418" s="430"/>
      <c r="I418" s="430"/>
      <c r="J418" s="430"/>
      <c r="K418" s="430"/>
      <c r="L418" s="430"/>
      <c r="M418" s="430"/>
      <c r="N418" s="430"/>
      <c r="O418" s="430"/>
      <c r="P418" s="430"/>
      <c r="Q418" s="430"/>
      <c r="R418" s="430"/>
      <c r="S418" s="430"/>
      <c r="T418" s="430"/>
      <c r="U418" s="430"/>
      <c r="V418" s="430"/>
      <c r="W418" s="430"/>
      <c r="X418" s="430"/>
      <c r="Y418" s="430"/>
      <c r="Z418" s="430"/>
      <c r="AA418" s="430"/>
      <c r="AB418" s="430"/>
      <c r="AC418" s="430"/>
      <c r="AD418" s="430"/>
      <c r="AE418" s="430"/>
      <c r="AF418" s="430"/>
      <c r="AG418" s="430"/>
      <c r="AH418" s="430"/>
      <c r="AI418" s="430"/>
      <c r="AJ418" s="430"/>
      <c r="AK418" s="430"/>
      <c r="AL418" s="430"/>
      <c r="AM418" s="430"/>
      <c r="AN418" s="430"/>
      <c r="AO418" s="430"/>
      <c r="AP418" s="430"/>
      <c r="AQ418" s="430"/>
      <c r="AR418" s="430"/>
      <c r="AS418" s="430"/>
      <c r="AT418" s="430"/>
      <c r="AU418" s="430"/>
      <c r="AV418" s="430"/>
      <c r="AW418" s="430"/>
      <c r="AX418" s="430"/>
      <c r="AY418" s="430"/>
      <c r="AZ418" s="430"/>
      <c r="BA418" s="430"/>
      <c r="BB418" s="430"/>
      <c r="BC418" s="430"/>
      <c r="BD418" s="430"/>
      <c r="BE418" s="430"/>
    </row>
    <row r="419" spans="1:57" ht="15.75" customHeight="1">
      <c r="A419" s="430"/>
      <c r="B419" s="430"/>
      <c r="C419" s="430"/>
      <c r="D419" s="430"/>
      <c r="E419" s="430"/>
      <c r="F419" s="430"/>
      <c r="G419" s="430"/>
      <c r="H419" s="430"/>
      <c r="I419" s="430"/>
      <c r="J419" s="430"/>
      <c r="K419" s="430"/>
      <c r="L419" s="430"/>
      <c r="M419" s="430"/>
      <c r="N419" s="430"/>
      <c r="O419" s="430"/>
      <c r="P419" s="430"/>
      <c r="Q419" s="430"/>
      <c r="R419" s="430"/>
      <c r="S419" s="430"/>
      <c r="T419" s="430"/>
      <c r="U419" s="430"/>
      <c r="V419" s="430"/>
      <c r="W419" s="430"/>
      <c r="X419" s="430"/>
      <c r="Y419" s="430"/>
      <c r="Z419" s="430"/>
      <c r="AA419" s="430"/>
      <c r="AB419" s="430"/>
      <c r="AC419" s="430"/>
      <c r="AD419" s="430"/>
      <c r="AE419" s="430"/>
      <c r="AF419" s="430"/>
      <c r="AG419" s="430"/>
      <c r="AH419" s="430"/>
      <c r="AI419" s="430"/>
      <c r="AJ419" s="430"/>
      <c r="AK419" s="430"/>
      <c r="AL419" s="430"/>
      <c r="AM419" s="430"/>
      <c r="AN419" s="430"/>
      <c r="AO419" s="430"/>
      <c r="AP419" s="430"/>
      <c r="AQ419" s="430"/>
      <c r="AR419" s="430"/>
      <c r="AS419" s="430"/>
      <c r="AT419" s="430"/>
      <c r="AU419" s="430"/>
      <c r="AV419" s="430"/>
      <c r="AW419" s="430"/>
      <c r="AX419" s="430"/>
      <c r="AY419" s="430"/>
      <c r="AZ419" s="430"/>
      <c r="BA419" s="430"/>
      <c r="BB419" s="430"/>
      <c r="BC419" s="430"/>
      <c r="BD419" s="430"/>
      <c r="BE419" s="430"/>
    </row>
    <row r="420" spans="1:57" ht="15.75" customHeight="1">
      <c r="A420" s="430"/>
      <c r="B420" s="430"/>
      <c r="C420" s="430"/>
      <c r="D420" s="430"/>
      <c r="E420" s="430"/>
      <c r="F420" s="430"/>
      <c r="G420" s="430"/>
      <c r="H420" s="430"/>
      <c r="I420" s="430"/>
      <c r="J420" s="430"/>
      <c r="K420" s="430"/>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0"/>
      <c r="AK420" s="430"/>
      <c r="AL420" s="430"/>
      <c r="AM420" s="430"/>
      <c r="AN420" s="430"/>
      <c r="AO420" s="430"/>
      <c r="AP420" s="430"/>
      <c r="AQ420" s="430"/>
      <c r="AR420" s="430"/>
      <c r="AS420" s="430"/>
      <c r="AT420" s="430"/>
      <c r="AU420" s="430"/>
      <c r="AV420" s="430"/>
      <c r="AW420" s="430"/>
      <c r="AX420" s="430"/>
      <c r="AY420" s="430"/>
      <c r="AZ420" s="430"/>
      <c r="BA420" s="430"/>
      <c r="BB420" s="430"/>
      <c r="BC420" s="430"/>
      <c r="BD420" s="430"/>
      <c r="BE420" s="430"/>
    </row>
    <row r="421" spans="1:57" ht="15.75" customHeight="1">
      <c r="A421" s="430"/>
      <c r="B421" s="430"/>
      <c r="C421" s="430"/>
      <c r="D421" s="430"/>
      <c r="E421" s="430"/>
      <c r="F421" s="430"/>
      <c r="G421" s="430"/>
      <c r="H421" s="430"/>
      <c r="I421" s="430"/>
      <c r="J421" s="430"/>
      <c r="K421" s="430"/>
      <c r="L421" s="430"/>
      <c r="M421" s="430"/>
      <c r="N421" s="430"/>
      <c r="O421" s="430"/>
      <c r="P421" s="430"/>
      <c r="Q421" s="430"/>
      <c r="R421" s="430"/>
      <c r="S421" s="430"/>
      <c r="T421" s="430"/>
      <c r="U421" s="430"/>
      <c r="V421" s="430"/>
      <c r="W421" s="430"/>
      <c r="X421" s="430"/>
      <c r="Y421" s="430"/>
      <c r="Z421" s="430"/>
      <c r="AA421" s="430"/>
      <c r="AB421" s="430"/>
      <c r="AC421" s="430"/>
      <c r="AD421" s="430"/>
      <c r="AE421" s="430"/>
      <c r="AF421" s="430"/>
      <c r="AG421" s="430"/>
      <c r="AH421" s="430"/>
      <c r="AI421" s="430"/>
      <c r="AJ421" s="430"/>
      <c r="AK421" s="430"/>
      <c r="AL421" s="430"/>
      <c r="AM421" s="430"/>
      <c r="AN421" s="430"/>
      <c r="AO421" s="430"/>
      <c r="AP421" s="430"/>
      <c r="AQ421" s="430"/>
      <c r="AR421" s="430"/>
      <c r="AS421" s="430"/>
      <c r="AT421" s="430"/>
      <c r="AU421" s="430"/>
      <c r="AV421" s="430"/>
      <c r="AW421" s="430"/>
      <c r="AX421" s="430"/>
      <c r="AY421" s="430"/>
      <c r="AZ421" s="430"/>
      <c r="BA421" s="430"/>
      <c r="BB421" s="430"/>
      <c r="BC421" s="430"/>
      <c r="BD421" s="430"/>
      <c r="BE421" s="430"/>
    </row>
    <row r="422" spans="1:57" ht="15.75" customHeight="1">
      <c r="A422" s="430"/>
      <c r="B422" s="430"/>
      <c r="C422" s="430"/>
      <c r="D422" s="430"/>
      <c r="E422" s="430"/>
      <c r="F422" s="430"/>
      <c r="G422" s="430"/>
      <c r="H422" s="430"/>
      <c r="I422" s="430"/>
      <c r="J422" s="430"/>
      <c r="K422" s="430"/>
      <c r="L422" s="430"/>
      <c r="M422" s="430"/>
      <c r="N422" s="430"/>
      <c r="O422" s="430"/>
      <c r="P422" s="430"/>
      <c r="Q422" s="430"/>
      <c r="R422" s="430"/>
      <c r="S422" s="430"/>
      <c r="T422" s="430"/>
      <c r="U422" s="430"/>
      <c r="V422" s="430"/>
      <c r="W422" s="430"/>
      <c r="X422" s="430"/>
      <c r="Y422" s="430"/>
      <c r="Z422" s="430"/>
      <c r="AA422" s="430"/>
      <c r="AB422" s="430"/>
      <c r="AC422" s="430"/>
      <c r="AD422" s="430"/>
      <c r="AE422" s="430"/>
      <c r="AF422" s="430"/>
      <c r="AG422" s="430"/>
      <c r="AH422" s="430"/>
      <c r="AI422" s="430"/>
      <c r="AJ422" s="430"/>
      <c r="AK422" s="430"/>
      <c r="AL422" s="430"/>
      <c r="AM422" s="430"/>
      <c r="AN422" s="430"/>
      <c r="AO422" s="430"/>
      <c r="AP422" s="430"/>
      <c r="AQ422" s="430"/>
      <c r="AR422" s="430"/>
      <c r="AS422" s="430"/>
      <c r="AT422" s="430"/>
      <c r="AU422" s="430"/>
      <c r="AV422" s="430"/>
      <c r="AW422" s="430"/>
      <c r="AX422" s="430"/>
      <c r="AY422" s="430"/>
      <c r="AZ422" s="430"/>
      <c r="BA422" s="430"/>
      <c r="BB422" s="430"/>
      <c r="BC422" s="430"/>
      <c r="BD422" s="430"/>
      <c r="BE422" s="430"/>
    </row>
    <row r="423" spans="1:57" ht="15.75" customHeight="1">
      <c r="A423" s="430"/>
      <c r="B423" s="430"/>
      <c r="C423" s="430"/>
      <c r="D423" s="430"/>
      <c r="E423" s="430"/>
      <c r="F423" s="430"/>
      <c r="G423" s="430"/>
      <c r="H423" s="430"/>
      <c r="I423" s="430"/>
      <c r="J423" s="430"/>
      <c r="K423" s="430"/>
      <c r="L423" s="430"/>
      <c r="M423" s="430"/>
      <c r="N423" s="430"/>
      <c r="O423" s="430"/>
      <c r="P423" s="430"/>
      <c r="Q423" s="430"/>
      <c r="R423" s="430"/>
      <c r="S423" s="430"/>
      <c r="T423" s="430"/>
      <c r="U423" s="430"/>
      <c r="V423" s="430"/>
      <c r="W423" s="430"/>
      <c r="X423" s="430"/>
      <c r="Y423" s="430"/>
      <c r="Z423" s="430"/>
      <c r="AA423" s="430"/>
      <c r="AB423" s="430"/>
      <c r="AC423" s="430"/>
      <c r="AD423" s="430"/>
      <c r="AE423" s="430"/>
      <c r="AF423" s="430"/>
      <c r="AG423" s="430"/>
      <c r="AH423" s="430"/>
      <c r="AI423" s="430"/>
      <c r="AJ423" s="430"/>
      <c r="AK423" s="430"/>
      <c r="AL423" s="430"/>
      <c r="AM423" s="430"/>
      <c r="AN423" s="430"/>
      <c r="AO423" s="430"/>
      <c r="AP423" s="430"/>
      <c r="AQ423" s="430"/>
      <c r="AR423" s="430"/>
      <c r="AS423" s="430"/>
      <c r="AT423" s="430"/>
      <c r="AU423" s="430"/>
      <c r="AV423" s="430"/>
      <c r="AW423" s="430"/>
      <c r="AX423" s="430"/>
      <c r="AY423" s="430"/>
      <c r="AZ423" s="430"/>
      <c r="BA423" s="430"/>
      <c r="BB423" s="430"/>
      <c r="BC423" s="430"/>
      <c r="BD423" s="430"/>
      <c r="BE423" s="430"/>
    </row>
    <row r="424" spans="1:57" ht="15.75" customHeight="1">
      <c r="A424" s="430"/>
      <c r="B424" s="430"/>
      <c r="C424" s="430"/>
      <c r="D424" s="430"/>
      <c r="E424" s="430"/>
      <c r="F424" s="430"/>
      <c r="G424" s="430"/>
      <c r="H424" s="430"/>
      <c r="I424" s="430"/>
      <c r="J424" s="430"/>
      <c r="K424" s="430"/>
      <c r="L424" s="430"/>
      <c r="M424" s="430"/>
      <c r="N424" s="430"/>
      <c r="O424" s="430"/>
      <c r="P424" s="430"/>
      <c r="Q424" s="430"/>
      <c r="R424" s="430"/>
      <c r="S424" s="430"/>
      <c r="T424" s="430"/>
      <c r="U424" s="430"/>
      <c r="V424" s="430"/>
      <c r="W424" s="430"/>
      <c r="X424" s="430"/>
      <c r="Y424" s="430"/>
      <c r="Z424" s="430"/>
      <c r="AA424" s="430"/>
      <c r="AB424" s="430"/>
      <c r="AC424" s="430"/>
      <c r="AD424" s="430"/>
      <c r="AE424" s="430"/>
      <c r="AF424" s="430"/>
      <c r="AG424" s="430"/>
      <c r="AH424" s="430"/>
      <c r="AI424" s="430"/>
      <c r="AJ424" s="430"/>
      <c r="AK424" s="430"/>
      <c r="AL424" s="430"/>
      <c r="AM424" s="430"/>
      <c r="AN424" s="430"/>
      <c r="AO424" s="430"/>
      <c r="AP424" s="430"/>
      <c r="AQ424" s="430"/>
      <c r="AR424" s="430"/>
      <c r="AS424" s="430"/>
      <c r="AT424" s="430"/>
      <c r="AU424" s="430"/>
      <c r="AV424" s="430"/>
      <c r="AW424" s="430"/>
      <c r="AX424" s="430"/>
      <c r="AY424" s="430"/>
      <c r="AZ424" s="430"/>
      <c r="BA424" s="430"/>
      <c r="BB424" s="430"/>
      <c r="BC424" s="430"/>
      <c r="BD424" s="430"/>
      <c r="BE424" s="430"/>
    </row>
    <row r="425" spans="1:57" ht="15.75" customHeight="1">
      <c r="A425" s="430"/>
      <c r="B425" s="430"/>
      <c r="C425" s="430"/>
      <c r="D425" s="430"/>
      <c r="E425" s="430"/>
      <c r="F425" s="430"/>
      <c r="G425" s="430"/>
      <c r="H425" s="430"/>
      <c r="I425" s="430"/>
      <c r="J425" s="430"/>
      <c r="K425" s="430"/>
      <c r="L425" s="430"/>
      <c r="M425" s="430"/>
      <c r="N425" s="430"/>
      <c r="O425" s="430"/>
      <c r="P425" s="430"/>
      <c r="Q425" s="430"/>
      <c r="R425" s="430"/>
      <c r="S425" s="430"/>
      <c r="T425" s="430"/>
      <c r="U425" s="430"/>
      <c r="V425" s="430"/>
      <c r="W425" s="430"/>
      <c r="X425" s="430"/>
      <c r="Y425" s="430"/>
      <c r="Z425" s="430"/>
      <c r="AA425" s="430"/>
      <c r="AB425" s="430"/>
      <c r="AC425" s="430"/>
      <c r="AD425" s="430"/>
      <c r="AE425" s="430"/>
      <c r="AF425" s="430"/>
      <c r="AG425" s="430"/>
      <c r="AH425" s="430"/>
      <c r="AI425" s="430"/>
      <c r="AJ425" s="430"/>
      <c r="AK425" s="430"/>
      <c r="AL425" s="430"/>
      <c r="AM425" s="430"/>
      <c r="AN425" s="430"/>
      <c r="AO425" s="430"/>
      <c r="AP425" s="430"/>
      <c r="AQ425" s="430"/>
      <c r="AR425" s="430"/>
      <c r="AS425" s="430"/>
      <c r="AT425" s="430"/>
      <c r="AU425" s="430"/>
      <c r="AV425" s="430"/>
      <c r="AW425" s="430"/>
      <c r="AX425" s="430"/>
      <c r="AY425" s="430"/>
      <c r="AZ425" s="430"/>
      <c r="BA425" s="430"/>
      <c r="BB425" s="430"/>
      <c r="BC425" s="430"/>
      <c r="BD425" s="430"/>
      <c r="BE425" s="430"/>
    </row>
    <row r="426" spans="1:57" ht="15.75" customHeight="1">
      <c r="A426" s="430"/>
      <c r="B426" s="430"/>
      <c r="C426" s="430"/>
      <c r="D426" s="430"/>
      <c r="E426" s="430"/>
      <c r="F426" s="430"/>
      <c r="G426" s="430"/>
      <c r="H426" s="430"/>
      <c r="I426" s="430"/>
      <c r="J426" s="430"/>
      <c r="K426" s="430"/>
      <c r="L426" s="430"/>
      <c r="M426" s="430"/>
      <c r="N426" s="430"/>
      <c r="O426" s="430"/>
      <c r="P426" s="430"/>
      <c r="Q426" s="430"/>
      <c r="R426" s="430"/>
      <c r="S426" s="430"/>
      <c r="T426" s="430"/>
      <c r="U426" s="430"/>
      <c r="V426" s="430"/>
      <c r="W426" s="430"/>
      <c r="X426" s="430"/>
      <c r="Y426" s="430"/>
      <c r="Z426" s="430"/>
      <c r="AA426" s="430"/>
      <c r="AB426" s="430"/>
      <c r="AC426" s="430"/>
      <c r="AD426" s="430"/>
      <c r="AE426" s="430"/>
      <c r="AF426" s="430"/>
      <c r="AG426" s="430"/>
      <c r="AH426" s="430"/>
      <c r="AI426" s="430"/>
      <c r="AJ426" s="430"/>
      <c r="AK426" s="430"/>
      <c r="AL426" s="430"/>
      <c r="AM426" s="430"/>
      <c r="AN426" s="430"/>
      <c r="AO426" s="430"/>
      <c r="AP426" s="430"/>
      <c r="AQ426" s="430"/>
      <c r="AR426" s="430"/>
      <c r="AS426" s="430"/>
      <c r="AT426" s="430"/>
      <c r="AU426" s="430"/>
      <c r="AV426" s="430"/>
      <c r="AW426" s="430"/>
      <c r="AX426" s="430"/>
      <c r="AY426" s="430"/>
      <c r="AZ426" s="430"/>
      <c r="BA426" s="430"/>
      <c r="BB426" s="430"/>
      <c r="BC426" s="430"/>
      <c r="BD426" s="430"/>
      <c r="BE426" s="430"/>
    </row>
    <row r="427" spans="1:57" ht="15.75" customHeight="1">
      <c r="A427" s="430"/>
      <c r="B427" s="430"/>
      <c r="C427" s="430"/>
      <c r="D427" s="430"/>
      <c r="E427" s="430"/>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0"/>
      <c r="AY427" s="430"/>
      <c r="AZ427" s="430"/>
      <c r="BA427" s="430"/>
      <c r="BB427" s="430"/>
      <c r="BC427" s="430"/>
      <c r="BD427" s="430"/>
      <c r="BE427" s="430"/>
    </row>
    <row r="428" spans="1:57" ht="15.75" customHeight="1">
      <c r="A428" s="430"/>
      <c r="B428" s="430"/>
      <c r="C428" s="430"/>
      <c r="D428" s="430"/>
      <c r="E428" s="430"/>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30"/>
      <c r="AY428" s="430"/>
      <c r="AZ428" s="430"/>
      <c r="BA428" s="430"/>
      <c r="BB428" s="430"/>
      <c r="BC428" s="430"/>
      <c r="BD428" s="430"/>
      <c r="BE428" s="430"/>
    </row>
    <row r="429" spans="1:57" ht="15.75" customHeight="1">
      <c r="A429" s="430"/>
      <c r="B429" s="430"/>
      <c r="C429" s="430"/>
      <c r="D429" s="430"/>
      <c r="E429" s="430"/>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30"/>
      <c r="AY429" s="430"/>
      <c r="AZ429" s="430"/>
      <c r="BA429" s="430"/>
      <c r="BB429" s="430"/>
      <c r="BC429" s="430"/>
      <c r="BD429" s="430"/>
      <c r="BE429" s="430"/>
    </row>
    <row r="430" spans="1:57" ht="15.75" customHeight="1">
      <c r="A430" s="430"/>
      <c r="B430" s="430"/>
      <c r="C430" s="430"/>
      <c r="D430" s="430"/>
      <c r="E430" s="430"/>
      <c r="F430" s="430"/>
      <c r="G430" s="430"/>
      <c r="H430" s="430"/>
      <c r="I430" s="430"/>
      <c r="J430" s="430"/>
      <c r="K430" s="430"/>
      <c r="L430" s="430"/>
      <c r="M430" s="430"/>
      <c r="N430" s="430"/>
      <c r="O430" s="430"/>
      <c r="P430" s="430"/>
      <c r="Q430" s="430"/>
      <c r="R430" s="430"/>
      <c r="S430" s="430"/>
      <c r="T430" s="430"/>
      <c r="U430" s="430"/>
      <c r="V430" s="430"/>
      <c r="W430" s="430"/>
      <c r="X430" s="430"/>
      <c r="Y430" s="430"/>
      <c r="Z430" s="430"/>
      <c r="AA430" s="430"/>
      <c r="AB430" s="430"/>
      <c r="AC430" s="430"/>
      <c r="AD430" s="430"/>
      <c r="AE430" s="430"/>
      <c r="AF430" s="430"/>
      <c r="AG430" s="430"/>
      <c r="AH430" s="430"/>
      <c r="AI430" s="430"/>
      <c r="AJ430" s="430"/>
      <c r="AK430" s="430"/>
      <c r="AL430" s="430"/>
      <c r="AM430" s="430"/>
      <c r="AN430" s="430"/>
      <c r="AO430" s="430"/>
      <c r="AP430" s="430"/>
      <c r="AQ430" s="430"/>
      <c r="AR430" s="430"/>
      <c r="AS430" s="430"/>
      <c r="AT430" s="430"/>
      <c r="AU430" s="430"/>
      <c r="AV430" s="430"/>
      <c r="AW430" s="430"/>
      <c r="AX430" s="430"/>
      <c r="AY430" s="430"/>
      <c r="AZ430" s="430"/>
      <c r="BA430" s="430"/>
      <c r="BB430" s="430"/>
      <c r="BC430" s="430"/>
      <c r="BD430" s="430"/>
      <c r="BE430" s="430"/>
    </row>
    <row r="431" spans="1:57" ht="15.75" customHeight="1">
      <c r="A431" s="430"/>
      <c r="B431" s="430"/>
      <c r="C431" s="430"/>
      <c r="D431" s="430"/>
      <c r="E431" s="430"/>
      <c r="F431" s="430"/>
      <c r="G431" s="430"/>
      <c r="H431" s="430"/>
      <c r="I431" s="430"/>
      <c r="J431" s="430"/>
      <c r="K431" s="430"/>
      <c r="L431" s="430"/>
      <c r="M431" s="430"/>
      <c r="N431" s="430"/>
      <c r="O431" s="430"/>
      <c r="P431" s="430"/>
      <c r="Q431" s="430"/>
      <c r="R431" s="430"/>
      <c r="S431" s="430"/>
      <c r="T431" s="430"/>
      <c r="U431" s="430"/>
      <c r="V431" s="430"/>
      <c r="W431" s="430"/>
      <c r="X431" s="430"/>
      <c r="Y431" s="430"/>
      <c r="Z431" s="430"/>
      <c r="AA431" s="430"/>
      <c r="AB431" s="430"/>
      <c r="AC431" s="430"/>
      <c r="AD431" s="430"/>
      <c r="AE431" s="430"/>
      <c r="AF431" s="430"/>
      <c r="AG431" s="430"/>
      <c r="AH431" s="430"/>
      <c r="AI431" s="430"/>
      <c r="AJ431" s="430"/>
      <c r="AK431" s="430"/>
      <c r="AL431" s="430"/>
      <c r="AM431" s="430"/>
      <c r="AN431" s="430"/>
      <c r="AO431" s="430"/>
      <c r="AP431" s="430"/>
      <c r="AQ431" s="430"/>
      <c r="AR431" s="430"/>
      <c r="AS431" s="430"/>
      <c r="AT431" s="430"/>
      <c r="AU431" s="430"/>
      <c r="AV431" s="430"/>
      <c r="AW431" s="430"/>
      <c r="AX431" s="430"/>
      <c r="AY431" s="430"/>
      <c r="AZ431" s="430"/>
      <c r="BA431" s="430"/>
      <c r="BB431" s="430"/>
      <c r="BC431" s="430"/>
      <c r="BD431" s="430"/>
      <c r="BE431" s="430"/>
    </row>
    <row r="432" spans="1:57" ht="15.75" customHeight="1">
      <c r="A432" s="430"/>
      <c r="B432" s="430"/>
      <c r="C432" s="430"/>
      <c r="D432" s="430"/>
      <c r="E432" s="430"/>
      <c r="F432" s="430"/>
      <c r="G432" s="430"/>
      <c r="H432" s="430"/>
      <c r="I432" s="430"/>
      <c r="J432" s="430"/>
      <c r="K432" s="430"/>
      <c r="L432" s="430"/>
      <c r="M432" s="430"/>
      <c r="N432" s="430"/>
      <c r="O432" s="430"/>
      <c r="P432" s="430"/>
      <c r="Q432" s="430"/>
      <c r="R432" s="430"/>
      <c r="S432" s="430"/>
      <c r="T432" s="430"/>
      <c r="U432" s="430"/>
      <c r="V432" s="430"/>
      <c r="W432" s="430"/>
      <c r="X432" s="430"/>
      <c r="Y432" s="430"/>
      <c r="Z432" s="430"/>
      <c r="AA432" s="430"/>
      <c r="AB432" s="430"/>
      <c r="AC432" s="430"/>
      <c r="AD432" s="430"/>
      <c r="AE432" s="430"/>
      <c r="AF432" s="430"/>
      <c r="AG432" s="430"/>
      <c r="AH432" s="430"/>
      <c r="AI432" s="430"/>
      <c r="AJ432" s="430"/>
      <c r="AK432" s="430"/>
      <c r="AL432" s="430"/>
      <c r="AM432" s="430"/>
      <c r="AN432" s="430"/>
      <c r="AO432" s="430"/>
      <c r="AP432" s="430"/>
      <c r="AQ432" s="430"/>
      <c r="AR432" s="430"/>
      <c r="AS432" s="430"/>
      <c r="AT432" s="430"/>
      <c r="AU432" s="430"/>
      <c r="AV432" s="430"/>
      <c r="AW432" s="430"/>
      <c r="AX432" s="430"/>
      <c r="AY432" s="430"/>
      <c r="AZ432" s="430"/>
      <c r="BA432" s="430"/>
      <c r="BB432" s="430"/>
      <c r="BC432" s="430"/>
      <c r="BD432" s="430"/>
      <c r="BE432" s="430"/>
    </row>
    <row r="433" spans="1:57" ht="15.75" customHeight="1">
      <c r="A433" s="430"/>
      <c r="B433" s="430"/>
      <c r="C433" s="430"/>
      <c r="D433" s="430"/>
      <c r="E433" s="430"/>
      <c r="F433" s="430"/>
      <c r="G433" s="430"/>
      <c r="H433" s="430"/>
      <c r="I433" s="430"/>
      <c r="J433" s="430"/>
      <c r="K433" s="430"/>
      <c r="L433" s="430"/>
      <c r="M433" s="430"/>
      <c r="N433" s="430"/>
      <c r="O433" s="430"/>
      <c r="P433" s="430"/>
      <c r="Q433" s="430"/>
      <c r="R433" s="430"/>
      <c r="S433" s="430"/>
      <c r="T433" s="430"/>
      <c r="U433" s="430"/>
      <c r="V433" s="430"/>
      <c r="W433" s="430"/>
      <c r="X433" s="430"/>
      <c r="Y433" s="430"/>
      <c r="Z433" s="430"/>
      <c r="AA433" s="430"/>
      <c r="AB433" s="430"/>
      <c r="AC433" s="430"/>
      <c r="AD433" s="430"/>
      <c r="AE433" s="430"/>
      <c r="AF433" s="430"/>
      <c r="AG433" s="430"/>
      <c r="AH433" s="430"/>
      <c r="AI433" s="430"/>
      <c r="AJ433" s="430"/>
      <c r="AK433" s="430"/>
      <c r="AL433" s="430"/>
      <c r="AM433" s="430"/>
      <c r="AN433" s="430"/>
      <c r="AO433" s="430"/>
      <c r="AP433" s="430"/>
      <c r="AQ433" s="430"/>
      <c r="AR433" s="430"/>
      <c r="AS433" s="430"/>
      <c r="AT433" s="430"/>
      <c r="AU433" s="430"/>
      <c r="AV433" s="430"/>
      <c r="AW433" s="430"/>
      <c r="AX433" s="430"/>
      <c r="AY433" s="430"/>
      <c r="AZ433" s="430"/>
      <c r="BA433" s="430"/>
      <c r="BB433" s="430"/>
      <c r="BC433" s="430"/>
      <c r="BD433" s="430"/>
      <c r="BE433" s="430"/>
    </row>
    <row r="434" spans="1:57" ht="15.75" customHeight="1">
      <c r="A434" s="430"/>
      <c r="B434" s="430"/>
      <c r="C434" s="430"/>
      <c r="D434" s="430"/>
      <c r="E434" s="430"/>
      <c r="F434" s="430"/>
      <c r="G434" s="430"/>
      <c r="H434" s="430"/>
      <c r="I434" s="430"/>
      <c r="J434" s="430"/>
      <c r="K434" s="430"/>
      <c r="L434" s="430"/>
      <c r="M434" s="430"/>
      <c r="N434" s="430"/>
      <c r="O434" s="430"/>
      <c r="P434" s="430"/>
      <c r="Q434" s="430"/>
      <c r="R434" s="430"/>
      <c r="S434" s="430"/>
      <c r="T434" s="430"/>
      <c r="U434" s="430"/>
      <c r="V434" s="430"/>
      <c r="W434" s="430"/>
      <c r="X434" s="430"/>
      <c r="Y434" s="430"/>
      <c r="Z434" s="430"/>
      <c r="AA434" s="430"/>
      <c r="AB434" s="430"/>
      <c r="AC434" s="430"/>
      <c r="AD434" s="430"/>
      <c r="AE434" s="430"/>
      <c r="AF434" s="430"/>
      <c r="AG434" s="430"/>
      <c r="AH434" s="430"/>
      <c r="AI434" s="430"/>
      <c r="AJ434" s="430"/>
      <c r="AK434" s="430"/>
      <c r="AL434" s="430"/>
      <c r="AM434" s="430"/>
      <c r="AN434" s="430"/>
      <c r="AO434" s="430"/>
      <c r="AP434" s="430"/>
      <c r="AQ434" s="430"/>
      <c r="AR434" s="430"/>
      <c r="AS434" s="430"/>
      <c r="AT434" s="430"/>
      <c r="AU434" s="430"/>
      <c r="AV434" s="430"/>
      <c r="AW434" s="430"/>
      <c r="AX434" s="430"/>
      <c r="AY434" s="430"/>
      <c r="AZ434" s="430"/>
      <c r="BA434" s="430"/>
      <c r="BB434" s="430"/>
      <c r="BC434" s="430"/>
      <c r="BD434" s="430"/>
      <c r="BE434" s="430"/>
    </row>
    <row r="435" spans="1:57" ht="15.75" customHeight="1">
      <c r="A435" s="430"/>
      <c r="B435" s="430"/>
      <c r="C435" s="430"/>
      <c r="D435" s="430"/>
      <c r="E435" s="430"/>
      <c r="F435" s="430"/>
      <c r="G435" s="430"/>
      <c r="H435" s="430"/>
      <c r="I435" s="430"/>
      <c r="J435" s="430"/>
      <c r="K435" s="430"/>
      <c r="L435" s="430"/>
      <c r="M435" s="430"/>
      <c r="N435" s="430"/>
      <c r="O435" s="430"/>
      <c r="P435" s="430"/>
      <c r="Q435" s="430"/>
      <c r="R435" s="430"/>
      <c r="S435" s="430"/>
      <c r="T435" s="430"/>
      <c r="U435" s="430"/>
      <c r="V435" s="430"/>
      <c r="W435" s="430"/>
      <c r="X435" s="430"/>
      <c r="Y435" s="430"/>
      <c r="Z435" s="430"/>
      <c r="AA435" s="430"/>
      <c r="AB435" s="430"/>
      <c r="AC435" s="430"/>
      <c r="AD435" s="430"/>
      <c r="AE435" s="430"/>
      <c r="AF435" s="430"/>
      <c r="AG435" s="430"/>
      <c r="AH435" s="430"/>
      <c r="AI435" s="430"/>
      <c r="AJ435" s="430"/>
      <c r="AK435" s="430"/>
      <c r="AL435" s="430"/>
      <c r="AM435" s="430"/>
      <c r="AN435" s="430"/>
      <c r="AO435" s="430"/>
      <c r="AP435" s="430"/>
      <c r="AQ435" s="430"/>
      <c r="AR435" s="430"/>
      <c r="AS435" s="430"/>
      <c r="AT435" s="430"/>
      <c r="AU435" s="430"/>
      <c r="AV435" s="430"/>
      <c r="AW435" s="430"/>
      <c r="AX435" s="430"/>
      <c r="AY435" s="430"/>
      <c r="AZ435" s="430"/>
      <c r="BA435" s="430"/>
      <c r="BB435" s="430"/>
      <c r="BC435" s="430"/>
      <c r="BD435" s="430"/>
      <c r="BE435" s="430"/>
    </row>
    <row r="436" spans="1:57" ht="15.75" customHeight="1">
      <c r="A436" s="430"/>
      <c r="B436" s="430"/>
      <c r="C436" s="430"/>
      <c r="D436" s="430"/>
      <c r="E436" s="430"/>
      <c r="F436" s="430"/>
      <c r="G436" s="430"/>
      <c r="H436" s="430"/>
      <c r="I436" s="430"/>
      <c r="J436" s="430"/>
      <c r="K436" s="430"/>
      <c r="L436" s="430"/>
      <c r="M436" s="430"/>
      <c r="N436" s="430"/>
      <c r="O436" s="430"/>
      <c r="P436" s="430"/>
      <c r="Q436" s="430"/>
      <c r="R436" s="430"/>
      <c r="S436" s="430"/>
      <c r="T436" s="430"/>
      <c r="U436" s="430"/>
      <c r="V436" s="430"/>
      <c r="W436" s="430"/>
      <c r="X436" s="430"/>
      <c r="Y436" s="430"/>
      <c r="Z436" s="430"/>
      <c r="AA436" s="430"/>
      <c r="AB436" s="430"/>
      <c r="AC436" s="430"/>
      <c r="AD436" s="430"/>
      <c r="AE436" s="430"/>
      <c r="AF436" s="430"/>
      <c r="AG436" s="430"/>
      <c r="AH436" s="430"/>
      <c r="AI436" s="430"/>
      <c r="AJ436" s="430"/>
      <c r="AK436" s="430"/>
      <c r="AL436" s="430"/>
      <c r="AM436" s="430"/>
      <c r="AN436" s="430"/>
      <c r="AO436" s="430"/>
      <c r="AP436" s="430"/>
      <c r="AQ436" s="430"/>
      <c r="AR436" s="430"/>
      <c r="AS436" s="430"/>
      <c r="AT436" s="430"/>
      <c r="AU436" s="430"/>
      <c r="AV436" s="430"/>
      <c r="AW436" s="430"/>
      <c r="AX436" s="430"/>
      <c r="AY436" s="430"/>
      <c r="AZ436" s="430"/>
      <c r="BA436" s="430"/>
      <c r="BB436" s="430"/>
      <c r="BC436" s="430"/>
      <c r="BD436" s="430"/>
      <c r="BE436" s="430"/>
    </row>
    <row r="437" spans="1:57" ht="15.75" customHeight="1">
      <c r="A437" s="430"/>
      <c r="B437" s="430"/>
      <c r="C437" s="430"/>
      <c r="D437" s="430"/>
      <c r="E437" s="430"/>
      <c r="F437" s="430"/>
      <c r="G437" s="430"/>
      <c r="H437" s="430"/>
      <c r="I437" s="430"/>
      <c r="J437" s="430"/>
      <c r="K437" s="430"/>
      <c r="L437" s="430"/>
      <c r="M437" s="430"/>
      <c r="N437" s="430"/>
      <c r="O437" s="430"/>
      <c r="P437" s="430"/>
      <c r="Q437" s="430"/>
      <c r="R437" s="430"/>
      <c r="S437" s="430"/>
      <c r="T437" s="430"/>
      <c r="U437" s="430"/>
      <c r="V437" s="430"/>
      <c r="W437" s="430"/>
      <c r="X437" s="430"/>
      <c r="Y437" s="430"/>
      <c r="Z437" s="430"/>
      <c r="AA437" s="430"/>
      <c r="AB437" s="430"/>
      <c r="AC437" s="430"/>
      <c r="AD437" s="430"/>
      <c r="AE437" s="430"/>
      <c r="AF437" s="430"/>
      <c r="AG437" s="430"/>
      <c r="AH437" s="430"/>
      <c r="AI437" s="430"/>
      <c r="AJ437" s="430"/>
      <c r="AK437" s="430"/>
      <c r="AL437" s="430"/>
      <c r="AM437" s="430"/>
      <c r="AN437" s="430"/>
      <c r="AO437" s="430"/>
      <c r="AP437" s="430"/>
      <c r="AQ437" s="430"/>
      <c r="AR437" s="430"/>
      <c r="AS437" s="430"/>
      <c r="AT437" s="430"/>
      <c r="AU437" s="430"/>
      <c r="AV437" s="430"/>
      <c r="AW437" s="430"/>
      <c r="AX437" s="430"/>
      <c r="AY437" s="430"/>
      <c r="AZ437" s="430"/>
      <c r="BA437" s="430"/>
      <c r="BB437" s="430"/>
      <c r="BC437" s="430"/>
      <c r="BD437" s="430"/>
      <c r="BE437" s="430"/>
    </row>
    <row r="438" spans="1:57" ht="15.75" customHeight="1">
      <c r="A438" s="430"/>
      <c r="B438" s="430"/>
      <c r="C438" s="430"/>
      <c r="D438" s="430"/>
      <c r="E438" s="430"/>
      <c r="F438" s="430"/>
      <c r="G438" s="430"/>
      <c r="H438" s="430"/>
      <c r="I438" s="430"/>
      <c r="J438" s="430"/>
      <c r="K438" s="430"/>
      <c r="L438" s="430"/>
      <c r="M438" s="430"/>
      <c r="N438" s="430"/>
      <c r="O438" s="430"/>
      <c r="P438" s="430"/>
      <c r="Q438" s="430"/>
      <c r="R438" s="430"/>
      <c r="S438" s="430"/>
      <c r="T438" s="430"/>
      <c r="U438" s="430"/>
      <c r="V438" s="430"/>
      <c r="W438" s="430"/>
      <c r="X438" s="430"/>
      <c r="Y438" s="430"/>
      <c r="Z438" s="430"/>
      <c r="AA438" s="430"/>
      <c r="AB438" s="430"/>
      <c r="AC438" s="430"/>
      <c r="AD438" s="430"/>
      <c r="AE438" s="430"/>
      <c r="AF438" s="430"/>
      <c r="AG438" s="430"/>
      <c r="AH438" s="430"/>
      <c r="AI438" s="430"/>
      <c r="AJ438" s="430"/>
      <c r="AK438" s="430"/>
      <c r="AL438" s="430"/>
      <c r="AM438" s="430"/>
      <c r="AN438" s="430"/>
      <c r="AO438" s="430"/>
      <c r="AP438" s="430"/>
      <c r="AQ438" s="430"/>
      <c r="AR438" s="430"/>
      <c r="AS438" s="430"/>
      <c r="AT438" s="430"/>
      <c r="AU438" s="430"/>
      <c r="AV438" s="430"/>
      <c r="AW438" s="430"/>
      <c r="AX438" s="430"/>
      <c r="AY438" s="430"/>
      <c r="AZ438" s="430"/>
      <c r="BA438" s="430"/>
      <c r="BB438" s="430"/>
      <c r="BC438" s="430"/>
      <c r="BD438" s="430"/>
      <c r="BE438" s="430"/>
    </row>
    <row r="439" spans="1:57" ht="15.75" customHeight="1">
      <c r="A439" s="430"/>
      <c r="B439" s="430"/>
      <c r="C439" s="430"/>
      <c r="D439" s="430"/>
      <c r="E439" s="430"/>
      <c r="F439" s="430"/>
      <c r="G439" s="430"/>
      <c r="H439" s="430"/>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c r="AI439" s="430"/>
      <c r="AJ439" s="430"/>
      <c r="AK439" s="430"/>
      <c r="AL439" s="430"/>
      <c r="AM439" s="430"/>
      <c r="AN439" s="430"/>
      <c r="AO439" s="430"/>
      <c r="AP439" s="430"/>
      <c r="AQ439" s="430"/>
      <c r="AR439" s="430"/>
      <c r="AS439" s="430"/>
      <c r="AT439" s="430"/>
      <c r="AU439" s="430"/>
      <c r="AV439" s="430"/>
      <c r="AW439" s="430"/>
      <c r="AX439" s="430"/>
      <c r="AY439" s="430"/>
      <c r="AZ439" s="430"/>
      <c r="BA439" s="430"/>
      <c r="BB439" s="430"/>
      <c r="BC439" s="430"/>
      <c r="BD439" s="430"/>
      <c r="BE439" s="430"/>
    </row>
    <row r="440" spans="1:57" ht="15.75" customHeight="1">
      <c r="A440" s="430"/>
      <c r="B440" s="430"/>
      <c r="C440" s="430"/>
      <c r="D440" s="430"/>
      <c r="E440" s="430"/>
      <c r="F440" s="430"/>
      <c r="G440" s="430"/>
      <c r="H440" s="430"/>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0"/>
      <c r="AJ440" s="430"/>
      <c r="AK440" s="430"/>
      <c r="AL440" s="430"/>
      <c r="AM440" s="430"/>
      <c r="AN440" s="430"/>
      <c r="AO440" s="430"/>
      <c r="AP440" s="430"/>
      <c r="AQ440" s="430"/>
      <c r="AR440" s="430"/>
      <c r="AS440" s="430"/>
      <c r="AT440" s="430"/>
      <c r="AU440" s="430"/>
      <c r="AV440" s="430"/>
      <c r="AW440" s="430"/>
      <c r="AX440" s="430"/>
      <c r="AY440" s="430"/>
      <c r="AZ440" s="430"/>
      <c r="BA440" s="430"/>
      <c r="BB440" s="430"/>
      <c r="BC440" s="430"/>
      <c r="BD440" s="430"/>
      <c r="BE440" s="430"/>
    </row>
    <row r="441" spans="1:57" ht="15.75" customHeight="1">
      <c r="A441" s="430"/>
      <c r="B441" s="430"/>
      <c r="C441" s="430"/>
      <c r="D441" s="430"/>
      <c r="E441" s="430"/>
      <c r="F441" s="430"/>
      <c r="G441" s="430"/>
      <c r="H441" s="430"/>
      <c r="I441" s="430"/>
      <c r="J441" s="430"/>
      <c r="K441" s="430"/>
      <c r="L441" s="430"/>
      <c r="M441" s="430"/>
      <c r="N441" s="430"/>
      <c r="O441" s="430"/>
      <c r="P441" s="430"/>
      <c r="Q441" s="430"/>
      <c r="R441" s="430"/>
      <c r="S441" s="430"/>
      <c r="T441" s="430"/>
      <c r="U441" s="430"/>
      <c r="V441" s="430"/>
      <c r="W441" s="430"/>
      <c r="X441" s="430"/>
      <c r="Y441" s="430"/>
      <c r="Z441" s="430"/>
      <c r="AA441" s="430"/>
      <c r="AB441" s="430"/>
      <c r="AC441" s="430"/>
      <c r="AD441" s="430"/>
      <c r="AE441" s="430"/>
      <c r="AF441" s="430"/>
      <c r="AG441" s="430"/>
      <c r="AH441" s="430"/>
      <c r="AI441" s="430"/>
      <c r="AJ441" s="430"/>
      <c r="AK441" s="430"/>
      <c r="AL441" s="430"/>
      <c r="AM441" s="430"/>
      <c r="AN441" s="430"/>
      <c r="AO441" s="430"/>
      <c r="AP441" s="430"/>
      <c r="AQ441" s="430"/>
      <c r="AR441" s="430"/>
      <c r="AS441" s="430"/>
      <c r="AT441" s="430"/>
      <c r="AU441" s="430"/>
      <c r="AV441" s="430"/>
      <c r="AW441" s="430"/>
      <c r="AX441" s="430"/>
      <c r="AY441" s="430"/>
      <c r="AZ441" s="430"/>
      <c r="BA441" s="430"/>
      <c r="BB441" s="430"/>
      <c r="BC441" s="430"/>
      <c r="BD441" s="430"/>
      <c r="BE441" s="430"/>
    </row>
    <row r="442" spans="1:57" ht="15.75" customHeight="1">
      <c r="A442" s="430"/>
      <c r="B442" s="430"/>
      <c r="C442" s="430"/>
      <c r="D442" s="430"/>
      <c r="E442" s="430"/>
      <c r="F442" s="430"/>
      <c r="G442" s="430"/>
      <c r="H442" s="430"/>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0"/>
      <c r="AJ442" s="430"/>
      <c r="AK442" s="430"/>
      <c r="AL442" s="430"/>
      <c r="AM442" s="430"/>
      <c r="AN442" s="430"/>
      <c r="AO442" s="430"/>
      <c r="AP442" s="430"/>
      <c r="AQ442" s="430"/>
      <c r="AR442" s="430"/>
      <c r="AS442" s="430"/>
      <c r="AT442" s="430"/>
      <c r="AU442" s="430"/>
      <c r="AV442" s="430"/>
      <c r="AW442" s="430"/>
      <c r="AX442" s="430"/>
      <c r="AY442" s="430"/>
      <c r="AZ442" s="430"/>
      <c r="BA442" s="430"/>
      <c r="BB442" s="430"/>
      <c r="BC442" s="430"/>
      <c r="BD442" s="430"/>
      <c r="BE442" s="430"/>
    </row>
    <row r="443" spans="1:57" ht="15.75" customHeight="1">
      <c r="A443" s="430"/>
      <c r="B443" s="430"/>
      <c r="C443" s="430"/>
      <c r="D443" s="430"/>
      <c r="E443" s="430"/>
      <c r="F443" s="430"/>
      <c r="G443" s="430"/>
      <c r="H443" s="430"/>
      <c r="I443" s="430"/>
      <c r="J443" s="430"/>
      <c r="K443" s="430"/>
      <c r="L443" s="430"/>
      <c r="M443" s="430"/>
      <c r="N443" s="430"/>
      <c r="O443" s="430"/>
      <c r="P443" s="430"/>
      <c r="Q443" s="430"/>
      <c r="R443" s="430"/>
      <c r="S443" s="430"/>
      <c r="T443" s="430"/>
      <c r="U443" s="430"/>
      <c r="V443" s="430"/>
      <c r="W443" s="430"/>
      <c r="X443" s="430"/>
      <c r="Y443" s="430"/>
      <c r="Z443" s="430"/>
      <c r="AA443" s="430"/>
      <c r="AB443" s="430"/>
      <c r="AC443" s="430"/>
      <c r="AD443" s="430"/>
      <c r="AE443" s="430"/>
      <c r="AF443" s="430"/>
      <c r="AG443" s="430"/>
      <c r="AH443" s="430"/>
      <c r="AI443" s="430"/>
      <c r="AJ443" s="430"/>
      <c r="AK443" s="430"/>
      <c r="AL443" s="430"/>
      <c r="AM443" s="430"/>
      <c r="AN443" s="430"/>
      <c r="AO443" s="430"/>
      <c r="AP443" s="430"/>
      <c r="AQ443" s="430"/>
      <c r="AR443" s="430"/>
      <c r="AS443" s="430"/>
      <c r="AT443" s="430"/>
      <c r="AU443" s="430"/>
      <c r="AV443" s="430"/>
      <c r="AW443" s="430"/>
      <c r="AX443" s="430"/>
      <c r="AY443" s="430"/>
      <c r="AZ443" s="430"/>
      <c r="BA443" s="430"/>
      <c r="BB443" s="430"/>
      <c r="BC443" s="430"/>
      <c r="BD443" s="430"/>
      <c r="BE443" s="430"/>
    </row>
    <row r="444" spans="1:57" ht="15.75" customHeight="1">
      <c r="A444" s="430"/>
      <c r="B444" s="430"/>
      <c r="C444" s="430"/>
      <c r="D444" s="430"/>
      <c r="E444" s="430"/>
      <c r="F444" s="430"/>
      <c r="G444" s="430"/>
      <c r="H444" s="430"/>
      <c r="I444" s="430"/>
      <c r="J444" s="430"/>
      <c r="K444" s="430"/>
      <c r="L444" s="430"/>
      <c r="M444" s="430"/>
      <c r="N444" s="430"/>
      <c r="O444" s="430"/>
      <c r="P444" s="430"/>
      <c r="Q444" s="430"/>
      <c r="R444" s="430"/>
      <c r="S444" s="430"/>
      <c r="T444" s="430"/>
      <c r="U444" s="430"/>
      <c r="V444" s="430"/>
      <c r="W444" s="430"/>
      <c r="X444" s="430"/>
      <c r="Y444" s="430"/>
      <c r="Z444" s="430"/>
      <c r="AA444" s="430"/>
      <c r="AB444" s="430"/>
      <c r="AC444" s="430"/>
      <c r="AD444" s="430"/>
      <c r="AE444" s="430"/>
      <c r="AF444" s="430"/>
      <c r="AG444" s="430"/>
      <c r="AH444" s="430"/>
      <c r="AI444" s="430"/>
      <c r="AJ444" s="430"/>
      <c r="AK444" s="430"/>
      <c r="AL444" s="430"/>
      <c r="AM444" s="430"/>
      <c r="AN444" s="430"/>
      <c r="AO444" s="430"/>
      <c r="AP444" s="430"/>
      <c r="AQ444" s="430"/>
      <c r="AR444" s="430"/>
      <c r="AS444" s="430"/>
      <c r="AT444" s="430"/>
      <c r="AU444" s="430"/>
      <c r="AV444" s="430"/>
      <c r="AW444" s="430"/>
      <c r="AX444" s="430"/>
      <c r="AY444" s="430"/>
      <c r="AZ444" s="430"/>
      <c r="BA444" s="430"/>
      <c r="BB444" s="430"/>
      <c r="BC444" s="430"/>
      <c r="BD444" s="430"/>
      <c r="BE444" s="430"/>
    </row>
    <row r="445" spans="1:57" ht="15.75" customHeight="1">
      <c r="A445" s="430"/>
      <c r="B445" s="430"/>
      <c r="C445" s="430"/>
      <c r="D445" s="430"/>
      <c r="E445" s="430"/>
      <c r="F445" s="430"/>
      <c r="G445" s="430"/>
      <c r="H445" s="430"/>
      <c r="I445" s="430"/>
      <c r="J445" s="430"/>
      <c r="K445" s="430"/>
      <c r="L445" s="430"/>
      <c r="M445" s="430"/>
      <c r="N445" s="430"/>
      <c r="O445" s="430"/>
      <c r="P445" s="430"/>
      <c r="Q445" s="430"/>
      <c r="R445" s="430"/>
      <c r="S445" s="430"/>
      <c r="T445" s="430"/>
      <c r="U445" s="430"/>
      <c r="V445" s="430"/>
      <c r="W445" s="430"/>
      <c r="X445" s="430"/>
      <c r="Y445" s="430"/>
      <c r="Z445" s="430"/>
      <c r="AA445" s="430"/>
      <c r="AB445" s="430"/>
      <c r="AC445" s="430"/>
      <c r="AD445" s="430"/>
      <c r="AE445" s="430"/>
      <c r="AF445" s="430"/>
      <c r="AG445" s="430"/>
      <c r="AH445" s="430"/>
      <c r="AI445" s="430"/>
      <c r="AJ445" s="430"/>
      <c r="AK445" s="430"/>
      <c r="AL445" s="430"/>
      <c r="AM445" s="430"/>
      <c r="AN445" s="430"/>
      <c r="AO445" s="430"/>
      <c r="AP445" s="430"/>
      <c r="AQ445" s="430"/>
      <c r="AR445" s="430"/>
      <c r="AS445" s="430"/>
      <c r="AT445" s="430"/>
      <c r="AU445" s="430"/>
      <c r="AV445" s="430"/>
      <c r="AW445" s="430"/>
      <c r="AX445" s="430"/>
      <c r="AY445" s="430"/>
      <c r="AZ445" s="430"/>
      <c r="BA445" s="430"/>
      <c r="BB445" s="430"/>
      <c r="BC445" s="430"/>
      <c r="BD445" s="430"/>
      <c r="BE445" s="430"/>
    </row>
    <row r="446" spans="1:57" ht="15.75" customHeight="1">
      <c r="A446" s="430"/>
      <c r="B446" s="430"/>
      <c r="C446" s="430"/>
      <c r="D446" s="430"/>
      <c r="E446" s="430"/>
      <c r="F446" s="430"/>
      <c r="G446" s="430"/>
      <c r="H446" s="430"/>
      <c r="I446" s="430"/>
      <c r="J446" s="430"/>
      <c r="K446" s="430"/>
      <c r="L446" s="430"/>
      <c r="M446" s="430"/>
      <c r="N446" s="430"/>
      <c r="O446" s="430"/>
      <c r="P446" s="430"/>
      <c r="Q446" s="430"/>
      <c r="R446" s="430"/>
      <c r="S446" s="430"/>
      <c r="T446" s="430"/>
      <c r="U446" s="430"/>
      <c r="V446" s="430"/>
      <c r="W446" s="430"/>
      <c r="X446" s="430"/>
      <c r="Y446" s="430"/>
      <c r="Z446" s="430"/>
      <c r="AA446" s="430"/>
      <c r="AB446" s="430"/>
      <c r="AC446" s="430"/>
      <c r="AD446" s="430"/>
      <c r="AE446" s="430"/>
      <c r="AF446" s="430"/>
      <c r="AG446" s="430"/>
      <c r="AH446" s="430"/>
      <c r="AI446" s="430"/>
      <c r="AJ446" s="430"/>
      <c r="AK446" s="430"/>
      <c r="AL446" s="430"/>
      <c r="AM446" s="430"/>
      <c r="AN446" s="430"/>
      <c r="AO446" s="430"/>
      <c r="AP446" s="430"/>
      <c r="AQ446" s="430"/>
      <c r="AR446" s="430"/>
      <c r="AS446" s="430"/>
      <c r="AT446" s="430"/>
      <c r="AU446" s="430"/>
      <c r="AV446" s="430"/>
      <c r="AW446" s="430"/>
      <c r="AX446" s="430"/>
      <c r="AY446" s="430"/>
      <c r="AZ446" s="430"/>
      <c r="BA446" s="430"/>
      <c r="BB446" s="430"/>
      <c r="BC446" s="430"/>
      <c r="BD446" s="430"/>
      <c r="BE446" s="430"/>
    </row>
    <row r="447" spans="1:57" ht="15.75" customHeight="1">
      <c r="A447" s="430"/>
      <c r="B447" s="430"/>
      <c r="C447" s="430"/>
      <c r="D447" s="430"/>
      <c r="E447" s="430"/>
      <c r="F447" s="430"/>
      <c r="G447" s="430"/>
      <c r="H447" s="430"/>
      <c r="I447" s="430"/>
      <c r="J447" s="430"/>
      <c r="K447" s="430"/>
      <c r="L447" s="430"/>
      <c r="M447" s="430"/>
      <c r="N447" s="430"/>
      <c r="O447" s="430"/>
      <c r="P447" s="430"/>
      <c r="Q447" s="430"/>
      <c r="R447" s="430"/>
      <c r="S447" s="430"/>
      <c r="T447" s="430"/>
      <c r="U447" s="430"/>
      <c r="V447" s="430"/>
      <c r="W447" s="430"/>
      <c r="X447" s="430"/>
      <c r="Y447" s="430"/>
      <c r="Z447" s="430"/>
      <c r="AA447" s="430"/>
      <c r="AB447" s="430"/>
      <c r="AC447" s="430"/>
      <c r="AD447" s="430"/>
      <c r="AE447" s="430"/>
      <c r="AF447" s="430"/>
      <c r="AG447" s="430"/>
      <c r="AH447" s="430"/>
      <c r="AI447" s="430"/>
      <c r="AJ447" s="430"/>
      <c r="AK447" s="430"/>
      <c r="AL447" s="430"/>
      <c r="AM447" s="430"/>
      <c r="AN447" s="430"/>
      <c r="AO447" s="430"/>
      <c r="AP447" s="430"/>
      <c r="AQ447" s="430"/>
      <c r="AR447" s="430"/>
      <c r="AS447" s="430"/>
      <c r="AT447" s="430"/>
      <c r="AU447" s="430"/>
      <c r="AV447" s="430"/>
      <c r="AW447" s="430"/>
      <c r="AX447" s="430"/>
      <c r="AY447" s="430"/>
      <c r="AZ447" s="430"/>
      <c r="BA447" s="430"/>
      <c r="BB447" s="430"/>
      <c r="BC447" s="430"/>
      <c r="BD447" s="430"/>
      <c r="BE447" s="430"/>
    </row>
    <row r="448" spans="1:57" ht="15.75" customHeight="1">
      <c r="A448" s="430"/>
      <c r="B448" s="430"/>
      <c r="C448" s="430"/>
      <c r="D448" s="430"/>
      <c r="E448" s="430"/>
      <c r="F448" s="430"/>
      <c r="G448" s="430"/>
      <c r="H448" s="430"/>
      <c r="I448" s="430"/>
      <c r="J448" s="430"/>
      <c r="K448" s="430"/>
      <c r="L448" s="430"/>
      <c r="M448" s="430"/>
      <c r="N448" s="430"/>
      <c r="O448" s="430"/>
      <c r="P448" s="430"/>
      <c r="Q448" s="430"/>
      <c r="R448" s="430"/>
      <c r="S448" s="430"/>
      <c r="T448" s="430"/>
      <c r="U448" s="430"/>
      <c r="V448" s="430"/>
      <c r="W448" s="430"/>
      <c r="X448" s="430"/>
      <c r="Y448" s="430"/>
      <c r="Z448" s="430"/>
      <c r="AA448" s="430"/>
      <c r="AB448" s="430"/>
      <c r="AC448" s="430"/>
      <c r="AD448" s="430"/>
      <c r="AE448" s="430"/>
      <c r="AF448" s="430"/>
      <c r="AG448" s="430"/>
      <c r="AH448" s="430"/>
      <c r="AI448" s="430"/>
      <c r="AJ448" s="430"/>
      <c r="AK448" s="430"/>
      <c r="AL448" s="430"/>
      <c r="AM448" s="430"/>
      <c r="AN448" s="430"/>
      <c r="AO448" s="430"/>
      <c r="AP448" s="430"/>
      <c r="AQ448" s="430"/>
      <c r="AR448" s="430"/>
      <c r="AS448" s="430"/>
      <c r="AT448" s="430"/>
      <c r="AU448" s="430"/>
      <c r="AV448" s="430"/>
      <c r="AW448" s="430"/>
      <c r="AX448" s="430"/>
      <c r="AY448" s="430"/>
      <c r="AZ448" s="430"/>
      <c r="BA448" s="430"/>
      <c r="BB448" s="430"/>
      <c r="BC448" s="430"/>
      <c r="BD448" s="430"/>
      <c r="BE448" s="430"/>
    </row>
    <row r="449" spans="1:57" ht="15.75" customHeight="1">
      <c r="A449" s="430"/>
      <c r="B449" s="430"/>
      <c r="C449" s="430"/>
      <c r="D449" s="430"/>
      <c r="E449" s="430"/>
      <c r="F449" s="430"/>
      <c r="G449" s="430"/>
      <c r="H449" s="430"/>
      <c r="I449" s="430"/>
      <c r="J449" s="430"/>
      <c r="K449" s="430"/>
      <c r="L449" s="430"/>
      <c r="M449" s="430"/>
      <c r="N449" s="430"/>
      <c r="O449" s="430"/>
      <c r="P449" s="430"/>
      <c r="Q449" s="430"/>
      <c r="R449" s="430"/>
      <c r="S449" s="430"/>
      <c r="T449" s="430"/>
      <c r="U449" s="430"/>
      <c r="V449" s="430"/>
      <c r="W449" s="430"/>
      <c r="X449" s="430"/>
      <c r="Y449" s="430"/>
      <c r="Z449" s="430"/>
      <c r="AA449" s="430"/>
      <c r="AB449" s="430"/>
      <c r="AC449" s="430"/>
      <c r="AD449" s="430"/>
      <c r="AE449" s="430"/>
      <c r="AF449" s="430"/>
      <c r="AG449" s="430"/>
      <c r="AH449" s="430"/>
      <c r="AI449" s="430"/>
      <c r="AJ449" s="430"/>
      <c r="AK449" s="430"/>
      <c r="AL449" s="430"/>
      <c r="AM449" s="430"/>
      <c r="AN449" s="430"/>
      <c r="AO449" s="430"/>
      <c r="AP449" s="430"/>
      <c r="AQ449" s="430"/>
      <c r="AR449" s="430"/>
      <c r="AS449" s="430"/>
      <c r="AT449" s="430"/>
      <c r="AU449" s="430"/>
      <c r="AV449" s="430"/>
      <c r="AW449" s="430"/>
      <c r="AX449" s="430"/>
      <c r="AY449" s="430"/>
      <c r="AZ449" s="430"/>
      <c r="BA449" s="430"/>
      <c r="BB449" s="430"/>
      <c r="BC449" s="430"/>
      <c r="BD449" s="430"/>
      <c r="BE449" s="430"/>
    </row>
    <row r="450" spans="1:57" ht="15.75" customHeight="1">
      <c r="A450" s="430"/>
      <c r="B450" s="430"/>
      <c r="C450" s="430"/>
      <c r="D450" s="430"/>
      <c r="E450" s="430"/>
      <c r="F450" s="430"/>
      <c r="G450" s="430"/>
      <c r="H450" s="430"/>
      <c r="I450" s="430"/>
      <c r="J450" s="430"/>
      <c r="K450" s="430"/>
      <c r="L450" s="430"/>
      <c r="M450" s="430"/>
      <c r="N450" s="430"/>
      <c r="O450" s="430"/>
      <c r="P450" s="430"/>
      <c r="Q450" s="430"/>
      <c r="R450" s="430"/>
      <c r="S450" s="430"/>
      <c r="T450" s="430"/>
      <c r="U450" s="430"/>
      <c r="V450" s="430"/>
      <c r="W450" s="430"/>
      <c r="X450" s="430"/>
      <c r="Y450" s="430"/>
      <c r="Z450" s="430"/>
      <c r="AA450" s="430"/>
      <c r="AB450" s="430"/>
      <c r="AC450" s="430"/>
      <c r="AD450" s="430"/>
      <c r="AE450" s="430"/>
      <c r="AF450" s="430"/>
      <c r="AG450" s="430"/>
      <c r="AH450" s="430"/>
      <c r="AI450" s="430"/>
      <c r="AJ450" s="430"/>
      <c r="AK450" s="430"/>
      <c r="AL450" s="430"/>
      <c r="AM450" s="430"/>
      <c r="AN450" s="430"/>
      <c r="AO450" s="430"/>
      <c r="AP450" s="430"/>
      <c r="AQ450" s="430"/>
      <c r="AR450" s="430"/>
      <c r="AS450" s="430"/>
      <c r="AT450" s="430"/>
      <c r="AU450" s="430"/>
      <c r="AV450" s="430"/>
      <c r="AW450" s="430"/>
      <c r="AX450" s="430"/>
      <c r="AY450" s="430"/>
      <c r="AZ450" s="430"/>
      <c r="BA450" s="430"/>
      <c r="BB450" s="430"/>
      <c r="BC450" s="430"/>
      <c r="BD450" s="430"/>
      <c r="BE450" s="430"/>
    </row>
    <row r="451" spans="1:57" ht="15.75" customHeight="1">
      <c r="A451" s="430"/>
      <c r="B451" s="430"/>
      <c r="C451" s="430"/>
      <c r="D451" s="430"/>
      <c r="E451" s="430"/>
      <c r="F451" s="430"/>
      <c r="G451" s="430"/>
      <c r="H451" s="430"/>
      <c r="I451" s="430"/>
      <c r="J451" s="430"/>
      <c r="K451" s="430"/>
      <c r="L451" s="430"/>
      <c r="M451" s="430"/>
      <c r="N451" s="430"/>
      <c r="O451" s="430"/>
      <c r="P451" s="430"/>
      <c r="Q451" s="430"/>
      <c r="R451" s="430"/>
      <c r="S451" s="430"/>
      <c r="T451" s="430"/>
      <c r="U451" s="430"/>
      <c r="V451" s="430"/>
      <c r="W451" s="430"/>
      <c r="X451" s="430"/>
      <c r="Y451" s="430"/>
      <c r="Z451" s="430"/>
      <c r="AA451" s="430"/>
      <c r="AB451" s="430"/>
      <c r="AC451" s="430"/>
      <c r="AD451" s="430"/>
      <c r="AE451" s="430"/>
      <c r="AF451" s="430"/>
      <c r="AG451" s="430"/>
      <c r="AH451" s="430"/>
      <c r="AI451" s="430"/>
      <c r="AJ451" s="430"/>
      <c r="AK451" s="430"/>
      <c r="AL451" s="430"/>
      <c r="AM451" s="430"/>
      <c r="AN451" s="430"/>
      <c r="AO451" s="430"/>
      <c r="AP451" s="430"/>
      <c r="AQ451" s="430"/>
      <c r="AR451" s="430"/>
      <c r="AS451" s="430"/>
      <c r="AT451" s="430"/>
      <c r="AU451" s="430"/>
      <c r="AV451" s="430"/>
      <c r="AW451" s="430"/>
      <c r="AX451" s="430"/>
      <c r="AY451" s="430"/>
      <c r="AZ451" s="430"/>
      <c r="BA451" s="430"/>
      <c r="BB451" s="430"/>
      <c r="BC451" s="430"/>
      <c r="BD451" s="430"/>
      <c r="BE451" s="430"/>
    </row>
    <row r="452" spans="1:57" ht="15.75" customHeight="1">
      <c r="A452" s="430"/>
      <c r="B452" s="430"/>
      <c r="C452" s="430"/>
      <c r="D452" s="430"/>
      <c r="E452" s="430"/>
      <c r="F452" s="430"/>
      <c r="G452" s="430"/>
      <c r="H452" s="430"/>
      <c r="I452" s="430"/>
      <c r="J452" s="430"/>
      <c r="K452" s="430"/>
      <c r="L452" s="430"/>
      <c r="M452" s="430"/>
      <c r="N452" s="430"/>
      <c r="O452" s="430"/>
      <c r="P452" s="430"/>
      <c r="Q452" s="430"/>
      <c r="R452" s="430"/>
      <c r="S452" s="430"/>
      <c r="T452" s="430"/>
      <c r="U452" s="430"/>
      <c r="V452" s="430"/>
      <c r="W452" s="430"/>
      <c r="X452" s="430"/>
      <c r="Y452" s="430"/>
      <c r="Z452" s="430"/>
      <c r="AA452" s="430"/>
      <c r="AB452" s="430"/>
      <c r="AC452" s="430"/>
      <c r="AD452" s="430"/>
      <c r="AE452" s="430"/>
      <c r="AF452" s="430"/>
      <c r="AG452" s="430"/>
      <c r="AH452" s="430"/>
      <c r="AI452" s="430"/>
      <c r="AJ452" s="430"/>
      <c r="AK452" s="430"/>
      <c r="AL452" s="430"/>
      <c r="AM452" s="430"/>
      <c r="AN452" s="430"/>
      <c r="AO452" s="430"/>
      <c r="AP452" s="430"/>
      <c r="AQ452" s="430"/>
      <c r="AR452" s="430"/>
      <c r="AS452" s="430"/>
      <c r="AT452" s="430"/>
      <c r="AU452" s="430"/>
      <c r="AV452" s="430"/>
      <c r="AW452" s="430"/>
      <c r="AX452" s="430"/>
      <c r="AY452" s="430"/>
      <c r="AZ452" s="430"/>
      <c r="BA452" s="430"/>
      <c r="BB452" s="430"/>
      <c r="BC452" s="430"/>
      <c r="BD452" s="430"/>
      <c r="BE452" s="430"/>
    </row>
    <row r="453" spans="1:57" ht="15.75" customHeight="1">
      <c r="A453" s="430"/>
      <c r="B453" s="430"/>
      <c r="C453" s="430"/>
      <c r="D453" s="430"/>
      <c r="E453" s="430"/>
      <c r="F453" s="430"/>
      <c r="G453" s="430"/>
      <c r="H453" s="430"/>
      <c r="I453" s="430"/>
      <c r="J453" s="430"/>
      <c r="K453" s="430"/>
      <c r="L453" s="430"/>
      <c r="M453" s="430"/>
      <c r="N453" s="430"/>
      <c r="O453" s="430"/>
      <c r="P453" s="430"/>
      <c r="Q453" s="430"/>
      <c r="R453" s="430"/>
      <c r="S453" s="430"/>
      <c r="T453" s="430"/>
      <c r="U453" s="430"/>
      <c r="V453" s="430"/>
      <c r="W453" s="430"/>
      <c r="X453" s="430"/>
      <c r="Y453" s="430"/>
      <c r="Z453" s="430"/>
      <c r="AA453" s="430"/>
      <c r="AB453" s="430"/>
      <c r="AC453" s="430"/>
      <c r="AD453" s="430"/>
      <c r="AE453" s="430"/>
      <c r="AF453" s="430"/>
      <c r="AG453" s="430"/>
      <c r="AH453" s="430"/>
      <c r="AI453" s="430"/>
      <c r="AJ453" s="430"/>
      <c r="AK453" s="430"/>
      <c r="AL453" s="430"/>
      <c r="AM453" s="430"/>
      <c r="AN453" s="430"/>
      <c r="AO453" s="430"/>
      <c r="AP453" s="430"/>
      <c r="AQ453" s="430"/>
      <c r="AR453" s="430"/>
      <c r="AS453" s="430"/>
      <c r="AT453" s="430"/>
      <c r="AU453" s="430"/>
      <c r="AV453" s="430"/>
      <c r="AW453" s="430"/>
      <c r="AX453" s="430"/>
      <c r="AY453" s="430"/>
      <c r="AZ453" s="430"/>
      <c r="BA453" s="430"/>
      <c r="BB453" s="430"/>
      <c r="BC453" s="430"/>
      <c r="BD453" s="430"/>
      <c r="BE453" s="430"/>
    </row>
    <row r="454" spans="1:57" ht="15.75" customHeight="1">
      <c r="A454" s="430"/>
      <c r="B454" s="430"/>
      <c r="C454" s="430"/>
      <c r="D454" s="430"/>
      <c r="E454" s="430"/>
      <c r="F454" s="430"/>
      <c r="G454" s="430"/>
      <c r="H454" s="430"/>
      <c r="I454" s="430"/>
      <c r="J454" s="430"/>
      <c r="K454" s="430"/>
      <c r="L454" s="430"/>
      <c r="M454" s="430"/>
      <c r="N454" s="430"/>
      <c r="O454" s="430"/>
      <c r="P454" s="430"/>
      <c r="Q454" s="430"/>
      <c r="R454" s="430"/>
      <c r="S454" s="430"/>
      <c r="T454" s="430"/>
      <c r="U454" s="430"/>
      <c r="V454" s="430"/>
      <c r="W454" s="430"/>
      <c r="X454" s="430"/>
      <c r="Y454" s="430"/>
      <c r="Z454" s="430"/>
      <c r="AA454" s="430"/>
      <c r="AB454" s="430"/>
      <c r="AC454" s="430"/>
      <c r="AD454" s="430"/>
      <c r="AE454" s="430"/>
      <c r="AF454" s="430"/>
      <c r="AG454" s="430"/>
      <c r="AH454" s="430"/>
      <c r="AI454" s="430"/>
      <c r="AJ454" s="430"/>
      <c r="AK454" s="430"/>
      <c r="AL454" s="430"/>
      <c r="AM454" s="430"/>
      <c r="AN454" s="430"/>
      <c r="AO454" s="430"/>
      <c r="AP454" s="430"/>
      <c r="AQ454" s="430"/>
      <c r="AR454" s="430"/>
      <c r="AS454" s="430"/>
      <c r="AT454" s="430"/>
      <c r="AU454" s="430"/>
      <c r="AV454" s="430"/>
      <c r="AW454" s="430"/>
      <c r="AX454" s="430"/>
      <c r="AY454" s="430"/>
      <c r="AZ454" s="430"/>
      <c r="BA454" s="430"/>
      <c r="BB454" s="430"/>
      <c r="BC454" s="430"/>
      <c r="BD454" s="430"/>
      <c r="BE454" s="430"/>
    </row>
    <row r="455" spans="1:57" ht="15.75" customHeight="1">
      <c r="A455" s="430"/>
      <c r="B455" s="430"/>
      <c r="C455" s="430"/>
      <c r="D455" s="430"/>
      <c r="E455" s="430"/>
      <c r="F455" s="430"/>
      <c r="G455" s="430"/>
      <c r="H455" s="430"/>
      <c r="I455" s="430"/>
      <c r="J455" s="430"/>
      <c r="K455" s="430"/>
      <c r="L455" s="430"/>
      <c r="M455" s="430"/>
      <c r="N455" s="430"/>
      <c r="O455" s="430"/>
      <c r="P455" s="430"/>
      <c r="Q455" s="430"/>
      <c r="R455" s="430"/>
      <c r="S455" s="430"/>
      <c r="T455" s="430"/>
      <c r="U455" s="430"/>
      <c r="V455" s="430"/>
      <c r="W455" s="430"/>
      <c r="X455" s="430"/>
      <c r="Y455" s="430"/>
      <c r="Z455" s="430"/>
      <c r="AA455" s="430"/>
      <c r="AB455" s="430"/>
      <c r="AC455" s="430"/>
      <c r="AD455" s="430"/>
      <c r="AE455" s="430"/>
      <c r="AF455" s="430"/>
      <c r="AG455" s="430"/>
      <c r="AH455" s="430"/>
      <c r="AI455" s="430"/>
      <c r="AJ455" s="430"/>
      <c r="AK455" s="430"/>
      <c r="AL455" s="430"/>
      <c r="AM455" s="430"/>
      <c r="AN455" s="430"/>
      <c r="AO455" s="430"/>
      <c r="AP455" s="430"/>
      <c r="AQ455" s="430"/>
      <c r="AR455" s="430"/>
      <c r="AS455" s="430"/>
      <c r="AT455" s="430"/>
      <c r="AU455" s="430"/>
      <c r="AV455" s="430"/>
      <c r="AW455" s="430"/>
      <c r="AX455" s="430"/>
      <c r="AY455" s="430"/>
      <c r="AZ455" s="430"/>
      <c r="BA455" s="430"/>
      <c r="BB455" s="430"/>
      <c r="BC455" s="430"/>
      <c r="BD455" s="430"/>
      <c r="BE455" s="430"/>
    </row>
    <row r="456" spans="1:57" ht="15.75" customHeight="1">
      <c r="A456" s="430"/>
      <c r="B456" s="430"/>
      <c r="C456" s="430"/>
      <c r="D456" s="430"/>
      <c r="E456" s="430"/>
      <c r="F456" s="430"/>
      <c r="G456" s="430"/>
      <c r="H456" s="430"/>
      <c r="I456" s="430"/>
      <c r="J456" s="430"/>
      <c r="K456" s="430"/>
      <c r="L456" s="430"/>
      <c r="M456" s="430"/>
      <c r="N456" s="430"/>
      <c r="O456" s="430"/>
      <c r="P456" s="430"/>
      <c r="Q456" s="430"/>
      <c r="R456" s="430"/>
      <c r="S456" s="430"/>
      <c r="T456" s="430"/>
      <c r="U456" s="430"/>
      <c r="V456" s="430"/>
      <c r="W456" s="430"/>
      <c r="X456" s="430"/>
      <c r="Y456" s="430"/>
      <c r="Z456" s="430"/>
      <c r="AA456" s="430"/>
      <c r="AB456" s="430"/>
      <c r="AC456" s="430"/>
      <c r="AD456" s="430"/>
      <c r="AE456" s="430"/>
      <c r="AF456" s="430"/>
      <c r="AG456" s="430"/>
      <c r="AH456" s="430"/>
      <c r="AI456" s="430"/>
      <c r="AJ456" s="430"/>
      <c r="AK456" s="430"/>
      <c r="AL456" s="430"/>
      <c r="AM456" s="430"/>
      <c r="AN456" s="430"/>
      <c r="AO456" s="430"/>
      <c r="AP456" s="430"/>
      <c r="AQ456" s="430"/>
      <c r="AR456" s="430"/>
      <c r="AS456" s="430"/>
      <c r="AT456" s="430"/>
      <c r="AU456" s="430"/>
      <c r="AV456" s="430"/>
      <c r="AW456" s="430"/>
      <c r="AX456" s="430"/>
      <c r="AY456" s="430"/>
      <c r="AZ456" s="430"/>
      <c r="BA456" s="430"/>
      <c r="BB456" s="430"/>
      <c r="BC456" s="430"/>
      <c r="BD456" s="430"/>
      <c r="BE456" s="430"/>
    </row>
    <row r="457" spans="1:57" ht="15.75" customHeight="1">
      <c r="A457" s="430"/>
      <c r="B457" s="430"/>
      <c r="C457" s="430"/>
      <c r="D457" s="430"/>
      <c r="E457" s="430"/>
      <c r="F457" s="430"/>
      <c r="G457" s="430"/>
      <c r="H457" s="430"/>
      <c r="I457" s="430"/>
      <c r="J457" s="430"/>
      <c r="K457" s="430"/>
      <c r="L457" s="430"/>
      <c r="M457" s="430"/>
      <c r="N457" s="430"/>
      <c r="O457" s="430"/>
      <c r="P457" s="430"/>
      <c r="Q457" s="430"/>
      <c r="R457" s="430"/>
      <c r="S457" s="430"/>
      <c r="T457" s="430"/>
      <c r="U457" s="430"/>
      <c r="V457" s="430"/>
      <c r="W457" s="430"/>
      <c r="X457" s="430"/>
      <c r="Y457" s="430"/>
      <c r="Z457" s="430"/>
      <c r="AA457" s="430"/>
      <c r="AB457" s="430"/>
      <c r="AC457" s="430"/>
      <c r="AD457" s="430"/>
      <c r="AE457" s="430"/>
      <c r="AF457" s="430"/>
      <c r="AG457" s="430"/>
      <c r="AH457" s="430"/>
      <c r="AI457" s="430"/>
      <c r="AJ457" s="430"/>
      <c r="AK457" s="430"/>
      <c r="AL457" s="430"/>
      <c r="AM457" s="430"/>
      <c r="AN457" s="430"/>
      <c r="AO457" s="430"/>
      <c r="AP457" s="430"/>
      <c r="AQ457" s="430"/>
      <c r="AR457" s="430"/>
      <c r="AS457" s="430"/>
      <c r="AT457" s="430"/>
      <c r="AU457" s="430"/>
      <c r="AV457" s="430"/>
      <c r="AW457" s="430"/>
      <c r="AX457" s="430"/>
      <c r="AY457" s="430"/>
      <c r="AZ457" s="430"/>
      <c r="BA457" s="430"/>
      <c r="BB457" s="430"/>
      <c r="BC457" s="430"/>
      <c r="BD457" s="430"/>
      <c r="BE457" s="430"/>
    </row>
    <row r="458" spans="1:57" ht="15.75" customHeight="1">
      <c r="A458" s="430"/>
      <c r="B458" s="430"/>
      <c r="C458" s="430"/>
      <c r="D458" s="430"/>
      <c r="E458" s="430"/>
      <c r="F458" s="430"/>
      <c r="G458" s="430"/>
      <c r="H458" s="430"/>
      <c r="I458" s="430"/>
      <c r="J458" s="430"/>
      <c r="K458" s="430"/>
      <c r="L458" s="430"/>
      <c r="M458" s="430"/>
      <c r="N458" s="430"/>
      <c r="O458" s="430"/>
      <c r="P458" s="430"/>
      <c r="Q458" s="430"/>
      <c r="R458" s="430"/>
      <c r="S458" s="430"/>
      <c r="T458" s="430"/>
      <c r="U458" s="430"/>
      <c r="V458" s="430"/>
      <c r="W458" s="430"/>
      <c r="X458" s="430"/>
      <c r="Y458" s="430"/>
      <c r="Z458" s="430"/>
      <c r="AA458" s="430"/>
      <c r="AB458" s="430"/>
      <c r="AC458" s="430"/>
      <c r="AD458" s="430"/>
      <c r="AE458" s="430"/>
      <c r="AF458" s="430"/>
      <c r="AG458" s="430"/>
      <c r="AH458" s="430"/>
      <c r="AI458" s="430"/>
      <c r="AJ458" s="430"/>
      <c r="AK458" s="430"/>
      <c r="AL458" s="430"/>
      <c r="AM458" s="430"/>
      <c r="AN458" s="430"/>
      <c r="AO458" s="430"/>
      <c r="AP458" s="430"/>
      <c r="AQ458" s="430"/>
      <c r="AR458" s="430"/>
      <c r="AS458" s="430"/>
      <c r="AT458" s="430"/>
      <c r="AU458" s="430"/>
      <c r="AV458" s="430"/>
      <c r="AW458" s="430"/>
      <c r="AX458" s="430"/>
      <c r="AY458" s="430"/>
      <c r="AZ458" s="430"/>
      <c r="BA458" s="430"/>
      <c r="BB458" s="430"/>
      <c r="BC458" s="430"/>
      <c r="BD458" s="430"/>
      <c r="BE458" s="430"/>
    </row>
    <row r="459" spans="1:57" ht="15.75" customHeight="1">
      <c r="A459" s="430"/>
      <c r="B459" s="430"/>
      <c r="C459" s="430"/>
      <c r="D459" s="430"/>
      <c r="E459" s="430"/>
      <c r="F459" s="430"/>
      <c r="G459" s="430"/>
      <c r="H459" s="430"/>
      <c r="I459" s="430"/>
      <c r="J459" s="430"/>
      <c r="K459" s="430"/>
      <c r="L459" s="430"/>
      <c r="M459" s="430"/>
      <c r="N459" s="430"/>
      <c r="O459" s="430"/>
      <c r="P459" s="430"/>
      <c r="Q459" s="430"/>
      <c r="R459" s="430"/>
      <c r="S459" s="430"/>
      <c r="T459" s="430"/>
      <c r="U459" s="430"/>
      <c r="V459" s="430"/>
      <c r="W459" s="430"/>
      <c r="X459" s="430"/>
      <c r="Y459" s="430"/>
      <c r="Z459" s="430"/>
      <c r="AA459" s="430"/>
      <c r="AB459" s="430"/>
      <c r="AC459" s="430"/>
      <c r="AD459" s="430"/>
      <c r="AE459" s="430"/>
      <c r="AF459" s="430"/>
      <c r="AG459" s="430"/>
      <c r="AH459" s="430"/>
      <c r="AI459" s="430"/>
      <c r="AJ459" s="430"/>
      <c r="AK459" s="430"/>
      <c r="AL459" s="430"/>
      <c r="AM459" s="430"/>
      <c r="AN459" s="430"/>
      <c r="AO459" s="430"/>
      <c r="AP459" s="430"/>
      <c r="AQ459" s="430"/>
      <c r="AR459" s="430"/>
      <c r="AS459" s="430"/>
      <c r="AT459" s="430"/>
      <c r="AU459" s="430"/>
      <c r="AV459" s="430"/>
      <c r="AW459" s="430"/>
      <c r="AX459" s="430"/>
      <c r="AY459" s="430"/>
      <c r="AZ459" s="430"/>
      <c r="BA459" s="430"/>
      <c r="BB459" s="430"/>
      <c r="BC459" s="430"/>
      <c r="BD459" s="430"/>
      <c r="BE459" s="430"/>
    </row>
    <row r="460" spans="1:57" ht="15.75" customHeight="1">
      <c r="A460" s="430"/>
      <c r="B460" s="430"/>
      <c r="C460" s="430"/>
      <c r="D460" s="430"/>
      <c r="E460" s="430"/>
      <c r="F460" s="430"/>
      <c r="G460" s="430"/>
      <c r="H460" s="430"/>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0"/>
      <c r="AE460" s="430"/>
      <c r="AF460" s="430"/>
      <c r="AG460" s="430"/>
      <c r="AH460" s="430"/>
      <c r="AI460" s="430"/>
      <c r="AJ460" s="430"/>
      <c r="AK460" s="430"/>
      <c r="AL460" s="430"/>
      <c r="AM460" s="430"/>
      <c r="AN460" s="430"/>
      <c r="AO460" s="430"/>
      <c r="AP460" s="430"/>
      <c r="AQ460" s="430"/>
      <c r="AR460" s="430"/>
      <c r="AS460" s="430"/>
      <c r="AT460" s="430"/>
      <c r="AU460" s="430"/>
      <c r="AV460" s="430"/>
      <c r="AW460" s="430"/>
      <c r="AX460" s="430"/>
      <c r="AY460" s="430"/>
      <c r="AZ460" s="430"/>
      <c r="BA460" s="430"/>
      <c r="BB460" s="430"/>
      <c r="BC460" s="430"/>
      <c r="BD460" s="430"/>
      <c r="BE460" s="430"/>
    </row>
    <row r="461" spans="1:57" ht="15.75" customHeight="1">
      <c r="A461" s="430"/>
      <c r="B461" s="430"/>
      <c r="C461" s="430"/>
      <c r="D461" s="430"/>
      <c r="E461" s="430"/>
      <c r="F461" s="430"/>
      <c r="G461" s="430"/>
      <c r="H461" s="430"/>
      <c r="I461" s="430"/>
      <c r="J461" s="430"/>
      <c r="K461" s="430"/>
      <c r="L461" s="430"/>
      <c r="M461" s="430"/>
      <c r="N461" s="430"/>
      <c r="O461" s="430"/>
      <c r="P461" s="430"/>
      <c r="Q461" s="430"/>
      <c r="R461" s="430"/>
      <c r="S461" s="430"/>
      <c r="T461" s="430"/>
      <c r="U461" s="430"/>
      <c r="V461" s="430"/>
      <c r="W461" s="430"/>
      <c r="X461" s="430"/>
      <c r="Y461" s="430"/>
      <c r="Z461" s="430"/>
      <c r="AA461" s="430"/>
      <c r="AB461" s="430"/>
      <c r="AC461" s="430"/>
      <c r="AD461" s="430"/>
      <c r="AE461" s="430"/>
      <c r="AF461" s="430"/>
      <c r="AG461" s="430"/>
      <c r="AH461" s="430"/>
      <c r="AI461" s="430"/>
      <c r="AJ461" s="430"/>
      <c r="AK461" s="430"/>
      <c r="AL461" s="430"/>
      <c r="AM461" s="430"/>
      <c r="AN461" s="430"/>
      <c r="AO461" s="430"/>
      <c r="AP461" s="430"/>
      <c r="AQ461" s="430"/>
      <c r="AR461" s="430"/>
      <c r="AS461" s="430"/>
      <c r="AT461" s="430"/>
      <c r="AU461" s="430"/>
      <c r="AV461" s="430"/>
      <c r="AW461" s="430"/>
      <c r="AX461" s="430"/>
      <c r="AY461" s="430"/>
      <c r="AZ461" s="430"/>
      <c r="BA461" s="430"/>
      <c r="BB461" s="430"/>
      <c r="BC461" s="430"/>
      <c r="BD461" s="430"/>
      <c r="BE461" s="430"/>
    </row>
    <row r="462" spans="1:57" ht="15.75" customHeight="1">
      <c r="A462" s="430"/>
      <c r="B462" s="430"/>
      <c r="C462" s="430"/>
      <c r="D462" s="430"/>
      <c r="E462" s="430"/>
      <c r="F462" s="430"/>
      <c r="G462" s="430"/>
      <c r="H462" s="430"/>
      <c r="I462" s="430"/>
      <c r="J462" s="430"/>
      <c r="K462" s="430"/>
      <c r="L462" s="430"/>
      <c r="M462" s="430"/>
      <c r="N462" s="430"/>
      <c r="O462" s="430"/>
      <c r="P462" s="430"/>
      <c r="Q462" s="430"/>
      <c r="R462" s="430"/>
      <c r="S462" s="430"/>
      <c r="T462" s="430"/>
      <c r="U462" s="430"/>
      <c r="V462" s="430"/>
      <c r="W462" s="430"/>
      <c r="X462" s="430"/>
      <c r="Y462" s="430"/>
      <c r="Z462" s="430"/>
      <c r="AA462" s="430"/>
      <c r="AB462" s="430"/>
      <c r="AC462" s="430"/>
      <c r="AD462" s="430"/>
      <c r="AE462" s="430"/>
      <c r="AF462" s="430"/>
      <c r="AG462" s="430"/>
      <c r="AH462" s="430"/>
      <c r="AI462" s="430"/>
      <c r="AJ462" s="430"/>
      <c r="AK462" s="430"/>
      <c r="AL462" s="430"/>
      <c r="AM462" s="430"/>
      <c r="AN462" s="430"/>
      <c r="AO462" s="430"/>
      <c r="AP462" s="430"/>
      <c r="AQ462" s="430"/>
      <c r="AR462" s="430"/>
      <c r="AS462" s="430"/>
      <c r="AT462" s="430"/>
      <c r="AU462" s="430"/>
      <c r="AV462" s="430"/>
      <c r="AW462" s="430"/>
      <c r="AX462" s="430"/>
      <c r="AY462" s="430"/>
      <c r="AZ462" s="430"/>
      <c r="BA462" s="430"/>
      <c r="BB462" s="430"/>
      <c r="BC462" s="430"/>
      <c r="BD462" s="430"/>
      <c r="BE462" s="430"/>
    </row>
    <row r="463" spans="1:57" ht="15.75" customHeight="1">
      <c r="A463" s="430"/>
      <c r="B463" s="430"/>
      <c r="C463" s="430"/>
      <c r="D463" s="430"/>
      <c r="E463" s="430"/>
      <c r="F463" s="430"/>
      <c r="G463" s="430"/>
      <c r="H463" s="430"/>
      <c r="I463" s="430"/>
      <c r="J463" s="430"/>
      <c r="K463" s="430"/>
      <c r="L463" s="430"/>
      <c r="M463" s="430"/>
      <c r="N463" s="430"/>
      <c r="O463" s="430"/>
      <c r="P463" s="430"/>
      <c r="Q463" s="430"/>
      <c r="R463" s="430"/>
      <c r="S463" s="430"/>
      <c r="T463" s="430"/>
      <c r="U463" s="430"/>
      <c r="V463" s="430"/>
      <c r="W463" s="430"/>
      <c r="X463" s="430"/>
      <c r="Y463" s="430"/>
      <c r="Z463" s="430"/>
      <c r="AA463" s="430"/>
      <c r="AB463" s="430"/>
      <c r="AC463" s="430"/>
      <c r="AD463" s="430"/>
      <c r="AE463" s="430"/>
      <c r="AF463" s="430"/>
      <c r="AG463" s="430"/>
      <c r="AH463" s="430"/>
      <c r="AI463" s="430"/>
      <c r="AJ463" s="430"/>
      <c r="AK463" s="430"/>
      <c r="AL463" s="430"/>
      <c r="AM463" s="430"/>
      <c r="AN463" s="430"/>
      <c r="AO463" s="430"/>
      <c r="AP463" s="430"/>
      <c r="AQ463" s="430"/>
      <c r="AR463" s="430"/>
      <c r="AS463" s="430"/>
      <c r="AT463" s="430"/>
      <c r="AU463" s="430"/>
      <c r="AV463" s="430"/>
      <c r="AW463" s="430"/>
      <c r="AX463" s="430"/>
      <c r="AY463" s="430"/>
      <c r="AZ463" s="430"/>
      <c r="BA463" s="430"/>
      <c r="BB463" s="430"/>
      <c r="BC463" s="430"/>
      <c r="BD463" s="430"/>
      <c r="BE463" s="430"/>
    </row>
    <row r="464" spans="1:57" ht="15.75" customHeight="1">
      <c r="A464" s="430"/>
      <c r="B464" s="430"/>
      <c r="C464" s="430"/>
      <c r="D464" s="430"/>
      <c r="E464" s="430"/>
      <c r="F464" s="430"/>
      <c r="G464" s="430"/>
      <c r="H464" s="430"/>
      <c r="I464" s="430"/>
      <c r="J464" s="430"/>
      <c r="K464" s="430"/>
      <c r="L464" s="430"/>
      <c r="M464" s="430"/>
      <c r="N464" s="430"/>
      <c r="O464" s="430"/>
      <c r="P464" s="430"/>
      <c r="Q464" s="430"/>
      <c r="R464" s="430"/>
      <c r="S464" s="430"/>
      <c r="T464" s="430"/>
      <c r="U464" s="430"/>
      <c r="V464" s="430"/>
      <c r="W464" s="430"/>
      <c r="X464" s="430"/>
      <c r="Y464" s="430"/>
      <c r="Z464" s="430"/>
      <c r="AA464" s="430"/>
      <c r="AB464" s="430"/>
      <c r="AC464" s="430"/>
      <c r="AD464" s="430"/>
      <c r="AE464" s="430"/>
      <c r="AF464" s="430"/>
      <c r="AG464" s="430"/>
      <c r="AH464" s="430"/>
      <c r="AI464" s="430"/>
      <c r="AJ464" s="430"/>
      <c r="AK464" s="430"/>
      <c r="AL464" s="430"/>
      <c r="AM464" s="430"/>
      <c r="AN464" s="430"/>
      <c r="AO464" s="430"/>
      <c r="AP464" s="430"/>
      <c r="AQ464" s="430"/>
      <c r="AR464" s="430"/>
      <c r="AS464" s="430"/>
      <c r="AT464" s="430"/>
      <c r="AU464" s="430"/>
      <c r="AV464" s="430"/>
      <c r="AW464" s="430"/>
      <c r="AX464" s="430"/>
      <c r="AY464" s="430"/>
      <c r="AZ464" s="430"/>
      <c r="BA464" s="430"/>
      <c r="BB464" s="430"/>
      <c r="BC464" s="430"/>
      <c r="BD464" s="430"/>
      <c r="BE464" s="430"/>
    </row>
    <row r="465" spans="1:57" ht="15.75" customHeight="1">
      <c r="A465" s="430"/>
      <c r="B465" s="430"/>
      <c r="C465" s="430"/>
      <c r="D465" s="430"/>
      <c r="E465" s="430"/>
      <c r="F465" s="430"/>
      <c r="G465" s="430"/>
      <c r="H465" s="430"/>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430"/>
      <c r="AL465" s="430"/>
      <c r="AM465" s="430"/>
      <c r="AN465" s="430"/>
      <c r="AO465" s="430"/>
      <c r="AP465" s="430"/>
      <c r="AQ465" s="430"/>
      <c r="AR465" s="430"/>
      <c r="AS465" s="430"/>
      <c r="AT465" s="430"/>
      <c r="AU465" s="430"/>
      <c r="AV465" s="430"/>
      <c r="AW465" s="430"/>
      <c r="AX465" s="430"/>
      <c r="AY465" s="430"/>
      <c r="AZ465" s="430"/>
      <c r="BA465" s="430"/>
      <c r="BB465" s="430"/>
      <c r="BC465" s="430"/>
      <c r="BD465" s="430"/>
      <c r="BE465" s="430"/>
    </row>
    <row r="466" spans="1:57" ht="15.75" customHeight="1">
      <c r="A466" s="430"/>
      <c r="B466" s="430"/>
      <c r="C466" s="430"/>
      <c r="D466" s="430"/>
      <c r="E466" s="430"/>
      <c r="F466" s="430"/>
      <c r="G466" s="430"/>
      <c r="H466" s="430"/>
      <c r="I466" s="430"/>
      <c r="J466" s="430"/>
      <c r="K466" s="430"/>
      <c r="L466" s="430"/>
      <c r="M466" s="430"/>
      <c r="N466" s="430"/>
      <c r="O466" s="430"/>
      <c r="P466" s="430"/>
      <c r="Q466" s="430"/>
      <c r="R466" s="430"/>
      <c r="S466" s="430"/>
      <c r="T466" s="430"/>
      <c r="U466" s="430"/>
      <c r="V466" s="430"/>
      <c r="W466" s="430"/>
      <c r="X466" s="430"/>
      <c r="Y466" s="430"/>
      <c r="Z466" s="430"/>
      <c r="AA466" s="430"/>
      <c r="AB466" s="430"/>
      <c r="AC466" s="430"/>
      <c r="AD466" s="430"/>
      <c r="AE466" s="430"/>
      <c r="AF466" s="430"/>
      <c r="AG466" s="430"/>
      <c r="AH466" s="430"/>
      <c r="AI466" s="430"/>
      <c r="AJ466" s="430"/>
      <c r="AK466" s="430"/>
      <c r="AL466" s="430"/>
      <c r="AM466" s="430"/>
      <c r="AN466" s="430"/>
      <c r="AO466" s="430"/>
      <c r="AP466" s="430"/>
      <c r="AQ466" s="430"/>
      <c r="AR466" s="430"/>
      <c r="AS466" s="430"/>
      <c r="AT466" s="430"/>
      <c r="AU466" s="430"/>
      <c r="AV466" s="430"/>
      <c r="AW466" s="430"/>
      <c r="AX466" s="430"/>
      <c r="AY466" s="430"/>
      <c r="AZ466" s="430"/>
      <c r="BA466" s="430"/>
      <c r="BB466" s="430"/>
      <c r="BC466" s="430"/>
      <c r="BD466" s="430"/>
      <c r="BE466" s="430"/>
    </row>
    <row r="467" spans="1:57" ht="15.75" customHeight="1">
      <c r="A467" s="430"/>
      <c r="B467" s="430"/>
      <c r="C467" s="430"/>
      <c r="D467" s="430"/>
      <c r="E467" s="430"/>
      <c r="F467" s="430"/>
      <c r="G467" s="430"/>
      <c r="H467" s="430"/>
      <c r="I467" s="430"/>
      <c r="J467" s="430"/>
      <c r="K467" s="430"/>
      <c r="L467" s="430"/>
      <c r="M467" s="430"/>
      <c r="N467" s="430"/>
      <c r="O467" s="430"/>
      <c r="P467" s="430"/>
      <c r="Q467" s="430"/>
      <c r="R467" s="430"/>
      <c r="S467" s="430"/>
      <c r="T467" s="430"/>
      <c r="U467" s="430"/>
      <c r="V467" s="430"/>
      <c r="W467" s="430"/>
      <c r="X467" s="430"/>
      <c r="Y467" s="430"/>
      <c r="Z467" s="430"/>
      <c r="AA467" s="430"/>
      <c r="AB467" s="430"/>
      <c r="AC467" s="430"/>
      <c r="AD467" s="430"/>
      <c r="AE467" s="430"/>
      <c r="AF467" s="430"/>
      <c r="AG467" s="430"/>
      <c r="AH467" s="430"/>
      <c r="AI467" s="430"/>
      <c r="AJ467" s="430"/>
      <c r="AK467" s="430"/>
      <c r="AL467" s="430"/>
      <c r="AM467" s="430"/>
      <c r="AN467" s="430"/>
      <c r="AO467" s="430"/>
      <c r="AP467" s="430"/>
      <c r="AQ467" s="430"/>
      <c r="AR467" s="430"/>
      <c r="AS467" s="430"/>
      <c r="AT467" s="430"/>
      <c r="AU467" s="430"/>
      <c r="AV467" s="430"/>
      <c r="AW467" s="430"/>
      <c r="AX467" s="430"/>
      <c r="AY467" s="430"/>
      <c r="AZ467" s="430"/>
      <c r="BA467" s="430"/>
      <c r="BB467" s="430"/>
      <c r="BC467" s="430"/>
      <c r="BD467" s="430"/>
      <c r="BE467" s="430"/>
    </row>
    <row r="468" spans="1:57" ht="15.75" customHeight="1">
      <c r="A468" s="430"/>
      <c r="B468" s="430"/>
      <c r="C468" s="430"/>
      <c r="D468" s="430"/>
      <c r="E468" s="430"/>
      <c r="F468" s="430"/>
      <c r="G468" s="430"/>
      <c r="H468" s="430"/>
      <c r="I468" s="430"/>
      <c r="J468" s="430"/>
      <c r="K468" s="430"/>
      <c r="L468" s="430"/>
      <c r="M468" s="430"/>
      <c r="N468" s="430"/>
      <c r="O468" s="430"/>
      <c r="P468" s="430"/>
      <c r="Q468" s="430"/>
      <c r="R468" s="430"/>
      <c r="S468" s="430"/>
      <c r="T468" s="430"/>
      <c r="U468" s="430"/>
      <c r="V468" s="430"/>
      <c r="W468" s="430"/>
      <c r="X468" s="430"/>
      <c r="Y468" s="430"/>
      <c r="Z468" s="430"/>
      <c r="AA468" s="430"/>
      <c r="AB468" s="430"/>
      <c r="AC468" s="430"/>
      <c r="AD468" s="430"/>
      <c r="AE468" s="430"/>
      <c r="AF468" s="430"/>
      <c r="AG468" s="430"/>
      <c r="AH468" s="430"/>
      <c r="AI468" s="430"/>
      <c r="AJ468" s="430"/>
      <c r="AK468" s="430"/>
      <c r="AL468" s="430"/>
      <c r="AM468" s="430"/>
      <c r="AN468" s="430"/>
      <c r="AO468" s="430"/>
      <c r="AP468" s="430"/>
      <c r="AQ468" s="430"/>
      <c r="AR468" s="430"/>
      <c r="AS468" s="430"/>
      <c r="AT468" s="430"/>
      <c r="AU468" s="430"/>
      <c r="AV468" s="430"/>
      <c r="AW468" s="430"/>
      <c r="AX468" s="430"/>
      <c r="AY468" s="430"/>
      <c r="AZ468" s="430"/>
      <c r="BA468" s="430"/>
      <c r="BB468" s="430"/>
      <c r="BC468" s="430"/>
      <c r="BD468" s="430"/>
      <c r="BE468" s="430"/>
    </row>
    <row r="469" spans="1:57" ht="15.75" customHeight="1">
      <c r="A469" s="430"/>
      <c r="B469" s="430"/>
      <c r="C469" s="430"/>
      <c r="D469" s="430"/>
      <c r="E469" s="430"/>
      <c r="F469" s="430"/>
      <c r="G469" s="430"/>
      <c r="H469" s="430"/>
      <c r="I469" s="430"/>
      <c r="J469" s="430"/>
      <c r="K469" s="430"/>
      <c r="L469" s="430"/>
      <c r="M469" s="430"/>
      <c r="N469" s="430"/>
      <c r="O469" s="430"/>
      <c r="P469" s="430"/>
      <c r="Q469" s="430"/>
      <c r="R469" s="430"/>
      <c r="S469" s="430"/>
      <c r="T469" s="430"/>
      <c r="U469" s="430"/>
      <c r="V469" s="430"/>
      <c r="W469" s="430"/>
      <c r="X469" s="430"/>
      <c r="Y469" s="430"/>
      <c r="Z469" s="430"/>
      <c r="AA469" s="430"/>
      <c r="AB469" s="430"/>
      <c r="AC469" s="430"/>
      <c r="AD469" s="430"/>
      <c r="AE469" s="430"/>
      <c r="AF469" s="430"/>
      <c r="AG469" s="430"/>
      <c r="AH469" s="430"/>
      <c r="AI469" s="430"/>
      <c r="AJ469" s="430"/>
      <c r="AK469" s="430"/>
      <c r="AL469" s="430"/>
      <c r="AM469" s="430"/>
      <c r="AN469" s="430"/>
      <c r="AO469" s="430"/>
      <c r="AP469" s="430"/>
      <c r="AQ469" s="430"/>
      <c r="AR469" s="430"/>
      <c r="AS469" s="430"/>
      <c r="AT469" s="430"/>
      <c r="AU469" s="430"/>
      <c r="AV469" s="430"/>
      <c r="AW469" s="430"/>
      <c r="AX469" s="430"/>
      <c r="AY469" s="430"/>
      <c r="AZ469" s="430"/>
      <c r="BA469" s="430"/>
      <c r="BB469" s="430"/>
      <c r="BC469" s="430"/>
      <c r="BD469" s="430"/>
      <c r="BE469" s="430"/>
    </row>
    <row r="470" spans="1:57" ht="15.75" customHeight="1">
      <c r="A470" s="430"/>
      <c r="B470" s="430"/>
      <c r="C470" s="430"/>
      <c r="D470" s="430"/>
      <c r="E470" s="430"/>
      <c r="F470" s="430"/>
      <c r="G470" s="430"/>
      <c r="H470" s="430"/>
      <c r="I470" s="430"/>
      <c r="J470" s="430"/>
      <c r="K470" s="430"/>
      <c r="L470" s="430"/>
      <c r="M470" s="430"/>
      <c r="N470" s="430"/>
      <c r="O470" s="430"/>
      <c r="P470" s="430"/>
      <c r="Q470" s="430"/>
      <c r="R470" s="430"/>
      <c r="S470" s="430"/>
      <c r="T470" s="430"/>
      <c r="U470" s="430"/>
      <c r="V470" s="430"/>
      <c r="W470" s="430"/>
      <c r="X470" s="430"/>
      <c r="Y470" s="430"/>
      <c r="Z470" s="430"/>
      <c r="AA470" s="430"/>
      <c r="AB470" s="430"/>
      <c r="AC470" s="430"/>
      <c r="AD470" s="430"/>
      <c r="AE470" s="430"/>
      <c r="AF470" s="430"/>
      <c r="AG470" s="430"/>
      <c r="AH470" s="430"/>
      <c r="AI470" s="430"/>
      <c r="AJ470" s="430"/>
      <c r="AK470" s="430"/>
      <c r="AL470" s="430"/>
      <c r="AM470" s="430"/>
      <c r="AN470" s="430"/>
      <c r="AO470" s="430"/>
      <c r="AP470" s="430"/>
      <c r="AQ470" s="430"/>
      <c r="AR470" s="430"/>
      <c r="AS470" s="430"/>
      <c r="AT470" s="430"/>
      <c r="AU470" s="430"/>
      <c r="AV470" s="430"/>
      <c r="AW470" s="430"/>
      <c r="AX470" s="430"/>
      <c r="AY470" s="430"/>
      <c r="AZ470" s="430"/>
      <c r="BA470" s="430"/>
      <c r="BB470" s="430"/>
      <c r="BC470" s="430"/>
      <c r="BD470" s="430"/>
      <c r="BE470" s="430"/>
    </row>
    <row r="471" spans="1:57" ht="15.75" customHeight="1">
      <c r="A471" s="430"/>
      <c r="B471" s="430"/>
      <c r="C471" s="430"/>
      <c r="D471" s="430"/>
      <c r="E471" s="430"/>
      <c r="F471" s="430"/>
      <c r="G471" s="430"/>
      <c r="H471" s="430"/>
      <c r="I471" s="430"/>
      <c r="J471" s="430"/>
      <c r="K471" s="430"/>
      <c r="L471" s="430"/>
      <c r="M471" s="430"/>
      <c r="N471" s="430"/>
      <c r="O471" s="430"/>
      <c r="P471" s="430"/>
      <c r="Q471" s="430"/>
      <c r="R471" s="430"/>
      <c r="S471" s="430"/>
      <c r="T471" s="430"/>
      <c r="U471" s="430"/>
      <c r="V471" s="430"/>
      <c r="W471" s="430"/>
      <c r="X471" s="430"/>
      <c r="Y471" s="430"/>
      <c r="Z471" s="430"/>
      <c r="AA471" s="430"/>
      <c r="AB471" s="430"/>
      <c r="AC471" s="430"/>
      <c r="AD471" s="430"/>
      <c r="AE471" s="430"/>
      <c r="AF471" s="430"/>
      <c r="AG471" s="430"/>
      <c r="AH471" s="430"/>
      <c r="AI471" s="430"/>
      <c r="AJ471" s="430"/>
      <c r="AK471" s="430"/>
      <c r="AL471" s="430"/>
      <c r="AM471" s="430"/>
      <c r="AN471" s="430"/>
      <c r="AO471" s="430"/>
      <c r="AP471" s="430"/>
      <c r="AQ471" s="430"/>
      <c r="AR471" s="430"/>
      <c r="AS471" s="430"/>
      <c r="AT471" s="430"/>
      <c r="AU471" s="430"/>
      <c r="AV471" s="430"/>
      <c r="AW471" s="430"/>
      <c r="AX471" s="430"/>
      <c r="AY471" s="430"/>
      <c r="AZ471" s="430"/>
      <c r="BA471" s="430"/>
      <c r="BB471" s="430"/>
      <c r="BC471" s="430"/>
      <c r="BD471" s="430"/>
      <c r="BE471" s="430"/>
    </row>
    <row r="472" spans="1:57" ht="15.75" customHeight="1">
      <c r="A472" s="430"/>
      <c r="B472" s="430"/>
      <c r="C472" s="430"/>
      <c r="D472" s="430"/>
      <c r="E472" s="430"/>
      <c r="F472" s="430"/>
      <c r="G472" s="430"/>
      <c r="H472" s="430"/>
      <c r="I472" s="430"/>
      <c r="J472" s="430"/>
      <c r="K472" s="430"/>
      <c r="L472" s="430"/>
      <c r="M472" s="430"/>
      <c r="N472" s="430"/>
      <c r="O472" s="430"/>
      <c r="P472" s="430"/>
      <c r="Q472" s="430"/>
      <c r="R472" s="430"/>
      <c r="S472" s="430"/>
      <c r="T472" s="430"/>
      <c r="U472" s="430"/>
      <c r="V472" s="430"/>
      <c r="W472" s="430"/>
      <c r="X472" s="430"/>
      <c r="Y472" s="430"/>
      <c r="Z472" s="430"/>
      <c r="AA472" s="430"/>
      <c r="AB472" s="430"/>
      <c r="AC472" s="430"/>
      <c r="AD472" s="430"/>
      <c r="AE472" s="430"/>
      <c r="AF472" s="430"/>
      <c r="AG472" s="430"/>
      <c r="AH472" s="430"/>
      <c r="AI472" s="430"/>
      <c r="AJ472" s="430"/>
      <c r="AK472" s="430"/>
      <c r="AL472" s="430"/>
      <c r="AM472" s="430"/>
      <c r="AN472" s="430"/>
      <c r="AO472" s="430"/>
      <c r="AP472" s="430"/>
      <c r="AQ472" s="430"/>
      <c r="AR472" s="430"/>
      <c r="AS472" s="430"/>
      <c r="AT472" s="430"/>
      <c r="AU472" s="430"/>
      <c r="AV472" s="430"/>
      <c r="AW472" s="430"/>
      <c r="AX472" s="430"/>
      <c r="AY472" s="430"/>
      <c r="AZ472" s="430"/>
      <c r="BA472" s="430"/>
      <c r="BB472" s="430"/>
      <c r="BC472" s="430"/>
      <c r="BD472" s="430"/>
      <c r="BE472" s="430"/>
    </row>
    <row r="473" spans="1:57" ht="15.75" customHeight="1">
      <c r="A473" s="430"/>
      <c r="B473" s="430"/>
      <c r="C473" s="430"/>
      <c r="D473" s="430"/>
      <c r="E473" s="430"/>
      <c r="F473" s="430"/>
      <c r="G473" s="430"/>
      <c r="H473" s="430"/>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0"/>
      <c r="AL473" s="430"/>
      <c r="AM473" s="430"/>
      <c r="AN473" s="430"/>
      <c r="AO473" s="430"/>
      <c r="AP473" s="430"/>
      <c r="AQ473" s="430"/>
      <c r="AR473" s="430"/>
      <c r="AS473" s="430"/>
      <c r="AT473" s="430"/>
      <c r="AU473" s="430"/>
      <c r="AV473" s="430"/>
      <c r="AW473" s="430"/>
      <c r="AX473" s="430"/>
      <c r="AY473" s="430"/>
      <c r="AZ473" s="430"/>
      <c r="BA473" s="430"/>
      <c r="BB473" s="430"/>
      <c r="BC473" s="430"/>
      <c r="BD473" s="430"/>
      <c r="BE473" s="430"/>
    </row>
    <row r="474" spans="1:57" ht="15.75" customHeight="1">
      <c r="A474" s="430"/>
      <c r="B474" s="430"/>
      <c r="C474" s="430"/>
      <c r="D474" s="430"/>
      <c r="E474" s="430"/>
      <c r="F474" s="430"/>
      <c r="G474" s="430"/>
      <c r="H474" s="430"/>
      <c r="I474" s="430"/>
      <c r="J474" s="430"/>
      <c r="K474" s="430"/>
      <c r="L474" s="430"/>
      <c r="M474" s="430"/>
      <c r="N474" s="430"/>
      <c r="O474" s="430"/>
      <c r="P474" s="430"/>
      <c r="Q474" s="430"/>
      <c r="R474" s="430"/>
      <c r="S474" s="430"/>
      <c r="T474" s="430"/>
      <c r="U474" s="430"/>
      <c r="V474" s="430"/>
      <c r="W474" s="430"/>
      <c r="X474" s="430"/>
      <c r="Y474" s="430"/>
      <c r="Z474" s="430"/>
      <c r="AA474" s="430"/>
      <c r="AB474" s="430"/>
      <c r="AC474" s="430"/>
      <c r="AD474" s="430"/>
      <c r="AE474" s="430"/>
      <c r="AF474" s="430"/>
      <c r="AG474" s="430"/>
      <c r="AH474" s="430"/>
      <c r="AI474" s="430"/>
      <c r="AJ474" s="430"/>
      <c r="AK474" s="430"/>
      <c r="AL474" s="430"/>
      <c r="AM474" s="430"/>
      <c r="AN474" s="430"/>
      <c r="AO474" s="430"/>
      <c r="AP474" s="430"/>
      <c r="AQ474" s="430"/>
      <c r="AR474" s="430"/>
      <c r="AS474" s="430"/>
      <c r="AT474" s="430"/>
      <c r="AU474" s="430"/>
      <c r="AV474" s="430"/>
      <c r="AW474" s="430"/>
      <c r="AX474" s="430"/>
      <c r="AY474" s="430"/>
      <c r="AZ474" s="430"/>
      <c r="BA474" s="430"/>
      <c r="BB474" s="430"/>
      <c r="BC474" s="430"/>
      <c r="BD474" s="430"/>
      <c r="BE474" s="430"/>
    </row>
    <row r="475" spans="1:57" ht="15.75" customHeight="1">
      <c r="A475" s="430"/>
      <c r="B475" s="430"/>
      <c r="C475" s="430"/>
      <c r="D475" s="430"/>
      <c r="E475" s="430"/>
      <c r="F475" s="430"/>
      <c r="G475" s="430"/>
      <c r="H475" s="430"/>
      <c r="I475" s="430"/>
      <c r="J475" s="430"/>
      <c r="K475" s="430"/>
      <c r="L475" s="430"/>
      <c r="M475" s="430"/>
      <c r="N475" s="430"/>
      <c r="O475" s="430"/>
      <c r="P475" s="430"/>
      <c r="Q475" s="430"/>
      <c r="R475" s="430"/>
      <c r="S475" s="430"/>
      <c r="T475" s="430"/>
      <c r="U475" s="430"/>
      <c r="V475" s="430"/>
      <c r="W475" s="430"/>
      <c r="X475" s="430"/>
      <c r="Y475" s="430"/>
      <c r="Z475" s="430"/>
      <c r="AA475" s="430"/>
      <c r="AB475" s="430"/>
      <c r="AC475" s="430"/>
      <c r="AD475" s="430"/>
      <c r="AE475" s="430"/>
      <c r="AF475" s="430"/>
      <c r="AG475" s="430"/>
      <c r="AH475" s="430"/>
      <c r="AI475" s="430"/>
      <c r="AJ475" s="430"/>
      <c r="AK475" s="430"/>
      <c r="AL475" s="430"/>
      <c r="AM475" s="430"/>
      <c r="AN475" s="430"/>
      <c r="AO475" s="430"/>
      <c r="AP475" s="430"/>
      <c r="AQ475" s="430"/>
      <c r="AR475" s="430"/>
      <c r="AS475" s="430"/>
      <c r="AT475" s="430"/>
      <c r="AU475" s="430"/>
      <c r="AV475" s="430"/>
      <c r="AW475" s="430"/>
      <c r="AX475" s="430"/>
      <c r="AY475" s="430"/>
      <c r="AZ475" s="430"/>
      <c r="BA475" s="430"/>
      <c r="BB475" s="430"/>
      <c r="BC475" s="430"/>
      <c r="BD475" s="430"/>
      <c r="BE475" s="430"/>
    </row>
    <row r="476" spans="1:57" ht="15.75" customHeight="1">
      <c r="A476" s="430"/>
      <c r="B476" s="430"/>
      <c r="C476" s="430"/>
      <c r="D476" s="430"/>
      <c r="E476" s="430"/>
      <c r="F476" s="430"/>
      <c r="G476" s="430"/>
      <c r="H476" s="430"/>
      <c r="I476" s="430"/>
      <c r="J476" s="430"/>
      <c r="K476" s="430"/>
      <c r="L476" s="430"/>
      <c r="M476" s="430"/>
      <c r="N476" s="430"/>
      <c r="O476" s="430"/>
      <c r="P476" s="430"/>
      <c r="Q476" s="430"/>
      <c r="R476" s="430"/>
      <c r="S476" s="430"/>
      <c r="T476" s="430"/>
      <c r="U476" s="430"/>
      <c r="V476" s="430"/>
      <c r="W476" s="430"/>
      <c r="X476" s="430"/>
      <c r="Y476" s="430"/>
      <c r="Z476" s="430"/>
      <c r="AA476" s="430"/>
      <c r="AB476" s="430"/>
      <c r="AC476" s="430"/>
      <c r="AD476" s="430"/>
      <c r="AE476" s="430"/>
      <c r="AF476" s="430"/>
      <c r="AG476" s="430"/>
      <c r="AH476" s="430"/>
      <c r="AI476" s="430"/>
      <c r="AJ476" s="430"/>
      <c r="AK476" s="430"/>
      <c r="AL476" s="430"/>
      <c r="AM476" s="430"/>
      <c r="AN476" s="430"/>
      <c r="AO476" s="430"/>
      <c r="AP476" s="430"/>
      <c r="AQ476" s="430"/>
      <c r="AR476" s="430"/>
      <c r="AS476" s="430"/>
      <c r="AT476" s="430"/>
      <c r="AU476" s="430"/>
      <c r="AV476" s="430"/>
      <c r="AW476" s="430"/>
      <c r="AX476" s="430"/>
      <c r="AY476" s="430"/>
      <c r="AZ476" s="430"/>
      <c r="BA476" s="430"/>
      <c r="BB476" s="430"/>
      <c r="BC476" s="430"/>
      <c r="BD476" s="430"/>
      <c r="BE476" s="430"/>
    </row>
    <row r="477" spans="1:57" ht="15.75" customHeight="1">
      <c r="A477" s="430"/>
      <c r="B477" s="430"/>
      <c r="C477" s="430"/>
      <c r="D477" s="430"/>
      <c r="E477" s="430"/>
      <c r="F477" s="430"/>
      <c r="G477" s="430"/>
      <c r="H477" s="430"/>
      <c r="I477" s="430"/>
      <c r="J477" s="430"/>
      <c r="K477" s="430"/>
      <c r="L477" s="430"/>
      <c r="M477" s="430"/>
      <c r="N477" s="430"/>
      <c r="O477" s="430"/>
      <c r="P477" s="430"/>
      <c r="Q477" s="430"/>
      <c r="R477" s="430"/>
      <c r="S477" s="430"/>
      <c r="T477" s="430"/>
      <c r="U477" s="430"/>
      <c r="V477" s="430"/>
      <c r="W477" s="430"/>
      <c r="X477" s="430"/>
      <c r="Y477" s="430"/>
      <c r="Z477" s="430"/>
      <c r="AA477" s="430"/>
      <c r="AB477" s="430"/>
      <c r="AC477" s="430"/>
      <c r="AD477" s="430"/>
      <c r="AE477" s="430"/>
      <c r="AF477" s="430"/>
      <c r="AG477" s="430"/>
      <c r="AH477" s="430"/>
      <c r="AI477" s="430"/>
      <c r="AJ477" s="430"/>
      <c r="AK477" s="430"/>
      <c r="AL477" s="430"/>
      <c r="AM477" s="430"/>
      <c r="AN477" s="430"/>
      <c r="AO477" s="430"/>
      <c r="AP477" s="430"/>
      <c r="AQ477" s="430"/>
      <c r="AR477" s="430"/>
      <c r="AS477" s="430"/>
      <c r="AT477" s="430"/>
      <c r="AU477" s="430"/>
      <c r="AV477" s="430"/>
      <c r="AW477" s="430"/>
      <c r="AX477" s="430"/>
      <c r="AY477" s="430"/>
      <c r="AZ477" s="430"/>
      <c r="BA477" s="430"/>
      <c r="BB477" s="430"/>
      <c r="BC477" s="430"/>
      <c r="BD477" s="430"/>
      <c r="BE477" s="430"/>
    </row>
    <row r="478" spans="1:57" ht="15.75" customHeight="1">
      <c r="A478" s="430"/>
      <c r="B478" s="430"/>
      <c r="C478" s="430"/>
      <c r="D478" s="430"/>
      <c r="E478" s="430"/>
      <c r="F478" s="430"/>
      <c r="G478" s="430"/>
      <c r="H478" s="430"/>
      <c r="I478" s="430"/>
      <c r="J478" s="430"/>
      <c r="K478" s="430"/>
      <c r="L478" s="430"/>
      <c r="M478" s="430"/>
      <c r="N478" s="430"/>
      <c r="O478" s="430"/>
      <c r="P478" s="430"/>
      <c r="Q478" s="430"/>
      <c r="R478" s="430"/>
      <c r="S478" s="430"/>
      <c r="T478" s="430"/>
      <c r="U478" s="430"/>
      <c r="V478" s="430"/>
      <c r="W478" s="430"/>
      <c r="X478" s="430"/>
      <c r="Y478" s="430"/>
      <c r="Z478" s="430"/>
      <c r="AA478" s="430"/>
      <c r="AB478" s="430"/>
      <c r="AC478" s="430"/>
      <c r="AD478" s="430"/>
      <c r="AE478" s="430"/>
      <c r="AF478" s="430"/>
      <c r="AG478" s="430"/>
      <c r="AH478" s="430"/>
      <c r="AI478" s="430"/>
      <c r="AJ478" s="430"/>
      <c r="AK478" s="430"/>
      <c r="AL478" s="430"/>
      <c r="AM478" s="430"/>
      <c r="AN478" s="430"/>
      <c r="AO478" s="430"/>
      <c r="AP478" s="430"/>
      <c r="AQ478" s="430"/>
      <c r="AR478" s="430"/>
      <c r="AS478" s="430"/>
      <c r="AT478" s="430"/>
      <c r="AU478" s="430"/>
      <c r="AV478" s="430"/>
      <c r="AW478" s="430"/>
      <c r="AX478" s="430"/>
      <c r="AY478" s="430"/>
      <c r="AZ478" s="430"/>
      <c r="BA478" s="430"/>
      <c r="BB478" s="430"/>
      <c r="BC478" s="430"/>
      <c r="BD478" s="430"/>
      <c r="BE478" s="430"/>
    </row>
    <row r="479" spans="1:57" ht="15.75" customHeight="1">
      <c r="A479" s="430"/>
      <c r="B479" s="430"/>
      <c r="C479" s="430"/>
      <c r="D479" s="430"/>
      <c r="E479" s="430"/>
      <c r="F479" s="430"/>
      <c r="G479" s="430"/>
      <c r="H479" s="430"/>
      <c r="I479" s="430"/>
      <c r="J479" s="430"/>
      <c r="K479" s="430"/>
      <c r="L479" s="430"/>
      <c r="M479" s="430"/>
      <c r="N479" s="430"/>
      <c r="O479" s="430"/>
      <c r="P479" s="430"/>
      <c r="Q479" s="430"/>
      <c r="R479" s="430"/>
      <c r="S479" s="430"/>
      <c r="T479" s="430"/>
      <c r="U479" s="430"/>
      <c r="V479" s="430"/>
      <c r="W479" s="430"/>
      <c r="X479" s="430"/>
      <c r="Y479" s="430"/>
      <c r="Z479" s="430"/>
      <c r="AA479" s="430"/>
      <c r="AB479" s="430"/>
      <c r="AC479" s="430"/>
      <c r="AD479" s="430"/>
      <c r="AE479" s="430"/>
      <c r="AF479" s="430"/>
      <c r="AG479" s="430"/>
      <c r="AH479" s="430"/>
      <c r="AI479" s="430"/>
      <c r="AJ479" s="430"/>
      <c r="AK479" s="430"/>
      <c r="AL479" s="430"/>
      <c r="AM479" s="430"/>
      <c r="AN479" s="430"/>
      <c r="AO479" s="430"/>
      <c r="AP479" s="430"/>
      <c r="AQ479" s="430"/>
      <c r="AR479" s="430"/>
      <c r="AS479" s="430"/>
      <c r="AT479" s="430"/>
      <c r="AU479" s="430"/>
      <c r="AV479" s="430"/>
      <c r="AW479" s="430"/>
      <c r="AX479" s="430"/>
      <c r="AY479" s="430"/>
      <c r="AZ479" s="430"/>
      <c r="BA479" s="430"/>
      <c r="BB479" s="430"/>
      <c r="BC479" s="430"/>
      <c r="BD479" s="430"/>
      <c r="BE479" s="430"/>
    </row>
    <row r="480" spans="1:57" ht="15.75" customHeight="1">
      <c r="A480" s="430"/>
      <c r="B480" s="430"/>
      <c r="C480" s="430"/>
      <c r="D480" s="430"/>
      <c r="E480" s="430"/>
      <c r="F480" s="430"/>
      <c r="G480" s="430"/>
      <c r="H480" s="430"/>
      <c r="I480" s="430"/>
      <c r="J480" s="430"/>
      <c r="K480" s="430"/>
      <c r="L480" s="430"/>
      <c r="M480" s="430"/>
      <c r="N480" s="430"/>
      <c r="O480" s="430"/>
      <c r="P480" s="430"/>
      <c r="Q480" s="430"/>
      <c r="R480" s="430"/>
      <c r="S480" s="430"/>
      <c r="T480" s="430"/>
      <c r="U480" s="430"/>
      <c r="V480" s="430"/>
      <c r="W480" s="430"/>
      <c r="X480" s="430"/>
      <c r="Y480" s="430"/>
      <c r="Z480" s="430"/>
      <c r="AA480" s="430"/>
      <c r="AB480" s="430"/>
      <c r="AC480" s="430"/>
      <c r="AD480" s="430"/>
      <c r="AE480" s="430"/>
      <c r="AF480" s="430"/>
      <c r="AG480" s="430"/>
      <c r="AH480" s="430"/>
      <c r="AI480" s="430"/>
      <c r="AJ480" s="430"/>
      <c r="AK480" s="430"/>
      <c r="AL480" s="430"/>
      <c r="AM480" s="430"/>
      <c r="AN480" s="430"/>
      <c r="AO480" s="430"/>
      <c r="AP480" s="430"/>
      <c r="AQ480" s="430"/>
      <c r="AR480" s="430"/>
      <c r="AS480" s="430"/>
      <c r="AT480" s="430"/>
      <c r="AU480" s="430"/>
      <c r="AV480" s="430"/>
      <c r="AW480" s="430"/>
      <c r="AX480" s="430"/>
      <c r="AY480" s="430"/>
      <c r="AZ480" s="430"/>
      <c r="BA480" s="430"/>
      <c r="BB480" s="430"/>
      <c r="BC480" s="430"/>
      <c r="BD480" s="430"/>
      <c r="BE480" s="430"/>
    </row>
    <row r="481" spans="1:57" ht="15.75" customHeight="1">
      <c r="A481" s="430"/>
      <c r="B481" s="430"/>
      <c r="C481" s="430"/>
      <c r="D481" s="430"/>
      <c r="E481" s="430"/>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0"/>
      <c r="AY481" s="430"/>
      <c r="AZ481" s="430"/>
      <c r="BA481" s="430"/>
      <c r="BB481" s="430"/>
      <c r="BC481" s="430"/>
      <c r="BD481" s="430"/>
      <c r="BE481" s="430"/>
    </row>
    <row r="482" spans="1:57" ht="15.75" customHeight="1">
      <c r="A482" s="430"/>
      <c r="B482" s="430"/>
      <c r="C482" s="430"/>
      <c r="D482" s="430"/>
      <c r="E482" s="430"/>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30"/>
      <c r="AY482" s="430"/>
      <c r="AZ482" s="430"/>
      <c r="BA482" s="430"/>
      <c r="BB482" s="430"/>
      <c r="BC482" s="430"/>
      <c r="BD482" s="430"/>
      <c r="BE482" s="430"/>
    </row>
    <row r="483" spans="1:57" ht="15.75" customHeight="1">
      <c r="A483" s="430"/>
      <c r="B483" s="430"/>
      <c r="C483" s="430"/>
      <c r="D483" s="430"/>
      <c r="E483" s="430"/>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30"/>
      <c r="AY483" s="430"/>
      <c r="AZ483" s="430"/>
      <c r="BA483" s="430"/>
      <c r="BB483" s="430"/>
      <c r="BC483" s="430"/>
      <c r="BD483" s="430"/>
      <c r="BE483" s="430"/>
    </row>
    <row r="484" spans="1:57" ht="15.75" customHeight="1">
      <c r="A484" s="430"/>
      <c r="B484" s="430"/>
      <c r="C484" s="430"/>
      <c r="D484" s="430"/>
      <c r="E484" s="430"/>
      <c r="F484" s="430"/>
      <c r="G484" s="430"/>
      <c r="H484" s="430"/>
      <c r="I484" s="430"/>
      <c r="J484" s="430"/>
      <c r="K484" s="430"/>
      <c r="L484" s="430"/>
      <c r="M484" s="430"/>
      <c r="N484" s="430"/>
      <c r="O484" s="430"/>
      <c r="P484" s="430"/>
      <c r="Q484" s="430"/>
      <c r="R484" s="430"/>
      <c r="S484" s="430"/>
      <c r="T484" s="430"/>
      <c r="U484" s="430"/>
      <c r="V484" s="430"/>
      <c r="W484" s="430"/>
      <c r="X484" s="430"/>
      <c r="Y484" s="430"/>
      <c r="Z484" s="430"/>
      <c r="AA484" s="430"/>
      <c r="AB484" s="430"/>
      <c r="AC484" s="430"/>
      <c r="AD484" s="430"/>
      <c r="AE484" s="430"/>
      <c r="AF484" s="430"/>
      <c r="AG484" s="430"/>
      <c r="AH484" s="430"/>
      <c r="AI484" s="430"/>
      <c r="AJ484" s="430"/>
      <c r="AK484" s="430"/>
      <c r="AL484" s="430"/>
      <c r="AM484" s="430"/>
      <c r="AN484" s="430"/>
      <c r="AO484" s="430"/>
      <c r="AP484" s="430"/>
      <c r="AQ484" s="430"/>
      <c r="AR484" s="430"/>
      <c r="AS484" s="430"/>
      <c r="AT484" s="430"/>
      <c r="AU484" s="430"/>
      <c r="AV484" s="430"/>
      <c r="AW484" s="430"/>
      <c r="AX484" s="430"/>
      <c r="AY484" s="430"/>
      <c r="AZ484" s="430"/>
      <c r="BA484" s="430"/>
      <c r="BB484" s="430"/>
      <c r="BC484" s="430"/>
      <c r="BD484" s="430"/>
      <c r="BE484" s="430"/>
    </row>
    <row r="485" spans="1:57" ht="15.75" customHeight="1">
      <c r="A485" s="430"/>
      <c r="B485" s="430"/>
      <c r="C485" s="430"/>
      <c r="D485" s="430"/>
      <c r="E485" s="430"/>
      <c r="F485" s="430"/>
      <c r="G485" s="430"/>
      <c r="H485" s="430"/>
      <c r="I485" s="430"/>
      <c r="J485" s="430"/>
      <c r="K485" s="430"/>
      <c r="L485" s="430"/>
      <c r="M485" s="430"/>
      <c r="N485" s="430"/>
      <c r="O485" s="430"/>
      <c r="P485" s="430"/>
      <c r="Q485" s="430"/>
      <c r="R485" s="430"/>
      <c r="S485" s="430"/>
      <c r="T485" s="430"/>
      <c r="U485" s="430"/>
      <c r="V485" s="430"/>
      <c r="W485" s="430"/>
      <c r="X485" s="430"/>
      <c r="Y485" s="430"/>
      <c r="Z485" s="430"/>
      <c r="AA485" s="430"/>
      <c r="AB485" s="430"/>
      <c r="AC485" s="430"/>
      <c r="AD485" s="430"/>
      <c r="AE485" s="430"/>
      <c r="AF485" s="430"/>
      <c r="AG485" s="430"/>
      <c r="AH485" s="430"/>
      <c r="AI485" s="430"/>
      <c r="AJ485" s="430"/>
      <c r="AK485" s="430"/>
      <c r="AL485" s="430"/>
      <c r="AM485" s="430"/>
      <c r="AN485" s="430"/>
      <c r="AO485" s="430"/>
      <c r="AP485" s="430"/>
      <c r="AQ485" s="430"/>
      <c r="AR485" s="430"/>
      <c r="AS485" s="430"/>
      <c r="AT485" s="430"/>
      <c r="AU485" s="430"/>
      <c r="AV485" s="430"/>
      <c r="AW485" s="430"/>
      <c r="AX485" s="430"/>
      <c r="AY485" s="430"/>
      <c r="AZ485" s="430"/>
      <c r="BA485" s="430"/>
      <c r="BB485" s="430"/>
      <c r="BC485" s="430"/>
      <c r="BD485" s="430"/>
      <c r="BE485" s="430"/>
    </row>
    <row r="486" spans="1:57" ht="15.75" customHeight="1">
      <c r="A486" s="430"/>
      <c r="B486" s="430"/>
      <c r="C486" s="430"/>
      <c r="D486" s="430"/>
      <c r="E486" s="430"/>
      <c r="F486" s="430"/>
      <c r="G486" s="430"/>
      <c r="H486" s="430"/>
      <c r="I486" s="430"/>
      <c r="J486" s="430"/>
      <c r="K486" s="430"/>
      <c r="L486" s="430"/>
      <c r="M486" s="430"/>
      <c r="N486" s="430"/>
      <c r="O486" s="430"/>
      <c r="P486" s="430"/>
      <c r="Q486" s="430"/>
      <c r="R486" s="430"/>
      <c r="S486" s="430"/>
      <c r="T486" s="430"/>
      <c r="U486" s="430"/>
      <c r="V486" s="430"/>
      <c r="W486" s="430"/>
      <c r="X486" s="430"/>
      <c r="Y486" s="430"/>
      <c r="Z486" s="430"/>
      <c r="AA486" s="430"/>
      <c r="AB486" s="430"/>
      <c r="AC486" s="430"/>
      <c r="AD486" s="430"/>
      <c r="AE486" s="430"/>
      <c r="AF486" s="430"/>
      <c r="AG486" s="430"/>
      <c r="AH486" s="430"/>
      <c r="AI486" s="430"/>
      <c r="AJ486" s="430"/>
      <c r="AK486" s="430"/>
      <c r="AL486" s="430"/>
      <c r="AM486" s="430"/>
      <c r="AN486" s="430"/>
      <c r="AO486" s="430"/>
      <c r="AP486" s="430"/>
      <c r="AQ486" s="430"/>
      <c r="AR486" s="430"/>
      <c r="AS486" s="430"/>
      <c r="AT486" s="430"/>
      <c r="AU486" s="430"/>
      <c r="AV486" s="430"/>
      <c r="AW486" s="430"/>
      <c r="AX486" s="430"/>
      <c r="AY486" s="430"/>
      <c r="AZ486" s="430"/>
      <c r="BA486" s="430"/>
      <c r="BB486" s="430"/>
      <c r="BC486" s="430"/>
      <c r="BD486" s="430"/>
      <c r="BE486" s="430"/>
    </row>
    <row r="487" spans="1:57" ht="15.75" customHeight="1">
      <c r="A487" s="430"/>
      <c r="B487" s="430"/>
      <c r="C487" s="430"/>
      <c r="D487" s="430"/>
      <c r="E487" s="430"/>
      <c r="F487" s="430"/>
      <c r="G487" s="430"/>
      <c r="H487" s="430"/>
      <c r="I487" s="430"/>
      <c r="J487" s="430"/>
      <c r="K487" s="430"/>
      <c r="L487" s="430"/>
      <c r="M487" s="430"/>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0"/>
      <c r="AJ487" s="430"/>
      <c r="AK487" s="430"/>
      <c r="AL487" s="430"/>
      <c r="AM487" s="430"/>
      <c r="AN487" s="430"/>
      <c r="AO487" s="430"/>
      <c r="AP487" s="430"/>
      <c r="AQ487" s="430"/>
      <c r="AR487" s="430"/>
      <c r="AS487" s="430"/>
      <c r="AT487" s="430"/>
      <c r="AU487" s="430"/>
      <c r="AV487" s="430"/>
      <c r="AW487" s="430"/>
      <c r="AX487" s="430"/>
      <c r="AY487" s="430"/>
      <c r="AZ487" s="430"/>
      <c r="BA487" s="430"/>
      <c r="BB487" s="430"/>
      <c r="BC487" s="430"/>
      <c r="BD487" s="430"/>
      <c r="BE487" s="430"/>
    </row>
    <row r="488" spans="1:57" ht="15.75" customHeight="1">
      <c r="A488" s="430"/>
      <c r="B488" s="430"/>
      <c r="C488" s="430"/>
      <c r="D488" s="430"/>
      <c r="E488" s="430"/>
      <c r="F488" s="430"/>
      <c r="G488" s="430"/>
      <c r="H488" s="430"/>
      <c r="I488" s="430"/>
      <c r="J488" s="430"/>
      <c r="K488" s="430"/>
      <c r="L488" s="430"/>
      <c r="M488" s="430"/>
      <c r="N488" s="430"/>
      <c r="O488" s="430"/>
      <c r="P488" s="430"/>
      <c r="Q488" s="430"/>
      <c r="R488" s="430"/>
      <c r="S488" s="430"/>
      <c r="T488" s="430"/>
      <c r="U488" s="430"/>
      <c r="V488" s="430"/>
      <c r="W488" s="430"/>
      <c r="X488" s="430"/>
      <c r="Y488" s="430"/>
      <c r="Z488" s="430"/>
      <c r="AA488" s="430"/>
      <c r="AB488" s="430"/>
      <c r="AC488" s="430"/>
      <c r="AD488" s="430"/>
      <c r="AE488" s="430"/>
      <c r="AF488" s="430"/>
      <c r="AG488" s="430"/>
      <c r="AH488" s="430"/>
      <c r="AI488" s="430"/>
      <c r="AJ488" s="430"/>
      <c r="AK488" s="430"/>
      <c r="AL488" s="430"/>
      <c r="AM488" s="430"/>
      <c r="AN488" s="430"/>
      <c r="AO488" s="430"/>
      <c r="AP488" s="430"/>
      <c r="AQ488" s="430"/>
      <c r="AR488" s="430"/>
      <c r="AS488" s="430"/>
      <c r="AT488" s="430"/>
      <c r="AU488" s="430"/>
      <c r="AV488" s="430"/>
      <c r="AW488" s="430"/>
      <c r="AX488" s="430"/>
      <c r="AY488" s="430"/>
      <c r="AZ488" s="430"/>
      <c r="BA488" s="430"/>
      <c r="BB488" s="430"/>
      <c r="BC488" s="430"/>
      <c r="BD488" s="430"/>
      <c r="BE488" s="430"/>
    </row>
    <row r="489" spans="1:57" ht="15.75" customHeight="1">
      <c r="A489" s="430"/>
      <c r="B489" s="430"/>
      <c r="C489" s="430"/>
      <c r="D489" s="430"/>
      <c r="E489" s="430"/>
      <c r="F489" s="430"/>
      <c r="G489" s="430"/>
      <c r="H489" s="430"/>
      <c r="I489" s="430"/>
      <c r="J489" s="430"/>
      <c r="K489" s="430"/>
      <c r="L489" s="430"/>
      <c r="M489" s="430"/>
      <c r="N489" s="430"/>
      <c r="O489" s="430"/>
      <c r="P489" s="430"/>
      <c r="Q489" s="430"/>
      <c r="R489" s="430"/>
      <c r="S489" s="430"/>
      <c r="T489" s="430"/>
      <c r="U489" s="430"/>
      <c r="V489" s="430"/>
      <c r="W489" s="430"/>
      <c r="X489" s="430"/>
      <c r="Y489" s="430"/>
      <c r="Z489" s="430"/>
      <c r="AA489" s="430"/>
      <c r="AB489" s="430"/>
      <c r="AC489" s="430"/>
      <c r="AD489" s="430"/>
      <c r="AE489" s="430"/>
      <c r="AF489" s="430"/>
      <c r="AG489" s="430"/>
      <c r="AH489" s="430"/>
      <c r="AI489" s="430"/>
      <c r="AJ489" s="430"/>
      <c r="AK489" s="430"/>
      <c r="AL489" s="430"/>
      <c r="AM489" s="430"/>
      <c r="AN489" s="430"/>
      <c r="AO489" s="430"/>
      <c r="AP489" s="430"/>
      <c r="AQ489" s="430"/>
      <c r="AR489" s="430"/>
      <c r="AS489" s="430"/>
      <c r="AT489" s="430"/>
      <c r="AU489" s="430"/>
      <c r="AV489" s="430"/>
      <c r="AW489" s="430"/>
      <c r="AX489" s="430"/>
      <c r="AY489" s="430"/>
      <c r="AZ489" s="430"/>
      <c r="BA489" s="430"/>
      <c r="BB489" s="430"/>
      <c r="BC489" s="430"/>
      <c r="BD489" s="430"/>
      <c r="BE489" s="430"/>
    </row>
    <row r="490" spans="1:57" ht="15.75" customHeight="1">
      <c r="A490" s="430"/>
      <c r="B490" s="430"/>
      <c r="C490" s="430"/>
      <c r="D490" s="430"/>
      <c r="E490" s="430"/>
      <c r="F490" s="430"/>
      <c r="G490" s="430"/>
      <c r="H490" s="430"/>
      <c r="I490" s="430"/>
      <c r="J490" s="430"/>
      <c r="K490" s="430"/>
      <c r="L490" s="430"/>
      <c r="M490" s="430"/>
      <c r="N490" s="430"/>
      <c r="O490" s="430"/>
      <c r="P490" s="430"/>
      <c r="Q490" s="430"/>
      <c r="R490" s="430"/>
      <c r="S490" s="430"/>
      <c r="T490" s="430"/>
      <c r="U490" s="430"/>
      <c r="V490" s="430"/>
      <c r="W490" s="430"/>
      <c r="X490" s="430"/>
      <c r="Y490" s="430"/>
      <c r="Z490" s="430"/>
      <c r="AA490" s="430"/>
      <c r="AB490" s="430"/>
      <c r="AC490" s="430"/>
      <c r="AD490" s="430"/>
      <c r="AE490" s="430"/>
      <c r="AF490" s="430"/>
      <c r="AG490" s="430"/>
      <c r="AH490" s="430"/>
      <c r="AI490" s="430"/>
      <c r="AJ490" s="430"/>
      <c r="AK490" s="430"/>
      <c r="AL490" s="430"/>
      <c r="AM490" s="430"/>
      <c r="AN490" s="430"/>
      <c r="AO490" s="430"/>
      <c r="AP490" s="430"/>
      <c r="AQ490" s="430"/>
      <c r="AR490" s="430"/>
      <c r="AS490" s="430"/>
      <c r="AT490" s="430"/>
      <c r="AU490" s="430"/>
      <c r="AV490" s="430"/>
      <c r="AW490" s="430"/>
      <c r="AX490" s="430"/>
      <c r="AY490" s="430"/>
      <c r="AZ490" s="430"/>
      <c r="BA490" s="430"/>
      <c r="BB490" s="430"/>
      <c r="BC490" s="430"/>
      <c r="BD490" s="430"/>
      <c r="BE490" s="430"/>
    </row>
    <row r="491" spans="1:57" ht="15.75" customHeight="1">
      <c r="A491" s="430"/>
      <c r="B491" s="430"/>
      <c r="C491" s="430"/>
      <c r="D491" s="430"/>
      <c r="E491" s="430"/>
      <c r="F491" s="430"/>
      <c r="G491" s="430"/>
      <c r="H491" s="430"/>
      <c r="I491" s="430"/>
      <c r="J491" s="430"/>
      <c r="K491" s="430"/>
      <c r="L491" s="430"/>
      <c r="M491" s="430"/>
      <c r="N491" s="430"/>
      <c r="O491" s="430"/>
      <c r="P491" s="430"/>
      <c r="Q491" s="430"/>
      <c r="R491" s="430"/>
      <c r="S491" s="430"/>
      <c r="T491" s="430"/>
      <c r="U491" s="430"/>
      <c r="V491" s="430"/>
      <c r="W491" s="430"/>
      <c r="X491" s="430"/>
      <c r="Y491" s="430"/>
      <c r="Z491" s="430"/>
      <c r="AA491" s="430"/>
      <c r="AB491" s="430"/>
      <c r="AC491" s="430"/>
      <c r="AD491" s="430"/>
      <c r="AE491" s="430"/>
      <c r="AF491" s="430"/>
      <c r="AG491" s="430"/>
      <c r="AH491" s="430"/>
      <c r="AI491" s="430"/>
      <c r="AJ491" s="430"/>
      <c r="AK491" s="430"/>
      <c r="AL491" s="430"/>
      <c r="AM491" s="430"/>
      <c r="AN491" s="430"/>
      <c r="AO491" s="430"/>
      <c r="AP491" s="430"/>
      <c r="AQ491" s="430"/>
      <c r="AR491" s="430"/>
      <c r="AS491" s="430"/>
      <c r="AT491" s="430"/>
      <c r="AU491" s="430"/>
      <c r="AV491" s="430"/>
      <c r="AW491" s="430"/>
      <c r="AX491" s="430"/>
      <c r="AY491" s="430"/>
      <c r="AZ491" s="430"/>
      <c r="BA491" s="430"/>
      <c r="BB491" s="430"/>
      <c r="BC491" s="430"/>
      <c r="BD491" s="430"/>
      <c r="BE491" s="430"/>
    </row>
    <row r="492" spans="1:57" ht="15.75" customHeight="1">
      <c r="A492" s="430"/>
      <c r="B492" s="430"/>
      <c r="C492" s="430"/>
      <c r="D492" s="430"/>
      <c r="E492" s="430"/>
      <c r="F492" s="430"/>
      <c r="G492" s="430"/>
      <c r="H492" s="430"/>
      <c r="I492" s="430"/>
      <c r="J492" s="430"/>
      <c r="K492" s="430"/>
      <c r="L492" s="430"/>
      <c r="M492" s="430"/>
      <c r="N492" s="430"/>
      <c r="O492" s="430"/>
      <c r="P492" s="430"/>
      <c r="Q492" s="430"/>
      <c r="R492" s="430"/>
      <c r="S492" s="430"/>
      <c r="T492" s="430"/>
      <c r="U492" s="430"/>
      <c r="V492" s="430"/>
      <c r="W492" s="430"/>
      <c r="X492" s="430"/>
      <c r="Y492" s="430"/>
      <c r="Z492" s="430"/>
      <c r="AA492" s="430"/>
      <c r="AB492" s="430"/>
      <c r="AC492" s="430"/>
      <c r="AD492" s="430"/>
      <c r="AE492" s="430"/>
      <c r="AF492" s="430"/>
      <c r="AG492" s="430"/>
      <c r="AH492" s="430"/>
      <c r="AI492" s="430"/>
      <c r="AJ492" s="430"/>
      <c r="AK492" s="430"/>
      <c r="AL492" s="430"/>
      <c r="AM492" s="430"/>
      <c r="AN492" s="430"/>
      <c r="AO492" s="430"/>
      <c r="AP492" s="430"/>
      <c r="AQ492" s="430"/>
      <c r="AR492" s="430"/>
      <c r="AS492" s="430"/>
      <c r="AT492" s="430"/>
      <c r="AU492" s="430"/>
      <c r="AV492" s="430"/>
      <c r="AW492" s="430"/>
      <c r="AX492" s="430"/>
      <c r="AY492" s="430"/>
      <c r="AZ492" s="430"/>
      <c r="BA492" s="430"/>
      <c r="BB492" s="430"/>
      <c r="BC492" s="430"/>
      <c r="BD492" s="430"/>
      <c r="BE492" s="430"/>
    </row>
    <row r="493" spans="1:57" ht="15.75" customHeight="1">
      <c r="A493" s="430"/>
      <c r="B493" s="430"/>
      <c r="C493" s="430"/>
      <c r="D493" s="430"/>
      <c r="E493" s="430"/>
      <c r="F493" s="430"/>
      <c r="G493" s="430"/>
      <c r="H493" s="430"/>
      <c r="I493" s="430"/>
      <c r="J493" s="430"/>
      <c r="K493" s="430"/>
      <c r="L493" s="430"/>
      <c r="M493" s="430"/>
      <c r="N493" s="430"/>
      <c r="O493" s="430"/>
      <c r="P493" s="430"/>
      <c r="Q493" s="430"/>
      <c r="R493" s="430"/>
      <c r="S493" s="430"/>
      <c r="T493" s="430"/>
      <c r="U493" s="430"/>
      <c r="V493" s="430"/>
      <c r="W493" s="430"/>
      <c r="X493" s="430"/>
      <c r="Y493" s="430"/>
      <c r="Z493" s="430"/>
      <c r="AA493" s="430"/>
      <c r="AB493" s="430"/>
      <c r="AC493" s="430"/>
      <c r="AD493" s="430"/>
      <c r="AE493" s="430"/>
      <c r="AF493" s="430"/>
      <c r="AG493" s="430"/>
      <c r="AH493" s="430"/>
      <c r="AI493" s="430"/>
      <c r="AJ493" s="430"/>
      <c r="AK493" s="430"/>
      <c r="AL493" s="430"/>
      <c r="AM493" s="430"/>
      <c r="AN493" s="430"/>
      <c r="AO493" s="430"/>
      <c r="AP493" s="430"/>
      <c r="AQ493" s="430"/>
      <c r="AR493" s="430"/>
      <c r="AS493" s="430"/>
      <c r="AT493" s="430"/>
      <c r="AU493" s="430"/>
      <c r="AV493" s="430"/>
      <c r="AW493" s="430"/>
      <c r="AX493" s="430"/>
      <c r="AY493" s="430"/>
      <c r="AZ493" s="430"/>
      <c r="BA493" s="430"/>
      <c r="BB493" s="430"/>
      <c r="BC493" s="430"/>
      <c r="BD493" s="430"/>
      <c r="BE493" s="430"/>
    </row>
    <row r="494" spans="1:57" ht="15.75" customHeight="1">
      <c r="A494" s="430"/>
      <c r="B494" s="430"/>
      <c r="C494" s="430"/>
      <c r="D494" s="430"/>
      <c r="E494" s="430"/>
      <c r="F494" s="430"/>
      <c r="G494" s="430"/>
      <c r="H494" s="430"/>
      <c r="I494" s="430"/>
      <c r="J494" s="430"/>
      <c r="K494" s="430"/>
      <c r="L494" s="430"/>
      <c r="M494" s="430"/>
      <c r="N494" s="430"/>
      <c r="O494" s="430"/>
      <c r="P494" s="430"/>
      <c r="Q494" s="430"/>
      <c r="R494" s="430"/>
      <c r="S494" s="430"/>
      <c r="T494" s="430"/>
      <c r="U494" s="430"/>
      <c r="V494" s="430"/>
      <c r="W494" s="430"/>
      <c r="X494" s="430"/>
      <c r="Y494" s="430"/>
      <c r="Z494" s="430"/>
      <c r="AA494" s="430"/>
      <c r="AB494" s="430"/>
      <c r="AC494" s="430"/>
      <c r="AD494" s="430"/>
      <c r="AE494" s="430"/>
      <c r="AF494" s="430"/>
      <c r="AG494" s="430"/>
      <c r="AH494" s="430"/>
      <c r="AI494" s="430"/>
      <c r="AJ494" s="430"/>
      <c r="AK494" s="430"/>
      <c r="AL494" s="430"/>
      <c r="AM494" s="430"/>
      <c r="AN494" s="430"/>
      <c r="AO494" s="430"/>
      <c r="AP494" s="430"/>
      <c r="AQ494" s="430"/>
      <c r="AR494" s="430"/>
      <c r="AS494" s="430"/>
      <c r="AT494" s="430"/>
      <c r="AU494" s="430"/>
      <c r="AV494" s="430"/>
      <c r="AW494" s="430"/>
      <c r="AX494" s="430"/>
      <c r="AY494" s="430"/>
      <c r="AZ494" s="430"/>
      <c r="BA494" s="430"/>
      <c r="BB494" s="430"/>
      <c r="BC494" s="430"/>
      <c r="BD494" s="430"/>
      <c r="BE494" s="430"/>
    </row>
    <row r="495" spans="1:57" ht="15.75" customHeight="1">
      <c r="A495" s="430"/>
      <c r="B495" s="430"/>
      <c r="C495" s="430"/>
      <c r="D495" s="430"/>
      <c r="E495" s="430"/>
      <c r="F495" s="430"/>
      <c r="G495" s="430"/>
      <c r="H495" s="430"/>
      <c r="I495" s="430"/>
      <c r="J495" s="430"/>
      <c r="K495" s="430"/>
      <c r="L495" s="430"/>
      <c r="M495" s="430"/>
      <c r="N495" s="430"/>
      <c r="O495" s="430"/>
      <c r="P495" s="430"/>
      <c r="Q495" s="430"/>
      <c r="R495" s="430"/>
      <c r="S495" s="430"/>
      <c r="T495" s="430"/>
      <c r="U495" s="430"/>
      <c r="V495" s="430"/>
      <c r="W495" s="430"/>
      <c r="X495" s="430"/>
      <c r="Y495" s="430"/>
      <c r="Z495" s="430"/>
      <c r="AA495" s="430"/>
      <c r="AB495" s="430"/>
      <c r="AC495" s="430"/>
      <c r="AD495" s="430"/>
      <c r="AE495" s="430"/>
      <c r="AF495" s="430"/>
      <c r="AG495" s="430"/>
      <c r="AH495" s="430"/>
      <c r="AI495" s="430"/>
      <c r="AJ495" s="430"/>
      <c r="AK495" s="430"/>
      <c r="AL495" s="430"/>
      <c r="AM495" s="430"/>
      <c r="AN495" s="430"/>
      <c r="AO495" s="430"/>
      <c r="AP495" s="430"/>
      <c r="AQ495" s="430"/>
      <c r="AR495" s="430"/>
      <c r="AS495" s="430"/>
      <c r="AT495" s="430"/>
      <c r="AU495" s="430"/>
      <c r="AV495" s="430"/>
      <c r="AW495" s="430"/>
      <c r="AX495" s="430"/>
      <c r="AY495" s="430"/>
      <c r="AZ495" s="430"/>
      <c r="BA495" s="430"/>
      <c r="BB495" s="430"/>
      <c r="BC495" s="430"/>
      <c r="BD495" s="430"/>
      <c r="BE495" s="430"/>
    </row>
    <row r="496" spans="1:57" ht="15.75" customHeight="1">
      <c r="A496" s="430"/>
      <c r="B496" s="430"/>
      <c r="C496" s="430"/>
      <c r="D496" s="430"/>
      <c r="E496" s="430"/>
      <c r="F496" s="430"/>
      <c r="G496" s="430"/>
      <c r="H496" s="430"/>
      <c r="I496" s="430"/>
      <c r="J496" s="430"/>
      <c r="K496" s="430"/>
      <c r="L496" s="430"/>
      <c r="M496" s="430"/>
      <c r="N496" s="430"/>
      <c r="O496" s="430"/>
      <c r="P496" s="430"/>
      <c r="Q496" s="430"/>
      <c r="R496" s="430"/>
      <c r="S496" s="430"/>
      <c r="T496" s="430"/>
      <c r="U496" s="430"/>
      <c r="V496" s="430"/>
      <c r="W496" s="430"/>
      <c r="X496" s="430"/>
      <c r="Y496" s="430"/>
      <c r="Z496" s="430"/>
      <c r="AA496" s="430"/>
      <c r="AB496" s="430"/>
      <c r="AC496" s="430"/>
      <c r="AD496" s="430"/>
      <c r="AE496" s="430"/>
      <c r="AF496" s="430"/>
      <c r="AG496" s="430"/>
      <c r="AH496" s="430"/>
      <c r="AI496" s="430"/>
      <c r="AJ496" s="430"/>
      <c r="AK496" s="430"/>
      <c r="AL496" s="430"/>
      <c r="AM496" s="430"/>
      <c r="AN496" s="430"/>
      <c r="AO496" s="430"/>
      <c r="AP496" s="430"/>
      <c r="AQ496" s="430"/>
      <c r="AR496" s="430"/>
      <c r="AS496" s="430"/>
      <c r="AT496" s="430"/>
      <c r="AU496" s="430"/>
      <c r="AV496" s="430"/>
      <c r="AW496" s="430"/>
      <c r="AX496" s="430"/>
      <c r="AY496" s="430"/>
      <c r="AZ496" s="430"/>
      <c r="BA496" s="430"/>
      <c r="BB496" s="430"/>
      <c r="BC496" s="430"/>
      <c r="BD496" s="430"/>
      <c r="BE496" s="430"/>
    </row>
    <row r="497" spans="1:57" ht="15.75" customHeight="1">
      <c r="A497" s="430"/>
      <c r="B497" s="430"/>
      <c r="C497" s="430"/>
      <c r="D497" s="430"/>
      <c r="E497" s="430"/>
      <c r="F497" s="430"/>
      <c r="G497" s="430"/>
      <c r="H497" s="430"/>
      <c r="I497" s="430"/>
      <c r="J497" s="430"/>
      <c r="K497" s="430"/>
      <c r="L497" s="430"/>
      <c r="M497" s="430"/>
      <c r="N497" s="430"/>
      <c r="O497" s="430"/>
      <c r="P497" s="430"/>
      <c r="Q497" s="430"/>
      <c r="R497" s="430"/>
      <c r="S497" s="430"/>
      <c r="T497" s="430"/>
      <c r="U497" s="430"/>
      <c r="V497" s="430"/>
      <c r="W497" s="430"/>
      <c r="X497" s="430"/>
      <c r="Y497" s="430"/>
      <c r="Z497" s="430"/>
      <c r="AA497" s="430"/>
      <c r="AB497" s="430"/>
      <c r="AC497" s="430"/>
      <c r="AD497" s="430"/>
      <c r="AE497" s="430"/>
      <c r="AF497" s="430"/>
      <c r="AG497" s="430"/>
      <c r="AH497" s="430"/>
      <c r="AI497" s="430"/>
      <c r="AJ497" s="430"/>
      <c r="AK497" s="430"/>
      <c r="AL497" s="430"/>
      <c r="AM497" s="430"/>
      <c r="AN497" s="430"/>
      <c r="AO497" s="430"/>
      <c r="AP497" s="430"/>
      <c r="AQ497" s="430"/>
      <c r="AR497" s="430"/>
      <c r="AS497" s="430"/>
      <c r="AT497" s="430"/>
      <c r="AU497" s="430"/>
      <c r="AV497" s="430"/>
      <c r="AW497" s="430"/>
      <c r="AX497" s="430"/>
      <c r="AY497" s="430"/>
      <c r="AZ497" s="430"/>
      <c r="BA497" s="430"/>
      <c r="BB497" s="430"/>
      <c r="BC497" s="430"/>
      <c r="BD497" s="430"/>
      <c r="BE497" s="430"/>
    </row>
    <row r="498" spans="1:57" ht="15.75" customHeight="1">
      <c r="A498" s="430"/>
      <c r="B498" s="430"/>
      <c r="C498" s="430"/>
      <c r="D498" s="430"/>
      <c r="E498" s="430"/>
      <c r="F498" s="430"/>
      <c r="G498" s="430"/>
      <c r="H498" s="430"/>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0"/>
      <c r="AJ498" s="430"/>
      <c r="AK498" s="430"/>
      <c r="AL498" s="430"/>
      <c r="AM498" s="430"/>
      <c r="AN498" s="430"/>
      <c r="AO498" s="430"/>
      <c r="AP498" s="430"/>
      <c r="AQ498" s="430"/>
      <c r="AR498" s="430"/>
      <c r="AS498" s="430"/>
      <c r="AT498" s="430"/>
      <c r="AU498" s="430"/>
      <c r="AV498" s="430"/>
      <c r="AW498" s="430"/>
      <c r="AX498" s="430"/>
      <c r="AY498" s="430"/>
      <c r="AZ498" s="430"/>
      <c r="BA498" s="430"/>
      <c r="BB498" s="430"/>
      <c r="BC498" s="430"/>
      <c r="BD498" s="430"/>
      <c r="BE498" s="430"/>
    </row>
    <row r="499" spans="1:57" ht="15.75" customHeight="1">
      <c r="A499" s="430"/>
      <c r="B499" s="430"/>
      <c r="C499" s="430"/>
      <c r="D499" s="430"/>
      <c r="E499" s="430"/>
      <c r="F499" s="430"/>
      <c r="G499" s="430"/>
      <c r="H499" s="430"/>
      <c r="I499" s="430"/>
      <c r="J499" s="430"/>
      <c r="K499" s="430"/>
      <c r="L499" s="430"/>
      <c r="M499" s="430"/>
      <c r="N499" s="430"/>
      <c r="O499" s="430"/>
      <c r="P499" s="430"/>
      <c r="Q499" s="430"/>
      <c r="R499" s="430"/>
      <c r="S499" s="430"/>
      <c r="T499" s="430"/>
      <c r="U499" s="430"/>
      <c r="V499" s="430"/>
      <c r="W499" s="430"/>
      <c r="X499" s="430"/>
      <c r="Y499" s="430"/>
      <c r="Z499" s="430"/>
      <c r="AA499" s="430"/>
      <c r="AB499" s="430"/>
      <c r="AC499" s="430"/>
      <c r="AD499" s="430"/>
      <c r="AE499" s="430"/>
      <c r="AF499" s="430"/>
      <c r="AG499" s="430"/>
      <c r="AH499" s="430"/>
      <c r="AI499" s="430"/>
      <c r="AJ499" s="430"/>
      <c r="AK499" s="430"/>
      <c r="AL499" s="430"/>
      <c r="AM499" s="430"/>
      <c r="AN499" s="430"/>
      <c r="AO499" s="430"/>
      <c r="AP499" s="430"/>
      <c r="AQ499" s="430"/>
      <c r="AR499" s="430"/>
      <c r="AS499" s="430"/>
      <c r="AT499" s="430"/>
      <c r="AU499" s="430"/>
      <c r="AV499" s="430"/>
      <c r="AW499" s="430"/>
      <c r="AX499" s="430"/>
      <c r="AY499" s="430"/>
      <c r="AZ499" s="430"/>
      <c r="BA499" s="430"/>
      <c r="BB499" s="430"/>
      <c r="BC499" s="430"/>
      <c r="BD499" s="430"/>
      <c r="BE499" s="430"/>
    </row>
    <row r="500" spans="1:57" ht="15.75" customHeight="1">
      <c r="A500" s="430"/>
      <c r="B500" s="430"/>
      <c r="C500" s="430"/>
      <c r="D500" s="430"/>
      <c r="E500" s="430"/>
      <c r="F500" s="430"/>
      <c r="G500" s="430"/>
      <c r="H500" s="430"/>
      <c r="I500" s="430"/>
      <c r="J500" s="430"/>
      <c r="K500" s="430"/>
      <c r="L500" s="430"/>
      <c r="M500" s="430"/>
      <c r="N500" s="430"/>
      <c r="O500" s="430"/>
      <c r="P500" s="430"/>
      <c r="Q500" s="430"/>
      <c r="R500" s="430"/>
      <c r="S500" s="430"/>
      <c r="T500" s="430"/>
      <c r="U500" s="430"/>
      <c r="V500" s="430"/>
      <c r="W500" s="430"/>
      <c r="X500" s="430"/>
      <c r="Y500" s="430"/>
      <c r="Z500" s="430"/>
      <c r="AA500" s="430"/>
      <c r="AB500" s="430"/>
      <c r="AC500" s="430"/>
      <c r="AD500" s="430"/>
      <c r="AE500" s="430"/>
      <c r="AF500" s="430"/>
      <c r="AG500" s="430"/>
      <c r="AH500" s="430"/>
      <c r="AI500" s="430"/>
      <c r="AJ500" s="430"/>
      <c r="AK500" s="430"/>
      <c r="AL500" s="430"/>
      <c r="AM500" s="430"/>
      <c r="AN500" s="430"/>
      <c r="AO500" s="430"/>
      <c r="AP500" s="430"/>
      <c r="AQ500" s="430"/>
      <c r="AR500" s="430"/>
      <c r="AS500" s="430"/>
      <c r="AT500" s="430"/>
      <c r="AU500" s="430"/>
      <c r="AV500" s="430"/>
      <c r="AW500" s="430"/>
      <c r="AX500" s="430"/>
      <c r="AY500" s="430"/>
      <c r="AZ500" s="430"/>
      <c r="BA500" s="430"/>
      <c r="BB500" s="430"/>
      <c r="BC500" s="430"/>
      <c r="BD500" s="430"/>
      <c r="BE500" s="430"/>
    </row>
    <row r="501" spans="1:57" ht="15.75" customHeight="1">
      <c r="A501" s="430"/>
      <c r="B501" s="430"/>
      <c r="C501" s="430"/>
      <c r="D501" s="430"/>
      <c r="E501" s="430"/>
      <c r="F501" s="430"/>
      <c r="G501" s="430"/>
      <c r="H501" s="430"/>
      <c r="I501" s="430"/>
      <c r="J501" s="430"/>
      <c r="K501" s="430"/>
      <c r="L501" s="430"/>
      <c r="M501" s="430"/>
      <c r="N501" s="430"/>
      <c r="O501" s="430"/>
      <c r="P501" s="430"/>
      <c r="Q501" s="430"/>
      <c r="R501" s="430"/>
      <c r="S501" s="430"/>
      <c r="T501" s="430"/>
      <c r="U501" s="430"/>
      <c r="V501" s="430"/>
      <c r="W501" s="430"/>
      <c r="X501" s="430"/>
      <c r="Y501" s="430"/>
      <c r="Z501" s="430"/>
      <c r="AA501" s="430"/>
      <c r="AB501" s="430"/>
      <c r="AC501" s="430"/>
      <c r="AD501" s="430"/>
      <c r="AE501" s="430"/>
      <c r="AF501" s="430"/>
      <c r="AG501" s="430"/>
      <c r="AH501" s="430"/>
      <c r="AI501" s="430"/>
      <c r="AJ501" s="430"/>
      <c r="AK501" s="430"/>
      <c r="AL501" s="430"/>
      <c r="AM501" s="430"/>
      <c r="AN501" s="430"/>
      <c r="AO501" s="430"/>
      <c r="AP501" s="430"/>
      <c r="AQ501" s="430"/>
      <c r="AR501" s="430"/>
      <c r="AS501" s="430"/>
      <c r="AT501" s="430"/>
      <c r="AU501" s="430"/>
      <c r="AV501" s="430"/>
      <c r="AW501" s="430"/>
      <c r="AX501" s="430"/>
      <c r="AY501" s="430"/>
      <c r="AZ501" s="430"/>
      <c r="BA501" s="430"/>
      <c r="BB501" s="430"/>
      <c r="BC501" s="430"/>
      <c r="BD501" s="430"/>
      <c r="BE501" s="430"/>
    </row>
    <row r="502" spans="1:57" ht="15.75" customHeight="1">
      <c r="A502" s="430"/>
      <c r="B502" s="430"/>
      <c r="C502" s="430"/>
      <c r="D502" s="430"/>
      <c r="E502" s="430"/>
      <c r="F502" s="430"/>
      <c r="G502" s="430"/>
      <c r="H502" s="430"/>
      <c r="I502" s="430"/>
      <c r="J502" s="430"/>
      <c r="K502" s="430"/>
      <c r="L502" s="430"/>
      <c r="M502" s="430"/>
      <c r="N502" s="430"/>
      <c r="O502" s="430"/>
      <c r="P502" s="430"/>
      <c r="Q502" s="430"/>
      <c r="R502" s="430"/>
      <c r="S502" s="430"/>
      <c r="T502" s="430"/>
      <c r="U502" s="430"/>
      <c r="V502" s="430"/>
      <c r="W502" s="430"/>
      <c r="X502" s="430"/>
      <c r="Y502" s="430"/>
      <c r="Z502" s="430"/>
      <c r="AA502" s="430"/>
      <c r="AB502" s="430"/>
      <c r="AC502" s="430"/>
      <c r="AD502" s="430"/>
      <c r="AE502" s="430"/>
      <c r="AF502" s="430"/>
      <c r="AG502" s="430"/>
      <c r="AH502" s="430"/>
      <c r="AI502" s="430"/>
      <c r="AJ502" s="430"/>
      <c r="AK502" s="430"/>
      <c r="AL502" s="430"/>
      <c r="AM502" s="430"/>
      <c r="AN502" s="430"/>
      <c r="AO502" s="430"/>
      <c r="AP502" s="430"/>
      <c r="AQ502" s="430"/>
      <c r="AR502" s="430"/>
      <c r="AS502" s="430"/>
      <c r="AT502" s="430"/>
      <c r="AU502" s="430"/>
      <c r="AV502" s="430"/>
      <c r="AW502" s="430"/>
      <c r="AX502" s="430"/>
      <c r="AY502" s="430"/>
      <c r="AZ502" s="430"/>
      <c r="BA502" s="430"/>
      <c r="BB502" s="430"/>
      <c r="BC502" s="430"/>
      <c r="BD502" s="430"/>
      <c r="BE502" s="430"/>
    </row>
    <row r="503" spans="1:57" ht="15.75" customHeight="1">
      <c r="A503" s="430"/>
      <c r="B503" s="430"/>
      <c r="C503" s="430"/>
      <c r="D503" s="430"/>
      <c r="E503" s="430"/>
      <c r="F503" s="430"/>
      <c r="G503" s="430"/>
      <c r="H503" s="430"/>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30"/>
      <c r="AE503" s="430"/>
      <c r="AF503" s="430"/>
      <c r="AG503" s="430"/>
      <c r="AH503" s="430"/>
      <c r="AI503" s="430"/>
      <c r="AJ503" s="430"/>
      <c r="AK503" s="430"/>
      <c r="AL503" s="430"/>
      <c r="AM503" s="430"/>
      <c r="AN503" s="430"/>
      <c r="AO503" s="430"/>
      <c r="AP503" s="430"/>
      <c r="AQ503" s="430"/>
      <c r="AR503" s="430"/>
      <c r="AS503" s="430"/>
      <c r="AT503" s="430"/>
      <c r="AU503" s="430"/>
      <c r="AV503" s="430"/>
      <c r="AW503" s="430"/>
      <c r="AX503" s="430"/>
      <c r="AY503" s="430"/>
      <c r="AZ503" s="430"/>
      <c r="BA503" s="430"/>
      <c r="BB503" s="430"/>
      <c r="BC503" s="430"/>
      <c r="BD503" s="430"/>
      <c r="BE503" s="430"/>
    </row>
    <row r="504" spans="1:57" ht="15.75" customHeight="1">
      <c r="A504" s="430"/>
      <c r="B504" s="430"/>
      <c r="C504" s="430"/>
      <c r="D504" s="430"/>
      <c r="E504" s="430"/>
      <c r="F504" s="430"/>
      <c r="G504" s="430"/>
      <c r="H504" s="430"/>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0"/>
      <c r="AK504" s="430"/>
      <c r="AL504" s="430"/>
      <c r="AM504" s="430"/>
      <c r="AN504" s="430"/>
      <c r="AO504" s="430"/>
      <c r="AP504" s="430"/>
      <c r="AQ504" s="430"/>
      <c r="AR504" s="430"/>
      <c r="AS504" s="430"/>
      <c r="AT504" s="430"/>
      <c r="AU504" s="430"/>
      <c r="AV504" s="430"/>
      <c r="AW504" s="430"/>
      <c r="AX504" s="430"/>
      <c r="AY504" s="430"/>
      <c r="AZ504" s="430"/>
      <c r="BA504" s="430"/>
      <c r="BB504" s="430"/>
      <c r="BC504" s="430"/>
      <c r="BD504" s="430"/>
      <c r="BE504" s="430"/>
    </row>
    <row r="505" spans="1:57" ht="15.75" customHeight="1">
      <c r="A505" s="430"/>
      <c r="B505" s="430"/>
      <c r="C505" s="430"/>
      <c r="D505" s="430"/>
      <c r="E505" s="430"/>
      <c r="F505" s="430"/>
      <c r="G505" s="430"/>
      <c r="H505" s="430"/>
      <c r="I505" s="430"/>
      <c r="J505" s="430"/>
      <c r="K505" s="430"/>
      <c r="L505" s="430"/>
      <c r="M505" s="430"/>
      <c r="N505" s="430"/>
      <c r="O505" s="430"/>
      <c r="P505" s="430"/>
      <c r="Q505" s="430"/>
      <c r="R505" s="430"/>
      <c r="S505" s="430"/>
      <c r="T505" s="430"/>
      <c r="U505" s="430"/>
      <c r="V505" s="430"/>
      <c r="W505" s="430"/>
      <c r="X505" s="430"/>
      <c r="Y505" s="430"/>
      <c r="Z505" s="430"/>
      <c r="AA505" s="430"/>
      <c r="AB505" s="430"/>
      <c r="AC505" s="430"/>
      <c r="AD505" s="430"/>
      <c r="AE505" s="430"/>
      <c r="AF505" s="430"/>
      <c r="AG505" s="430"/>
      <c r="AH505" s="430"/>
      <c r="AI505" s="430"/>
      <c r="AJ505" s="430"/>
      <c r="AK505" s="430"/>
      <c r="AL505" s="430"/>
      <c r="AM505" s="430"/>
      <c r="AN505" s="430"/>
      <c r="AO505" s="430"/>
      <c r="AP505" s="430"/>
      <c r="AQ505" s="430"/>
      <c r="AR505" s="430"/>
      <c r="AS505" s="430"/>
      <c r="AT505" s="430"/>
      <c r="AU505" s="430"/>
      <c r="AV505" s="430"/>
      <c r="AW505" s="430"/>
      <c r="AX505" s="430"/>
      <c r="AY505" s="430"/>
      <c r="AZ505" s="430"/>
      <c r="BA505" s="430"/>
      <c r="BB505" s="430"/>
      <c r="BC505" s="430"/>
      <c r="BD505" s="430"/>
      <c r="BE505" s="430"/>
    </row>
    <row r="506" spans="1:57" ht="15.75" customHeight="1">
      <c r="A506" s="430"/>
      <c r="B506" s="430"/>
      <c r="C506" s="430"/>
      <c r="D506" s="430"/>
      <c r="E506" s="430"/>
      <c r="F506" s="430"/>
      <c r="G506" s="430"/>
      <c r="H506" s="430"/>
      <c r="I506" s="430"/>
      <c r="J506" s="430"/>
      <c r="K506" s="430"/>
      <c r="L506" s="430"/>
      <c r="M506" s="430"/>
      <c r="N506" s="430"/>
      <c r="O506" s="430"/>
      <c r="P506" s="430"/>
      <c r="Q506" s="430"/>
      <c r="R506" s="430"/>
      <c r="S506" s="430"/>
      <c r="T506" s="430"/>
      <c r="U506" s="430"/>
      <c r="V506" s="430"/>
      <c r="W506" s="430"/>
      <c r="X506" s="430"/>
      <c r="Y506" s="430"/>
      <c r="Z506" s="430"/>
      <c r="AA506" s="430"/>
      <c r="AB506" s="430"/>
      <c r="AC506" s="430"/>
      <c r="AD506" s="430"/>
      <c r="AE506" s="430"/>
      <c r="AF506" s="430"/>
      <c r="AG506" s="430"/>
      <c r="AH506" s="430"/>
      <c r="AI506" s="430"/>
      <c r="AJ506" s="430"/>
      <c r="AK506" s="430"/>
      <c r="AL506" s="430"/>
      <c r="AM506" s="430"/>
      <c r="AN506" s="430"/>
      <c r="AO506" s="430"/>
      <c r="AP506" s="430"/>
      <c r="AQ506" s="430"/>
      <c r="AR506" s="430"/>
      <c r="AS506" s="430"/>
      <c r="AT506" s="430"/>
      <c r="AU506" s="430"/>
      <c r="AV506" s="430"/>
      <c r="AW506" s="430"/>
      <c r="AX506" s="430"/>
      <c r="AY506" s="430"/>
      <c r="AZ506" s="430"/>
      <c r="BA506" s="430"/>
      <c r="BB506" s="430"/>
      <c r="BC506" s="430"/>
      <c r="BD506" s="430"/>
      <c r="BE506" s="430"/>
    </row>
    <row r="507" spans="1:57" ht="15.75" customHeight="1">
      <c r="A507" s="430"/>
      <c r="B507" s="430"/>
      <c r="C507" s="430"/>
      <c r="D507" s="430"/>
      <c r="E507" s="430"/>
      <c r="F507" s="430"/>
      <c r="G507" s="430"/>
      <c r="H507" s="430"/>
      <c r="I507" s="430"/>
      <c r="J507" s="430"/>
      <c r="K507" s="430"/>
      <c r="L507" s="430"/>
      <c r="M507" s="430"/>
      <c r="N507" s="430"/>
      <c r="O507" s="430"/>
      <c r="P507" s="430"/>
      <c r="Q507" s="430"/>
      <c r="R507" s="430"/>
      <c r="S507" s="430"/>
      <c r="T507" s="430"/>
      <c r="U507" s="430"/>
      <c r="V507" s="430"/>
      <c r="W507" s="430"/>
      <c r="X507" s="430"/>
      <c r="Y507" s="430"/>
      <c r="Z507" s="430"/>
      <c r="AA507" s="430"/>
      <c r="AB507" s="430"/>
      <c r="AC507" s="430"/>
      <c r="AD507" s="430"/>
      <c r="AE507" s="430"/>
      <c r="AF507" s="430"/>
      <c r="AG507" s="430"/>
      <c r="AH507" s="430"/>
      <c r="AI507" s="430"/>
      <c r="AJ507" s="430"/>
      <c r="AK507" s="430"/>
      <c r="AL507" s="430"/>
      <c r="AM507" s="430"/>
      <c r="AN507" s="430"/>
      <c r="AO507" s="430"/>
      <c r="AP507" s="430"/>
      <c r="AQ507" s="430"/>
      <c r="AR507" s="430"/>
      <c r="AS507" s="430"/>
      <c r="AT507" s="430"/>
      <c r="AU507" s="430"/>
      <c r="AV507" s="430"/>
      <c r="AW507" s="430"/>
      <c r="AX507" s="430"/>
      <c r="AY507" s="430"/>
      <c r="AZ507" s="430"/>
      <c r="BA507" s="430"/>
      <c r="BB507" s="430"/>
      <c r="BC507" s="430"/>
      <c r="BD507" s="430"/>
      <c r="BE507" s="430"/>
    </row>
    <row r="508" spans="1:57" ht="15.75" customHeight="1">
      <c r="A508" s="430"/>
      <c r="B508" s="430"/>
      <c r="C508" s="430"/>
      <c r="D508" s="430"/>
      <c r="E508" s="430"/>
      <c r="F508" s="430"/>
      <c r="G508" s="430"/>
      <c r="H508" s="430"/>
      <c r="I508" s="430"/>
      <c r="J508" s="430"/>
      <c r="K508" s="430"/>
      <c r="L508" s="430"/>
      <c r="M508" s="430"/>
      <c r="N508" s="430"/>
      <c r="O508" s="430"/>
      <c r="P508" s="430"/>
      <c r="Q508" s="430"/>
      <c r="R508" s="430"/>
      <c r="S508" s="430"/>
      <c r="T508" s="430"/>
      <c r="U508" s="430"/>
      <c r="V508" s="430"/>
      <c r="W508" s="430"/>
      <c r="X508" s="430"/>
      <c r="Y508" s="430"/>
      <c r="Z508" s="430"/>
      <c r="AA508" s="430"/>
      <c r="AB508" s="430"/>
      <c r="AC508" s="430"/>
      <c r="AD508" s="430"/>
      <c r="AE508" s="430"/>
      <c r="AF508" s="430"/>
      <c r="AG508" s="430"/>
      <c r="AH508" s="430"/>
      <c r="AI508" s="430"/>
      <c r="AJ508" s="430"/>
      <c r="AK508" s="430"/>
      <c r="AL508" s="430"/>
      <c r="AM508" s="430"/>
      <c r="AN508" s="430"/>
      <c r="AO508" s="430"/>
      <c r="AP508" s="430"/>
      <c r="AQ508" s="430"/>
      <c r="AR508" s="430"/>
      <c r="AS508" s="430"/>
      <c r="AT508" s="430"/>
      <c r="AU508" s="430"/>
      <c r="AV508" s="430"/>
      <c r="AW508" s="430"/>
      <c r="AX508" s="430"/>
      <c r="AY508" s="430"/>
      <c r="AZ508" s="430"/>
      <c r="BA508" s="430"/>
      <c r="BB508" s="430"/>
      <c r="BC508" s="430"/>
      <c r="BD508" s="430"/>
      <c r="BE508" s="430"/>
    </row>
    <row r="509" spans="1:57" ht="15.75" customHeight="1">
      <c r="A509" s="430"/>
      <c r="B509" s="430"/>
      <c r="C509" s="430"/>
      <c r="D509" s="430"/>
      <c r="E509" s="430"/>
      <c r="F509" s="430"/>
      <c r="G509" s="430"/>
      <c r="H509" s="430"/>
      <c r="I509" s="430"/>
      <c r="J509" s="430"/>
      <c r="K509" s="430"/>
      <c r="L509" s="430"/>
      <c r="M509" s="430"/>
      <c r="N509" s="430"/>
      <c r="O509" s="430"/>
      <c r="P509" s="430"/>
      <c r="Q509" s="430"/>
      <c r="R509" s="430"/>
      <c r="S509" s="430"/>
      <c r="T509" s="430"/>
      <c r="U509" s="430"/>
      <c r="V509" s="430"/>
      <c r="W509" s="430"/>
      <c r="X509" s="430"/>
      <c r="Y509" s="430"/>
      <c r="Z509" s="430"/>
      <c r="AA509" s="430"/>
      <c r="AB509" s="430"/>
      <c r="AC509" s="430"/>
      <c r="AD509" s="430"/>
      <c r="AE509" s="430"/>
      <c r="AF509" s="430"/>
      <c r="AG509" s="430"/>
      <c r="AH509" s="430"/>
      <c r="AI509" s="430"/>
      <c r="AJ509" s="430"/>
      <c r="AK509" s="430"/>
      <c r="AL509" s="430"/>
      <c r="AM509" s="430"/>
      <c r="AN509" s="430"/>
      <c r="AO509" s="430"/>
      <c r="AP509" s="430"/>
      <c r="AQ509" s="430"/>
      <c r="AR509" s="430"/>
      <c r="AS509" s="430"/>
      <c r="AT509" s="430"/>
      <c r="AU509" s="430"/>
      <c r="AV509" s="430"/>
      <c r="AW509" s="430"/>
      <c r="AX509" s="430"/>
      <c r="AY509" s="430"/>
      <c r="AZ509" s="430"/>
      <c r="BA509" s="430"/>
      <c r="BB509" s="430"/>
      <c r="BC509" s="430"/>
      <c r="BD509" s="430"/>
      <c r="BE509" s="430"/>
    </row>
    <row r="510" spans="1:57" ht="15.75" customHeight="1">
      <c r="A510" s="430"/>
      <c r="B510" s="430"/>
      <c r="C510" s="430"/>
      <c r="D510" s="430"/>
      <c r="E510" s="430"/>
      <c r="F510" s="430"/>
      <c r="G510" s="430"/>
      <c r="H510" s="430"/>
      <c r="I510" s="430"/>
      <c r="J510" s="430"/>
      <c r="K510" s="430"/>
      <c r="L510" s="430"/>
      <c r="M510" s="430"/>
      <c r="N510" s="430"/>
      <c r="O510" s="430"/>
      <c r="P510" s="430"/>
      <c r="Q510" s="430"/>
      <c r="R510" s="430"/>
      <c r="S510" s="430"/>
      <c r="T510" s="430"/>
      <c r="U510" s="430"/>
      <c r="V510" s="430"/>
      <c r="W510" s="430"/>
      <c r="X510" s="430"/>
      <c r="Y510" s="430"/>
      <c r="Z510" s="430"/>
      <c r="AA510" s="430"/>
      <c r="AB510" s="430"/>
      <c r="AC510" s="430"/>
      <c r="AD510" s="430"/>
      <c r="AE510" s="430"/>
      <c r="AF510" s="430"/>
      <c r="AG510" s="430"/>
      <c r="AH510" s="430"/>
      <c r="AI510" s="430"/>
      <c r="AJ510" s="430"/>
      <c r="AK510" s="430"/>
      <c r="AL510" s="430"/>
      <c r="AM510" s="430"/>
      <c r="AN510" s="430"/>
      <c r="AO510" s="430"/>
      <c r="AP510" s="430"/>
      <c r="AQ510" s="430"/>
      <c r="AR510" s="430"/>
      <c r="AS510" s="430"/>
      <c r="AT510" s="430"/>
      <c r="AU510" s="430"/>
      <c r="AV510" s="430"/>
      <c r="AW510" s="430"/>
      <c r="AX510" s="430"/>
      <c r="AY510" s="430"/>
      <c r="AZ510" s="430"/>
      <c r="BA510" s="430"/>
      <c r="BB510" s="430"/>
      <c r="BC510" s="430"/>
      <c r="BD510" s="430"/>
      <c r="BE510" s="430"/>
    </row>
    <row r="511" spans="1:57" ht="15.75" customHeight="1">
      <c r="A511" s="430"/>
      <c r="B511" s="430"/>
      <c r="C511" s="430"/>
      <c r="D511" s="430"/>
      <c r="E511" s="430"/>
      <c r="F511" s="430"/>
      <c r="G511" s="430"/>
      <c r="H511" s="430"/>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0"/>
      <c r="AL511" s="430"/>
      <c r="AM511" s="430"/>
      <c r="AN511" s="430"/>
      <c r="AO511" s="430"/>
      <c r="AP511" s="430"/>
      <c r="AQ511" s="430"/>
      <c r="AR511" s="430"/>
      <c r="AS511" s="430"/>
      <c r="AT511" s="430"/>
      <c r="AU511" s="430"/>
      <c r="AV511" s="430"/>
      <c r="AW511" s="430"/>
      <c r="AX511" s="430"/>
      <c r="AY511" s="430"/>
      <c r="AZ511" s="430"/>
      <c r="BA511" s="430"/>
      <c r="BB511" s="430"/>
      <c r="BC511" s="430"/>
      <c r="BD511" s="430"/>
      <c r="BE511" s="430"/>
    </row>
    <row r="512" spans="1:57" ht="15.75" customHeight="1">
      <c r="A512" s="430"/>
      <c r="B512" s="430"/>
      <c r="C512" s="430"/>
      <c r="D512" s="430"/>
      <c r="E512" s="430"/>
      <c r="F512" s="430"/>
      <c r="G512" s="430"/>
      <c r="H512" s="430"/>
      <c r="I512" s="430"/>
      <c r="J512" s="430"/>
      <c r="K512" s="430"/>
      <c r="L512" s="430"/>
      <c r="M512" s="430"/>
      <c r="N512" s="430"/>
      <c r="O512" s="430"/>
      <c r="P512" s="430"/>
      <c r="Q512" s="430"/>
      <c r="R512" s="430"/>
      <c r="S512" s="430"/>
      <c r="T512" s="430"/>
      <c r="U512" s="430"/>
      <c r="V512" s="430"/>
      <c r="W512" s="430"/>
      <c r="X512" s="430"/>
      <c r="Y512" s="430"/>
      <c r="Z512" s="430"/>
      <c r="AA512" s="430"/>
      <c r="AB512" s="430"/>
      <c r="AC512" s="430"/>
      <c r="AD512" s="430"/>
      <c r="AE512" s="430"/>
      <c r="AF512" s="430"/>
      <c r="AG512" s="430"/>
      <c r="AH512" s="430"/>
      <c r="AI512" s="430"/>
      <c r="AJ512" s="430"/>
      <c r="AK512" s="430"/>
      <c r="AL512" s="430"/>
      <c r="AM512" s="430"/>
      <c r="AN512" s="430"/>
      <c r="AO512" s="430"/>
      <c r="AP512" s="430"/>
      <c r="AQ512" s="430"/>
      <c r="AR512" s="430"/>
      <c r="AS512" s="430"/>
      <c r="AT512" s="430"/>
      <c r="AU512" s="430"/>
      <c r="AV512" s="430"/>
      <c r="AW512" s="430"/>
      <c r="AX512" s="430"/>
      <c r="AY512" s="430"/>
      <c r="AZ512" s="430"/>
      <c r="BA512" s="430"/>
      <c r="BB512" s="430"/>
      <c r="BC512" s="430"/>
      <c r="BD512" s="430"/>
      <c r="BE512" s="430"/>
    </row>
    <row r="513" spans="1:57" ht="15.75" customHeight="1">
      <c r="A513" s="430"/>
      <c r="B513" s="430"/>
      <c r="C513" s="430"/>
      <c r="D513" s="430"/>
      <c r="E513" s="430"/>
      <c r="F513" s="430"/>
      <c r="G513" s="430"/>
      <c r="H513" s="430"/>
      <c r="I513" s="430"/>
      <c r="J513" s="430"/>
      <c r="K513" s="430"/>
      <c r="L513" s="430"/>
      <c r="M513" s="430"/>
      <c r="N513" s="430"/>
      <c r="O513" s="430"/>
      <c r="P513" s="430"/>
      <c r="Q513" s="430"/>
      <c r="R513" s="430"/>
      <c r="S513" s="430"/>
      <c r="T513" s="430"/>
      <c r="U513" s="430"/>
      <c r="V513" s="430"/>
      <c r="W513" s="430"/>
      <c r="X513" s="430"/>
      <c r="Y513" s="430"/>
      <c r="Z513" s="430"/>
      <c r="AA513" s="430"/>
      <c r="AB513" s="430"/>
      <c r="AC513" s="430"/>
      <c r="AD513" s="430"/>
      <c r="AE513" s="430"/>
      <c r="AF513" s="430"/>
      <c r="AG513" s="430"/>
      <c r="AH513" s="430"/>
      <c r="AI513" s="430"/>
      <c r="AJ513" s="430"/>
      <c r="AK513" s="430"/>
      <c r="AL513" s="430"/>
      <c r="AM513" s="430"/>
      <c r="AN513" s="430"/>
      <c r="AO513" s="430"/>
      <c r="AP513" s="430"/>
      <c r="AQ513" s="430"/>
      <c r="AR513" s="430"/>
      <c r="AS513" s="430"/>
      <c r="AT513" s="430"/>
      <c r="AU513" s="430"/>
      <c r="AV513" s="430"/>
      <c r="AW513" s="430"/>
      <c r="AX513" s="430"/>
      <c r="AY513" s="430"/>
      <c r="AZ513" s="430"/>
      <c r="BA513" s="430"/>
      <c r="BB513" s="430"/>
      <c r="BC513" s="430"/>
      <c r="BD513" s="430"/>
      <c r="BE513" s="430"/>
    </row>
    <row r="514" spans="1:57" ht="15.75" customHeight="1">
      <c r="A514" s="430"/>
      <c r="B514" s="430"/>
      <c r="C514" s="430"/>
      <c r="D514" s="430"/>
      <c r="E514" s="430"/>
      <c r="F514" s="430"/>
      <c r="G514" s="430"/>
      <c r="H514" s="430"/>
      <c r="I514" s="430"/>
      <c r="J514" s="430"/>
      <c r="K514" s="430"/>
      <c r="L514" s="430"/>
      <c r="M514" s="430"/>
      <c r="N514" s="430"/>
      <c r="O514" s="430"/>
      <c r="P514" s="430"/>
      <c r="Q514" s="430"/>
      <c r="R514" s="430"/>
      <c r="S514" s="430"/>
      <c r="T514" s="430"/>
      <c r="U514" s="430"/>
      <c r="V514" s="430"/>
      <c r="W514" s="430"/>
      <c r="X514" s="430"/>
      <c r="Y514" s="430"/>
      <c r="Z514" s="430"/>
      <c r="AA514" s="430"/>
      <c r="AB514" s="430"/>
      <c r="AC514" s="430"/>
      <c r="AD514" s="430"/>
      <c r="AE514" s="430"/>
      <c r="AF514" s="430"/>
      <c r="AG514" s="430"/>
      <c r="AH514" s="430"/>
      <c r="AI514" s="430"/>
      <c r="AJ514" s="430"/>
      <c r="AK514" s="430"/>
      <c r="AL514" s="430"/>
      <c r="AM514" s="430"/>
      <c r="AN514" s="430"/>
      <c r="AO514" s="430"/>
      <c r="AP514" s="430"/>
      <c r="AQ514" s="430"/>
      <c r="AR514" s="430"/>
      <c r="AS514" s="430"/>
      <c r="AT514" s="430"/>
      <c r="AU514" s="430"/>
      <c r="AV514" s="430"/>
      <c r="AW514" s="430"/>
      <c r="AX514" s="430"/>
      <c r="AY514" s="430"/>
      <c r="AZ514" s="430"/>
      <c r="BA514" s="430"/>
      <c r="BB514" s="430"/>
      <c r="BC514" s="430"/>
      <c r="BD514" s="430"/>
      <c r="BE514" s="430"/>
    </row>
    <row r="515" spans="1:57" ht="15.75" customHeight="1">
      <c r="A515" s="430"/>
      <c r="B515" s="430"/>
      <c r="C515" s="430"/>
      <c r="D515" s="430"/>
      <c r="E515" s="430"/>
      <c r="F515" s="430"/>
      <c r="G515" s="430"/>
      <c r="H515" s="430"/>
      <c r="I515" s="430"/>
      <c r="J515" s="430"/>
      <c r="K515" s="430"/>
      <c r="L515" s="430"/>
      <c r="M515" s="430"/>
      <c r="N515" s="430"/>
      <c r="O515" s="430"/>
      <c r="P515" s="430"/>
      <c r="Q515" s="430"/>
      <c r="R515" s="430"/>
      <c r="S515" s="430"/>
      <c r="T515" s="430"/>
      <c r="U515" s="430"/>
      <c r="V515" s="430"/>
      <c r="W515" s="430"/>
      <c r="X515" s="430"/>
      <c r="Y515" s="430"/>
      <c r="Z515" s="430"/>
      <c r="AA515" s="430"/>
      <c r="AB515" s="430"/>
      <c r="AC515" s="430"/>
      <c r="AD515" s="430"/>
      <c r="AE515" s="430"/>
      <c r="AF515" s="430"/>
      <c r="AG515" s="430"/>
      <c r="AH515" s="430"/>
      <c r="AI515" s="430"/>
      <c r="AJ515" s="430"/>
      <c r="AK515" s="430"/>
      <c r="AL515" s="430"/>
      <c r="AM515" s="430"/>
      <c r="AN515" s="430"/>
      <c r="AO515" s="430"/>
      <c r="AP515" s="430"/>
      <c r="AQ515" s="430"/>
      <c r="AR515" s="430"/>
      <c r="AS515" s="430"/>
      <c r="AT515" s="430"/>
      <c r="AU515" s="430"/>
      <c r="AV515" s="430"/>
      <c r="AW515" s="430"/>
      <c r="AX515" s="430"/>
      <c r="AY515" s="430"/>
      <c r="AZ515" s="430"/>
      <c r="BA515" s="430"/>
      <c r="BB515" s="430"/>
      <c r="BC515" s="430"/>
      <c r="BD515" s="430"/>
      <c r="BE515" s="430"/>
    </row>
    <row r="516" spans="1:57" ht="15.75" customHeight="1">
      <c r="A516" s="430"/>
      <c r="B516" s="430"/>
      <c r="C516" s="430"/>
      <c r="D516" s="430"/>
      <c r="E516" s="430"/>
      <c r="F516" s="430"/>
      <c r="G516" s="430"/>
      <c r="H516" s="430"/>
      <c r="I516" s="430"/>
      <c r="J516" s="430"/>
      <c r="K516" s="430"/>
      <c r="L516" s="430"/>
      <c r="M516" s="430"/>
      <c r="N516" s="430"/>
      <c r="O516" s="430"/>
      <c r="P516" s="430"/>
      <c r="Q516" s="430"/>
      <c r="R516" s="430"/>
      <c r="S516" s="430"/>
      <c r="T516" s="430"/>
      <c r="U516" s="430"/>
      <c r="V516" s="430"/>
      <c r="W516" s="430"/>
      <c r="X516" s="430"/>
      <c r="Y516" s="430"/>
      <c r="Z516" s="430"/>
      <c r="AA516" s="430"/>
      <c r="AB516" s="430"/>
      <c r="AC516" s="430"/>
      <c r="AD516" s="430"/>
      <c r="AE516" s="430"/>
      <c r="AF516" s="430"/>
      <c r="AG516" s="430"/>
      <c r="AH516" s="430"/>
      <c r="AI516" s="430"/>
      <c r="AJ516" s="430"/>
      <c r="AK516" s="430"/>
      <c r="AL516" s="430"/>
      <c r="AM516" s="430"/>
      <c r="AN516" s="430"/>
      <c r="AO516" s="430"/>
      <c r="AP516" s="430"/>
      <c r="AQ516" s="430"/>
      <c r="AR516" s="430"/>
      <c r="AS516" s="430"/>
      <c r="AT516" s="430"/>
      <c r="AU516" s="430"/>
      <c r="AV516" s="430"/>
      <c r="AW516" s="430"/>
      <c r="AX516" s="430"/>
      <c r="AY516" s="430"/>
      <c r="AZ516" s="430"/>
      <c r="BA516" s="430"/>
      <c r="BB516" s="430"/>
      <c r="BC516" s="430"/>
      <c r="BD516" s="430"/>
      <c r="BE516" s="430"/>
    </row>
    <row r="517" spans="1:57" ht="15.75" customHeight="1">
      <c r="A517" s="430"/>
      <c r="B517" s="430"/>
      <c r="C517" s="430"/>
      <c r="D517" s="430"/>
      <c r="E517" s="430"/>
      <c r="F517" s="430"/>
      <c r="G517" s="430"/>
      <c r="H517" s="430"/>
      <c r="I517" s="430"/>
      <c r="J517" s="430"/>
      <c r="K517" s="430"/>
      <c r="L517" s="430"/>
      <c r="M517" s="430"/>
      <c r="N517" s="430"/>
      <c r="O517" s="430"/>
      <c r="P517" s="430"/>
      <c r="Q517" s="430"/>
      <c r="R517" s="430"/>
      <c r="S517" s="430"/>
      <c r="T517" s="430"/>
      <c r="U517" s="430"/>
      <c r="V517" s="430"/>
      <c r="W517" s="430"/>
      <c r="X517" s="430"/>
      <c r="Y517" s="430"/>
      <c r="Z517" s="430"/>
      <c r="AA517" s="430"/>
      <c r="AB517" s="430"/>
      <c r="AC517" s="430"/>
      <c r="AD517" s="430"/>
      <c r="AE517" s="430"/>
      <c r="AF517" s="430"/>
      <c r="AG517" s="430"/>
      <c r="AH517" s="430"/>
      <c r="AI517" s="430"/>
      <c r="AJ517" s="430"/>
      <c r="AK517" s="430"/>
      <c r="AL517" s="430"/>
      <c r="AM517" s="430"/>
      <c r="AN517" s="430"/>
      <c r="AO517" s="430"/>
      <c r="AP517" s="430"/>
      <c r="AQ517" s="430"/>
      <c r="AR517" s="430"/>
      <c r="AS517" s="430"/>
      <c r="AT517" s="430"/>
      <c r="AU517" s="430"/>
      <c r="AV517" s="430"/>
      <c r="AW517" s="430"/>
      <c r="AX517" s="430"/>
      <c r="AY517" s="430"/>
      <c r="AZ517" s="430"/>
      <c r="BA517" s="430"/>
      <c r="BB517" s="430"/>
      <c r="BC517" s="430"/>
      <c r="BD517" s="430"/>
      <c r="BE517" s="430"/>
    </row>
    <row r="518" spans="1:57" ht="15.75" customHeight="1">
      <c r="A518" s="430"/>
      <c r="B518" s="430"/>
      <c r="C518" s="430"/>
      <c r="D518" s="430"/>
      <c r="E518" s="430"/>
      <c r="F518" s="430"/>
      <c r="G518" s="430"/>
      <c r="H518" s="430"/>
      <c r="I518" s="430"/>
      <c r="J518" s="430"/>
      <c r="K518" s="430"/>
      <c r="L518" s="430"/>
      <c r="M518" s="430"/>
      <c r="N518" s="430"/>
      <c r="O518" s="430"/>
      <c r="P518" s="430"/>
      <c r="Q518" s="430"/>
      <c r="R518" s="430"/>
      <c r="S518" s="430"/>
      <c r="T518" s="430"/>
      <c r="U518" s="430"/>
      <c r="V518" s="430"/>
      <c r="W518" s="430"/>
      <c r="X518" s="430"/>
      <c r="Y518" s="430"/>
      <c r="Z518" s="430"/>
      <c r="AA518" s="430"/>
      <c r="AB518" s="430"/>
      <c r="AC518" s="430"/>
      <c r="AD518" s="430"/>
      <c r="AE518" s="430"/>
      <c r="AF518" s="430"/>
      <c r="AG518" s="430"/>
      <c r="AH518" s="430"/>
      <c r="AI518" s="430"/>
      <c r="AJ518" s="430"/>
      <c r="AK518" s="430"/>
      <c r="AL518" s="430"/>
      <c r="AM518" s="430"/>
      <c r="AN518" s="430"/>
      <c r="AO518" s="430"/>
      <c r="AP518" s="430"/>
      <c r="AQ518" s="430"/>
      <c r="AR518" s="430"/>
      <c r="AS518" s="430"/>
      <c r="AT518" s="430"/>
      <c r="AU518" s="430"/>
      <c r="AV518" s="430"/>
      <c r="AW518" s="430"/>
      <c r="AX518" s="430"/>
      <c r="AY518" s="430"/>
      <c r="AZ518" s="430"/>
      <c r="BA518" s="430"/>
      <c r="BB518" s="430"/>
      <c r="BC518" s="430"/>
      <c r="BD518" s="430"/>
      <c r="BE518" s="430"/>
    </row>
    <row r="519" spans="1:57" ht="15.75" customHeight="1">
      <c r="A519" s="430"/>
      <c r="B519" s="430"/>
      <c r="C519" s="430"/>
      <c r="D519" s="430"/>
      <c r="E519" s="430"/>
      <c r="F519" s="430"/>
      <c r="G519" s="430"/>
      <c r="H519" s="430"/>
      <c r="I519" s="430"/>
      <c r="J519" s="430"/>
      <c r="K519" s="430"/>
      <c r="L519" s="430"/>
      <c r="M519" s="430"/>
      <c r="N519" s="430"/>
      <c r="O519" s="430"/>
      <c r="P519" s="430"/>
      <c r="Q519" s="430"/>
      <c r="R519" s="430"/>
      <c r="S519" s="430"/>
      <c r="T519" s="430"/>
      <c r="U519" s="430"/>
      <c r="V519" s="430"/>
      <c r="W519" s="430"/>
      <c r="X519" s="430"/>
      <c r="Y519" s="430"/>
      <c r="Z519" s="430"/>
      <c r="AA519" s="430"/>
      <c r="AB519" s="430"/>
      <c r="AC519" s="430"/>
      <c r="AD519" s="430"/>
      <c r="AE519" s="430"/>
      <c r="AF519" s="430"/>
      <c r="AG519" s="430"/>
      <c r="AH519" s="430"/>
      <c r="AI519" s="430"/>
      <c r="AJ519" s="430"/>
      <c r="AK519" s="430"/>
      <c r="AL519" s="430"/>
      <c r="AM519" s="430"/>
      <c r="AN519" s="430"/>
      <c r="AO519" s="430"/>
      <c r="AP519" s="430"/>
      <c r="AQ519" s="430"/>
      <c r="AR519" s="430"/>
      <c r="AS519" s="430"/>
      <c r="AT519" s="430"/>
      <c r="AU519" s="430"/>
      <c r="AV519" s="430"/>
      <c r="AW519" s="430"/>
      <c r="AX519" s="430"/>
      <c r="AY519" s="430"/>
      <c r="AZ519" s="430"/>
      <c r="BA519" s="430"/>
      <c r="BB519" s="430"/>
      <c r="BC519" s="430"/>
      <c r="BD519" s="430"/>
      <c r="BE519" s="430"/>
    </row>
    <row r="520" spans="1:57" ht="15.75" customHeight="1">
      <c r="A520" s="430"/>
      <c r="B520" s="430"/>
      <c r="C520" s="430"/>
      <c r="D520" s="430"/>
      <c r="E520" s="430"/>
      <c r="F520" s="430"/>
      <c r="G520" s="430"/>
      <c r="H520" s="430"/>
      <c r="I520" s="430"/>
      <c r="J520" s="430"/>
      <c r="K520" s="430"/>
      <c r="L520" s="430"/>
      <c r="M520" s="430"/>
      <c r="N520" s="430"/>
      <c r="O520" s="430"/>
      <c r="P520" s="430"/>
      <c r="Q520" s="430"/>
      <c r="R520" s="430"/>
      <c r="S520" s="430"/>
      <c r="T520" s="430"/>
      <c r="U520" s="430"/>
      <c r="V520" s="430"/>
      <c r="W520" s="430"/>
      <c r="X520" s="430"/>
      <c r="Y520" s="430"/>
      <c r="Z520" s="430"/>
      <c r="AA520" s="430"/>
      <c r="AB520" s="430"/>
      <c r="AC520" s="430"/>
      <c r="AD520" s="430"/>
      <c r="AE520" s="430"/>
      <c r="AF520" s="430"/>
      <c r="AG520" s="430"/>
      <c r="AH520" s="430"/>
      <c r="AI520" s="430"/>
      <c r="AJ520" s="430"/>
      <c r="AK520" s="430"/>
      <c r="AL520" s="430"/>
      <c r="AM520" s="430"/>
      <c r="AN520" s="430"/>
      <c r="AO520" s="430"/>
      <c r="AP520" s="430"/>
      <c r="AQ520" s="430"/>
      <c r="AR520" s="430"/>
      <c r="AS520" s="430"/>
      <c r="AT520" s="430"/>
      <c r="AU520" s="430"/>
      <c r="AV520" s="430"/>
      <c r="AW520" s="430"/>
      <c r="AX520" s="430"/>
      <c r="AY520" s="430"/>
      <c r="AZ520" s="430"/>
      <c r="BA520" s="430"/>
      <c r="BB520" s="430"/>
      <c r="BC520" s="430"/>
      <c r="BD520" s="430"/>
      <c r="BE520" s="430"/>
    </row>
    <row r="521" spans="1:57" ht="15.75" customHeight="1">
      <c r="A521" s="430"/>
      <c r="B521" s="430"/>
      <c r="C521" s="430"/>
      <c r="D521" s="430"/>
      <c r="E521" s="430"/>
      <c r="F521" s="430"/>
      <c r="G521" s="430"/>
      <c r="H521" s="430"/>
      <c r="I521" s="430"/>
      <c r="J521" s="430"/>
      <c r="K521" s="430"/>
      <c r="L521" s="430"/>
      <c r="M521" s="430"/>
      <c r="N521" s="430"/>
      <c r="O521" s="430"/>
      <c r="P521" s="430"/>
      <c r="Q521" s="430"/>
      <c r="R521" s="430"/>
      <c r="S521" s="430"/>
      <c r="T521" s="430"/>
      <c r="U521" s="430"/>
      <c r="V521" s="430"/>
      <c r="W521" s="430"/>
      <c r="X521" s="430"/>
      <c r="Y521" s="430"/>
      <c r="Z521" s="430"/>
      <c r="AA521" s="430"/>
      <c r="AB521" s="430"/>
      <c r="AC521" s="430"/>
      <c r="AD521" s="430"/>
      <c r="AE521" s="430"/>
      <c r="AF521" s="430"/>
      <c r="AG521" s="430"/>
      <c r="AH521" s="430"/>
      <c r="AI521" s="430"/>
      <c r="AJ521" s="430"/>
      <c r="AK521" s="430"/>
      <c r="AL521" s="430"/>
      <c r="AM521" s="430"/>
      <c r="AN521" s="430"/>
      <c r="AO521" s="430"/>
      <c r="AP521" s="430"/>
      <c r="AQ521" s="430"/>
      <c r="AR521" s="430"/>
      <c r="AS521" s="430"/>
      <c r="AT521" s="430"/>
      <c r="AU521" s="430"/>
      <c r="AV521" s="430"/>
      <c r="AW521" s="430"/>
      <c r="AX521" s="430"/>
      <c r="AY521" s="430"/>
      <c r="AZ521" s="430"/>
      <c r="BA521" s="430"/>
      <c r="BB521" s="430"/>
      <c r="BC521" s="430"/>
      <c r="BD521" s="430"/>
      <c r="BE521" s="430"/>
    </row>
    <row r="522" spans="1:57" ht="15.75" customHeight="1">
      <c r="A522" s="430"/>
      <c r="B522" s="430"/>
      <c r="C522" s="430"/>
      <c r="D522" s="430"/>
      <c r="E522" s="430"/>
      <c r="F522" s="430"/>
      <c r="G522" s="430"/>
      <c r="H522" s="430"/>
      <c r="I522" s="430"/>
      <c r="J522" s="430"/>
      <c r="K522" s="430"/>
      <c r="L522" s="430"/>
      <c r="M522" s="430"/>
      <c r="N522" s="430"/>
      <c r="O522" s="430"/>
      <c r="P522" s="430"/>
      <c r="Q522" s="430"/>
      <c r="R522" s="430"/>
      <c r="S522" s="430"/>
      <c r="T522" s="430"/>
      <c r="U522" s="430"/>
      <c r="V522" s="430"/>
      <c r="W522" s="430"/>
      <c r="X522" s="430"/>
      <c r="Y522" s="430"/>
      <c r="Z522" s="430"/>
      <c r="AA522" s="430"/>
      <c r="AB522" s="430"/>
      <c r="AC522" s="430"/>
      <c r="AD522" s="430"/>
      <c r="AE522" s="430"/>
      <c r="AF522" s="430"/>
      <c r="AG522" s="430"/>
      <c r="AH522" s="430"/>
      <c r="AI522" s="430"/>
      <c r="AJ522" s="430"/>
      <c r="AK522" s="430"/>
      <c r="AL522" s="430"/>
      <c r="AM522" s="430"/>
      <c r="AN522" s="430"/>
      <c r="AO522" s="430"/>
      <c r="AP522" s="430"/>
      <c r="AQ522" s="430"/>
      <c r="AR522" s="430"/>
      <c r="AS522" s="430"/>
      <c r="AT522" s="430"/>
      <c r="AU522" s="430"/>
      <c r="AV522" s="430"/>
      <c r="AW522" s="430"/>
      <c r="AX522" s="430"/>
      <c r="AY522" s="430"/>
      <c r="AZ522" s="430"/>
      <c r="BA522" s="430"/>
      <c r="BB522" s="430"/>
      <c r="BC522" s="430"/>
      <c r="BD522" s="430"/>
      <c r="BE522" s="430"/>
    </row>
    <row r="523" spans="1:57" ht="15.75" customHeight="1">
      <c r="A523" s="430"/>
      <c r="B523" s="430"/>
      <c r="C523" s="430"/>
      <c r="D523" s="430"/>
      <c r="E523" s="430"/>
      <c r="F523" s="430"/>
      <c r="G523" s="430"/>
      <c r="H523" s="430"/>
      <c r="I523" s="430"/>
      <c r="J523" s="430"/>
      <c r="K523" s="430"/>
      <c r="L523" s="430"/>
      <c r="M523" s="430"/>
      <c r="N523" s="430"/>
      <c r="O523" s="430"/>
      <c r="P523" s="430"/>
      <c r="Q523" s="430"/>
      <c r="R523" s="430"/>
      <c r="S523" s="430"/>
      <c r="T523" s="430"/>
      <c r="U523" s="430"/>
      <c r="V523" s="430"/>
      <c r="W523" s="430"/>
      <c r="X523" s="430"/>
      <c r="Y523" s="430"/>
      <c r="Z523" s="430"/>
      <c r="AA523" s="430"/>
      <c r="AB523" s="430"/>
      <c r="AC523" s="430"/>
      <c r="AD523" s="430"/>
      <c r="AE523" s="430"/>
      <c r="AF523" s="430"/>
      <c r="AG523" s="430"/>
      <c r="AH523" s="430"/>
      <c r="AI523" s="430"/>
      <c r="AJ523" s="430"/>
      <c r="AK523" s="430"/>
      <c r="AL523" s="430"/>
      <c r="AM523" s="430"/>
      <c r="AN523" s="430"/>
      <c r="AO523" s="430"/>
      <c r="AP523" s="430"/>
      <c r="AQ523" s="430"/>
      <c r="AR523" s="430"/>
      <c r="AS523" s="430"/>
      <c r="AT523" s="430"/>
      <c r="AU523" s="430"/>
      <c r="AV523" s="430"/>
      <c r="AW523" s="430"/>
      <c r="AX523" s="430"/>
      <c r="AY523" s="430"/>
      <c r="AZ523" s="430"/>
      <c r="BA523" s="430"/>
      <c r="BB523" s="430"/>
      <c r="BC523" s="430"/>
      <c r="BD523" s="430"/>
      <c r="BE523" s="430"/>
    </row>
    <row r="524" spans="1:57" ht="15.75" customHeight="1">
      <c r="A524" s="430"/>
      <c r="B524" s="430"/>
      <c r="C524" s="430"/>
      <c r="D524" s="430"/>
      <c r="E524" s="430"/>
      <c r="F524" s="430"/>
      <c r="G524" s="430"/>
      <c r="H524" s="430"/>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0"/>
      <c r="AK524" s="430"/>
      <c r="AL524" s="430"/>
      <c r="AM524" s="430"/>
      <c r="AN524" s="430"/>
      <c r="AO524" s="430"/>
      <c r="AP524" s="430"/>
      <c r="AQ524" s="430"/>
      <c r="AR524" s="430"/>
      <c r="AS524" s="430"/>
      <c r="AT524" s="430"/>
      <c r="AU524" s="430"/>
      <c r="AV524" s="430"/>
      <c r="AW524" s="430"/>
      <c r="AX524" s="430"/>
      <c r="AY524" s="430"/>
      <c r="AZ524" s="430"/>
      <c r="BA524" s="430"/>
      <c r="BB524" s="430"/>
      <c r="BC524" s="430"/>
      <c r="BD524" s="430"/>
      <c r="BE524" s="430"/>
    </row>
    <row r="525" spans="1:57" ht="15.75" customHeight="1">
      <c r="A525" s="430"/>
      <c r="B525" s="430"/>
      <c r="C525" s="430"/>
      <c r="D525" s="430"/>
      <c r="E525" s="430"/>
      <c r="F525" s="430"/>
      <c r="G525" s="430"/>
      <c r="H525" s="430"/>
      <c r="I525" s="430"/>
      <c r="J525" s="430"/>
      <c r="K525" s="430"/>
      <c r="L525" s="430"/>
      <c r="M525" s="430"/>
      <c r="N525" s="430"/>
      <c r="O525" s="430"/>
      <c r="P525" s="430"/>
      <c r="Q525" s="430"/>
      <c r="R525" s="430"/>
      <c r="S525" s="430"/>
      <c r="T525" s="430"/>
      <c r="U525" s="430"/>
      <c r="V525" s="430"/>
      <c r="W525" s="430"/>
      <c r="X525" s="430"/>
      <c r="Y525" s="430"/>
      <c r="Z525" s="430"/>
      <c r="AA525" s="430"/>
      <c r="AB525" s="430"/>
      <c r="AC525" s="430"/>
      <c r="AD525" s="430"/>
      <c r="AE525" s="430"/>
      <c r="AF525" s="430"/>
      <c r="AG525" s="430"/>
      <c r="AH525" s="430"/>
      <c r="AI525" s="430"/>
      <c r="AJ525" s="430"/>
      <c r="AK525" s="430"/>
      <c r="AL525" s="430"/>
      <c r="AM525" s="430"/>
      <c r="AN525" s="430"/>
      <c r="AO525" s="430"/>
      <c r="AP525" s="430"/>
      <c r="AQ525" s="430"/>
      <c r="AR525" s="430"/>
      <c r="AS525" s="430"/>
      <c r="AT525" s="430"/>
      <c r="AU525" s="430"/>
      <c r="AV525" s="430"/>
      <c r="AW525" s="430"/>
      <c r="AX525" s="430"/>
      <c r="AY525" s="430"/>
      <c r="AZ525" s="430"/>
      <c r="BA525" s="430"/>
      <c r="BB525" s="430"/>
      <c r="BC525" s="430"/>
      <c r="BD525" s="430"/>
      <c r="BE525" s="430"/>
    </row>
    <row r="526" spans="1:57" ht="15.75" customHeight="1">
      <c r="A526" s="430"/>
      <c r="B526" s="430"/>
      <c r="C526" s="430"/>
      <c r="D526" s="430"/>
      <c r="E526" s="430"/>
      <c r="F526" s="430"/>
      <c r="G526" s="430"/>
      <c r="H526" s="430"/>
      <c r="I526" s="430"/>
      <c r="J526" s="430"/>
      <c r="K526" s="430"/>
      <c r="L526" s="430"/>
      <c r="M526" s="430"/>
      <c r="N526" s="430"/>
      <c r="O526" s="430"/>
      <c r="P526" s="430"/>
      <c r="Q526" s="430"/>
      <c r="R526" s="430"/>
      <c r="S526" s="430"/>
      <c r="T526" s="430"/>
      <c r="U526" s="430"/>
      <c r="V526" s="430"/>
      <c r="W526" s="430"/>
      <c r="X526" s="430"/>
      <c r="Y526" s="430"/>
      <c r="Z526" s="430"/>
      <c r="AA526" s="430"/>
      <c r="AB526" s="430"/>
      <c r="AC526" s="430"/>
      <c r="AD526" s="430"/>
      <c r="AE526" s="430"/>
      <c r="AF526" s="430"/>
      <c r="AG526" s="430"/>
      <c r="AH526" s="430"/>
      <c r="AI526" s="430"/>
      <c r="AJ526" s="430"/>
      <c r="AK526" s="430"/>
      <c r="AL526" s="430"/>
      <c r="AM526" s="430"/>
      <c r="AN526" s="430"/>
      <c r="AO526" s="430"/>
      <c r="AP526" s="430"/>
      <c r="AQ526" s="430"/>
      <c r="AR526" s="430"/>
      <c r="AS526" s="430"/>
      <c r="AT526" s="430"/>
      <c r="AU526" s="430"/>
      <c r="AV526" s="430"/>
      <c r="AW526" s="430"/>
      <c r="AX526" s="430"/>
      <c r="AY526" s="430"/>
      <c r="AZ526" s="430"/>
      <c r="BA526" s="430"/>
      <c r="BB526" s="430"/>
      <c r="BC526" s="430"/>
      <c r="BD526" s="430"/>
      <c r="BE526" s="430"/>
    </row>
    <row r="527" spans="1:57" ht="15.75" customHeight="1">
      <c r="A527" s="430"/>
      <c r="B527" s="430"/>
      <c r="C527" s="430"/>
      <c r="D527" s="430"/>
      <c r="E527" s="430"/>
      <c r="F527" s="430"/>
      <c r="G527" s="430"/>
      <c r="H527" s="430"/>
      <c r="I527" s="430"/>
      <c r="J527" s="430"/>
      <c r="K527" s="430"/>
      <c r="L527" s="430"/>
      <c r="M527" s="430"/>
      <c r="N527" s="430"/>
      <c r="O527" s="430"/>
      <c r="P527" s="430"/>
      <c r="Q527" s="430"/>
      <c r="R527" s="430"/>
      <c r="S527" s="430"/>
      <c r="T527" s="430"/>
      <c r="U527" s="430"/>
      <c r="V527" s="430"/>
      <c r="W527" s="430"/>
      <c r="X527" s="430"/>
      <c r="Y527" s="430"/>
      <c r="Z527" s="430"/>
      <c r="AA527" s="430"/>
      <c r="AB527" s="430"/>
      <c r="AC527" s="430"/>
      <c r="AD527" s="430"/>
      <c r="AE527" s="430"/>
      <c r="AF527" s="430"/>
      <c r="AG527" s="430"/>
      <c r="AH527" s="430"/>
      <c r="AI527" s="430"/>
      <c r="AJ527" s="430"/>
      <c r="AK527" s="430"/>
      <c r="AL527" s="430"/>
      <c r="AM527" s="430"/>
      <c r="AN527" s="430"/>
      <c r="AO527" s="430"/>
      <c r="AP527" s="430"/>
      <c r="AQ527" s="430"/>
      <c r="AR527" s="430"/>
      <c r="AS527" s="430"/>
      <c r="AT527" s="430"/>
      <c r="AU527" s="430"/>
      <c r="AV527" s="430"/>
      <c r="AW527" s="430"/>
      <c r="AX527" s="430"/>
      <c r="AY527" s="430"/>
      <c r="AZ527" s="430"/>
      <c r="BA527" s="430"/>
      <c r="BB527" s="430"/>
      <c r="BC527" s="430"/>
      <c r="BD527" s="430"/>
      <c r="BE527" s="430"/>
    </row>
    <row r="528" spans="1:57" ht="15.75" customHeight="1">
      <c r="A528" s="430"/>
      <c r="B528" s="430"/>
      <c r="C528" s="430"/>
      <c r="D528" s="430"/>
      <c r="E528" s="430"/>
      <c r="F528" s="430"/>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430"/>
      <c r="AN528" s="430"/>
      <c r="AO528" s="430"/>
      <c r="AP528" s="430"/>
      <c r="AQ528" s="430"/>
      <c r="AR528" s="430"/>
      <c r="AS528" s="430"/>
      <c r="AT528" s="430"/>
      <c r="AU528" s="430"/>
      <c r="AV528" s="430"/>
      <c r="AW528" s="430"/>
      <c r="AX528" s="430"/>
      <c r="AY528" s="430"/>
      <c r="AZ528" s="430"/>
      <c r="BA528" s="430"/>
      <c r="BB528" s="430"/>
      <c r="BC528" s="430"/>
      <c r="BD528" s="430"/>
      <c r="BE528" s="430"/>
    </row>
    <row r="529" spans="1:57" ht="15.75" customHeight="1">
      <c r="A529" s="430"/>
      <c r="B529" s="430"/>
      <c r="C529" s="430"/>
      <c r="D529" s="430"/>
      <c r="E529" s="430"/>
      <c r="F529" s="430"/>
      <c r="G529" s="430"/>
      <c r="H529" s="430"/>
      <c r="I529" s="430"/>
      <c r="J529" s="430"/>
      <c r="K529" s="430"/>
      <c r="L529" s="430"/>
      <c r="M529" s="430"/>
      <c r="N529" s="430"/>
      <c r="O529" s="430"/>
      <c r="P529" s="430"/>
      <c r="Q529" s="430"/>
      <c r="R529" s="430"/>
      <c r="S529" s="430"/>
      <c r="T529" s="430"/>
      <c r="U529" s="430"/>
      <c r="V529" s="430"/>
      <c r="W529" s="430"/>
      <c r="X529" s="430"/>
      <c r="Y529" s="430"/>
      <c r="Z529" s="430"/>
      <c r="AA529" s="430"/>
      <c r="AB529" s="430"/>
      <c r="AC529" s="430"/>
      <c r="AD529" s="430"/>
      <c r="AE529" s="430"/>
      <c r="AF529" s="430"/>
      <c r="AG529" s="430"/>
      <c r="AH529" s="430"/>
      <c r="AI529" s="430"/>
      <c r="AJ529" s="430"/>
      <c r="AK529" s="430"/>
      <c r="AL529" s="430"/>
      <c r="AM529" s="430"/>
      <c r="AN529" s="430"/>
      <c r="AO529" s="430"/>
      <c r="AP529" s="430"/>
      <c r="AQ529" s="430"/>
      <c r="AR529" s="430"/>
      <c r="AS529" s="430"/>
      <c r="AT529" s="430"/>
      <c r="AU529" s="430"/>
      <c r="AV529" s="430"/>
      <c r="AW529" s="430"/>
      <c r="AX529" s="430"/>
      <c r="AY529" s="430"/>
      <c r="AZ529" s="430"/>
      <c r="BA529" s="430"/>
      <c r="BB529" s="430"/>
      <c r="BC529" s="430"/>
      <c r="BD529" s="430"/>
      <c r="BE529" s="430"/>
    </row>
    <row r="530" spans="1:57" ht="15.75" customHeight="1">
      <c r="A530" s="430"/>
      <c r="B530" s="430"/>
      <c r="C530" s="430"/>
      <c r="D530" s="430"/>
      <c r="E530" s="430"/>
      <c r="F530" s="430"/>
      <c r="G530" s="430"/>
      <c r="H530" s="430"/>
      <c r="I530" s="430"/>
      <c r="J530" s="430"/>
      <c r="K530" s="430"/>
      <c r="L530" s="430"/>
      <c r="M530" s="430"/>
      <c r="N530" s="430"/>
      <c r="O530" s="430"/>
      <c r="P530" s="430"/>
      <c r="Q530" s="430"/>
      <c r="R530" s="430"/>
      <c r="S530" s="430"/>
      <c r="T530" s="430"/>
      <c r="U530" s="430"/>
      <c r="V530" s="430"/>
      <c r="W530" s="430"/>
      <c r="X530" s="430"/>
      <c r="Y530" s="430"/>
      <c r="Z530" s="430"/>
      <c r="AA530" s="430"/>
      <c r="AB530" s="430"/>
      <c r="AC530" s="430"/>
      <c r="AD530" s="430"/>
      <c r="AE530" s="430"/>
      <c r="AF530" s="430"/>
      <c r="AG530" s="430"/>
      <c r="AH530" s="430"/>
      <c r="AI530" s="430"/>
      <c r="AJ530" s="430"/>
      <c r="AK530" s="430"/>
      <c r="AL530" s="430"/>
      <c r="AM530" s="430"/>
      <c r="AN530" s="430"/>
      <c r="AO530" s="430"/>
      <c r="AP530" s="430"/>
      <c r="AQ530" s="430"/>
      <c r="AR530" s="430"/>
      <c r="AS530" s="430"/>
      <c r="AT530" s="430"/>
      <c r="AU530" s="430"/>
      <c r="AV530" s="430"/>
      <c r="AW530" s="430"/>
      <c r="AX530" s="430"/>
      <c r="AY530" s="430"/>
      <c r="AZ530" s="430"/>
      <c r="BA530" s="430"/>
      <c r="BB530" s="430"/>
      <c r="BC530" s="430"/>
      <c r="BD530" s="430"/>
      <c r="BE530" s="430"/>
    </row>
    <row r="531" spans="1:57" ht="15.75" customHeight="1">
      <c r="A531" s="430"/>
      <c r="B531" s="430"/>
      <c r="C531" s="430"/>
      <c r="D531" s="430"/>
      <c r="E531" s="430"/>
      <c r="F531" s="430"/>
      <c r="G531" s="430"/>
      <c r="H531" s="430"/>
      <c r="I531" s="430"/>
      <c r="J531" s="430"/>
      <c r="K531" s="430"/>
      <c r="L531" s="430"/>
      <c r="M531" s="430"/>
      <c r="N531" s="430"/>
      <c r="O531" s="430"/>
      <c r="P531" s="430"/>
      <c r="Q531" s="430"/>
      <c r="R531" s="430"/>
      <c r="S531" s="430"/>
      <c r="T531" s="430"/>
      <c r="U531" s="430"/>
      <c r="V531" s="430"/>
      <c r="W531" s="430"/>
      <c r="X531" s="430"/>
      <c r="Y531" s="430"/>
      <c r="Z531" s="430"/>
      <c r="AA531" s="430"/>
      <c r="AB531" s="430"/>
      <c r="AC531" s="430"/>
      <c r="AD531" s="430"/>
      <c r="AE531" s="430"/>
      <c r="AF531" s="430"/>
      <c r="AG531" s="430"/>
      <c r="AH531" s="430"/>
      <c r="AI531" s="430"/>
      <c r="AJ531" s="430"/>
      <c r="AK531" s="430"/>
      <c r="AL531" s="430"/>
      <c r="AM531" s="430"/>
      <c r="AN531" s="430"/>
      <c r="AO531" s="430"/>
      <c r="AP531" s="430"/>
      <c r="AQ531" s="430"/>
      <c r="AR531" s="430"/>
      <c r="AS531" s="430"/>
      <c r="AT531" s="430"/>
      <c r="AU531" s="430"/>
      <c r="AV531" s="430"/>
      <c r="AW531" s="430"/>
      <c r="AX531" s="430"/>
      <c r="AY531" s="430"/>
      <c r="AZ531" s="430"/>
      <c r="BA531" s="430"/>
      <c r="BB531" s="430"/>
      <c r="BC531" s="430"/>
      <c r="BD531" s="430"/>
      <c r="BE531" s="430"/>
    </row>
    <row r="532" spans="1:57" ht="15.75" customHeight="1">
      <c r="A532" s="430"/>
      <c r="B532" s="430"/>
      <c r="C532" s="430"/>
      <c r="D532" s="430"/>
      <c r="E532" s="430"/>
      <c r="F532" s="430"/>
      <c r="G532" s="430"/>
      <c r="H532" s="430"/>
      <c r="I532" s="430"/>
      <c r="J532" s="430"/>
      <c r="K532" s="430"/>
      <c r="L532" s="430"/>
      <c r="M532" s="430"/>
      <c r="N532" s="430"/>
      <c r="O532" s="430"/>
      <c r="P532" s="430"/>
      <c r="Q532" s="430"/>
      <c r="R532" s="430"/>
      <c r="S532" s="430"/>
      <c r="T532" s="430"/>
      <c r="U532" s="430"/>
      <c r="V532" s="430"/>
      <c r="W532" s="430"/>
      <c r="X532" s="430"/>
      <c r="Y532" s="430"/>
      <c r="Z532" s="430"/>
      <c r="AA532" s="430"/>
      <c r="AB532" s="430"/>
      <c r="AC532" s="430"/>
      <c r="AD532" s="430"/>
      <c r="AE532" s="430"/>
      <c r="AF532" s="430"/>
      <c r="AG532" s="430"/>
      <c r="AH532" s="430"/>
      <c r="AI532" s="430"/>
      <c r="AJ532" s="430"/>
      <c r="AK532" s="430"/>
      <c r="AL532" s="430"/>
      <c r="AM532" s="430"/>
      <c r="AN532" s="430"/>
      <c r="AO532" s="430"/>
      <c r="AP532" s="430"/>
      <c r="AQ532" s="430"/>
      <c r="AR532" s="430"/>
      <c r="AS532" s="430"/>
      <c r="AT532" s="430"/>
      <c r="AU532" s="430"/>
      <c r="AV532" s="430"/>
      <c r="AW532" s="430"/>
      <c r="AX532" s="430"/>
      <c r="AY532" s="430"/>
      <c r="AZ532" s="430"/>
      <c r="BA532" s="430"/>
      <c r="BB532" s="430"/>
      <c r="BC532" s="430"/>
      <c r="BD532" s="430"/>
      <c r="BE532" s="430"/>
    </row>
    <row r="533" spans="1:57" ht="15.75" customHeight="1">
      <c r="A533" s="430"/>
      <c r="B533" s="430"/>
      <c r="C533" s="430"/>
      <c r="D533" s="430"/>
      <c r="E533" s="430"/>
      <c r="F533" s="430"/>
      <c r="G533" s="430"/>
      <c r="H533" s="430"/>
      <c r="I533" s="430"/>
      <c r="J533" s="430"/>
      <c r="K533" s="430"/>
      <c r="L533" s="430"/>
      <c r="M533" s="430"/>
      <c r="N533" s="430"/>
      <c r="O533" s="430"/>
      <c r="P533" s="430"/>
      <c r="Q533" s="430"/>
      <c r="R533" s="430"/>
      <c r="S533" s="430"/>
      <c r="T533" s="430"/>
      <c r="U533" s="430"/>
      <c r="V533" s="430"/>
      <c r="W533" s="430"/>
      <c r="X533" s="430"/>
      <c r="Y533" s="430"/>
      <c r="Z533" s="430"/>
      <c r="AA533" s="430"/>
      <c r="AB533" s="430"/>
      <c r="AC533" s="430"/>
      <c r="AD533" s="430"/>
      <c r="AE533" s="430"/>
      <c r="AF533" s="430"/>
      <c r="AG533" s="430"/>
      <c r="AH533" s="430"/>
      <c r="AI533" s="430"/>
      <c r="AJ533" s="430"/>
      <c r="AK533" s="430"/>
      <c r="AL533" s="430"/>
      <c r="AM533" s="430"/>
      <c r="AN533" s="430"/>
      <c r="AO533" s="430"/>
      <c r="AP533" s="430"/>
      <c r="AQ533" s="430"/>
      <c r="AR533" s="430"/>
      <c r="AS533" s="430"/>
      <c r="AT533" s="430"/>
      <c r="AU533" s="430"/>
      <c r="AV533" s="430"/>
      <c r="AW533" s="430"/>
      <c r="AX533" s="430"/>
      <c r="AY533" s="430"/>
      <c r="AZ533" s="430"/>
      <c r="BA533" s="430"/>
      <c r="BB533" s="430"/>
      <c r="BC533" s="430"/>
      <c r="BD533" s="430"/>
      <c r="BE533" s="430"/>
    </row>
    <row r="534" spans="1:57" ht="15.75" customHeight="1">
      <c r="A534" s="430"/>
      <c r="B534" s="430"/>
      <c r="C534" s="430"/>
      <c r="D534" s="430"/>
      <c r="E534" s="430"/>
      <c r="F534" s="430"/>
      <c r="G534" s="430"/>
      <c r="H534" s="430"/>
      <c r="I534" s="430"/>
      <c r="J534" s="430"/>
      <c r="K534" s="430"/>
      <c r="L534" s="430"/>
      <c r="M534" s="430"/>
      <c r="N534" s="430"/>
      <c r="O534" s="430"/>
      <c r="P534" s="430"/>
      <c r="Q534" s="430"/>
      <c r="R534" s="430"/>
      <c r="S534" s="430"/>
      <c r="T534" s="430"/>
      <c r="U534" s="430"/>
      <c r="V534" s="430"/>
      <c r="W534" s="430"/>
      <c r="X534" s="430"/>
      <c r="Y534" s="430"/>
      <c r="Z534" s="430"/>
      <c r="AA534" s="430"/>
      <c r="AB534" s="430"/>
      <c r="AC534" s="430"/>
      <c r="AD534" s="430"/>
      <c r="AE534" s="430"/>
      <c r="AF534" s="430"/>
      <c r="AG534" s="430"/>
      <c r="AH534" s="430"/>
      <c r="AI534" s="430"/>
      <c r="AJ534" s="430"/>
      <c r="AK534" s="430"/>
      <c r="AL534" s="430"/>
      <c r="AM534" s="430"/>
      <c r="AN534" s="430"/>
      <c r="AO534" s="430"/>
      <c r="AP534" s="430"/>
      <c r="AQ534" s="430"/>
      <c r="AR534" s="430"/>
      <c r="AS534" s="430"/>
      <c r="AT534" s="430"/>
      <c r="AU534" s="430"/>
      <c r="AV534" s="430"/>
      <c r="AW534" s="430"/>
      <c r="AX534" s="430"/>
      <c r="AY534" s="430"/>
      <c r="AZ534" s="430"/>
      <c r="BA534" s="430"/>
      <c r="BB534" s="430"/>
      <c r="BC534" s="430"/>
      <c r="BD534" s="430"/>
      <c r="BE534" s="430"/>
    </row>
    <row r="535" spans="1:57" ht="15.75" customHeight="1">
      <c r="A535" s="430"/>
      <c r="B535" s="430"/>
      <c r="C535" s="430"/>
      <c r="D535" s="430"/>
      <c r="E535" s="430"/>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0"/>
      <c r="AY535" s="430"/>
      <c r="AZ535" s="430"/>
      <c r="BA535" s="430"/>
      <c r="BB535" s="430"/>
      <c r="BC535" s="430"/>
      <c r="BD535" s="430"/>
      <c r="BE535" s="430"/>
    </row>
    <row r="536" spans="1:57" ht="15.75" customHeight="1">
      <c r="A536" s="430"/>
      <c r="B536" s="430"/>
      <c r="C536" s="430"/>
      <c r="D536" s="430"/>
      <c r="E536" s="430"/>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30"/>
      <c r="AY536" s="430"/>
      <c r="AZ536" s="430"/>
      <c r="BA536" s="430"/>
      <c r="BB536" s="430"/>
      <c r="BC536" s="430"/>
      <c r="BD536" s="430"/>
      <c r="BE536" s="430"/>
    </row>
    <row r="537" spans="1:57" ht="15.75" customHeight="1">
      <c r="A537" s="430"/>
      <c r="B537" s="430"/>
      <c r="C537" s="430"/>
      <c r="D537" s="430"/>
      <c r="E537" s="430"/>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30"/>
      <c r="AY537" s="430"/>
      <c r="AZ537" s="430"/>
      <c r="BA537" s="430"/>
      <c r="BB537" s="430"/>
      <c r="BC537" s="430"/>
      <c r="BD537" s="430"/>
      <c r="BE537" s="430"/>
    </row>
    <row r="538" spans="1:57" ht="15.75" customHeight="1">
      <c r="A538" s="430"/>
      <c r="B538" s="430"/>
      <c r="C538" s="430"/>
      <c r="D538" s="430"/>
      <c r="E538" s="430"/>
      <c r="F538" s="430"/>
      <c r="G538" s="430"/>
      <c r="H538" s="430"/>
      <c r="I538" s="430"/>
      <c r="J538" s="430"/>
      <c r="K538" s="430"/>
      <c r="L538" s="430"/>
      <c r="M538" s="430"/>
      <c r="N538" s="430"/>
      <c r="O538" s="430"/>
      <c r="P538" s="430"/>
      <c r="Q538" s="430"/>
      <c r="R538" s="430"/>
      <c r="S538" s="430"/>
      <c r="T538" s="430"/>
      <c r="U538" s="430"/>
      <c r="V538" s="430"/>
      <c r="W538" s="430"/>
      <c r="X538" s="430"/>
      <c r="Y538" s="430"/>
      <c r="Z538" s="430"/>
      <c r="AA538" s="430"/>
      <c r="AB538" s="430"/>
      <c r="AC538" s="430"/>
      <c r="AD538" s="430"/>
      <c r="AE538" s="430"/>
      <c r="AF538" s="430"/>
      <c r="AG538" s="430"/>
      <c r="AH538" s="430"/>
      <c r="AI538" s="430"/>
      <c r="AJ538" s="430"/>
      <c r="AK538" s="430"/>
      <c r="AL538" s="430"/>
      <c r="AM538" s="430"/>
      <c r="AN538" s="430"/>
      <c r="AO538" s="430"/>
      <c r="AP538" s="430"/>
      <c r="AQ538" s="430"/>
      <c r="AR538" s="430"/>
      <c r="AS538" s="430"/>
      <c r="AT538" s="430"/>
      <c r="AU538" s="430"/>
      <c r="AV538" s="430"/>
      <c r="AW538" s="430"/>
      <c r="AX538" s="430"/>
      <c r="AY538" s="430"/>
      <c r="AZ538" s="430"/>
      <c r="BA538" s="430"/>
      <c r="BB538" s="430"/>
      <c r="BC538" s="430"/>
      <c r="BD538" s="430"/>
      <c r="BE538" s="430"/>
    </row>
    <row r="539" spans="1:57" ht="15.75" customHeight="1">
      <c r="A539" s="430"/>
      <c r="B539" s="430"/>
      <c r="C539" s="430"/>
      <c r="D539" s="430"/>
      <c r="E539" s="430"/>
      <c r="F539" s="430"/>
      <c r="G539" s="430"/>
      <c r="H539" s="430"/>
      <c r="I539" s="430"/>
      <c r="J539" s="430"/>
      <c r="K539" s="430"/>
      <c r="L539" s="430"/>
      <c r="M539" s="430"/>
      <c r="N539" s="430"/>
      <c r="O539" s="430"/>
      <c r="P539" s="430"/>
      <c r="Q539" s="430"/>
      <c r="R539" s="430"/>
      <c r="S539" s="430"/>
      <c r="T539" s="430"/>
      <c r="U539" s="430"/>
      <c r="V539" s="430"/>
      <c r="W539" s="430"/>
      <c r="X539" s="430"/>
      <c r="Y539" s="430"/>
      <c r="Z539" s="430"/>
      <c r="AA539" s="430"/>
      <c r="AB539" s="430"/>
      <c r="AC539" s="430"/>
      <c r="AD539" s="430"/>
      <c r="AE539" s="430"/>
      <c r="AF539" s="430"/>
      <c r="AG539" s="430"/>
      <c r="AH539" s="430"/>
      <c r="AI539" s="430"/>
      <c r="AJ539" s="430"/>
      <c r="AK539" s="430"/>
      <c r="AL539" s="430"/>
      <c r="AM539" s="430"/>
      <c r="AN539" s="430"/>
      <c r="AO539" s="430"/>
      <c r="AP539" s="430"/>
      <c r="AQ539" s="430"/>
      <c r="AR539" s="430"/>
      <c r="AS539" s="430"/>
      <c r="AT539" s="430"/>
      <c r="AU539" s="430"/>
      <c r="AV539" s="430"/>
      <c r="AW539" s="430"/>
      <c r="AX539" s="430"/>
      <c r="AY539" s="430"/>
      <c r="AZ539" s="430"/>
      <c r="BA539" s="430"/>
      <c r="BB539" s="430"/>
      <c r="BC539" s="430"/>
      <c r="BD539" s="430"/>
      <c r="BE539" s="430"/>
    </row>
    <row r="540" spans="1:57" ht="15.75" customHeight="1">
      <c r="A540" s="430"/>
      <c r="B540" s="430"/>
      <c r="C540" s="430"/>
      <c r="D540" s="430"/>
      <c r="E540" s="430"/>
      <c r="F540" s="430"/>
      <c r="G540" s="430"/>
      <c r="H540" s="430"/>
      <c r="I540" s="430"/>
      <c r="J540" s="430"/>
      <c r="K540" s="430"/>
      <c r="L540" s="430"/>
      <c r="M540" s="430"/>
      <c r="N540" s="430"/>
      <c r="O540" s="430"/>
      <c r="P540" s="430"/>
      <c r="Q540" s="430"/>
      <c r="R540" s="430"/>
      <c r="S540" s="430"/>
      <c r="T540" s="430"/>
      <c r="U540" s="430"/>
      <c r="V540" s="430"/>
      <c r="W540" s="430"/>
      <c r="X540" s="430"/>
      <c r="Y540" s="430"/>
      <c r="Z540" s="430"/>
      <c r="AA540" s="430"/>
      <c r="AB540" s="430"/>
      <c r="AC540" s="430"/>
      <c r="AD540" s="430"/>
      <c r="AE540" s="430"/>
      <c r="AF540" s="430"/>
      <c r="AG540" s="430"/>
      <c r="AH540" s="430"/>
      <c r="AI540" s="430"/>
      <c r="AJ540" s="430"/>
      <c r="AK540" s="430"/>
      <c r="AL540" s="430"/>
      <c r="AM540" s="430"/>
      <c r="AN540" s="430"/>
      <c r="AO540" s="430"/>
      <c r="AP540" s="430"/>
      <c r="AQ540" s="430"/>
      <c r="AR540" s="430"/>
      <c r="AS540" s="430"/>
      <c r="AT540" s="430"/>
      <c r="AU540" s="430"/>
      <c r="AV540" s="430"/>
      <c r="AW540" s="430"/>
      <c r="AX540" s="430"/>
      <c r="AY540" s="430"/>
      <c r="AZ540" s="430"/>
      <c r="BA540" s="430"/>
      <c r="BB540" s="430"/>
      <c r="BC540" s="430"/>
      <c r="BD540" s="430"/>
      <c r="BE540" s="430"/>
    </row>
    <row r="541" spans="1:57" ht="15.75" customHeight="1">
      <c r="A541" s="430"/>
      <c r="B541" s="430"/>
      <c r="C541" s="430"/>
      <c r="D541" s="430"/>
      <c r="E541" s="430"/>
      <c r="F541" s="430"/>
      <c r="G541" s="430"/>
      <c r="H541" s="430"/>
      <c r="I541" s="430"/>
      <c r="J541" s="430"/>
      <c r="K541" s="430"/>
      <c r="L541" s="430"/>
      <c r="M541" s="430"/>
      <c r="N541" s="430"/>
      <c r="O541" s="430"/>
      <c r="P541" s="430"/>
      <c r="Q541" s="430"/>
      <c r="R541" s="430"/>
      <c r="S541" s="430"/>
      <c r="T541" s="430"/>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row>
    <row r="542" spans="1:57" ht="15.75" customHeight="1">
      <c r="A542" s="430"/>
      <c r="B542" s="430"/>
      <c r="C542" s="430"/>
      <c r="D542" s="430"/>
      <c r="E542" s="430"/>
      <c r="F542" s="430"/>
      <c r="G542" s="430"/>
      <c r="H542" s="430"/>
      <c r="I542" s="430"/>
      <c r="J542" s="430"/>
      <c r="K542" s="430"/>
      <c r="L542" s="430"/>
      <c r="M542" s="430"/>
      <c r="N542" s="430"/>
      <c r="O542" s="430"/>
      <c r="P542" s="430"/>
      <c r="Q542" s="430"/>
      <c r="R542" s="430"/>
      <c r="S542" s="430"/>
      <c r="T542" s="430"/>
      <c r="U542" s="430"/>
      <c r="V542" s="430"/>
      <c r="W542" s="430"/>
      <c r="X542" s="430"/>
      <c r="Y542" s="430"/>
      <c r="Z542" s="430"/>
      <c r="AA542" s="430"/>
      <c r="AB542" s="430"/>
      <c r="AC542" s="430"/>
      <c r="AD542" s="430"/>
      <c r="AE542" s="430"/>
      <c r="AF542" s="430"/>
      <c r="AG542" s="430"/>
      <c r="AH542" s="430"/>
      <c r="AI542" s="430"/>
      <c r="AJ542" s="430"/>
      <c r="AK542" s="430"/>
      <c r="AL542" s="430"/>
      <c r="AM542" s="430"/>
      <c r="AN542" s="430"/>
      <c r="AO542" s="430"/>
      <c r="AP542" s="430"/>
      <c r="AQ542" s="430"/>
      <c r="AR542" s="430"/>
      <c r="AS542" s="430"/>
      <c r="AT542" s="430"/>
      <c r="AU542" s="430"/>
      <c r="AV542" s="430"/>
      <c r="AW542" s="430"/>
      <c r="AX542" s="430"/>
      <c r="AY542" s="430"/>
      <c r="AZ542" s="430"/>
      <c r="BA542" s="430"/>
      <c r="BB542" s="430"/>
      <c r="BC542" s="430"/>
      <c r="BD542" s="430"/>
      <c r="BE542" s="430"/>
    </row>
    <row r="543" spans="1:57" ht="15.75" customHeight="1">
      <c r="A543" s="430"/>
      <c r="B543" s="430"/>
      <c r="C543" s="430"/>
      <c r="D543" s="430"/>
      <c r="E543" s="430"/>
      <c r="F543" s="430"/>
      <c r="G543" s="430"/>
      <c r="H543" s="430"/>
      <c r="I543" s="430"/>
      <c r="J543" s="430"/>
      <c r="K543" s="430"/>
      <c r="L543" s="430"/>
      <c r="M543" s="430"/>
      <c r="N543" s="430"/>
      <c r="O543" s="430"/>
      <c r="P543" s="430"/>
      <c r="Q543" s="430"/>
      <c r="R543" s="430"/>
      <c r="S543" s="430"/>
      <c r="T543" s="430"/>
      <c r="U543" s="430"/>
      <c r="V543" s="430"/>
      <c r="W543" s="430"/>
      <c r="X543" s="430"/>
      <c r="Y543" s="430"/>
      <c r="Z543" s="430"/>
      <c r="AA543" s="430"/>
      <c r="AB543" s="430"/>
      <c r="AC543" s="430"/>
      <c r="AD543" s="430"/>
      <c r="AE543" s="430"/>
      <c r="AF543" s="430"/>
      <c r="AG543" s="430"/>
      <c r="AH543" s="430"/>
      <c r="AI543" s="430"/>
      <c r="AJ543" s="430"/>
      <c r="AK543" s="430"/>
      <c r="AL543" s="430"/>
      <c r="AM543" s="430"/>
      <c r="AN543" s="430"/>
      <c r="AO543" s="430"/>
      <c r="AP543" s="430"/>
      <c r="AQ543" s="430"/>
      <c r="AR543" s="430"/>
      <c r="AS543" s="430"/>
      <c r="AT543" s="430"/>
      <c r="AU543" s="430"/>
      <c r="AV543" s="430"/>
      <c r="AW543" s="430"/>
      <c r="AX543" s="430"/>
      <c r="AY543" s="430"/>
      <c r="AZ543" s="430"/>
      <c r="BA543" s="430"/>
      <c r="BB543" s="430"/>
      <c r="BC543" s="430"/>
      <c r="BD543" s="430"/>
      <c r="BE543" s="430"/>
    </row>
    <row r="544" spans="1:57" ht="15.75" customHeight="1">
      <c r="A544" s="430"/>
      <c r="B544" s="430"/>
      <c r="C544" s="430"/>
      <c r="D544" s="430"/>
      <c r="E544" s="430"/>
      <c r="F544" s="430"/>
      <c r="G544" s="430"/>
      <c r="H544" s="430"/>
      <c r="I544" s="430"/>
      <c r="J544" s="430"/>
      <c r="K544" s="430"/>
      <c r="L544" s="430"/>
      <c r="M544" s="430"/>
      <c r="N544" s="430"/>
      <c r="O544" s="430"/>
      <c r="P544" s="430"/>
      <c r="Q544" s="430"/>
      <c r="R544" s="430"/>
      <c r="S544" s="430"/>
      <c r="T544" s="430"/>
      <c r="U544" s="430"/>
      <c r="V544" s="430"/>
      <c r="W544" s="430"/>
      <c r="X544" s="430"/>
      <c r="Y544" s="430"/>
      <c r="Z544" s="430"/>
      <c r="AA544" s="430"/>
      <c r="AB544" s="430"/>
      <c r="AC544" s="430"/>
      <c r="AD544" s="430"/>
      <c r="AE544" s="430"/>
      <c r="AF544" s="430"/>
      <c r="AG544" s="430"/>
      <c r="AH544" s="430"/>
      <c r="AI544" s="430"/>
      <c r="AJ544" s="430"/>
      <c r="AK544" s="430"/>
      <c r="AL544" s="430"/>
      <c r="AM544" s="430"/>
      <c r="AN544" s="430"/>
      <c r="AO544" s="430"/>
      <c r="AP544" s="430"/>
      <c r="AQ544" s="430"/>
      <c r="AR544" s="430"/>
      <c r="AS544" s="430"/>
      <c r="AT544" s="430"/>
      <c r="AU544" s="430"/>
      <c r="AV544" s="430"/>
      <c r="AW544" s="430"/>
      <c r="AX544" s="430"/>
      <c r="AY544" s="430"/>
      <c r="AZ544" s="430"/>
      <c r="BA544" s="430"/>
      <c r="BB544" s="430"/>
      <c r="BC544" s="430"/>
      <c r="BD544" s="430"/>
      <c r="BE544" s="430"/>
    </row>
    <row r="545" spans="1:57" ht="15.75" customHeight="1">
      <c r="A545" s="430"/>
      <c r="B545" s="430"/>
      <c r="C545" s="430"/>
      <c r="D545" s="430"/>
      <c r="E545" s="430"/>
      <c r="F545" s="430"/>
      <c r="G545" s="430"/>
      <c r="H545" s="430"/>
      <c r="I545" s="430"/>
      <c r="J545" s="430"/>
      <c r="K545" s="430"/>
      <c r="L545" s="430"/>
      <c r="M545" s="430"/>
      <c r="N545" s="430"/>
      <c r="O545" s="430"/>
      <c r="P545" s="430"/>
      <c r="Q545" s="430"/>
      <c r="R545" s="430"/>
      <c r="S545" s="430"/>
      <c r="T545" s="430"/>
      <c r="U545" s="430"/>
      <c r="V545" s="430"/>
      <c r="W545" s="430"/>
      <c r="X545" s="430"/>
      <c r="Y545" s="430"/>
      <c r="Z545" s="430"/>
      <c r="AA545" s="430"/>
      <c r="AB545" s="430"/>
      <c r="AC545" s="430"/>
      <c r="AD545" s="430"/>
      <c r="AE545" s="430"/>
      <c r="AF545" s="430"/>
      <c r="AG545" s="430"/>
      <c r="AH545" s="430"/>
      <c r="AI545" s="430"/>
      <c r="AJ545" s="430"/>
      <c r="AK545" s="430"/>
      <c r="AL545" s="430"/>
      <c r="AM545" s="430"/>
      <c r="AN545" s="430"/>
      <c r="AO545" s="430"/>
      <c r="AP545" s="430"/>
      <c r="AQ545" s="430"/>
      <c r="AR545" s="430"/>
      <c r="AS545" s="430"/>
      <c r="AT545" s="430"/>
      <c r="AU545" s="430"/>
      <c r="AV545" s="430"/>
      <c r="AW545" s="430"/>
      <c r="AX545" s="430"/>
      <c r="AY545" s="430"/>
      <c r="AZ545" s="430"/>
      <c r="BA545" s="430"/>
      <c r="BB545" s="430"/>
      <c r="BC545" s="430"/>
      <c r="BD545" s="430"/>
      <c r="BE545" s="430"/>
    </row>
    <row r="546" spans="1:57" ht="15.75" customHeight="1">
      <c r="A546" s="430"/>
      <c r="B546" s="430"/>
      <c r="C546" s="430"/>
      <c r="D546" s="430"/>
      <c r="E546" s="430"/>
      <c r="F546" s="430"/>
      <c r="G546" s="430"/>
      <c r="H546" s="430"/>
      <c r="I546" s="430"/>
      <c r="J546" s="430"/>
      <c r="K546" s="430"/>
      <c r="L546" s="430"/>
      <c r="M546" s="430"/>
      <c r="N546" s="430"/>
      <c r="O546" s="430"/>
      <c r="P546" s="430"/>
      <c r="Q546" s="430"/>
      <c r="R546" s="430"/>
      <c r="S546" s="430"/>
      <c r="T546" s="430"/>
      <c r="U546" s="430"/>
      <c r="V546" s="430"/>
      <c r="W546" s="430"/>
      <c r="X546" s="430"/>
      <c r="Y546" s="430"/>
      <c r="Z546" s="430"/>
      <c r="AA546" s="430"/>
      <c r="AB546" s="430"/>
      <c r="AC546" s="430"/>
      <c r="AD546" s="430"/>
      <c r="AE546" s="430"/>
      <c r="AF546" s="430"/>
      <c r="AG546" s="430"/>
      <c r="AH546" s="430"/>
      <c r="AI546" s="430"/>
      <c r="AJ546" s="430"/>
      <c r="AK546" s="430"/>
      <c r="AL546" s="430"/>
      <c r="AM546" s="430"/>
      <c r="AN546" s="430"/>
      <c r="AO546" s="430"/>
      <c r="AP546" s="430"/>
      <c r="AQ546" s="430"/>
      <c r="AR546" s="430"/>
      <c r="AS546" s="430"/>
      <c r="AT546" s="430"/>
      <c r="AU546" s="430"/>
      <c r="AV546" s="430"/>
      <c r="AW546" s="430"/>
      <c r="AX546" s="430"/>
      <c r="AY546" s="430"/>
      <c r="AZ546" s="430"/>
      <c r="BA546" s="430"/>
      <c r="BB546" s="430"/>
      <c r="BC546" s="430"/>
      <c r="BD546" s="430"/>
      <c r="BE546" s="430"/>
    </row>
    <row r="547" spans="1:57" ht="15.75" customHeight="1">
      <c r="A547" s="430"/>
      <c r="B547" s="430"/>
      <c r="C547" s="430"/>
      <c r="D547" s="430"/>
      <c r="E547" s="430"/>
      <c r="F547" s="430"/>
      <c r="G547" s="430"/>
      <c r="H547" s="430"/>
      <c r="I547" s="430"/>
      <c r="J547" s="430"/>
      <c r="K547" s="430"/>
      <c r="L547" s="430"/>
      <c r="M547" s="430"/>
      <c r="N547" s="430"/>
      <c r="O547" s="430"/>
      <c r="P547" s="430"/>
      <c r="Q547" s="430"/>
      <c r="R547" s="430"/>
      <c r="S547" s="430"/>
      <c r="T547" s="430"/>
      <c r="U547" s="430"/>
      <c r="V547" s="430"/>
      <c r="W547" s="430"/>
      <c r="X547" s="430"/>
      <c r="Y547" s="430"/>
      <c r="Z547" s="430"/>
      <c r="AA547" s="430"/>
      <c r="AB547" s="430"/>
      <c r="AC547" s="430"/>
      <c r="AD547" s="430"/>
      <c r="AE547" s="430"/>
      <c r="AF547" s="430"/>
      <c r="AG547" s="430"/>
      <c r="AH547" s="430"/>
      <c r="AI547" s="430"/>
      <c r="AJ547" s="430"/>
      <c r="AK547" s="430"/>
      <c r="AL547" s="430"/>
      <c r="AM547" s="430"/>
      <c r="AN547" s="430"/>
      <c r="AO547" s="430"/>
      <c r="AP547" s="430"/>
      <c r="AQ547" s="430"/>
      <c r="AR547" s="430"/>
      <c r="AS547" s="430"/>
      <c r="AT547" s="430"/>
      <c r="AU547" s="430"/>
      <c r="AV547" s="430"/>
      <c r="AW547" s="430"/>
      <c r="AX547" s="430"/>
      <c r="AY547" s="430"/>
      <c r="AZ547" s="430"/>
      <c r="BA547" s="430"/>
      <c r="BB547" s="430"/>
      <c r="BC547" s="430"/>
      <c r="BD547" s="430"/>
      <c r="BE547" s="430"/>
    </row>
    <row r="548" spans="1:57" ht="15.75" customHeight="1">
      <c r="A548" s="430"/>
      <c r="B548" s="430"/>
      <c r="C548" s="430"/>
      <c r="D548" s="430"/>
      <c r="E548" s="430"/>
      <c r="F548" s="430"/>
      <c r="G548" s="430"/>
      <c r="H548" s="430"/>
      <c r="I548" s="430"/>
      <c r="J548" s="430"/>
      <c r="K548" s="430"/>
      <c r="L548" s="430"/>
      <c r="M548" s="430"/>
      <c r="N548" s="430"/>
      <c r="O548" s="430"/>
      <c r="P548" s="430"/>
      <c r="Q548" s="430"/>
      <c r="R548" s="430"/>
      <c r="S548" s="430"/>
      <c r="T548" s="430"/>
      <c r="U548" s="430"/>
      <c r="V548" s="430"/>
      <c r="W548" s="430"/>
      <c r="X548" s="430"/>
      <c r="Y548" s="430"/>
      <c r="Z548" s="430"/>
      <c r="AA548" s="430"/>
      <c r="AB548" s="430"/>
      <c r="AC548" s="430"/>
      <c r="AD548" s="430"/>
      <c r="AE548" s="430"/>
      <c r="AF548" s="430"/>
      <c r="AG548" s="430"/>
      <c r="AH548" s="430"/>
      <c r="AI548" s="430"/>
      <c r="AJ548" s="430"/>
      <c r="AK548" s="430"/>
      <c r="AL548" s="430"/>
      <c r="AM548" s="430"/>
      <c r="AN548" s="430"/>
      <c r="AO548" s="430"/>
      <c r="AP548" s="430"/>
      <c r="AQ548" s="430"/>
      <c r="AR548" s="430"/>
      <c r="AS548" s="430"/>
      <c r="AT548" s="430"/>
      <c r="AU548" s="430"/>
      <c r="AV548" s="430"/>
      <c r="AW548" s="430"/>
      <c r="AX548" s="430"/>
      <c r="AY548" s="430"/>
      <c r="AZ548" s="430"/>
      <c r="BA548" s="430"/>
      <c r="BB548" s="430"/>
      <c r="BC548" s="430"/>
      <c r="BD548" s="430"/>
      <c r="BE548" s="430"/>
    </row>
    <row r="549" spans="1:57" ht="15.75" customHeight="1">
      <c r="A549" s="430"/>
      <c r="B549" s="430"/>
      <c r="C549" s="430"/>
      <c r="D549" s="430"/>
      <c r="E549" s="430"/>
      <c r="F549" s="430"/>
      <c r="G549" s="430"/>
      <c r="H549" s="430"/>
      <c r="I549" s="430"/>
      <c r="J549" s="430"/>
      <c r="K549" s="430"/>
      <c r="L549" s="430"/>
      <c r="M549" s="430"/>
      <c r="N549" s="430"/>
      <c r="O549" s="430"/>
      <c r="P549" s="430"/>
      <c r="Q549" s="430"/>
      <c r="R549" s="430"/>
      <c r="S549" s="430"/>
      <c r="T549" s="430"/>
      <c r="U549" s="430"/>
      <c r="V549" s="430"/>
      <c r="W549" s="430"/>
      <c r="X549" s="430"/>
      <c r="Y549" s="430"/>
      <c r="Z549" s="430"/>
      <c r="AA549" s="430"/>
      <c r="AB549" s="430"/>
      <c r="AC549" s="430"/>
      <c r="AD549" s="430"/>
      <c r="AE549" s="430"/>
      <c r="AF549" s="430"/>
      <c r="AG549" s="430"/>
      <c r="AH549" s="430"/>
      <c r="AI549" s="430"/>
      <c r="AJ549" s="430"/>
      <c r="AK549" s="430"/>
      <c r="AL549" s="430"/>
      <c r="AM549" s="430"/>
      <c r="AN549" s="430"/>
      <c r="AO549" s="430"/>
      <c r="AP549" s="430"/>
      <c r="AQ549" s="430"/>
      <c r="AR549" s="430"/>
      <c r="AS549" s="430"/>
      <c r="AT549" s="430"/>
      <c r="AU549" s="430"/>
      <c r="AV549" s="430"/>
      <c r="AW549" s="430"/>
      <c r="AX549" s="430"/>
      <c r="AY549" s="430"/>
      <c r="AZ549" s="430"/>
      <c r="BA549" s="430"/>
      <c r="BB549" s="430"/>
      <c r="BC549" s="430"/>
      <c r="BD549" s="430"/>
      <c r="BE549" s="430"/>
    </row>
    <row r="550" spans="1:57" ht="15.75" customHeight="1">
      <c r="A550" s="430"/>
      <c r="B550" s="430"/>
      <c r="C550" s="430"/>
      <c r="D550" s="430"/>
      <c r="E550" s="430"/>
      <c r="F550" s="430"/>
      <c r="G550" s="430"/>
      <c r="H550" s="430"/>
      <c r="I550" s="430"/>
      <c r="J550" s="430"/>
      <c r="K550" s="430"/>
      <c r="L550" s="430"/>
      <c r="M550" s="430"/>
      <c r="N550" s="430"/>
      <c r="O550" s="430"/>
      <c r="P550" s="430"/>
      <c r="Q550" s="430"/>
      <c r="R550" s="430"/>
      <c r="S550" s="430"/>
      <c r="T550" s="430"/>
      <c r="U550" s="430"/>
      <c r="V550" s="430"/>
      <c r="W550" s="430"/>
      <c r="X550" s="430"/>
      <c r="Y550" s="430"/>
      <c r="Z550" s="430"/>
      <c r="AA550" s="430"/>
      <c r="AB550" s="430"/>
      <c r="AC550" s="430"/>
      <c r="AD550" s="430"/>
      <c r="AE550" s="430"/>
      <c r="AF550" s="430"/>
      <c r="AG550" s="430"/>
      <c r="AH550" s="430"/>
      <c r="AI550" s="430"/>
      <c r="AJ550" s="430"/>
      <c r="AK550" s="430"/>
      <c r="AL550" s="430"/>
      <c r="AM550" s="430"/>
      <c r="AN550" s="430"/>
      <c r="AO550" s="430"/>
      <c r="AP550" s="430"/>
      <c r="AQ550" s="430"/>
      <c r="AR550" s="430"/>
      <c r="AS550" s="430"/>
      <c r="AT550" s="430"/>
      <c r="AU550" s="430"/>
      <c r="AV550" s="430"/>
      <c r="AW550" s="430"/>
      <c r="AX550" s="430"/>
      <c r="AY550" s="430"/>
      <c r="AZ550" s="430"/>
      <c r="BA550" s="430"/>
      <c r="BB550" s="430"/>
      <c r="BC550" s="430"/>
      <c r="BD550" s="430"/>
      <c r="BE550" s="430"/>
    </row>
    <row r="551" spans="1:57" ht="15.75" customHeight="1">
      <c r="A551" s="430"/>
      <c r="B551" s="430"/>
      <c r="C551" s="430"/>
      <c r="D551" s="430"/>
      <c r="E551" s="430"/>
      <c r="F551" s="430"/>
      <c r="G551" s="430"/>
      <c r="H551" s="430"/>
      <c r="I551" s="430"/>
      <c r="J551" s="430"/>
      <c r="K551" s="430"/>
      <c r="L551" s="430"/>
      <c r="M551" s="430"/>
      <c r="N551" s="430"/>
      <c r="O551" s="430"/>
      <c r="P551" s="430"/>
      <c r="Q551" s="430"/>
      <c r="R551" s="430"/>
      <c r="S551" s="430"/>
      <c r="T551" s="430"/>
      <c r="U551" s="430"/>
      <c r="V551" s="430"/>
      <c r="W551" s="430"/>
      <c r="X551" s="430"/>
      <c r="Y551" s="430"/>
      <c r="Z551" s="430"/>
      <c r="AA551" s="430"/>
      <c r="AB551" s="430"/>
      <c r="AC551" s="430"/>
      <c r="AD551" s="430"/>
      <c r="AE551" s="430"/>
      <c r="AF551" s="430"/>
      <c r="AG551" s="430"/>
      <c r="AH551" s="430"/>
      <c r="AI551" s="430"/>
      <c r="AJ551" s="430"/>
      <c r="AK551" s="430"/>
      <c r="AL551" s="430"/>
      <c r="AM551" s="430"/>
      <c r="AN551" s="430"/>
      <c r="AO551" s="430"/>
      <c r="AP551" s="430"/>
      <c r="AQ551" s="430"/>
      <c r="AR551" s="430"/>
      <c r="AS551" s="430"/>
      <c r="AT551" s="430"/>
      <c r="AU551" s="430"/>
      <c r="AV551" s="430"/>
      <c r="AW551" s="430"/>
      <c r="AX551" s="430"/>
      <c r="AY551" s="430"/>
      <c r="AZ551" s="430"/>
      <c r="BA551" s="430"/>
      <c r="BB551" s="430"/>
      <c r="BC551" s="430"/>
      <c r="BD551" s="430"/>
      <c r="BE551" s="430"/>
    </row>
    <row r="552" spans="1:57" ht="15.75" customHeight="1">
      <c r="A552" s="430"/>
      <c r="B552" s="430"/>
      <c r="C552" s="430"/>
      <c r="D552" s="430"/>
      <c r="E552" s="430"/>
      <c r="F552" s="430"/>
      <c r="G552" s="430"/>
      <c r="H552" s="430"/>
      <c r="I552" s="430"/>
      <c r="J552" s="430"/>
      <c r="K552" s="430"/>
      <c r="L552" s="430"/>
      <c r="M552" s="430"/>
      <c r="N552" s="430"/>
      <c r="O552" s="430"/>
      <c r="P552" s="430"/>
      <c r="Q552" s="430"/>
      <c r="R552" s="430"/>
      <c r="S552" s="430"/>
      <c r="T552" s="430"/>
      <c r="U552" s="430"/>
      <c r="V552" s="430"/>
      <c r="W552" s="430"/>
      <c r="X552" s="430"/>
      <c r="Y552" s="430"/>
      <c r="Z552" s="430"/>
      <c r="AA552" s="430"/>
      <c r="AB552" s="430"/>
      <c r="AC552" s="430"/>
      <c r="AD552" s="430"/>
      <c r="AE552" s="430"/>
      <c r="AF552" s="430"/>
      <c r="AG552" s="430"/>
      <c r="AH552" s="430"/>
      <c r="AI552" s="430"/>
      <c r="AJ552" s="430"/>
      <c r="AK552" s="430"/>
      <c r="AL552" s="430"/>
      <c r="AM552" s="430"/>
      <c r="AN552" s="430"/>
      <c r="AO552" s="430"/>
      <c r="AP552" s="430"/>
      <c r="AQ552" s="430"/>
      <c r="AR552" s="430"/>
      <c r="AS552" s="430"/>
      <c r="AT552" s="430"/>
      <c r="AU552" s="430"/>
      <c r="AV552" s="430"/>
      <c r="AW552" s="430"/>
      <c r="AX552" s="430"/>
      <c r="AY552" s="430"/>
      <c r="AZ552" s="430"/>
      <c r="BA552" s="430"/>
      <c r="BB552" s="430"/>
      <c r="BC552" s="430"/>
      <c r="BD552" s="430"/>
      <c r="BE552" s="430"/>
    </row>
    <row r="553" spans="1:57" ht="15.75" customHeight="1">
      <c r="A553" s="430"/>
      <c r="B553" s="430"/>
      <c r="C553" s="430"/>
      <c r="D553" s="430"/>
      <c r="E553" s="430"/>
      <c r="F553" s="430"/>
      <c r="G553" s="430"/>
      <c r="H553" s="430"/>
      <c r="I553" s="430"/>
      <c r="J553" s="430"/>
      <c r="K553" s="430"/>
      <c r="L553" s="430"/>
      <c r="M553" s="430"/>
      <c r="N553" s="430"/>
      <c r="O553" s="430"/>
      <c r="P553" s="430"/>
      <c r="Q553" s="430"/>
      <c r="R553" s="430"/>
      <c r="S553" s="430"/>
      <c r="T553" s="430"/>
      <c r="U553" s="430"/>
      <c r="V553" s="430"/>
      <c r="W553" s="430"/>
      <c r="X553" s="430"/>
      <c r="Y553" s="430"/>
      <c r="Z553" s="430"/>
      <c r="AA553" s="430"/>
      <c r="AB553" s="430"/>
      <c r="AC553" s="430"/>
      <c r="AD553" s="430"/>
      <c r="AE553" s="430"/>
      <c r="AF553" s="430"/>
      <c r="AG553" s="430"/>
      <c r="AH553" s="430"/>
      <c r="AI553" s="430"/>
      <c r="AJ553" s="430"/>
      <c r="AK553" s="430"/>
      <c r="AL553" s="430"/>
      <c r="AM553" s="430"/>
      <c r="AN553" s="430"/>
      <c r="AO553" s="430"/>
      <c r="AP553" s="430"/>
      <c r="AQ553" s="430"/>
      <c r="AR553" s="430"/>
      <c r="AS553" s="430"/>
      <c r="AT553" s="430"/>
      <c r="AU553" s="430"/>
      <c r="AV553" s="430"/>
      <c r="AW553" s="430"/>
      <c r="AX553" s="430"/>
      <c r="AY553" s="430"/>
      <c r="AZ553" s="430"/>
      <c r="BA553" s="430"/>
      <c r="BB553" s="430"/>
      <c r="BC553" s="430"/>
      <c r="BD553" s="430"/>
      <c r="BE553" s="430"/>
    </row>
    <row r="554" spans="1:57" ht="15.75" customHeight="1">
      <c r="A554" s="430"/>
      <c r="B554" s="430"/>
      <c r="C554" s="430"/>
      <c r="D554" s="430"/>
      <c r="E554" s="430"/>
      <c r="F554" s="430"/>
      <c r="G554" s="430"/>
      <c r="H554" s="430"/>
      <c r="I554" s="430"/>
      <c r="J554" s="430"/>
      <c r="K554" s="430"/>
      <c r="L554" s="430"/>
      <c r="M554" s="430"/>
      <c r="N554" s="430"/>
      <c r="O554" s="430"/>
      <c r="P554" s="430"/>
      <c r="Q554" s="430"/>
      <c r="R554" s="430"/>
      <c r="S554" s="430"/>
      <c r="T554" s="430"/>
      <c r="U554" s="430"/>
      <c r="V554" s="430"/>
      <c r="W554" s="430"/>
      <c r="X554" s="430"/>
      <c r="Y554" s="430"/>
      <c r="Z554" s="430"/>
      <c r="AA554" s="430"/>
      <c r="AB554" s="430"/>
      <c r="AC554" s="430"/>
      <c r="AD554" s="430"/>
      <c r="AE554" s="430"/>
      <c r="AF554" s="430"/>
      <c r="AG554" s="430"/>
      <c r="AH554" s="430"/>
      <c r="AI554" s="430"/>
      <c r="AJ554" s="430"/>
      <c r="AK554" s="430"/>
      <c r="AL554" s="430"/>
      <c r="AM554" s="430"/>
      <c r="AN554" s="430"/>
      <c r="AO554" s="430"/>
      <c r="AP554" s="430"/>
      <c r="AQ554" s="430"/>
      <c r="AR554" s="430"/>
      <c r="AS554" s="430"/>
      <c r="AT554" s="430"/>
      <c r="AU554" s="430"/>
      <c r="AV554" s="430"/>
      <c r="AW554" s="430"/>
      <c r="AX554" s="430"/>
      <c r="AY554" s="430"/>
      <c r="AZ554" s="430"/>
      <c r="BA554" s="430"/>
      <c r="BB554" s="430"/>
      <c r="BC554" s="430"/>
      <c r="BD554" s="430"/>
      <c r="BE554" s="430"/>
    </row>
    <row r="555" spans="1:57" ht="15.75" customHeight="1">
      <c r="A555" s="430"/>
      <c r="B555" s="430"/>
      <c r="C555" s="430"/>
      <c r="D555" s="430"/>
      <c r="E555" s="430"/>
      <c r="F555" s="430"/>
      <c r="G555" s="430"/>
      <c r="H555" s="430"/>
      <c r="I555" s="430"/>
      <c r="J555" s="430"/>
      <c r="K555" s="430"/>
      <c r="L555" s="430"/>
      <c r="M555" s="430"/>
      <c r="N555" s="430"/>
      <c r="O555" s="430"/>
      <c r="P555" s="430"/>
      <c r="Q555" s="430"/>
      <c r="R555" s="430"/>
      <c r="S555" s="430"/>
      <c r="T555" s="430"/>
      <c r="U555" s="430"/>
      <c r="V555" s="430"/>
      <c r="W555" s="430"/>
      <c r="X555" s="430"/>
      <c r="Y555" s="430"/>
      <c r="Z555" s="430"/>
      <c r="AA555" s="430"/>
      <c r="AB555" s="430"/>
      <c r="AC555" s="430"/>
      <c r="AD555" s="430"/>
      <c r="AE555" s="430"/>
      <c r="AF555" s="430"/>
      <c r="AG555" s="430"/>
      <c r="AH555" s="430"/>
      <c r="AI555" s="430"/>
      <c r="AJ555" s="430"/>
      <c r="AK555" s="430"/>
      <c r="AL555" s="430"/>
      <c r="AM555" s="430"/>
      <c r="AN555" s="430"/>
      <c r="AO555" s="430"/>
      <c r="AP555" s="430"/>
      <c r="AQ555" s="430"/>
      <c r="AR555" s="430"/>
      <c r="AS555" s="430"/>
      <c r="AT555" s="430"/>
      <c r="AU555" s="430"/>
      <c r="AV555" s="430"/>
      <c r="AW555" s="430"/>
      <c r="AX555" s="430"/>
      <c r="AY555" s="430"/>
      <c r="AZ555" s="430"/>
      <c r="BA555" s="430"/>
      <c r="BB555" s="430"/>
      <c r="BC555" s="430"/>
      <c r="BD555" s="430"/>
      <c r="BE555" s="430"/>
    </row>
    <row r="556" spans="1:57" ht="15.75" customHeight="1">
      <c r="A556" s="430"/>
      <c r="B556" s="430"/>
      <c r="C556" s="430"/>
      <c r="D556" s="430"/>
      <c r="E556" s="430"/>
      <c r="F556" s="430"/>
      <c r="G556" s="430"/>
      <c r="H556" s="430"/>
      <c r="I556" s="430"/>
      <c r="J556" s="430"/>
      <c r="K556" s="430"/>
      <c r="L556" s="430"/>
      <c r="M556" s="430"/>
      <c r="N556" s="430"/>
      <c r="O556" s="430"/>
      <c r="P556" s="430"/>
      <c r="Q556" s="430"/>
      <c r="R556" s="430"/>
      <c r="S556" s="430"/>
      <c r="T556" s="430"/>
      <c r="U556" s="430"/>
      <c r="V556" s="430"/>
      <c r="W556" s="430"/>
      <c r="X556" s="430"/>
      <c r="Y556" s="430"/>
      <c r="Z556" s="430"/>
      <c r="AA556" s="430"/>
      <c r="AB556" s="430"/>
      <c r="AC556" s="430"/>
      <c r="AD556" s="430"/>
      <c r="AE556" s="430"/>
      <c r="AF556" s="430"/>
      <c r="AG556" s="430"/>
      <c r="AH556" s="430"/>
      <c r="AI556" s="430"/>
      <c r="AJ556" s="430"/>
      <c r="AK556" s="430"/>
      <c r="AL556" s="430"/>
      <c r="AM556" s="430"/>
      <c r="AN556" s="430"/>
      <c r="AO556" s="430"/>
      <c r="AP556" s="430"/>
      <c r="AQ556" s="430"/>
      <c r="AR556" s="430"/>
      <c r="AS556" s="430"/>
      <c r="AT556" s="430"/>
      <c r="AU556" s="430"/>
      <c r="AV556" s="430"/>
      <c r="AW556" s="430"/>
      <c r="AX556" s="430"/>
      <c r="AY556" s="430"/>
      <c r="AZ556" s="430"/>
      <c r="BA556" s="430"/>
      <c r="BB556" s="430"/>
      <c r="BC556" s="430"/>
      <c r="BD556" s="430"/>
      <c r="BE556" s="430"/>
    </row>
    <row r="557" spans="1:57" ht="15.75" customHeight="1">
      <c r="A557" s="430"/>
      <c r="B557" s="430"/>
      <c r="C557" s="430"/>
      <c r="D557" s="430"/>
      <c r="E557" s="430"/>
      <c r="F557" s="430"/>
      <c r="G557" s="430"/>
      <c r="H557" s="430"/>
      <c r="I557" s="430"/>
      <c r="J557" s="430"/>
      <c r="K557" s="430"/>
      <c r="L557" s="430"/>
      <c r="M557" s="430"/>
      <c r="N557" s="430"/>
      <c r="O557" s="430"/>
      <c r="P557" s="430"/>
      <c r="Q557" s="430"/>
      <c r="R557" s="430"/>
      <c r="S557" s="430"/>
      <c r="T557" s="430"/>
      <c r="U557" s="430"/>
      <c r="V557" s="430"/>
      <c r="W557" s="430"/>
      <c r="X557" s="430"/>
      <c r="Y557" s="430"/>
      <c r="Z557" s="430"/>
      <c r="AA557" s="430"/>
      <c r="AB557" s="430"/>
      <c r="AC557" s="430"/>
      <c r="AD557" s="430"/>
      <c r="AE557" s="430"/>
      <c r="AF557" s="430"/>
      <c r="AG557" s="430"/>
      <c r="AH557" s="430"/>
      <c r="AI557" s="430"/>
      <c r="AJ557" s="430"/>
      <c r="AK557" s="430"/>
      <c r="AL557" s="430"/>
      <c r="AM557" s="430"/>
      <c r="AN557" s="430"/>
      <c r="AO557" s="430"/>
      <c r="AP557" s="430"/>
      <c r="AQ557" s="430"/>
      <c r="AR557" s="430"/>
      <c r="AS557" s="430"/>
      <c r="AT557" s="430"/>
      <c r="AU557" s="430"/>
      <c r="AV557" s="430"/>
      <c r="AW557" s="430"/>
      <c r="AX557" s="430"/>
      <c r="AY557" s="430"/>
      <c r="AZ557" s="430"/>
      <c r="BA557" s="430"/>
      <c r="BB557" s="430"/>
      <c r="BC557" s="430"/>
      <c r="BD557" s="430"/>
      <c r="BE557" s="430"/>
    </row>
    <row r="558" spans="1:57" ht="15.75" customHeight="1">
      <c r="A558" s="430"/>
      <c r="B558" s="430"/>
      <c r="C558" s="430"/>
      <c r="D558" s="430"/>
      <c r="E558" s="430"/>
      <c r="F558" s="430"/>
      <c r="G558" s="430"/>
      <c r="H558" s="430"/>
      <c r="I558" s="430"/>
      <c r="J558" s="430"/>
      <c r="K558" s="430"/>
      <c r="L558" s="430"/>
      <c r="M558" s="430"/>
      <c r="N558" s="430"/>
      <c r="O558" s="430"/>
      <c r="P558" s="430"/>
      <c r="Q558" s="430"/>
      <c r="R558" s="430"/>
      <c r="S558" s="430"/>
      <c r="T558" s="430"/>
      <c r="U558" s="430"/>
      <c r="V558" s="430"/>
      <c r="W558" s="430"/>
      <c r="X558" s="430"/>
      <c r="Y558" s="430"/>
      <c r="Z558" s="430"/>
      <c r="AA558" s="430"/>
      <c r="AB558" s="430"/>
      <c r="AC558" s="430"/>
      <c r="AD558" s="430"/>
      <c r="AE558" s="430"/>
      <c r="AF558" s="430"/>
      <c r="AG558" s="430"/>
      <c r="AH558" s="430"/>
      <c r="AI558" s="430"/>
      <c r="AJ558" s="430"/>
      <c r="AK558" s="430"/>
      <c r="AL558" s="430"/>
      <c r="AM558" s="430"/>
      <c r="AN558" s="430"/>
      <c r="AO558" s="430"/>
      <c r="AP558" s="430"/>
      <c r="AQ558" s="430"/>
      <c r="AR558" s="430"/>
      <c r="AS558" s="430"/>
      <c r="AT558" s="430"/>
      <c r="AU558" s="430"/>
      <c r="AV558" s="430"/>
      <c r="AW558" s="430"/>
      <c r="AX558" s="430"/>
      <c r="AY558" s="430"/>
      <c r="AZ558" s="430"/>
      <c r="BA558" s="430"/>
      <c r="BB558" s="430"/>
      <c r="BC558" s="430"/>
      <c r="BD558" s="430"/>
      <c r="BE558" s="430"/>
    </row>
    <row r="559" spans="1:57" ht="15.75" customHeight="1">
      <c r="A559" s="430"/>
      <c r="B559" s="430"/>
      <c r="C559" s="430"/>
      <c r="D559" s="430"/>
      <c r="E559" s="430"/>
      <c r="F559" s="430"/>
      <c r="G559" s="430"/>
      <c r="H559" s="430"/>
      <c r="I559" s="430"/>
      <c r="J559" s="430"/>
      <c r="K559" s="430"/>
      <c r="L559" s="430"/>
      <c r="M559" s="430"/>
      <c r="N559" s="430"/>
      <c r="O559" s="430"/>
      <c r="P559" s="430"/>
      <c r="Q559" s="430"/>
      <c r="R559" s="430"/>
      <c r="S559" s="430"/>
      <c r="T559" s="430"/>
      <c r="U559" s="430"/>
      <c r="V559" s="430"/>
      <c r="W559" s="430"/>
      <c r="X559" s="430"/>
      <c r="Y559" s="430"/>
      <c r="Z559" s="430"/>
      <c r="AA559" s="430"/>
      <c r="AB559" s="430"/>
      <c r="AC559" s="430"/>
      <c r="AD559" s="430"/>
      <c r="AE559" s="430"/>
      <c r="AF559" s="430"/>
      <c r="AG559" s="430"/>
      <c r="AH559" s="430"/>
      <c r="AI559" s="430"/>
      <c r="AJ559" s="430"/>
      <c r="AK559" s="430"/>
      <c r="AL559" s="430"/>
      <c r="AM559" s="430"/>
      <c r="AN559" s="430"/>
      <c r="AO559" s="430"/>
      <c r="AP559" s="430"/>
      <c r="AQ559" s="430"/>
      <c r="AR559" s="430"/>
      <c r="AS559" s="430"/>
      <c r="AT559" s="430"/>
      <c r="AU559" s="430"/>
      <c r="AV559" s="430"/>
      <c r="AW559" s="430"/>
      <c r="AX559" s="430"/>
      <c r="AY559" s="430"/>
      <c r="AZ559" s="430"/>
      <c r="BA559" s="430"/>
      <c r="BB559" s="430"/>
      <c r="BC559" s="430"/>
      <c r="BD559" s="430"/>
      <c r="BE559" s="430"/>
    </row>
    <row r="560" spans="1:57" ht="15.75" customHeight="1">
      <c r="A560" s="430"/>
      <c r="B560" s="430"/>
      <c r="C560" s="430"/>
      <c r="D560" s="430"/>
      <c r="E560" s="430"/>
      <c r="F560" s="430"/>
      <c r="G560" s="430"/>
      <c r="H560" s="430"/>
      <c r="I560" s="430"/>
      <c r="J560" s="430"/>
      <c r="K560" s="430"/>
      <c r="L560" s="430"/>
      <c r="M560" s="430"/>
      <c r="N560" s="430"/>
      <c r="O560" s="430"/>
      <c r="P560" s="430"/>
      <c r="Q560" s="430"/>
      <c r="R560" s="430"/>
      <c r="S560" s="430"/>
      <c r="T560" s="430"/>
      <c r="U560" s="430"/>
      <c r="V560" s="430"/>
      <c r="W560" s="430"/>
      <c r="X560" s="430"/>
      <c r="Y560" s="430"/>
      <c r="Z560" s="430"/>
      <c r="AA560" s="430"/>
      <c r="AB560" s="430"/>
      <c r="AC560" s="430"/>
      <c r="AD560" s="430"/>
      <c r="AE560" s="430"/>
      <c r="AF560" s="430"/>
      <c r="AG560" s="430"/>
      <c r="AH560" s="430"/>
      <c r="AI560" s="430"/>
      <c r="AJ560" s="430"/>
      <c r="AK560" s="430"/>
      <c r="AL560" s="430"/>
      <c r="AM560" s="430"/>
      <c r="AN560" s="430"/>
      <c r="AO560" s="430"/>
      <c r="AP560" s="430"/>
      <c r="AQ560" s="430"/>
      <c r="AR560" s="430"/>
      <c r="AS560" s="430"/>
      <c r="AT560" s="430"/>
      <c r="AU560" s="430"/>
      <c r="AV560" s="430"/>
      <c r="AW560" s="430"/>
      <c r="AX560" s="430"/>
      <c r="AY560" s="430"/>
      <c r="AZ560" s="430"/>
      <c r="BA560" s="430"/>
      <c r="BB560" s="430"/>
      <c r="BC560" s="430"/>
      <c r="BD560" s="430"/>
      <c r="BE560" s="430"/>
    </row>
    <row r="561" spans="1:57" ht="15.75" customHeight="1">
      <c r="A561" s="430"/>
      <c r="B561" s="430"/>
      <c r="C561" s="430"/>
      <c r="D561" s="430"/>
      <c r="E561" s="430"/>
      <c r="F561" s="430"/>
      <c r="G561" s="430"/>
      <c r="H561" s="430"/>
      <c r="I561" s="430"/>
      <c r="J561" s="430"/>
      <c r="K561" s="430"/>
      <c r="L561" s="430"/>
      <c r="M561" s="430"/>
      <c r="N561" s="430"/>
      <c r="O561" s="430"/>
      <c r="P561" s="430"/>
      <c r="Q561" s="430"/>
      <c r="R561" s="430"/>
      <c r="S561" s="430"/>
      <c r="T561" s="430"/>
      <c r="U561" s="430"/>
      <c r="V561" s="430"/>
      <c r="W561" s="430"/>
      <c r="X561" s="430"/>
      <c r="Y561" s="430"/>
      <c r="Z561" s="430"/>
      <c r="AA561" s="430"/>
      <c r="AB561" s="430"/>
      <c r="AC561" s="430"/>
      <c r="AD561" s="430"/>
      <c r="AE561" s="430"/>
      <c r="AF561" s="430"/>
      <c r="AG561" s="430"/>
      <c r="AH561" s="430"/>
      <c r="AI561" s="430"/>
      <c r="AJ561" s="430"/>
      <c r="AK561" s="430"/>
      <c r="AL561" s="430"/>
      <c r="AM561" s="430"/>
      <c r="AN561" s="430"/>
      <c r="AO561" s="430"/>
      <c r="AP561" s="430"/>
      <c r="AQ561" s="430"/>
      <c r="AR561" s="430"/>
      <c r="AS561" s="430"/>
      <c r="AT561" s="430"/>
      <c r="AU561" s="430"/>
      <c r="AV561" s="430"/>
      <c r="AW561" s="430"/>
      <c r="AX561" s="430"/>
      <c r="AY561" s="430"/>
      <c r="AZ561" s="430"/>
      <c r="BA561" s="430"/>
      <c r="BB561" s="430"/>
      <c r="BC561" s="430"/>
      <c r="BD561" s="430"/>
      <c r="BE561" s="430"/>
    </row>
    <row r="562" spans="1:57" ht="15.75" customHeight="1">
      <c r="A562" s="430"/>
      <c r="B562" s="430"/>
      <c r="C562" s="430"/>
      <c r="D562" s="430"/>
      <c r="E562" s="430"/>
      <c r="F562" s="430"/>
      <c r="G562" s="430"/>
      <c r="H562" s="430"/>
      <c r="I562" s="430"/>
      <c r="J562" s="430"/>
      <c r="K562" s="430"/>
      <c r="L562" s="430"/>
      <c r="M562" s="430"/>
      <c r="N562" s="430"/>
      <c r="O562" s="430"/>
      <c r="P562" s="430"/>
      <c r="Q562" s="430"/>
      <c r="R562" s="430"/>
      <c r="S562" s="430"/>
      <c r="T562" s="430"/>
      <c r="U562" s="430"/>
      <c r="V562" s="430"/>
      <c r="W562" s="430"/>
      <c r="X562" s="430"/>
      <c r="Y562" s="430"/>
      <c r="Z562" s="430"/>
      <c r="AA562" s="430"/>
      <c r="AB562" s="430"/>
      <c r="AC562" s="430"/>
      <c r="AD562" s="430"/>
      <c r="AE562" s="430"/>
      <c r="AF562" s="430"/>
      <c r="AG562" s="430"/>
      <c r="AH562" s="430"/>
      <c r="AI562" s="430"/>
      <c r="AJ562" s="430"/>
      <c r="AK562" s="430"/>
      <c r="AL562" s="430"/>
      <c r="AM562" s="430"/>
      <c r="AN562" s="430"/>
      <c r="AO562" s="430"/>
      <c r="AP562" s="430"/>
      <c r="AQ562" s="430"/>
      <c r="AR562" s="430"/>
      <c r="AS562" s="430"/>
      <c r="AT562" s="430"/>
      <c r="AU562" s="430"/>
      <c r="AV562" s="430"/>
      <c r="AW562" s="430"/>
      <c r="AX562" s="430"/>
      <c r="AY562" s="430"/>
      <c r="AZ562" s="430"/>
      <c r="BA562" s="430"/>
      <c r="BB562" s="430"/>
      <c r="BC562" s="430"/>
      <c r="BD562" s="430"/>
      <c r="BE562" s="430"/>
    </row>
    <row r="563" spans="1:57" ht="15.75" customHeight="1">
      <c r="A563" s="430"/>
      <c r="B563" s="430"/>
      <c r="C563" s="430"/>
      <c r="D563" s="430"/>
      <c r="E563" s="430"/>
      <c r="F563" s="430"/>
      <c r="G563" s="430"/>
      <c r="H563" s="430"/>
      <c r="I563" s="430"/>
      <c r="J563" s="430"/>
      <c r="K563" s="430"/>
      <c r="L563" s="430"/>
      <c r="M563" s="430"/>
      <c r="N563" s="430"/>
      <c r="O563" s="430"/>
      <c r="P563" s="430"/>
      <c r="Q563" s="430"/>
      <c r="R563" s="430"/>
      <c r="S563" s="430"/>
      <c r="T563" s="430"/>
      <c r="U563" s="430"/>
      <c r="V563" s="430"/>
      <c r="W563" s="430"/>
      <c r="X563" s="430"/>
      <c r="Y563" s="430"/>
      <c r="Z563" s="430"/>
      <c r="AA563" s="430"/>
      <c r="AB563" s="430"/>
      <c r="AC563" s="430"/>
      <c r="AD563" s="430"/>
      <c r="AE563" s="430"/>
      <c r="AF563" s="430"/>
      <c r="AG563" s="430"/>
      <c r="AH563" s="430"/>
      <c r="AI563" s="430"/>
      <c r="AJ563" s="430"/>
      <c r="AK563" s="430"/>
      <c r="AL563" s="430"/>
      <c r="AM563" s="430"/>
      <c r="AN563" s="430"/>
      <c r="AO563" s="430"/>
      <c r="AP563" s="430"/>
      <c r="AQ563" s="430"/>
      <c r="AR563" s="430"/>
      <c r="AS563" s="430"/>
      <c r="AT563" s="430"/>
      <c r="AU563" s="430"/>
      <c r="AV563" s="430"/>
      <c r="AW563" s="430"/>
      <c r="AX563" s="430"/>
      <c r="AY563" s="430"/>
      <c r="AZ563" s="430"/>
      <c r="BA563" s="430"/>
      <c r="BB563" s="430"/>
      <c r="BC563" s="430"/>
      <c r="BD563" s="430"/>
      <c r="BE563" s="430"/>
    </row>
    <row r="564" spans="1:57" ht="15.75" customHeight="1">
      <c r="A564" s="430"/>
      <c r="B564" s="430"/>
      <c r="C564" s="430"/>
      <c r="D564" s="430"/>
      <c r="E564" s="430"/>
      <c r="F564" s="430"/>
      <c r="G564" s="430"/>
      <c r="H564" s="430"/>
      <c r="I564" s="430"/>
      <c r="J564" s="430"/>
      <c r="K564" s="430"/>
      <c r="L564" s="430"/>
      <c r="M564" s="430"/>
      <c r="N564" s="430"/>
      <c r="O564" s="430"/>
      <c r="P564" s="430"/>
      <c r="Q564" s="430"/>
      <c r="R564" s="430"/>
      <c r="S564" s="430"/>
      <c r="T564" s="430"/>
      <c r="U564" s="430"/>
      <c r="V564" s="430"/>
      <c r="W564" s="430"/>
      <c r="X564" s="430"/>
      <c r="Y564" s="430"/>
      <c r="Z564" s="430"/>
      <c r="AA564" s="430"/>
      <c r="AB564" s="430"/>
      <c r="AC564" s="430"/>
      <c r="AD564" s="430"/>
      <c r="AE564" s="430"/>
      <c r="AF564" s="430"/>
      <c r="AG564" s="430"/>
      <c r="AH564" s="430"/>
      <c r="AI564" s="430"/>
      <c r="AJ564" s="430"/>
      <c r="AK564" s="430"/>
      <c r="AL564" s="430"/>
      <c r="AM564" s="430"/>
      <c r="AN564" s="430"/>
      <c r="AO564" s="430"/>
      <c r="AP564" s="430"/>
      <c r="AQ564" s="430"/>
      <c r="AR564" s="430"/>
      <c r="AS564" s="430"/>
      <c r="AT564" s="430"/>
      <c r="AU564" s="430"/>
      <c r="AV564" s="430"/>
      <c r="AW564" s="430"/>
      <c r="AX564" s="430"/>
      <c r="AY564" s="430"/>
      <c r="AZ564" s="430"/>
      <c r="BA564" s="430"/>
      <c r="BB564" s="430"/>
      <c r="BC564" s="430"/>
      <c r="BD564" s="430"/>
      <c r="BE564" s="430"/>
    </row>
    <row r="565" spans="1:57" ht="15.75" customHeight="1">
      <c r="A565" s="430"/>
      <c r="B565" s="430"/>
      <c r="C565" s="430"/>
      <c r="D565" s="430"/>
      <c r="E565" s="430"/>
      <c r="F565" s="430"/>
      <c r="G565" s="430"/>
      <c r="H565" s="430"/>
      <c r="I565" s="430"/>
      <c r="J565" s="430"/>
      <c r="K565" s="430"/>
      <c r="L565" s="430"/>
      <c r="M565" s="430"/>
      <c r="N565" s="430"/>
      <c r="O565" s="430"/>
      <c r="P565" s="430"/>
      <c r="Q565" s="430"/>
      <c r="R565" s="430"/>
      <c r="S565" s="430"/>
      <c r="T565" s="430"/>
      <c r="U565" s="430"/>
      <c r="V565" s="430"/>
      <c r="W565" s="430"/>
      <c r="X565" s="430"/>
      <c r="Y565" s="430"/>
      <c r="Z565" s="430"/>
      <c r="AA565" s="430"/>
      <c r="AB565" s="430"/>
      <c r="AC565" s="430"/>
      <c r="AD565" s="430"/>
      <c r="AE565" s="430"/>
      <c r="AF565" s="430"/>
      <c r="AG565" s="430"/>
      <c r="AH565" s="430"/>
      <c r="AI565" s="430"/>
      <c r="AJ565" s="430"/>
      <c r="AK565" s="430"/>
      <c r="AL565" s="430"/>
      <c r="AM565" s="430"/>
      <c r="AN565" s="430"/>
      <c r="AO565" s="430"/>
      <c r="AP565" s="430"/>
      <c r="AQ565" s="430"/>
      <c r="AR565" s="430"/>
      <c r="AS565" s="430"/>
      <c r="AT565" s="430"/>
      <c r="AU565" s="430"/>
      <c r="AV565" s="430"/>
      <c r="AW565" s="430"/>
      <c r="AX565" s="430"/>
      <c r="AY565" s="430"/>
      <c r="AZ565" s="430"/>
      <c r="BA565" s="430"/>
      <c r="BB565" s="430"/>
      <c r="BC565" s="430"/>
      <c r="BD565" s="430"/>
      <c r="BE565" s="430"/>
    </row>
    <row r="566" spans="1:57" ht="15.75" customHeight="1">
      <c r="A566" s="430"/>
      <c r="B566" s="430"/>
      <c r="C566" s="430"/>
      <c r="D566" s="430"/>
      <c r="E566" s="430"/>
      <c r="F566" s="430"/>
      <c r="G566" s="430"/>
      <c r="H566" s="430"/>
      <c r="I566" s="430"/>
      <c r="J566" s="430"/>
      <c r="K566" s="430"/>
      <c r="L566" s="430"/>
      <c r="M566" s="430"/>
      <c r="N566" s="430"/>
      <c r="O566" s="430"/>
      <c r="P566" s="430"/>
      <c r="Q566" s="430"/>
      <c r="R566" s="430"/>
      <c r="S566" s="430"/>
      <c r="T566" s="430"/>
      <c r="U566" s="430"/>
      <c r="V566" s="430"/>
      <c r="W566" s="430"/>
      <c r="X566" s="430"/>
      <c r="Y566" s="430"/>
      <c r="Z566" s="430"/>
      <c r="AA566" s="430"/>
      <c r="AB566" s="430"/>
      <c r="AC566" s="430"/>
      <c r="AD566" s="430"/>
      <c r="AE566" s="430"/>
      <c r="AF566" s="430"/>
      <c r="AG566" s="430"/>
      <c r="AH566" s="430"/>
      <c r="AI566" s="430"/>
      <c r="AJ566" s="430"/>
      <c r="AK566" s="430"/>
      <c r="AL566" s="430"/>
      <c r="AM566" s="430"/>
      <c r="AN566" s="430"/>
      <c r="AO566" s="430"/>
      <c r="AP566" s="430"/>
      <c r="AQ566" s="430"/>
      <c r="AR566" s="430"/>
      <c r="AS566" s="430"/>
      <c r="AT566" s="430"/>
      <c r="AU566" s="430"/>
      <c r="AV566" s="430"/>
      <c r="AW566" s="430"/>
      <c r="AX566" s="430"/>
      <c r="AY566" s="430"/>
      <c r="AZ566" s="430"/>
      <c r="BA566" s="430"/>
      <c r="BB566" s="430"/>
      <c r="BC566" s="430"/>
      <c r="BD566" s="430"/>
      <c r="BE566" s="430"/>
    </row>
    <row r="567" spans="1:57" ht="15.75" customHeight="1">
      <c r="A567" s="430"/>
      <c r="B567" s="430"/>
      <c r="C567" s="430"/>
      <c r="D567" s="430"/>
      <c r="E567" s="430"/>
      <c r="F567" s="430"/>
      <c r="G567" s="430"/>
      <c r="H567" s="430"/>
      <c r="I567" s="430"/>
      <c r="J567" s="430"/>
      <c r="K567" s="430"/>
      <c r="L567" s="430"/>
      <c r="M567" s="430"/>
      <c r="N567" s="430"/>
      <c r="O567" s="430"/>
      <c r="P567" s="430"/>
      <c r="Q567" s="430"/>
      <c r="R567" s="430"/>
      <c r="S567" s="430"/>
      <c r="T567" s="430"/>
      <c r="U567" s="430"/>
      <c r="V567" s="430"/>
      <c r="W567" s="430"/>
      <c r="X567" s="430"/>
      <c r="Y567" s="430"/>
      <c r="Z567" s="430"/>
      <c r="AA567" s="430"/>
      <c r="AB567" s="430"/>
      <c r="AC567" s="430"/>
      <c r="AD567" s="430"/>
      <c r="AE567" s="430"/>
      <c r="AF567" s="430"/>
      <c r="AG567" s="430"/>
      <c r="AH567" s="430"/>
      <c r="AI567" s="430"/>
      <c r="AJ567" s="430"/>
      <c r="AK567" s="430"/>
      <c r="AL567" s="430"/>
      <c r="AM567" s="430"/>
      <c r="AN567" s="430"/>
      <c r="AO567" s="430"/>
      <c r="AP567" s="430"/>
      <c r="AQ567" s="430"/>
      <c r="AR567" s="430"/>
      <c r="AS567" s="430"/>
      <c r="AT567" s="430"/>
      <c r="AU567" s="430"/>
      <c r="AV567" s="430"/>
      <c r="AW567" s="430"/>
      <c r="AX567" s="430"/>
      <c r="AY567" s="430"/>
      <c r="AZ567" s="430"/>
      <c r="BA567" s="430"/>
      <c r="BB567" s="430"/>
      <c r="BC567" s="430"/>
      <c r="BD567" s="430"/>
      <c r="BE567" s="430"/>
    </row>
    <row r="568" spans="1:57" ht="15.75" customHeight="1">
      <c r="A568" s="430"/>
      <c r="B568" s="430"/>
      <c r="C568" s="430"/>
      <c r="D568" s="430"/>
      <c r="E568" s="430"/>
      <c r="F568" s="430"/>
      <c r="G568" s="430"/>
      <c r="H568" s="430"/>
      <c r="I568" s="430"/>
      <c r="J568" s="430"/>
      <c r="K568" s="430"/>
      <c r="L568" s="430"/>
      <c r="M568" s="430"/>
      <c r="N568" s="430"/>
      <c r="O568" s="430"/>
      <c r="P568" s="430"/>
      <c r="Q568" s="430"/>
      <c r="R568" s="430"/>
      <c r="S568" s="430"/>
      <c r="T568" s="430"/>
      <c r="U568" s="430"/>
      <c r="V568" s="430"/>
      <c r="W568" s="430"/>
      <c r="X568" s="430"/>
      <c r="Y568" s="430"/>
      <c r="Z568" s="430"/>
      <c r="AA568" s="430"/>
      <c r="AB568" s="430"/>
      <c r="AC568" s="430"/>
      <c r="AD568" s="430"/>
      <c r="AE568" s="430"/>
      <c r="AF568" s="430"/>
      <c r="AG568" s="430"/>
      <c r="AH568" s="430"/>
      <c r="AI568" s="430"/>
      <c r="AJ568" s="430"/>
      <c r="AK568" s="430"/>
      <c r="AL568" s="430"/>
      <c r="AM568" s="430"/>
      <c r="AN568" s="430"/>
      <c r="AO568" s="430"/>
      <c r="AP568" s="430"/>
      <c r="AQ568" s="430"/>
      <c r="AR568" s="430"/>
      <c r="AS568" s="430"/>
      <c r="AT568" s="430"/>
      <c r="AU568" s="430"/>
      <c r="AV568" s="430"/>
      <c r="AW568" s="430"/>
      <c r="AX568" s="430"/>
      <c r="AY568" s="430"/>
      <c r="AZ568" s="430"/>
      <c r="BA568" s="430"/>
      <c r="BB568" s="430"/>
      <c r="BC568" s="430"/>
      <c r="BD568" s="430"/>
      <c r="BE568" s="430"/>
    </row>
    <row r="569" spans="1:57" ht="15.75" customHeight="1">
      <c r="A569" s="430"/>
      <c r="B569" s="430"/>
      <c r="C569" s="430"/>
      <c r="D569" s="430"/>
      <c r="E569" s="430"/>
      <c r="F569" s="430"/>
      <c r="G569" s="430"/>
      <c r="H569" s="430"/>
      <c r="I569" s="430"/>
      <c r="J569" s="430"/>
      <c r="K569" s="430"/>
      <c r="L569" s="430"/>
      <c r="M569" s="430"/>
      <c r="N569" s="430"/>
      <c r="O569" s="430"/>
      <c r="P569" s="430"/>
      <c r="Q569" s="430"/>
      <c r="R569" s="430"/>
      <c r="S569" s="430"/>
      <c r="T569" s="430"/>
      <c r="U569" s="430"/>
      <c r="V569" s="430"/>
      <c r="W569" s="430"/>
      <c r="X569" s="430"/>
      <c r="Y569" s="430"/>
      <c r="Z569" s="430"/>
      <c r="AA569" s="430"/>
      <c r="AB569" s="430"/>
      <c r="AC569" s="430"/>
      <c r="AD569" s="430"/>
      <c r="AE569" s="430"/>
      <c r="AF569" s="430"/>
      <c r="AG569" s="430"/>
      <c r="AH569" s="430"/>
      <c r="AI569" s="430"/>
      <c r="AJ569" s="430"/>
      <c r="AK569" s="430"/>
      <c r="AL569" s="430"/>
      <c r="AM569" s="430"/>
      <c r="AN569" s="430"/>
      <c r="AO569" s="430"/>
      <c r="AP569" s="430"/>
      <c r="AQ569" s="430"/>
      <c r="AR569" s="430"/>
      <c r="AS569" s="430"/>
      <c r="AT569" s="430"/>
      <c r="AU569" s="430"/>
      <c r="AV569" s="430"/>
      <c r="AW569" s="430"/>
      <c r="AX569" s="430"/>
      <c r="AY569" s="430"/>
      <c r="AZ569" s="430"/>
      <c r="BA569" s="430"/>
      <c r="BB569" s="430"/>
      <c r="BC569" s="430"/>
      <c r="BD569" s="430"/>
      <c r="BE569" s="430"/>
    </row>
    <row r="570" spans="1:57" ht="15.75" customHeight="1">
      <c r="A570" s="430"/>
      <c r="B570" s="430"/>
      <c r="C570" s="430"/>
      <c r="D570" s="430"/>
      <c r="E570" s="430"/>
      <c r="F570" s="430"/>
      <c r="G570" s="430"/>
      <c r="H570" s="430"/>
      <c r="I570" s="430"/>
      <c r="J570" s="430"/>
      <c r="K570" s="430"/>
      <c r="L570" s="430"/>
      <c r="M570" s="430"/>
      <c r="N570" s="430"/>
      <c r="O570" s="430"/>
      <c r="P570" s="430"/>
      <c r="Q570" s="430"/>
      <c r="R570" s="430"/>
      <c r="S570" s="430"/>
      <c r="T570" s="430"/>
      <c r="U570" s="430"/>
      <c r="V570" s="430"/>
      <c r="W570" s="430"/>
      <c r="X570" s="430"/>
      <c r="Y570" s="430"/>
      <c r="Z570" s="430"/>
      <c r="AA570" s="430"/>
      <c r="AB570" s="430"/>
      <c r="AC570" s="430"/>
      <c r="AD570" s="430"/>
      <c r="AE570" s="430"/>
      <c r="AF570" s="430"/>
      <c r="AG570" s="430"/>
      <c r="AH570" s="430"/>
      <c r="AI570" s="430"/>
      <c r="AJ570" s="430"/>
      <c r="AK570" s="430"/>
      <c r="AL570" s="430"/>
      <c r="AM570" s="430"/>
      <c r="AN570" s="430"/>
      <c r="AO570" s="430"/>
      <c r="AP570" s="430"/>
      <c r="AQ570" s="430"/>
      <c r="AR570" s="430"/>
      <c r="AS570" s="430"/>
      <c r="AT570" s="430"/>
      <c r="AU570" s="430"/>
      <c r="AV570" s="430"/>
      <c r="AW570" s="430"/>
      <c r="AX570" s="430"/>
      <c r="AY570" s="430"/>
      <c r="AZ570" s="430"/>
      <c r="BA570" s="430"/>
      <c r="BB570" s="430"/>
      <c r="BC570" s="430"/>
      <c r="BD570" s="430"/>
      <c r="BE570" s="430"/>
    </row>
    <row r="571" spans="1:57" ht="15.75" customHeight="1">
      <c r="A571" s="430"/>
      <c r="B571" s="430"/>
      <c r="C571" s="430"/>
      <c r="D571" s="430"/>
      <c r="E571" s="430"/>
      <c r="F571" s="430"/>
      <c r="G571" s="430"/>
      <c r="H571" s="430"/>
      <c r="I571" s="430"/>
      <c r="J571" s="430"/>
      <c r="K571" s="430"/>
      <c r="L571" s="430"/>
      <c r="M571" s="430"/>
      <c r="N571" s="430"/>
      <c r="O571" s="430"/>
      <c r="P571" s="430"/>
      <c r="Q571" s="430"/>
      <c r="R571" s="430"/>
      <c r="S571" s="430"/>
      <c r="T571" s="430"/>
      <c r="U571" s="430"/>
      <c r="V571" s="430"/>
      <c r="W571" s="430"/>
      <c r="X571" s="430"/>
      <c r="Y571" s="430"/>
      <c r="Z571" s="430"/>
      <c r="AA571" s="430"/>
      <c r="AB571" s="430"/>
      <c r="AC571" s="430"/>
      <c r="AD571" s="430"/>
      <c r="AE571" s="430"/>
      <c r="AF571" s="430"/>
      <c r="AG571" s="430"/>
      <c r="AH571" s="430"/>
      <c r="AI571" s="430"/>
      <c r="AJ571" s="430"/>
      <c r="AK571" s="430"/>
      <c r="AL571" s="430"/>
      <c r="AM571" s="430"/>
      <c r="AN571" s="430"/>
      <c r="AO571" s="430"/>
      <c r="AP571" s="430"/>
      <c r="AQ571" s="430"/>
      <c r="AR571" s="430"/>
      <c r="AS571" s="430"/>
      <c r="AT571" s="430"/>
      <c r="AU571" s="430"/>
      <c r="AV571" s="430"/>
      <c r="AW571" s="430"/>
      <c r="AX571" s="430"/>
      <c r="AY571" s="430"/>
      <c r="AZ571" s="430"/>
      <c r="BA571" s="430"/>
      <c r="BB571" s="430"/>
      <c r="BC571" s="430"/>
      <c r="BD571" s="430"/>
      <c r="BE571" s="430"/>
    </row>
    <row r="572" spans="1:57" ht="15.75" customHeight="1">
      <c r="A572" s="430"/>
      <c r="B572" s="430"/>
      <c r="C572" s="430"/>
      <c r="D572" s="430"/>
      <c r="E572" s="430"/>
      <c r="F572" s="430"/>
      <c r="G572" s="430"/>
      <c r="H572" s="430"/>
      <c r="I572" s="430"/>
      <c r="J572" s="430"/>
      <c r="K572" s="430"/>
      <c r="L572" s="430"/>
      <c r="M572" s="430"/>
      <c r="N572" s="430"/>
      <c r="O572" s="430"/>
      <c r="P572" s="430"/>
      <c r="Q572" s="430"/>
      <c r="R572" s="430"/>
      <c r="S572" s="430"/>
      <c r="T572" s="430"/>
      <c r="U572" s="430"/>
      <c r="V572" s="430"/>
      <c r="W572" s="430"/>
      <c r="X572" s="430"/>
      <c r="Y572" s="430"/>
      <c r="Z572" s="430"/>
      <c r="AA572" s="430"/>
      <c r="AB572" s="430"/>
      <c r="AC572" s="430"/>
      <c r="AD572" s="430"/>
      <c r="AE572" s="430"/>
      <c r="AF572" s="430"/>
      <c r="AG572" s="430"/>
      <c r="AH572" s="430"/>
      <c r="AI572" s="430"/>
      <c r="AJ572" s="430"/>
      <c r="AK572" s="430"/>
      <c r="AL572" s="430"/>
      <c r="AM572" s="430"/>
      <c r="AN572" s="430"/>
      <c r="AO572" s="430"/>
      <c r="AP572" s="430"/>
      <c r="AQ572" s="430"/>
      <c r="AR572" s="430"/>
      <c r="AS572" s="430"/>
      <c r="AT572" s="430"/>
      <c r="AU572" s="430"/>
      <c r="AV572" s="430"/>
      <c r="AW572" s="430"/>
      <c r="AX572" s="430"/>
      <c r="AY572" s="430"/>
      <c r="AZ572" s="430"/>
      <c r="BA572" s="430"/>
      <c r="BB572" s="430"/>
      <c r="BC572" s="430"/>
      <c r="BD572" s="430"/>
      <c r="BE572" s="430"/>
    </row>
    <row r="573" spans="1:57" ht="15.75" customHeight="1">
      <c r="A573" s="430"/>
      <c r="B573" s="430"/>
      <c r="C573" s="430"/>
      <c r="D573" s="430"/>
      <c r="E573" s="430"/>
      <c r="F573" s="430"/>
      <c r="G573" s="430"/>
      <c r="H573" s="430"/>
      <c r="I573" s="430"/>
      <c r="J573" s="430"/>
      <c r="K573" s="430"/>
      <c r="L573" s="430"/>
      <c r="M573" s="430"/>
      <c r="N573" s="430"/>
      <c r="O573" s="430"/>
      <c r="P573" s="430"/>
      <c r="Q573" s="430"/>
      <c r="R573" s="430"/>
      <c r="S573" s="430"/>
      <c r="T573" s="430"/>
      <c r="U573" s="430"/>
      <c r="V573" s="430"/>
      <c r="W573" s="430"/>
      <c r="X573" s="430"/>
      <c r="Y573" s="430"/>
      <c r="Z573" s="430"/>
      <c r="AA573" s="430"/>
      <c r="AB573" s="430"/>
      <c r="AC573" s="430"/>
      <c r="AD573" s="430"/>
      <c r="AE573" s="430"/>
      <c r="AF573" s="430"/>
      <c r="AG573" s="430"/>
      <c r="AH573" s="430"/>
      <c r="AI573" s="430"/>
      <c r="AJ573" s="430"/>
      <c r="AK573" s="430"/>
      <c r="AL573" s="430"/>
      <c r="AM573" s="430"/>
      <c r="AN573" s="430"/>
      <c r="AO573" s="430"/>
      <c r="AP573" s="430"/>
      <c r="AQ573" s="430"/>
      <c r="AR573" s="430"/>
      <c r="AS573" s="430"/>
      <c r="AT573" s="430"/>
      <c r="AU573" s="430"/>
      <c r="AV573" s="430"/>
      <c r="AW573" s="430"/>
      <c r="AX573" s="430"/>
      <c r="AY573" s="430"/>
      <c r="AZ573" s="430"/>
      <c r="BA573" s="430"/>
      <c r="BB573" s="430"/>
      <c r="BC573" s="430"/>
      <c r="BD573" s="430"/>
      <c r="BE573" s="430"/>
    </row>
    <row r="574" spans="1:57" ht="15.75" customHeight="1">
      <c r="A574" s="430"/>
      <c r="B574" s="430"/>
      <c r="C574" s="430"/>
      <c r="D574" s="430"/>
      <c r="E574" s="430"/>
      <c r="F574" s="430"/>
      <c r="G574" s="430"/>
      <c r="H574" s="430"/>
      <c r="I574" s="430"/>
      <c r="J574" s="430"/>
      <c r="K574" s="430"/>
      <c r="L574" s="430"/>
      <c r="M574" s="430"/>
      <c r="N574" s="430"/>
      <c r="O574" s="430"/>
      <c r="P574" s="430"/>
      <c r="Q574" s="430"/>
      <c r="R574" s="430"/>
      <c r="S574" s="430"/>
      <c r="T574" s="430"/>
      <c r="U574" s="430"/>
      <c r="V574" s="430"/>
      <c r="W574" s="430"/>
      <c r="X574" s="430"/>
      <c r="Y574" s="430"/>
      <c r="Z574" s="430"/>
      <c r="AA574" s="430"/>
      <c r="AB574" s="430"/>
      <c r="AC574" s="430"/>
      <c r="AD574" s="430"/>
      <c r="AE574" s="430"/>
      <c r="AF574" s="430"/>
      <c r="AG574" s="430"/>
      <c r="AH574" s="430"/>
      <c r="AI574" s="430"/>
      <c r="AJ574" s="430"/>
      <c r="AK574" s="430"/>
      <c r="AL574" s="430"/>
      <c r="AM574" s="430"/>
      <c r="AN574" s="430"/>
      <c r="AO574" s="430"/>
      <c r="AP574" s="430"/>
      <c r="AQ574" s="430"/>
      <c r="AR574" s="430"/>
      <c r="AS574" s="430"/>
      <c r="AT574" s="430"/>
      <c r="AU574" s="430"/>
      <c r="AV574" s="430"/>
      <c r="AW574" s="430"/>
      <c r="AX574" s="430"/>
      <c r="AY574" s="430"/>
      <c r="AZ574" s="430"/>
      <c r="BA574" s="430"/>
      <c r="BB574" s="430"/>
      <c r="BC574" s="430"/>
      <c r="BD574" s="430"/>
      <c r="BE574" s="430"/>
    </row>
    <row r="575" spans="1:57" ht="15.75" customHeight="1">
      <c r="A575" s="430"/>
      <c r="B575" s="430"/>
      <c r="C575" s="430"/>
      <c r="D575" s="430"/>
      <c r="E575" s="430"/>
      <c r="F575" s="430"/>
      <c r="G575" s="430"/>
      <c r="H575" s="430"/>
      <c r="I575" s="430"/>
      <c r="J575" s="430"/>
      <c r="K575" s="430"/>
      <c r="L575" s="430"/>
      <c r="M575" s="430"/>
      <c r="N575" s="430"/>
      <c r="O575" s="430"/>
      <c r="P575" s="430"/>
      <c r="Q575" s="430"/>
      <c r="R575" s="430"/>
      <c r="S575" s="430"/>
      <c r="T575" s="430"/>
      <c r="U575" s="430"/>
      <c r="V575" s="430"/>
      <c r="W575" s="430"/>
      <c r="X575" s="430"/>
      <c r="Y575" s="430"/>
      <c r="Z575" s="430"/>
      <c r="AA575" s="430"/>
      <c r="AB575" s="430"/>
      <c r="AC575" s="430"/>
      <c r="AD575" s="430"/>
      <c r="AE575" s="430"/>
      <c r="AF575" s="430"/>
      <c r="AG575" s="430"/>
      <c r="AH575" s="430"/>
      <c r="AI575" s="430"/>
      <c r="AJ575" s="430"/>
      <c r="AK575" s="430"/>
      <c r="AL575" s="430"/>
      <c r="AM575" s="430"/>
      <c r="AN575" s="430"/>
      <c r="AO575" s="430"/>
      <c r="AP575" s="430"/>
      <c r="AQ575" s="430"/>
      <c r="AR575" s="430"/>
      <c r="AS575" s="430"/>
      <c r="AT575" s="430"/>
      <c r="AU575" s="430"/>
      <c r="AV575" s="430"/>
      <c r="AW575" s="430"/>
      <c r="AX575" s="430"/>
      <c r="AY575" s="430"/>
      <c r="AZ575" s="430"/>
      <c r="BA575" s="430"/>
      <c r="BB575" s="430"/>
      <c r="BC575" s="430"/>
      <c r="BD575" s="430"/>
      <c r="BE575" s="430"/>
    </row>
    <row r="576" spans="1:57" ht="15.75" customHeight="1">
      <c r="A576" s="430"/>
      <c r="B576" s="430"/>
      <c r="C576" s="430"/>
      <c r="D576" s="430"/>
      <c r="E576" s="430"/>
      <c r="F576" s="430"/>
      <c r="G576" s="430"/>
      <c r="H576" s="430"/>
      <c r="I576" s="430"/>
      <c r="J576" s="430"/>
      <c r="K576" s="430"/>
      <c r="L576" s="430"/>
      <c r="M576" s="430"/>
      <c r="N576" s="430"/>
      <c r="O576" s="430"/>
      <c r="P576" s="430"/>
      <c r="Q576" s="430"/>
      <c r="R576" s="430"/>
      <c r="S576" s="430"/>
      <c r="T576" s="430"/>
      <c r="U576" s="430"/>
      <c r="V576" s="430"/>
      <c r="W576" s="430"/>
      <c r="X576" s="430"/>
      <c r="Y576" s="430"/>
      <c r="Z576" s="430"/>
      <c r="AA576" s="430"/>
      <c r="AB576" s="430"/>
      <c r="AC576" s="430"/>
      <c r="AD576" s="430"/>
      <c r="AE576" s="430"/>
      <c r="AF576" s="430"/>
      <c r="AG576" s="430"/>
      <c r="AH576" s="430"/>
      <c r="AI576" s="430"/>
      <c r="AJ576" s="430"/>
      <c r="AK576" s="430"/>
      <c r="AL576" s="430"/>
      <c r="AM576" s="430"/>
      <c r="AN576" s="430"/>
      <c r="AO576" s="430"/>
      <c r="AP576" s="430"/>
      <c r="AQ576" s="430"/>
      <c r="AR576" s="430"/>
      <c r="AS576" s="430"/>
      <c r="AT576" s="430"/>
      <c r="AU576" s="430"/>
      <c r="AV576" s="430"/>
      <c r="AW576" s="430"/>
      <c r="AX576" s="430"/>
      <c r="AY576" s="430"/>
      <c r="AZ576" s="430"/>
      <c r="BA576" s="430"/>
      <c r="BB576" s="430"/>
      <c r="BC576" s="430"/>
      <c r="BD576" s="430"/>
      <c r="BE576" s="430"/>
    </row>
    <row r="577" spans="1:57" ht="15.75" customHeight="1">
      <c r="A577" s="430"/>
      <c r="B577" s="430"/>
      <c r="C577" s="430"/>
      <c r="D577" s="430"/>
      <c r="E577" s="430"/>
      <c r="F577" s="430"/>
      <c r="G577" s="430"/>
      <c r="H577" s="430"/>
      <c r="I577" s="430"/>
      <c r="J577" s="430"/>
      <c r="K577" s="430"/>
      <c r="L577" s="430"/>
      <c r="M577" s="430"/>
      <c r="N577" s="430"/>
      <c r="O577" s="430"/>
      <c r="P577" s="430"/>
      <c r="Q577" s="430"/>
      <c r="R577" s="430"/>
      <c r="S577" s="430"/>
      <c r="T577" s="430"/>
      <c r="U577" s="430"/>
      <c r="V577" s="430"/>
      <c r="W577" s="430"/>
      <c r="X577" s="430"/>
      <c r="Y577" s="430"/>
      <c r="Z577" s="430"/>
      <c r="AA577" s="430"/>
      <c r="AB577" s="430"/>
      <c r="AC577" s="430"/>
      <c r="AD577" s="430"/>
      <c r="AE577" s="430"/>
      <c r="AF577" s="430"/>
      <c r="AG577" s="430"/>
      <c r="AH577" s="430"/>
      <c r="AI577" s="430"/>
      <c r="AJ577" s="430"/>
      <c r="AK577" s="430"/>
      <c r="AL577" s="430"/>
      <c r="AM577" s="430"/>
      <c r="AN577" s="430"/>
      <c r="AO577" s="430"/>
      <c r="AP577" s="430"/>
      <c r="AQ577" s="430"/>
      <c r="AR577" s="430"/>
      <c r="AS577" s="430"/>
      <c r="AT577" s="430"/>
      <c r="AU577" s="430"/>
      <c r="AV577" s="430"/>
      <c r="AW577" s="430"/>
      <c r="AX577" s="430"/>
      <c r="AY577" s="430"/>
      <c r="AZ577" s="430"/>
      <c r="BA577" s="430"/>
      <c r="BB577" s="430"/>
      <c r="BC577" s="430"/>
      <c r="BD577" s="430"/>
      <c r="BE577" s="430"/>
    </row>
    <row r="578" spans="1:57" ht="15.75" customHeight="1">
      <c r="A578" s="430"/>
      <c r="B578" s="430"/>
      <c r="C578" s="430"/>
      <c r="D578" s="430"/>
      <c r="E578" s="430"/>
      <c r="F578" s="430"/>
      <c r="G578" s="430"/>
      <c r="H578" s="430"/>
      <c r="I578" s="430"/>
      <c r="J578" s="430"/>
      <c r="K578" s="430"/>
      <c r="L578" s="430"/>
      <c r="M578" s="430"/>
      <c r="N578" s="430"/>
      <c r="O578" s="430"/>
      <c r="P578" s="430"/>
      <c r="Q578" s="430"/>
      <c r="R578" s="430"/>
      <c r="S578" s="430"/>
      <c r="T578" s="430"/>
      <c r="U578" s="430"/>
      <c r="V578" s="430"/>
      <c r="W578" s="430"/>
      <c r="X578" s="430"/>
      <c r="Y578" s="430"/>
      <c r="Z578" s="430"/>
      <c r="AA578" s="430"/>
      <c r="AB578" s="430"/>
      <c r="AC578" s="430"/>
      <c r="AD578" s="430"/>
      <c r="AE578" s="430"/>
      <c r="AF578" s="430"/>
      <c r="AG578" s="430"/>
      <c r="AH578" s="430"/>
      <c r="AI578" s="430"/>
      <c r="AJ578" s="430"/>
      <c r="AK578" s="430"/>
      <c r="AL578" s="430"/>
      <c r="AM578" s="430"/>
      <c r="AN578" s="430"/>
      <c r="AO578" s="430"/>
      <c r="AP578" s="430"/>
      <c r="AQ578" s="430"/>
      <c r="AR578" s="430"/>
      <c r="AS578" s="430"/>
      <c r="AT578" s="430"/>
      <c r="AU578" s="430"/>
      <c r="AV578" s="430"/>
      <c r="AW578" s="430"/>
      <c r="AX578" s="430"/>
      <c r="AY578" s="430"/>
      <c r="AZ578" s="430"/>
      <c r="BA578" s="430"/>
      <c r="BB578" s="430"/>
      <c r="BC578" s="430"/>
      <c r="BD578" s="430"/>
      <c r="BE578" s="430"/>
    </row>
    <row r="579" spans="1:57" ht="15.75" customHeight="1">
      <c r="A579" s="430"/>
      <c r="B579" s="430"/>
      <c r="C579" s="430"/>
      <c r="D579" s="430"/>
      <c r="E579" s="430"/>
      <c r="F579" s="430"/>
      <c r="G579" s="430"/>
      <c r="H579" s="430"/>
      <c r="I579" s="430"/>
      <c r="J579" s="430"/>
      <c r="K579" s="430"/>
      <c r="L579" s="430"/>
      <c r="M579" s="430"/>
      <c r="N579" s="430"/>
      <c r="O579" s="430"/>
      <c r="P579" s="430"/>
      <c r="Q579" s="430"/>
      <c r="R579" s="430"/>
      <c r="S579" s="430"/>
      <c r="T579" s="430"/>
      <c r="U579" s="430"/>
      <c r="V579" s="430"/>
      <c r="W579" s="430"/>
      <c r="X579" s="430"/>
      <c r="Y579" s="430"/>
      <c r="Z579" s="430"/>
      <c r="AA579" s="430"/>
      <c r="AB579" s="430"/>
      <c r="AC579" s="430"/>
      <c r="AD579" s="430"/>
      <c r="AE579" s="430"/>
      <c r="AF579" s="430"/>
      <c r="AG579" s="430"/>
      <c r="AH579" s="430"/>
      <c r="AI579" s="430"/>
      <c r="AJ579" s="430"/>
      <c r="AK579" s="430"/>
      <c r="AL579" s="430"/>
      <c r="AM579" s="430"/>
      <c r="AN579" s="430"/>
      <c r="AO579" s="430"/>
      <c r="AP579" s="430"/>
      <c r="AQ579" s="430"/>
      <c r="AR579" s="430"/>
      <c r="AS579" s="430"/>
      <c r="AT579" s="430"/>
      <c r="AU579" s="430"/>
      <c r="AV579" s="430"/>
      <c r="AW579" s="430"/>
      <c r="AX579" s="430"/>
      <c r="AY579" s="430"/>
      <c r="AZ579" s="430"/>
      <c r="BA579" s="430"/>
      <c r="BB579" s="430"/>
      <c r="BC579" s="430"/>
      <c r="BD579" s="430"/>
      <c r="BE579" s="430"/>
    </row>
    <row r="580" spans="1:57" ht="15.75" customHeight="1">
      <c r="A580" s="430"/>
      <c r="B580" s="430"/>
      <c r="C580" s="430"/>
      <c r="D580" s="430"/>
      <c r="E580" s="430"/>
      <c r="F580" s="430"/>
      <c r="G580" s="430"/>
      <c r="H580" s="430"/>
      <c r="I580" s="430"/>
      <c r="J580" s="430"/>
      <c r="K580" s="430"/>
      <c r="L580" s="430"/>
      <c r="M580" s="430"/>
      <c r="N580" s="430"/>
      <c r="O580" s="430"/>
      <c r="P580" s="430"/>
      <c r="Q580" s="430"/>
      <c r="R580" s="430"/>
      <c r="S580" s="430"/>
      <c r="T580" s="430"/>
      <c r="U580" s="430"/>
      <c r="V580" s="430"/>
      <c r="W580" s="430"/>
      <c r="X580" s="430"/>
      <c r="Y580" s="430"/>
      <c r="Z580" s="430"/>
      <c r="AA580" s="430"/>
      <c r="AB580" s="430"/>
      <c r="AC580" s="430"/>
      <c r="AD580" s="430"/>
      <c r="AE580" s="430"/>
      <c r="AF580" s="430"/>
      <c r="AG580" s="430"/>
      <c r="AH580" s="430"/>
      <c r="AI580" s="430"/>
      <c r="AJ580" s="430"/>
      <c r="AK580" s="430"/>
      <c r="AL580" s="430"/>
      <c r="AM580" s="430"/>
      <c r="AN580" s="430"/>
      <c r="AO580" s="430"/>
      <c r="AP580" s="430"/>
      <c r="AQ580" s="430"/>
      <c r="AR580" s="430"/>
      <c r="AS580" s="430"/>
      <c r="AT580" s="430"/>
      <c r="AU580" s="430"/>
      <c r="AV580" s="430"/>
      <c r="AW580" s="430"/>
      <c r="AX580" s="430"/>
      <c r="AY580" s="430"/>
      <c r="AZ580" s="430"/>
      <c r="BA580" s="430"/>
      <c r="BB580" s="430"/>
      <c r="BC580" s="430"/>
      <c r="BD580" s="430"/>
      <c r="BE580" s="430"/>
    </row>
    <row r="581" spans="1:57" ht="15.75" customHeight="1">
      <c r="A581" s="430"/>
      <c r="B581" s="430"/>
      <c r="C581" s="430"/>
      <c r="D581" s="430"/>
      <c r="E581" s="430"/>
      <c r="F581" s="430"/>
      <c r="G581" s="430"/>
      <c r="H581" s="430"/>
      <c r="I581" s="430"/>
      <c r="J581" s="430"/>
      <c r="K581" s="430"/>
      <c r="L581" s="430"/>
      <c r="M581" s="430"/>
      <c r="N581" s="430"/>
      <c r="O581" s="430"/>
      <c r="P581" s="430"/>
      <c r="Q581" s="430"/>
      <c r="R581" s="430"/>
      <c r="S581" s="430"/>
      <c r="T581" s="430"/>
      <c r="U581" s="430"/>
      <c r="V581" s="430"/>
      <c r="W581" s="430"/>
      <c r="X581" s="430"/>
      <c r="Y581" s="430"/>
      <c r="Z581" s="430"/>
      <c r="AA581" s="430"/>
      <c r="AB581" s="430"/>
      <c r="AC581" s="430"/>
      <c r="AD581" s="430"/>
      <c r="AE581" s="430"/>
      <c r="AF581" s="430"/>
      <c r="AG581" s="430"/>
      <c r="AH581" s="430"/>
      <c r="AI581" s="430"/>
      <c r="AJ581" s="430"/>
      <c r="AK581" s="430"/>
      <c r="AL581" s="430"/>
      <c r="AM581" s="430"/>
      <c r="AN581" s="430"/>
      <c r="AO581" s="430"/>
      <c r="AP581" s="430"/>
      <c r="AQ581" s="430"/>
      <c r="AR581" s="430"/>
      <c r="AS581" s="430"/>
      <c r="AT581" s="430"/>
      <c r="AU581" s="430"/>
      <c r="AV581" s="430"/>
      <c r="AW581" s="430"/>
      <c r="AX581" s="430"/>
      <c r="AY581" s="430"/>
      <c r="AZ581" s="430"/>
      <c r="BA581" s="430"/>
      <c r="BB581" s="430"/>
      <c r="BC581" s="430"/>
      <c r="BD581" s="430"/>
      <c r="BE581" s="430"/>
    </row>
    <row r="582" spans="1:57" ht="15.75" customHeight="1">
      <c r="A582" s="430"/>
      <c r="B582" s="430"/>
      <c r="C582" s="430"/>
      <c r="D582" s="430"/>
      <c r="E582" s="430"/>
      <c r="F582" s="430"/>
      <c r="G582" s="430"/>
      <c r="H582" s="430"/>
      <c r="I582" s="430"/>
      <c r="J582" s="430"/>
      <c r="K582" s="430"/>
      <c r="L582" s="430"/>
      <c r="M582" s="430"/>
      <c r="N582" s="430"/>
      <c r="O582" s="430"/>
      <c r="P582" s="430"/>
      <c r="Q582" s="430"/>
      <c r="R582" s="430"/>
      <c r="S582" s="430"/>
      <c r="T582" s="430"/>
      <c r="U582" s="430"/>
      <c r="V582" s="430"/>
      <c r="W582" s="430"/>
      <c r="X582" s="430"/>
      <c r="Y582" s="430"/>
      <c r="Z582" s="430"/>
      <c r="AA582" s="430"/>
      <c r="AB582" s="430"/>
      <c r="AC582" s="430"/>
      <c r="AD582" s="430"/>
      <c r="AE582" s="430"/>
      <c r="AF582" s="430"/>
      <c r="AG582" s="430"/>
      <c r="AH582" s="430"/>
      <c r="AI582" s="430"/>
      <c r="AJ582" s="430"/>
      <c r="AK582" s="430"/>
      <c r="AL582" s="430"/>
      <c r="AM582" s="430"/>
      <c r="AN582" s="430"/>
      <c r="AO582" s="430"/>
      <c r="AP582" s="430"/>
      <c r="AQ582" s="430"/>
      <c r="AR582" s="430"/>
      <c r="AS582" s="430"/>
      <c r="AT582" s="430"/>
      <c r="AU582" s="430"/>
      <c r="AV582" s="430"/>
      <c r="AW582" s="430"/>
      <c r="AX582" s="430"/>
      <c r="AY582" s="430"/>
      <c r="AZ582" s="430"/>
      <c r="BA582" s="430"/>
      <c r="BB582" s="430"/>
      <c r="BC582" s="430"/>
      <c r="BD582" s="430"/>
      <c r="BE582" s="430"/>
    </row>
    <row r="583" spans="1:57" ht="15.75" customHeight="1">
      <c r="A583" s="430"/>
      <c r="B583" s="430"/>
      <c r="C583" s="430"/>
      <c r="D583" s="430"/>
      <c r="E583" s="430"/>
      <c r="F583" s="430"/>
      <c r="G583" s="430"/>
      <c r="H583" s="430"/>
      <c r="I583" s="430"/>
      <c r="J583" s="430"/>
      <c r="K583" s="430"/>
      <c r="L583" s="430"/>
      <c r="M583" s="430"/>
      <c r="N583" s="430"/>
      <c r="O583" s="430"/>
      <c r="P583" s="430"/>
      <c r="Q583" s="430"/>
      <c r="R583" s="430"/>
      <c r="S583" s="430"/>
      <c r="T583" s="430"/>
      <c r="U583" s="430"/>
      <c r="V583" s="430"/>
      <c r="W583" s="430"/>
      <c r="X583" s="430"/>
      <c r="Y583" s="430"/>
      <c r="Z583" s="430"/>
      <c r="AA583" s="430"/>
      <c r="AB583" s="430"/>
      <c r="AC583" s="430"/>
      <c r="AD583" s="430"/>
      <c r="AE583" s="430"/>
      <c r="AF583" s="430"/>
      <c r="AG583" s="430"/>
      <c r="AH583" s="430"/>
      <c r="AI583" s="430"/>
      <c r="AJ583" s="430"/>
      <c r="AK583" s="430"/>
      <c r="AL583" s="430"/>
      <c r="AM583" s="430"/>
      <c r="AN583" s="430"/>
      <c r="AO583" s="430"/>
      <c r="AP583" s="430"/>
      <c r="AQ583" s="430"/>
      <c r="AR583" s="430"/>
      <c r="AS583" s="430"/>
      <c r="AT583" s="430"/>
      <c r="AU583" s="430"/>
      <c r="AV583" s="430"/>
      <c r="AW583" s="430"/>
      <c r="AX583" s="430"/>
      <c r="AY583" s="430"/>
      <c r="AZ583" s="430"/>
      <c r="BA583" s="430"/>
      <c r="BB583" s="430"/>
      <c r="BC583" s="430"/>
      <c r="BD583" s="430"/>
      <c r="BE583" s="430"/>
    </row>
    <row r="584" spans="1:57" ht="15.75" customHeight="1">
      <c r="A584" s="430"/>
      <c r="B584" s="430"/>
      <c r="C584" s="430"/>
      <c r="D584" s="430"/>
      <c r="E584" s="430"/>
      <c r="F584" s="430"/>
      <c r="G584" s="430"/>
      <c r="H584" s="430"/>
      <c r="I584" s="430"/>
      <c r="J584" s="430"/>
      <c r="K584" s="430"/>
      <c r="L584" s="430"/>
      <c r="M584" s="430"/>
      <c r="N584" s="430"/>
      <c r="O584" s="430"/>
      <c r="P584" s="430"/>
      <c r="Q584" s="430"/>
      <c r="R584" s="430"/>
      <c r="S584" s="430"/>
      <c r="T584" s="430"/>
      <c r="U584" s="430"/>
      <c r="V584" s="430"/>
      <c r="W584" s="430"/>
      <c r="X584" s="430"/>
      <c r="Y584" s="430"/>
      <c r="Z584" s="430"/>
      <c r="AA584" s="430"/>
      <c r="AB584" s="430"/>
      <c r="AC584" s="430"/>
      <c r="AD584" s="430"/>
      <c r="AE584" s="430"/>
      <c r="AF584" s="430"/>
      <c r="AG584" s="430"/>
      <c r="AH584" s="430"/>
      <c r="AI584" s="430"/>
      <c r="AJ584" s="430"/>
      <c r="AK584" s="430"/>
      <c r="AL584" s="430"/>
      <c r="AM584" s="430"/>
      <c r="AN584" s="430"/>
      <c r="AO584" s="430"/>
      <c r="AP584" s="430"/>
      <c r="AQ584" s="430"/>
      <c r="AR584" s="430"/>
      <c r="AS584" s="430"/>
      <c r="AT584" s="430"/>
      <c r="AU584" s="430"/>
      <c r="AV584" s="430"/>
      <c r="AW584" s="430"/>
      <c r="AX584" s="430"/>
      <c r="AY584" s="430"/>
      <c r="AZ584" s="430"/>
      <c r="BA584" s="430"/>
      <c r="BB584" s="430"/>
      <c r="BC584" s="430"/>
      <c r="BD584" s="430"/>
      <c r="BE584" s="430"/>
    </row>
    <row r="585" spans="1:57" ht="15.75" customHeight="1">
      <c r="A585" s="430"/>
      <c r="B585" s="430"/>
      <c r="C585" s="430"/>
      <c r="D585" s="430"/>
      <c r="E585" s="430"/>
      <c r="F585" s="430"/>
      <c r="G585" s="430"/>
      <c r="H585" s="430"/>
      <c r="I585" s="430"/>
      <c r="J585" s="430"/>
      <c r="K585" s="430"/>
      <c r="L585" s="430"/>
      <c r="M585" s="430"/>
      <c r="N585" s="430"/>
      <c r="O585" s="430"/>
      <c r="P585" s="430"/>
      <c r="Q585" s="430"/>
      <c r="R585" s="430"/>
      <c r="S585" s="430"/>
      <c r="T585" s="430"/>
      <c r="U585" s="430"/>
      <c r="V585" s="430"/>
      <c r="W585" s="430"/>
      <c r="X585" s="430"/>
      <c r="Y585" s="430"/>
      <c r="Z585" s="430"/>
      <c r="AA585" s="430"/>
      <c r="AB585" s="430"/>
      <c r="AC585" s="430"/>
      <c r="AD585" s="430"/>
      <c r="AE585" s="430"/>
      <c r="AF585" s="430"/>
      <c r="AG585" s="430"/>
      <c r="AH585" s="430"/>
      <c r="AI585" s="430"/>
      <c r="AJ585" s="430"/>
      <c r="AK585" s="430"/>
      <c r="AL585" s="430"/>
      <c r="AM585" s="430"/>
      <c r="AN585" s="430"/>
      <c r="AO585" s="430"/>
      <c r="AP585" s="430"/>
      <c r="AQ585" s="430"/>
      <c r="AR585" s="430"/>
      <c r="AS585" s="430"/>
      <c r="AT585" s="430"/>
      <c r="AU585" s="430"/>
      <c r="AV585" s="430"/>
      <c r="AW585" s="430"/>
      <c r="AX585" s="430"/>
      <c r="AY585" s="430"/>
      <c r="AZ585" s="430"/>
      <c r="BA585" s="430"/>
      <c r="BB585" s="430"/>
      <c r="BC585" s="430"/>
      <c r="BD585" s="430"/>
      <c r="BE585" s="430"/>
    </row>
    <row r="586" spans="1:57" ht="15.75" customHeight="1">
      <c r="A586" s="430"/>
      <c r="B586" s="430"/>
      <c r="C586" s="430"/>
      <c r="D586" s="430"/>
      <c r="E586" s="430"/>
      <c r="F586" s="430"/>
      <c r="G586" s="430"/>
      <c r="H586" s="430"/>
      <c r="I586" s="430"/>
      <c r="J586" s="430"/>
      <c r="K586" s="430"/>
      <c r="L586" s="430"/>
      <c r="M586" s="430"/>
      <c r="N586" s="430"/>
      <c r="O586" s="430"/>
      <c r="P586" s="430"/>
      <c r="Q586" s="430"/>
      <c r="R586" s="430"/>
      <c r="S586" s="430"/>
      <c r="T586" s="430"/>
      <c r="U586" s="430"/>
      <c r="V586" s="430"/>
      <c r="W586" s="430"/>
      <c r="X586" s="430"/>
      <c r="Y586" s="430"/>
      <c r="Z586" s="430"/>
      <c r="AA586" s="430"/>
      <c r="AB586" s="430"/>
      <c r="AC586" s="430"/>
      <c r="AD586" s="430"/>
      <c r="AE586" s="430"/>
      <c r="AF586" s="430"/>
      <c r="AG586" s="430"/>
      <c r="AH586" s="430"/>
      <c r="AI586" s="430"/>
      <c r="AJ586" s="430"/>
      <c r="AK586" s="430"/>
      <c r="AL586" s="430"/>
      <c r="AM586" s="430"/>
      <c r="AN586" s="430"/>
      <c r="AO586" s="430"/>
      <c r="AP586" s="430"/>
      <c r="AQ586" s="430"/>
      <c r="AR586" s="430"/>
      <c r="AS586" s="430"/>
      <c r="AT586" s="430"/>
      <c r="AU586" s="430"/>
      <c r="AV586" s="430"/>
      <c r="AW586" s="430"/>
      <c r="AX586" s="430"/>
      <c r="AY586" s="430"/>
      <c r="AZ586" s="430"/>
      <c r="BA586" s="430"/>
      <c r="BB586" s="430"/>
      <c r="BC586" s="430"/>
      <c r="BD586" s="430"/>
      <c r="BE586" s="430"/>
    </row>
    <row r="587" spans="1:57" ht="15.75" customHeight="1">
      <c r="A587" s="430"/>
      <c r="B587" s="430"/>
      <c r="C587" s="430"/>
      <c r="D587" s="430"/>
      <c r="E587" s="430"/>
      <c r="F587" s="430"/>
      <c r="G587" s="430"/>
      <c r="H587" s="430"/>
      <c r="I587" s="430"/>
      <c r="J587" s="430"/>
      <c r="K587" s="430"/>
      <c r="L587" s="430"/>
      <c r="M587" s="430"/>
      <c r="N587" s="430"/>
      <c r="O587" s="430"/>
      <c r="P587" s="430"/>
      <c r="Q587" s="430"/>
      <c r="R587" s="430"/>
      <c r="S587" s="430"/>
      <c r="T587" s="430"/>
      <c r="U587" s="430"/>
      <c r="V587" s="430"/>
      <c r="W587" s="430"/>
      <c r="X587" s="430"/>
      <c r="Y587" s="430"/>
      <c r="Z587" s="430"/>
      <c r="AA587" s="430"/>
      <c r="AB587" s="430"/>
      <c r="AC587" s="430"/>
      <c r="AD587" s="430"/>
      <c r="AE587" s="430"/>
      <c r="AF587" s="430"/>
      <c r="AG587" s="430"/>
      <c r="AH587" s="430"/>
      <c r="AI587" s="430"/>
      <c r="AJ587" s="430"/>
      <c r="AK587" s="430"/>
      <c r="AL587" s="430"/>
      <c r="AM587" s="430"/>
      <c r="AN587" s="430"/>
      <c r="AO587" s="430"/>
      <c r="AP587" s="430"/>
      <c r="AQ587" s="430"/>
      <c r="AR587" s="430"/>
      <c r="AS587" s="430"/>
      <c r="AT587" s="430"/>
      <c r="AU587" s="430"/>
      <c r="AV587" s="430"/>
      <c r="AW587" s="430"/>
      <c r="AX587" s="430"/>
      <c r="AY587" s="430"/>
      <c r="AZ587" s="430"/>
      <c r="BA587" s="430"/>
      <c r="BB587" s="430"/>
      <c r="BC587" s="430"/>
      <c r="BD587" s="430"/>
      <c r="BE587" s="430"/>
    </row>
    <row r="588" spans="1:57" ht="15.75" customHeight="1">
      <c r="A588" s="430"/>
      <c r="B588" s="430"/>
      <c r="C588" s="430"/>
      <c r="D588" s="430"/>
      <c r="E588" s="430"/>
      <c r="F588" s="430"/>
      <c r="G588" s="430"/>
      <c r="H588" s="430"/>
      <c r="I588" s="430"/>
      <c r="J588" s="430"/>
      <c r="K588" s="430"/>
      <c r="L588" s="430"/>
      <c r="M588" s="430"/>
      <c r="N588" s="430"/>
      <c r="O588" s="430"/>
      <c r="P588" s="430"/>
      <c r="Q588" s="430"/>
      <c r="R588" s="430"/>
      <c r="S588" s="430"/>
      <c r="T588" s="430"/>
      <c r="U588" s="430"/>
      <c r="V588" s="430"/>
      <c r="W588" s="430"/>
      <c r="X588" s="430"/>
      <c r="Y588" s="430"/>
      <c r="Z588" s="430"/>
      <c r="AA588" s="430"/>
      <c r="AB588" s="430"/>
      <c r="AC588" s="430"/>
      <c r="AD588" s="430"/>
      <c r="AE588" s="430"/>
      <c r="AF588" s="430"/>
      <c r="AG588" s="430"/>
      <c r="AH588" s="430"/>
      <c r="AI588" s="430"/>
      <c r="AJ588" s="430"/>
      <c r="AK588" s="430"/>
      <c r="AL588" s="430"/>
      <c r="AM588" s="430"/>
      <c r="AN588" s="430"/>
      <c r="AO588" s="430"/>
      <c r="AP588" s="430"/>
      <c r="AQ588" s="430"/>
      <c r="AR588" s="430"/>
      <c r="AS588" s="430"/>
      <c r="AT588" s="430"/>
      <c r="AU588" s="430"/>
      <c r="AV588" s="430"/>
      <c r="AW588" s="430"/>
      <c r="AX588" s="430"/>
      <c r="AY588" s="430"/>
      <c r="AZ588" s="430"/>
      <c r="BA588" s="430"/>
      <c r="BB588" s="430"/>
      <c r="BC588" s="430"/>
      <c r="BD588" s="430"/>
      <c r="BE588" s="430"/>
    </row>
    <row r="589" spans="1:57" ht="15.75" customHeight="1">
      <c r="A589" s="430"/>
      <c r="B589" s="430"/>
      <c r="C589" s="430"/>
      <c r="D589" s="430"/>
      <c r="E589" s="430"/>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0"/>
      <c r="AY589" s="430"/>
      <c r="AZ589" s="430"/>
      <c r="BA589" s="430"/>
      <c r="BB589" s="430"/>
      <c r="BC589" s="430"/>
      <c r="BD589" s="430"/>
      <c r="BE589" s="430"/>
    </row>
    <row r="590" spans="1:57" ht="15.75" customHeight="1">
      <c r="A590" s="430"/>
      <c r="B590" s="430"/>
      <c r="C590" s="430"/>
      <c r="D590" s="430"/>
      <c r="E590" s="430"/>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30"/>
      <c r="AY590" s="430"/>
      <c r="AZ590" s="430"/>
      <c r="BA590" s="430"/>
      <c r="BB590" s="430"/>
      <c r="BC590" s="430"/>
      <c r="BD590" s="430"/>
      <c r="BE590" s="430"/>
    </row>
    <row r="591" spans="1:57" ht="15.75" customHeight="1">
      <c r="A591" s="430"/>
      <c r="B591" s="430"/>
      <c r="C591" s="430"/>
      <c r="D591" s="430"/>
      <c r="E591" s="430"/>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30"/>
      <c r="AY591" s="430"/>
      <c r="AZ591" s="430"/>
      <c r="BA591" s="430"/>
      <c r="BB591" s="430"/>
      <c r="BC591" s="430"/>
      <c r="BD591" s="430"/>
      <c r="BE591" s="430"/>
    </row>
    <row r="592" spans="1:57" ht="15.75" customHeight="1">
      <c r="A592" s="430"/>
      <c r="B592" s="430"/>
      <c r="C592" s="430"/>
      <c r="D592" s="430"/>
      <c r="E592" s="430"/>
      <c r="F592" s="430"/>
      <c r="G592" s="430"/>
      <c r="H592" s="430"/>
      <c r="I592" s="430"/>
      <c r="J592" s="430"/>
      <c r="K592" s="430"/>
      <c r="L592" s="430"/>
      <c r="M592" s="430"/>
      <c r="N592" s="430"/>
      <c r="O592" s="430"/>
      <c r="P592" s="430"/>
      <c r="Q592" s="430"/>
      <c r="R592" s="430"/>
      <c r="S592" s="430"/>
      <c r="T592" s="430"/>
      <c r="U592" s="430"/>
      <c r="V592" s="430"/>
      <c r="W592" s="430"/>
      <c r="X592" s="430"/>
      <c r="Y592" s="430"/>
      <c r="Z592" s="430"/>
      <c r="AA592" s="430"/>
      <c r="AB592" s="430"/>
      <c r="AC592" s="430"/>
      <c r="AD592" s="430"/>
      <c r="AE592" s="430"/>
      <c r="AF592" s="430"/>
      <c r="AG592" s="430"/>
      <c r="AH592" s="430"/>
      <c r="AI592" s="430"/>
      <c r="AJ592" s="430"/>
      <c r="AK592" s="430"/>
      <c r="AL592" s="430"/>
      <c r="AM592" s="430"/>
      <c r="AN592" s="430"/>
      <c r="AO592" s="430"/>
      <c r="AP592" s="430"/>
      <c r="AQ592" s="430"/>
      <c r="AR592" s="430"/>
      <c r="AS592" s="430"/>
      <c r="AT592" s="430"/>
      <c r="AU592" s="430"/>
      <c r="AV592" s="430"/>
      <c r="AW592" s="430"/>
      <c r="AX592" s="430"/>
      <c r="AY592" s="430"/>
      <c r="AZ592" s="430"/>
      <c r="BA592" s="430"/>
      <c r="BB592" s="430"/>
      <c r="BC592" s="430"/>
      <c r="BD592" s="430"/>
      <c r="BE592" s="430"/>
    </row>
    <row r="593" spans="1:57" ht="15.75" customHeight="1">
      <c r="A593" s="430"/>
      <c r="B593" s="430"/>
      <c r="C593" s="430"/>
      <c r="D593" s="430"/>
      <c r="E593" s="430"/>
      <c r="F593" s="430"/>
      <c r="G593" s="430"/>
      <c r="H593" s="430"/>
      <c r="I593" s="430"/>
      <c r="J593" s="430"/>
      <c r="K593" s="430"/>
      <c r="L593" s="430"/>
      <c r="M593" s="430"/>
      <c r="N593" s="430"/>
      <c r="O593" s="430"/>
      <c r="P593" s="430"/>
      <c r="Q593" s="430"/>
      <c r="R593" s="430"/>
      <c r="S593" s="430"/>
      <c r="T593" s="430"/>
      <c r="U593" s="430"/>
      <c r="V593" s="430"/>
      <c r="W593" s="430"/>
      <c r="X593" s="430"/>
      <c r="Y593" s="430"/>
      <c r="Z593" s="430"/>
      <c r="AA593" s="430"/>
      <c r="AB593" s="430"/>
      <c r="AC593" s="430"/>
      <c r="AD593" s="430"/>
      <c r="AE593" s="430"/>
      <c r="AF593" s="430"/>
      <c r="AG593" s="430"/>
      <c r="AH593" s="430"/>
      <c r="AI593" s="430"/>
      <c r="AJ593" s="430"/>
      <c r="AK593" s="430"/>
      <c r="AL593" s="430"/>
      <c r="AM593" s="430"/>
      <c r="AN593" s="430"/>
      <c r="AO593" s="430"/>
      <c r="AP593" s="430"/>
      <c r="AQ593" s="430"/>
      <c r="AR593" s="430"/>
      <c r="AS593" s="430"/>
      <c r="AT593" s="430"/>
      <c r="AU593" s="430"/>
      <c r="AV593" s="430"/>
      <c r="AW593" s="430"/>
      <c r="AX593" s="430"/>
      <c r="AY593" s="430"/>
      <c r="AZ593" s="430"/>
      <c r="BA593" s="430"/>
      <c r="BB593" s="430"/>
      <c r="BC593" s="430"/>
      <c r="BD593" s="430"/>
      <c r="BE593" s="430"/>
    </row>
    <row r="594" spans="1:57" ht="15.75" customHeight="1">
      <c r="A594" s="430"/>
      <c r="B594" s="430"/>
      <c r="C594" s="430"/>
      <c r="D594" s="430"/>
      <c r="E594" s="430"/>
      <c r="F594" s="430"/>
      <c r="G594" s="430"/>
      <c r="H594" s="430"/>
      <c r="I594" s="430"/>
      <c r="J594" s="430"/>
      <c r="K594" s="430"/>
      <c r="L594" s="430"/>
      <c r="M594" s="430"/>
      <c r="N594" s="430"/>
      <c r="O594" s="430"/>
      <c r="P594" s="430"/>
      <c r="Q594" s="430"/>
      <c r="R594" s="430"/>
      <c r="S594" s="430"/>
      <c r="T594" s="430"/>
      <c r="U594" s="430"/>
      <c r="V594" s="430"/>
      <c r="W594" s="430"/>
      <c r="X594" s="430"/>
      <c r="Y594" s="430"/>
      <c r="Z594" s="430"/>
      <c r="AA594" s="430"/>
      <c r="AB594" s="430"/>
      <c r="AC594" s="430"/>
      <c r="AD594" s="430"/>
      <c r="AE594" s="430"/>
      <c r="AF594" s="430"/>
      <c r="AG594" s="430"/>
      <c r="AH594" s="430"/>
      <c r="AI594" s="430"/>
      <c r="AJ594" s="430"/>
      <c r="AK594" s="430"/>
      <c r="AL594" s="430"/>
      <c r="AM594" s="430"/>
      <c r="AN594" s="430"/>
      <c r="AO594" s="430"/>
      <c r="AP594" s="430"/>
      <c r="AQ594" s="430"/>
      <c r="AR594" s="430"/>
      <c r="AS594" s="430"/>
      <c r="AT594" s="430"/>
      <c r="AU594" s="430"/>
      <c r="AV594" s="430"/>
      <c r="AW594" s="430"/>
      <c r="AX594" s="430"/>
      <c r="AY594" s="430"/>
      <c r="AZ594" s="430"/>
      <c r="BA594" s="430"/>
      <c r="BB594" s="430"/>
      <c r="BC594" s="430"/>
      <c r="BD594" s="430"/>
      <c r="BE594" s="430"/>
    </row>
    <row r="595" spans="1:57" ht="15.75" customHeight="1">
      <c r="A595" s="430"/>
      <c r="B595" s="430"/>
      <c r="C595" s="430"/>
      <c r="D595" s="430"/>
      <c r="E595" s="430"/>
      <c r="F595" s="430"/>
      <c r="G595" s="430"/>
      <c r="H595" s="430"/>
      <c r="I595" s="430"/>
      <c r="J595" s="430"/>
      <c r="K595" s="430"/>
      <c r="L595" s="430"/>
      <c r="M595" s="430"/>
      <c r="N595" s="430"/>
      <c r="O595" s="430"/>
      <c r="P595" s="430"/>
      <c r="Q595" s="430"/>
      <c r="R595" s="430"/>
      <c r="S595" s="430"/>
      <c r="T595" s="430"/>
      <c r="U595" s="430"/>
      <c r="V595" s="430"/>
      <c r="W595" s="430"/>
      <c r="X595" s="430"/>
      <c r="Y595" s="430"/>
      <c r="Z595" s="430"/>
      <c r="AA595" s="430"/>
      <c r="AB595" s="430"/>
      <c r="AC595" s="430"/>
      <c r="AD595" s="430"/>
      <c r="AE595" s="430"/>
      <c r="AF595" s="430"/>
      <c r="AG595" s="430"/>
      <c r="AH595" s="430"/>
      <c r="AI595" s="430"/>
      <c r="AJ595" s="430"/>
      <c r="AK595" s="430"/>
      <c r="AL595" s="430"/>
      <c r="AM595" s="430"/>
      <c r="AN595" s="430"/>
      <c r="AO595" s="430"/>
      <c r="AP595" s="430"/>
      <c r="AQ595" s="430"/>
      <c r="AR595" s="430"/>
      <c r="AS595" s="430"/>
      <c r="AT595" s="430"/>
      <c r="AU595" s="430"/>
      <c r="AV595" s="430"/>
      <c r="AW595" s="430"/>
      <c r="AX595" s="430"/>
      <c r="AY595" s="430"/>
      <c r="AZ595" s="430"/>
      <c r="BA595" s="430"/>
      <c r="BB595" s="430"/>
      <c r="BC595" s="430"/>
      <c r="BD595" s="430"/>
      <c r="BE595" s="430"/>
    </row>
    <row r="596" spans="1:57" ht="15.75" customHeight="1">
      <c r="A596" s="430"/>
      <c r="B596" s="430"/>
      <c r="C596" s="430"/>
      <c r="D596" s="430"/>
      <c r="E596" s="430"/>
      <c r="F596" s="430"/>
      <c r="G596" s="430"/>
      <c r="H596" s="430"/>
      <c r="I596" s="430"/>
      <c r="J596" s="430"/>
      <c r="K596" s="430"/>
      <c r="L596" s="430"/>
      <c r="M596" s="430"/>
      <c r="N596" s="430"/>
      <c r="O596" s="430"/>
      <c r="P596" s="430"/>
      <c r="Q596" s="430"/>
      <c r="R596" s="430"/>
      <c r="S596" s="430"/>
      <c r="T596" s="430"/>
      <c r="U596" s="430"/>
      <c r="V596" s="430"/>
      <c r="W596" s="430"/>
      <c r="X596" s="430"/>
      <c r="Y596" s="430"/>
      <c r="Z596" s="430"/>
      <c r="AA596" s="430"/>
      <c r="AB596" s="430"/>
      <c r="AC596" s="430"/>
      <c r="AD596" s="430"/>
      <c r="AE596" s="430"/>
      <c r="AF596" s="430"/>
      <c r="AG596" s="430"/>
      <c r="AH596" s="430"/>
      <c r="AI596" s="430"/>
      <c r="AJ596" s="430"/>
      <c r="AK596" s="430"/>
      <c r="AL596" s="430"/>
      <c r="AM596" s="430"/>
      <c r="AN596" s="430"/>
      <c r="AO596" s="430"/>
      <c r="AP596" s="430"/>
      <c r="AQ596" s="430"/>
      <c r="AR596" s="430"/>
      <c r="AS596" s="430"/>
      <c r="AT596" s="430"/>
      <c r="AU596" s="430"/>
      <c r="AV596" s="430"/>
      <c r="AW596" s="430"/>
      <c r="AX596" s="430"/>
      <c r="AY596" s="430"/>
      <c r="AZ596" s="430"/>
      <c r="BA596" s="430"/>
      <c r="BB596" s="430"/>
      <c r="BC596" s="430"/>
      <c r="BD596" s="430"/>
      <c r="BE596" s="430"/>
    </row>
    <row r="597" spans="1:57" ht="15.75" customHeight="1">
      <c r="A597" s="430"/>
      <c r="B597" s="430"/>
      <c r="C597" s="430"/>
      <c r="D597" s="430"/>
      <c r="E597" s="430"/>
      <c r="F597" s="430"/>
      <c r="G597" s="430"/>
      <c r="H597" s="430"/>
      <c r="I597" s="430"/>
      <c r="J597" s="430"/>
      <c r="K597" s="430"/>
      <c r="L597" s="430"/>
      <c r="M597" s="430"/>
      <c r="N597" s="430"/>
      <c r="O597" s="430"/>
      <c r="P597" s="430"/>
      <c r="Q597" s="430"/>
      <c r="R597" s="430"/>
      <c r="S597" s="430"/>
      <c r="T597" s="430"/>
      <c r="U597" s="430"/>
      <c r="V597" s="430"/>
      <c r="W597" s="430"/>
      <c r="X597" s="430"/>
      <c r="Y597" s="430"/>
      <c r="Z597" s="430"/>
      <c r="AA597" s="430"/>
      <c r="AB597" s="430"/>
      <c r="AC597" s="430"/>
      <c r="AD597" s="430"/>
      <c r="AE597" s="430"/>
      <c r="AF597" s="430"/>
      <c r="AG597" s="430"/>
      <c r="AH597" s="430"/>
      <c r="AI597" s="430"/>
      <c r="AJ597" s="430"/>
      <c r="AK597" s="430"/>
      <c r="AL597" s="430"/>
      <c r="AM597" s="430"/>
      <c r="AN597" s="430"/>
      <c r="AO597" s="430"/>
      <c r="AP597" s="430"/>
      <c r="AQ597" s="430"/>
      <c r="AR597" s="430"/>
      <c r="AS597" s="430"/>
      <c r="AT597" s="430"/>
      <c r="AU597" s="430"/>
      <c r="AV597" s="430"/>
      <c r="AW597" s="430"/>
      <c r="AX597" s="430"/>
      <c r="AY597" s="430"/>
      <c r="AZ597" s="430"/>
      <c r="BA597" s="430"/>
      <c r="BB597" s="430"/>
      <c r="BC597" s="430"/>
      <c r="BD597" s="430"/>
      <c r="BE597" s="430"/>
    </row>
    <row r="598" spans="1:57" ht="15.75" customHeight="1">
      <c r="A598" s="430"/>
      <c r="B598" s="430"/>
      <c r="C598" s="430"/>
      <c r="D598" s="430"/>
      <c r="E598" s="430"/>
      <c r="F598" s="430"/>
      <c r="G598" s="430"/>
      <c r="H598" s="430"/>
      <c r="I598" s="430"/>
      <c r="J598" s="430"/>
      <c r="K598" s="430"/>
      <c r="L598" s="430"/>
      <c r="M598" s="430"/>
      <c r="N598" s="430"/>
      <c r="O598" s="430"/>
      <c r="P598" s="430"/>
      <c r="Q598" s="430"/>
      <c r="R598" s="430"/>
      <c r="S598" s="430"/>
      <c r="T598" s="430"/>
      <c r="U598" s="430"/>
      <c r="V598" s="430"/>
      <c r="W598" s="430"/>
      <c r="X598" s="430"/>
      <c r="Y598" s="430"/>
      <c r="Z598" s="430"/>
      <c r="AA598" s="430"/>
      <c r="AB598" s="430"/>
      <c r="AC598" s="430"/>
      <c r="AD598" s="430"/>
      <c r="AE598" s="430"/>
      <c r="AF598" s="430"/>
      <c r="AG598" s="430"/>
      <c r="AH598" s="430"/>
      <c r="AI598" s="430"/>
      <c r="AJ598" s="430"/>
      <c r="AK598" s="430"/>
      <c r="AL598" s="430"/>
      <c r="AM598" s="430"/>
      <c r="AN598" s="430"/>
      <c r="AO598" s="430"/>
      <c r="AP598" s="430"/>
      <c r="AQ598" s="430"/>
      <c r="AR598" s="430"/>
      <c r="AS598" s="430"/>
      <c r="AT598" s="430"/>
      <c r="AU598" s="430"/>
      <c r="AV598" s="430"/>
      <c r="AW598" s="430"/>
      <c r="AX598" s="430"/>
      <c r="AY598" s="430"/>
      <c r="AZ598" s="430"/>
      <c r="BA598" s="430"/>
      <c r="BB598" s="430"/>
      <c r="BC598" s="430"/>
      <c r="BD598" s="430"/>
      <c r="BE598" s="430"/>
    </row>
    <row r="599" spans="1:57" ht="15.75" customHeight="1">
      <c r="A599" s="430"/>
      <c r="B599" s="430"/>
      <c r="C599" s="430"/>
      <c r="D599" s="430"/>
      <c r="E599" s="430"/>
      <c r="F599" s="430"/>
      <c r="G599" s="430"/>
      <c r="H599" s="430"/>
      <c r="I599" s="430"/>
      <c r="J599" s="430"/>
      <c r="K599" s="430"/>
      <c r="L599" s="430"/>
      <c r="M599" s="430"/>
      <c r="N599" s="430"/>
      <c r="O599" s="430"/>
      <c r="P599" s="430"/>
      <c r="Q599" s="430"/>
      <c r="R599" s="430"/>
      <c r="S599" s="430"/>
      <c r="T599" s="430"/>
      <c r="U599" s="430"/>
      <c r="V599" s="430"/>
      <c r="W599" s="430"/>
      <c r="X599" s="430"/>
      <c r="Y599" s="430"/>
      <c r="Z599" s="430"/>
      <c r="AA599" s="430"/>
      <c r="AB599" s="430"/>
      <c r="AC599" s="430"/>
      <c r="AD599" s="430"/>
      <c r="AE599" s="430"/>
      <c r="AF599" s="430"/>
      <c r="AG599" s="430"/>
      <c r="AH599" s="430"/>
      <c r="AI599" s="430"/>
      <c r="AJ599" s="430"/>
      <c r="AK599" s="430"/>
      <c r="AL599" s="430"/>
      <c r="AM599" s="430"/>
      <c r="AN599" s="430"/>
      <c r="AO599" s="430"/>
      <c r="AP599" s="430"/>
      <c r="AQ599" s="430"/>
      <c r="AR599" s="430"/>
      <c r="AS599" s="430"/>
      <c r="AT599" s="430"/>
      <c r="AU599" s="430"/>
      <c r="AV599" s="430"/>
      <c r="AW599" s="430"/>
      <c r="AX599" s="430"/>
      <c r="AY599" s="430"/>
      <c r="AZ599" s="430"/>
      <c r="BA599" s="430"/>
      <c r="BB599" s="430"/>
      <c r="BC599" s="430"/>
      <c r="BD599" s="430"/>
      <c r="BE599" s="430"/>
    </row>
    <row r="600" spans="1:57" ht="15.75" customHeight="1">
      <c r="A600" s="430"/>
      <c r="B600" s="430"/>
      <c r="C600" s="430"/>
      <c r="D600" s="430"/>
      <c r="E600" s="430"/>
      <c r="F600" s="430"/>
      <c r="G600" s="430"/>
      <c r="H600" s="430"/>
      <c r="I600" s="430"/>
      <c r="J600" s="430"/>
      <c r="K600" s="430"/>
      <c r="L600" s="430"/>
      <c r="M600" s="430"/>
      <c r="N600" s="430"/>
      <c r="O600" s="430"/>
      <c r="P600" s="430"/>
      <c r="Q600" s="430"/>
      <c r="R600" s="430"/>
      <c r="S600" s="430"/>
      <c r="T600" s="430"/>
      <c r="U600" s="430"/>
      <c r="V600" s="430"/>
      <c r="W600" s="430"/>
      <c r="X600" s="430"/>
      <c r="Y600" s="430"/>
      <c r="Z600" s="430"/>
      <c r="AA600" s="430"/>
      <c r="AB600" s="430"/>
      <c r="AC600" s="430"/>
      <c r="AD600" s="430"/>
      <c r="AE600" s="430"/>
      <c r="AF600" s="430"/>
      <c r="AG600" s="430"/>
      <c r="AH600" s="430"/>
      <c r="AI600" s="430"/>
      <c r="AJ600" s="430"/>
      <c r="AK600" s="430"/>
      <c r="AL600" s="430"/>
      <c r="AM600" s="430"/>
      <c r="AN600" s="430"/>
      <c r="AO600" s="430"/>
      <c r="AP600" s="430"/>
      <c r="AQ600" s="430"/>
      <c r="AR600" s="430"/>
      <c r="AS600" s="430"/>
      <c r="AT600" s="430"/>
      <c r="AU600" s="430"/>
      <c r="AV600" s="430"/>
      <c r="AW600" s="430"/>
      <c r="AX600" s="430"/>
      <c r="AY600" s="430"/>
      <c r="AZ600" s="430"/>
      <c r="BA600" s="430"/>
      <c r="BB600" s="430"/>
      <c r="BC600" s="430"/>
      <c r="BD600" s="430"/>
      <c r="BE600" s="430"/>
    </row>
    <row r="601" spans="1:57" ht="15.75" customHeight="1">
      <c r="A601" s="430"/>
      <c r="B601" s="430"/>
      <c r="C601" s="430"/>
      <c r="D601" s="430"/>
      <c r="E601" s="430"/>
      <c r="F601" s="430"/>
      <c r="G601" s="430"/>
      <c r="H601" s="430"/>
      <c r="I601" s="430"/>
      <c r="J601" s="430"/>
      <c r="K601" s="430"/>
      <c r="L601" s="430"/>
      <c r="M601" s="430"/>
      <c r="N601" s="430"/>
      <c r="O601" s="430"/>
      <c r="P601" s="430"/>
      <c r="Q601" s="430"/>
      <c r="R601" s="430"/>
      <c r="S601" s="430"/>
      <c r="T601" s="430"/>
      <c r="U601" s="430"/>
      <c r="V601" s="430"/>
      <c r="W601" s="430"/>
      <c r="X601" s="430"/>
      <c r="Y601" s="430"/>
      <c r="Z601" s="430"/>
      <c r="AA601" s="430"/>
      <c r="AB601" s="430"/>
      <c r="AC601" s="430"/>
      <c r="AD601" s="430"/>
      <c r="AE601" s="430"/>
      <c r="AF601" s="430"/>
      <c r="AG601" s="430"/>
      <c r="AH601" s="430"/>
      <c r="AI601" s="430"/>
      <c r="AJ601" s="430"/>
      <c r="AK601" s="430"/>
      <c r="AL601" s="430"/>
      <c r="AM601" s="430"/>
      <c r="AN601" s="430"/>
      <c r="AO601" s="430"/>
      <c r="AP601" s="430"/>
      <c r="AQ601" s="430"/>
      <c r="AR601" s="430"/>
      <c r="AS601" s="430"/>
      <c r="AT601" s="430"/>
      <c r="AU601" s="430"/>
      <c r="AV601" s="430"/>
      <c r="AW601" s="430"/>
      <c r="AX601" s="430"/>
      <c r="AY601" s="430"/>
      <c r="AZ601" s="430"/>
      <c r="BA601" s="430"/>
      <c r="BB601" s="430"/>
      <c r="BC601" s="430"/>
      <c r="BD601" s="430"/>
      <c r="BE601" s="430"/>
    </row>
    <row r="602" spans="1:57" ht="15.75" customHeight="1">
      <c r="A602" s="430"/>
      <c r="B602" s="430"/>
      <c r="C602" s="430"/>
      <c r="D602" s="430"/>
      <c r="E602" s="430"/>
      <c r="F602" s="430"/>
      <c r="G602" s="430"/>
      <c r="H602" s="430"/>
      <c r="I602" s="430"/>
      <c r="J602" s="430"/>
      <c r="K602" s="430"/>
      <c r="L602" s="430"/>
      <c r="M602" s="430"/>
      <c r="N602" s="430"/>
      <c r="O602" s="430"/>
      <c r="P602" s="430"/>
      <c r="Q602" s="430"/>
      <c r="R602" s="430"/>
      <c r="S602" s="430"/>
      <c r="T602" s="430"/>
      <c r="U602" s="430"/>
      <c r="V602" s="430"/>
      <c r="W602" s="430"/>
      <c r="X602" s="430"/>
      <c r="Y602" s="430"/>
      <c r="Z602" s="430"/>
      <c r="AA602" s="430"/>
      <c r="AB602" s="430"/>
      <c r="AC602" s="430"/>
      <c r="AD602" s="430"/>
      <c r="AE602" s="430"/>
      <c r="AF602" s="430"/>
      <c r="AG602" s="430"/>
      <c r="AH602" s="430"/>
      <c r="AI602" s="430"/>
      <c r="AJ602" s="430"/>
      <c r="AK602" s="430"/>
      <c r="AL602" s="430"/>
      <c r="AM602" s="430"/>
      <c r="AN602" s="430"/>
      <c r="AO602" s="430"/>
      <c r="AP602" s="430"/>
      <c r="AQ602" s="430"/>
      <c r="AR602" s="430"/>
      <c r="AS602" s="430"/>
      <c r="AT602" s="430"/>
      <c r="AU602" s="430"/>
      <c r="AV602" s="430"/>
      <c r="AW602" s="430"/>
      <c r="AX602" s="430"/>
      <c r="AY602" s="430"/>
      <c r="AZ602" s="430"/>
      <c r="BA602" s="430"/>
      <c r="BB602" s="430"/>
      <c r="BC602" s="430"/>
      <c r="BD602" s="430"/>
      <c r="BE602" s="430"/>
    </row>
    <row r="603" spans="1:57" ht="15.75" customHeight="1">
      <c r="A603" s="430"/>
      <c r="B603" s="430"/>
      <c r="C603" s="430"/>
      <c r="D603" s="430"/>
      <c r="E603" s="430"/>
      <c r="F603" s="430"/>
      <c r="G603" s="430"/>
      <c r="H603" s="430"/>
      <c r="I603" s="430"/>
      <c r="J603" s="430"/>
      <c r="K603" s="430"/>
      <c r="L603" s="430"/>
      <c r="M603" s="430"/>
      <c r="N603" s="430"/>
      <c r="O603" s="430"/>
      <c r="P603" s="430"/>
      <c r="Q603" s="430"/>
      <c r="R603" s="430"/>
      <c r="S603" s="430"/>
      <c r="T603" s="430"/>
      <c r="U603" s="430"/>
      <c r="V603" s="430"/>
      <c r="W603" s="430"/>
      <c r="X603" s="430"/>
      <c r="Y603" s="430"/>
      <c r="Z603" s="430"/>
      <c r="AA603" s="430"/>
      <c r="AB603" s="430"/>
      <c r="AC603" s="430"/>
      <c r="AD603" s="430"/>
      <c r="AE603" s="430"/>
      <c r="AF603" s="430"/>
      <c r="AG603" s="430"/>
      <c r="AH603" s="430"/>
      <c r="AI603" s="430"/>
      <c r="AJ603" s="430"/>
      <c r="AK603" s="430"/>
      <c r="AL603" s="430"/>
      <c r="AM603" s="430"/>
      <c r="AN603" s="430"/>
      <c r="AO603" s="430"/>
      <c r="AP603" s="430"/>
      <c r="AQ603" s="430"/>
      <c r="AR603" s="430"/>
      <c r="AS603" s="430"/>
      <c r="AT603" s="430"/>
      <c r="AU603" s="430"/>
      <c r="AV603" s="430"/>
      <c r="AW603" s="430"/>
      <c r="AX603" s="430"/>
      <c r="AY603" s="430"/>
      <c r="AZ603" s="430"/>
      <c r="BA603" s="430"/>
      <c r="BB603" s="430"/>
      <c r="BC603" s="430"/>
      <c r="BD603" s="430"/>
      <c r="BE603" s="430"/>
    </row>
    <row r="604" spans="1:57" ht="15.75" customHeight="1">
      <c r="A604" s="430"/>
      <c r="B604" s="430"/>
      <c r="C604" s="430"/>
      <c r="D604" s="430"/>
      <c r="E604" s="430"/>
      <c r="F604" s="430"/>
      <c r="G604" s="430"/>
      <c r="H604" s="430"/>
      <c r="I604" s="430"/>
      <c r="J604" s="430"/>
      <c r="K604" s="430"/>
      <c r="L604" s="430"/>
      <c r="M604" s="430"/>
      <c r="N604" s="430"/>
      <c r="O604" s="430"/>
      <c r="P604" s="430"/>
      <c r="Q604" s="430"/>
      <c r="R604" s="430"/>
      <c r="S604" s="430"/>
      <c r="T604" s="430"/>
      <c r="U604" s="430"/>
      <c r="V604" s="430"/>
      <c r="W604" s="430"/>
      <c r="X604" s="430"/>
      <c r="Y604" s="430"/>
      <c r="Z604" s="430"/>
      <c r="AA604" s="430"/>
      <c r="AB604" s="430"/>
      <c r="AC604" s="430"/>
      <c r="AD604" s="430"/>
      <c r="AE604" s="430"/>
      <c r="AF604" s="430"/>
      <c r="AG604" s="430"/>
      <c r="AH604" s="430"/>
      <c r="AI604" s="430"/>
      <c r="AJ604" s="430"/>
      <c r="AK604" s="430"/>
      <c r="AL604" s="430"/>
      <c r="AM604" s="430"/>
      <c r="AN604" s="430"/>
      <c r="AO604" s="430"/>
      <c r="AP604" s="430"/>
      <c r="AQ604" s="430"/>
      <c r="AR604" s="430"/>
      <c r="AS604" s="430"/>
      <c r="AT604" s="430"/>
      <c r="AU604" s="430"/>
      <c r="AV604" s="430"/>
      <c r="AW604" s="430"/>
      <c r="AX604" s="430"/>
      <c r="AY604" s="430"/>
      <c r="AZ604" s="430"/>
      <c r="BA604" s="430"/>
      <c r="BB604" s="430"/>
      <c r="BC604" s="430"/>
      <c r="BD604" s="430"/>
      <c r="BE604" s="430"/>
    </row>
    <row r="605" spans="1:57" ht="15.75" customHeight="1">
      <c r="A605" s="430"/>
      <c r="B605" s="430"/>
      <c r="C605" s="430"/>
      <c r="D605" s="430"/>
      <c r="E605" s="430"/>
      <c r="F605" s="430"/>
      <c r="G605" s="430"/>
      <c r="H605" s="430"/>
      <c r="I605" s="430"/>
      <c r="J605" s="430"/>
      <c r="K605" s="430"/>
      <c r="L605" s="430"/>
      <c r="M605" s="430"/>
      <c r="N605" s="430"/>
      <c r="O605" s="430"/>
      <c r="P605" s="430"/>
      <c r="Q605" s="430"/>
      <c r="R605" s="430"/>
      <c r="S605" s="430"/>
      <c r="T605" s="430"/>
      <c r="U605" s="430"/>
      <c r="V605" s="430"/>
      <c r="W605" s="430"/>
      <c r="X605" s="430"/>
      <c r="Y605" s="430"/>
      <c r="Z605" s="430"/>
      <c r="AA605" s="430"/>
      <c r="AB605" s="430"/>
      <c r="AC605" s="430"/>
      <c r="AD605" s="430"/>
      <c r="AE605" s="430"/>
      <c r="AF605" s="430"/>
      <c r="AG605" s="430"/>
      <c r="AH605" s="430"/>
      <c r="AI605" s="430"/>
      <c r="AJ605" s="430"/>
      <c r="AK605" s="430"/>
      <c r="AL605" s="430"/>
      <c r="AM605" s="430"/>
      <c r="AN605" s="430"/>
      <c r="AO605" s="430"/>
      <c r="AP605" s="430"/>
      <c r="AQ605" s="430"/>
      <c r="AR605" s="430"/>
      <c r="AS605" s="430"/>
      <c r="AT605" s="430"/>
      <c r="AU605" s="430"/>
      <c r="AV605" s="430"/>
      <c r="AW605" s="430"/>
      <c r="AX605" s="430"/>
      <c r="AY605" s="430"/>
      <c r="AZ605" s="430"/>
      <c r="BA605" s="430"/>
      <c r="BB605" s="430"/>
      <c r="BC605" s="430"/>
      <c r="BD605" s="430"/>
      <c r="BE605" s="430"/>
    </row>
    <row r="606" spans="1:57" ht="15.75" customHeight="1">
      <c r="A606" s="430"/>
      <c r="B606" s="430"/>
      <c r="C606" s="430"/>
      <c r="D606" s="430"/>
      <c r="E606" s="430"/>
      <c r="F606" s="430"/>
      <c r="G606" s="430"/>
      <c r="H606" s="430"/>
      <c r="I606" s="430"/>
      <c r="J606" s="430"/>
      <c r="K606" s="430"/>
      <c r="L606" s="430"/>
      <c r="M606" s="430"/>
      <c r="N606" s="430"/>
      <c r="O606" s="430"/>
      <c r="P606" s="430"/>
      <c r="Q606" s="430"/>
      <c r="R606" s="430"/>
      <c r="S606" s="430"/>
      <c r="T606" s="430"/>
      <c r="U606" s="430"/>
      <c r="V606" s="430"/>
      <c r="W606" s="430"/>
      <c r="X606" s="430"/>
      <c r="Y606" s="430"/>
      <c r="Z606" s="430"/>
      <c r="AA606" s="430"/>
      <c r="AB606" s="430"/>
      <c r="AC606" s="430"/>
      <c r="AD606" s="430"/>
      <c r="AE606" s="430"/>
      <c r="AF606" s="430"/>
      <c r="AG606" s="430"/>
      <c r="AH606" s="430"/>
      <c r="AI606" s="430"/>
      <c r="AJ606" s="430"/>
      <c r="AK606" s="430"/>
      <c r="AL606" s="430"/>
      <c r="AM606" s="430"/>
      <c r="AN606" s="430"/>
      <c r="AO606" s="430"/>
      <c r="AP606" s="430"/>
      <c r="AQ606" s="430"/>
      <c r="AR606" s="430"/>
      <c r="AS606" s="430"/>
      <c r="AT606" s="430"/>
      <c r="AU606" s="430"/>
      <c r="AV606" s="430"/>
      <c r="AW606" s="430"/>
      <c r="AX606" s="430"/>
      <c r="AY606" s="430"/>
      <c r="AZ606" s="430"/>
      <c r="BA606" s="430"/>
      <c r="BB606" s="430"/>
      <c r="BC606" s="430"/>
      <c r="BD606" s="430"/>
      <c r="BE606" s="430"/>
    </row>
    <row r="607" spans="1:57" ht="15.75" customHeight="1">
      <c r="A607" s="430"/>
      <c r="B607" s="430"/>
      <c r="C607" s="430"/>
      <c r="D607" s="430"/>
      <c r="E607" s="430"/>
      <c r="F607" s="430"/>
      <c r="G607" s="430"/>
      <c r="H607" s="430"/>
      <c r="I607" s="430"/>
      <c r="J607" s="430"/>
      <c r="K607" s="430"/>
      <c r="L607" s="430"/>
      <c r="M607" s="430"/>
      <c r="N607" s="430"/>
      <c r="O607" s="430"/>
      <c r="P607" s="430"/>
      <c r="Q607" s="430"/>
      <c r="R607" s="430"/>
      <c r="S607" s="430"/>
      <c r="T607" s="430"/>
      <c r="U607" s="430"/>
      <c r="V607" s="430"/>
      <c r="W607" s="430"/>
      <c r="X607" s="430"/>
      <c r="Y607" s="430"/>
      <c r="Z607" s="430"/>
      <c r="AA607" s="430"/>
      <c r="AB607" s="430"/>
      <c r="AC607" s="430"/>
      <c r="AD607" s="430"/>
      <c r="AE607" s="430"/>
      <c r="AF607" s="430"/>
      <c r="AG607" s="430"/>
      <c r="AH607" s="430"/>
      <c r="AI607" s="430"/>
      <c r="AJ607" s="430"/>
      <c r="AK607" s="430"/>
      <c r="AL607" s="430"/>
      <c r="AM607" s="430"/>
      <c r="AN607" s="430"/>
      <c r="AO607" s="430"/>
      <c r="AP607" s="430"/>
      <c r="AQ607" s="430"/>
      <c r="AR607" s="430"/>
      <c r="AS607" s="430"/>
      <c r="AT607" s="430"/>
      <c r="AU607" s="430"/>
      <c r="AV607" s="430"/>
      <c r="AW607" s="430"/>
      <c r="AX607" s="430"/>
      <c r="AY607" s="430"/>
      <c r="AZ607" s="430"/>
      <c r="BA607" s="430"/>
      <c r="BB607" s="430"/>
      <c r="BC607" s="430"/>
      <c r="BD607" s="430"/>
      <c r="BE607" s="430"/>
    </row>
    <row r="608" spans="1:57" ht="15.75" customHeight="1">
      <c r="A608" s="430"/>
      <c r="B608" s="430"/>
      <c r="C608" s="430"/>
      <c r="D608" s="430"/>
      <c r="E608" s="430"/>
      <c r="F608" s="430"/>
      <c r="G608" s="430"/>
      <c r="H608" s="430"/>
      <c r="I608" s="430"/>
      <c r="J608" s="430"/>
      <c r="K608" s="430"/>
      <c r="L608" s="430"/>
      <c r="M608" s="430"/>
      <c r="N608" s="430"/>
      <c r="O608" s="430"/>
      <c r="P608" s="430"/>
      <c r="Q608" s="430"/>
      <c r="R608" s="430"/>
      <c r="S608" s="430"/>
      <c r="T608" s="430"/>
      <c r="U608" s="430"/>
      <c r="V608" s="430"/>
      <c r="W608" s="430"/>
      <c r="X608" s="430"/>
      <c r="Y608" s="430"/>
      <c r="Z608" s="430"/>
      <c r="AA608" s="430"/>
      <c r="AB608" s="430"/>
      <c r="AC608" s="430"/>
      <c r="AD608" s="430"/>
      <c r="AE608" s="430"/>
      <c r="AF608" s="430"/>
      <c r="AG608" s="430"/>
      <c r="AH608" s="430"/>
      <c r="AI608" s="430"/>
      <c r="AJ608" s="430"/>
      <c r="AK608" s="430"/>
      <c r="AL608" s="430"/>
      <c r="AM608" s="430"/>
      <c r="AN608" s="430"/>
      <c r="AO608" s="430"/>
      <c r="AP608" s="430"/>
      <c r="AQ608" s="430"/>
      <c r="AR608" s="430"/>
      <c r="AS608" s="430"/>
      <c r="AT608" s="430"/>
      <c r="AU608" s="430"/>
      <c r="AV608" s="430"/>
      <c r="AW608" s="430"/>
      <c r="AX608" s="430"/>
      <c r="AY608" s="430"/>
      <c r="AZ608" s="430"/>
      <c r="BA608" s="430"/>
      <c r="BB608" s="430"/>
      <c r="BC608" s="430"/>
      <c r="BD608" s="430"/>
      <c r="BE608" s="430"/>
    </row>
    <row r="609" spans="1:57" ht="15.75" customHeight="1">
      <c r="A609" s="430"/>
      <c r="B609" s="430"/>
      <c r="C609" s="430"/>
      <c r="D609" s="430"/>
      <c r="E609" s="430"/>
      <c r="F609" s="430"/>
      <c r="G609" s="430"/>
      <c r="H609" s="430"/>
      <c r="I609" s="430"/>
      <c r="J609" s="430"/>
      <c r="K609" s="430"/>
      <c r="L609" s="430"/>
      <c r="M609" s="430"/>
      <c r="N609" s="430"/>
      <c r="O609" s="430"/>
      <c r="P609" s="430"/>
      <c r="Q609" s="430"/>
      <c r="R609" s="430"/>
      <c r="S609" s="430"/>
      <c r="T609" s="430"/>
      <c r="U609" s="430"/>
      <c r="V609" s="430"/>
      <c r="W609" s="430"/>
      <c r="X609" s="430"/>
      <c r="Y609" s="430"/>
      <c r="Z609" s="430"/>
      <c r="AA609" s="430"/>
      <c r="AB609" s="430"/>
      <c r="AC609" s="430"/>
      <c r="AD609" s="430"/>
      <c r="AE609" s="430"/>
      <c r="AF609" s="430"/>
      <c r="AG609" s="430"/>
      <c r="AH609" s="430"/>
      <c r="AI609" s="430"/>
      <c r="AJ609" s="430"/>
      <c r="AK609" s="430"/>
      <c r="AL609" s="430"/>
      <c r="AM609" s="430"/>
      <c r="AN609" s="430"/>
      <c r="AO609" s="430"/>
      <c r="AP609" s="430"/>
      <c r="AQ609" s="430"/>
      <c r="AR609" s="430"/>
      <c r="AS609" s="430"/>
      <c r="AT609" s="430"/>
      <c r="AU609" s="430"/>
      <c r="AV609" s="430"/>
      <c r="AW609" s="430"/>
      <c r="AX609" s="430"/>
      <c r="AY609" s="430"/>
      <c r="AZ609" s="430"/>
      <c r="BA609" s="430"/>
      <c r="BB609" s="430"/>
      <c r="BC609" s="430"/>
      <c r="BD609" s="430"/>
      <c r="BE609" s="430"/>
    </row>
    <row r="610" spans="1:57" ht="15.75" customHeight="1">
      <c r="A610" s="430"/>
      <c r="B610" s="430"/>
      <c r="C610" s="430"/>
      <c r="D610" s="430"/>
      <c r="E610" s="430"/>
      <c r="F610" s="430"/>
      <c r="G610" s="430"/>
      <c r="H610" s="430"/>
      <c r="I610" s="430"/>
      <c r="J610" s="430"/>
      <c r="K610" s="430"/>
      <c r="L610" s="430"/>
      <c r="M610" s="430"/>
      <c r="N610" s="430"/>
      <c r="O610" s="430"/>
      <c r="P610" s="430"/>
      <c r="Q610" s="430"/>
      <c r="R610" s="430"/>
      <c r="S610" s="430"/>
      <c r="T610" s="430"/>
      <c r="U610" s="430"/>
      <c r="V610" s="430"/>
      <c r="W610" s="430"/>
      <c r="X610" s="430"/>
      <c r="Y610" s="430"/>
      <c r="Z610" s="430"/>
      <c r="AA610" s="430"/>
      <c r="AB610" s="430"/>
      <c r="AC610" s="430"/>
      <c r="AD610" s="430"/>
      <c r="AE610" s="430"/>
      <c r="AF610" s="430"/>
      <c r="AG610" s="430"/>
      <c r="AH610" s="430"/>
      <c r="AI610" s="430"/>
      <c r="AJ610" s="430"/>
      <c r="AK610" s="430"/>
      <c r="AL610" s="430"/>
      <c r="AM610" s="430"/>
      <c r="AN610" s="430"/>
      <c r="AO610" s="430"/>
      <c r="AP610" s="430"/>
      <c r="AQ610" s="430"/>
      <c r="AR610" s="430"/>
      <c r="AS610" s="430"/>
      <c r="AT610" s="430"/>
      <c r="AU610" s="430"/>
      <c r="AV610" s="430"/>
      <c r="AW610" s="430"/>
      <c r="AX610" s="430"/>
      <c r="AY610" s="430"/>
      <c r="AZ610" s="430"/>
      <c r="BA610" s="430"/>
      <c r="BB610" s="430"/>
      <c r="BC610" s="430"/>
      <c r="BD610" s="430"/>
      <c r="BE610" s="430"/>
    </row>
    <row r="611" spans="1:57" ht="15.75" customHeight="1">
      <c r="A611" s="430"/>
      <c r="B611" s="430"/>
      <c r="C611" s="430"/>
      <c r="D611" s="430"/>
      <c r="E611" s="430"/>
      <c r="F611" s="430"/>
      <c r="G611" s="430"/>
      <c r="H611" s="430"/>
      <c r="I611" s="430"/>
      <c r="J611" s="430"/>
      <c r="K611" s="430"/>
      <c r="L611" s="430"/>
      <c r="M611" s="430"/>
      <c r="N611" s="430"/>
      <c r="O611" s="430"/>
      <c r="P611" s="430"/>
      <c r="Q611" s="430"/>
      <c r="R611" s="430"/>
      <c r="S611" s="430"/>
      <c r="T611" s="430"/>
      <c r="U611" s="430"/>
      <c r="V611" s="430"/>
      <c r="W611" s="430"/>
      <c r="X611" s="430"/>
      <c r="Y611" s="430"/>
      <c r="Z611" s="430"/>
      <c r="AA611" s="430"/>
      <c r="AB611" s="430"/>
      <c r="AC611" s="430"/>
      <c r="AD611" s="430"/>
      <c r="AE611" s="430"/>
      <c r="AF611" s="430"/>
      <c r="AG611" s="430"/>
      <c r="AH611" s="430"/>
      <c r="AI611" s="430"/>
      <c r="AJ611" s="430"/>
      <c r="AK611" s="430"/>
      <c r="AL611" s="430"/>
      <c r="AM611" s="430"/>
      <c r="AN611" s="430"/>
      <c r="AO611" s="430"/>
      <c r="AP611" s="430"/>
      <c r="AQ611" s="430"/>
      <c r="AR611" s="430"/>
      <c r="AS611" s="430"/>
      <c r="AT611" s="430"/>
      <c r="AU611" s="430"/>
      <c r="AV611" s="430"/>
      <c r="AW611" s="430"/>
      <c r="AX611" s="430"/>
      <c r="AY611" s="430"/>
      <c r="AZ611" s="430"/>
      <c r="BA611" s="430"/>
      <c r="BB611" s="430"/>
      <c r="BC611" s="430"/>
      <c r="BD611" s="430"/>
      <c r="BE611" s="430"/>
    </row>
    <row r="612" spans="1:57" ht="15.75" customHeight="1">
      <c r="A612" s="430"/>
      <c r="B612" s="430"/>
      <c r="C612" s="430"/>
      <c r="D612" s="430"/>
      <c r="E612" s="430"/>
      <c r="F612" s="430"/>
      <c r="G612" s="430"/>
      <c r="H612" s="430"/>
      <c r="I612" s="430"/>
      <c r="J612" s="430"/>
      <c r="K612" s="430"/>
      <c r="L612" s="430"/>
      <c r="M612" s="430"/>
      <c r="N612" s="430"/>
      <c r="O612" s="430"/>
      <c r="P612" s="430"/>
      <c r="Q612" s="430"/>
      <c r="R612" s="430"/>
      <c r="S612" s="430"/>
      <c r="T612" s="430"/>
      <c r="U612" s="430"/>
      <c r="V612" s="430"/>
      <c r="W612" s="430"/>
      <c r="X612" s="430"/>
      <c r="Y612" s="430"/>
      <c r="Z612" s="430"/>
      <c r="AA612" s="430"/>
      <c r="AB612" s="430"/>
      <c r="AC612" s="430"/>
      <c r="AD612" s="430"/>
      <c r="AE612" s="430"/>
      <c r="AF612" s="430"/>
      <c r="AG612" s="430"/>
      <c r="AH612" s="430"/>
      <c r="AI612" s="430"/>
      <c r="AJ612" s="430"/>
      <c r="AK612" s="430"/>
      <c r="AL612" s="430"/>
      <c r="AM612" s="430"/>
      <c r="AN612" s="430"/>
      <c r="AO612" s="430"/>
      <c r="AP612" s="430"/>
      <c r="AQ612" s="430"/>
      <c r="AR612" s="430"/>
      <c r="AS612" s="430"/>
      <c r="AT612" s="430"/>
      <c r="AU612" s="430"/>
      <c r="AV612" s="430"/>
      <c r="AW612" s="430"/>
      <c r="AX612" s="430"/>
      <c r="AY612" s="430"/>
      <c r="AZ612" s="430"/>
      <c r="BA612" s="430"/>
      <c r="BB612" s="430"/>
      <c r="BC612" s="430"/>
      <c r="BD612" s="430"/>
      <c r="BE612" s="430"/>
    </row>
    <row r="613" spans="1:57" ht="15.75" customHeight="1">
      <c r="A613" s="430"/>
      <c r="B613" s="430"/>
      <c r="C613" s="430"/>
      <c r="D613" s="430"/>
      <c r="E613" s="430"/>
      <c r="F613" s="430"/>
      <c r="G613" s="430"/>
      <c r="H613" s="430"/>
      <c r="I613" s="430"/>
      <c r="J613" s="430"/>
      <c r="K613" s="430"/>
      <c r="L613" s="430"/>
      <c r="M613" s="430"/>
      <c r="N613" s="430"/>
      <c r="O613" s="430"/>
      <c r="P613" s="430"/>
      <c r="Q613" s="430"/>
      <c r="R613" s="430"/>
      <c r="S613" s="430"/>
      <c r="T613" s="430"/>
      <c r="U613" s="430"/>
      <c r="V613" s="430"/>
      <c r="W613" s="430"/>
      <c r="X613" s="430"/>
      <c r="Y613" s="430"/>
      <c r="Z613" s="430"/>
      <c r="AA613" s="430"/>
      <c r="AB613" s="430"/>
      <c r="AC613" s="430"/>
      <c r="AD613" s="430"/>
      <c r="AE613" s="430"/>
      <c r="AF613" s="430"/>
      <c r="AG613" s="430"/>
      <c r="AH613" s="430"/>
      <c r="AI613" s="430"/>
      <c r="AJ613" s="430"/>
      <c r="AK613" s="430"/>
      <c r="AL613" s="430"/>
      <c r="AM613" s="430"/>
      <c r="AN613" s="430"/>
      <c r="AO613" s="430"/>
      <c r="AP613" s="430"/>
      <c r="AQ613" s="430"/>
      <c r="AR613" s="430"/>
      <c r="AS613" s="430"/>
      <c r="AT613" s="430"/>
      <c r="AU613" s="430"/>
      <c r="AV613" s="430"/>
      <c r="AW613" s="430"/>
      <c r="AX613" s="430"/>
      <c r="AY613" s="430"/>
      <c r="AZ613" s="430"/>
      <c r="BA613" s="430"/>
      <c r="BB613" s="430"/>
      <c r="BC613" s="430"/>
      <c r="BD613" s="430"/>
      <c r="BE613" s="430"/>
    </row>
    <row r="614" spans="1:57" ht="15.75" customHeight="1">
      <c r="A614" s="430"/>
      <c r="B614" s="430"/>
      <c r="C614" s="430"/>
      <c r="D614" s="430"/>
      <c r="E614" s="430"/>
      <c r="F614" s="430"/>
      <c r="G614" s="430"/>
      <c r="H614" s="430"/>
      <c r="I614" s="430"/>
      <c r="J614" s="430"/>
      <c r="K614" s="430"/>
      <c r="L614" s="430"/>
      <c r="M614" s="430"/>
      <c r="N614" s="430"/>
      <c r="O614" s="430"/>
      <c r="P614" s="430"/>
      <c r="Q614" s="430"/>
      <c r="R614" s="430"/>
      <c r="S614" s="430"/>
      <c r="T614" s="430"/>
      <c r="U614" s="430"/>
      <c r="V614" s="430"/>
      <c r="W614" s="430"/>
      <c r="X614" s="430"/>
      <c r="Y614" s="430"/>
      <c r="Z614" s="430"/>
      <c r="AA614" s="430"/>
      <c r="AB614" s="430"/>
      <c r="AC614" s="430"/>
      <c r="AD614" s="430"/>
      <c r="AE614" s="430"/>
      <c r="AF614" s="430"/>
      <c r="AG614" s="430"/>
      <c r="AH614" s="430"/>
      <c r="AI614" s="430"/>
      <c r="AJ614" s="430"/>
      <c r="AK614" s="430"/>
      <c r="AL614" s="430"/>
      <c r="AM614" s="430"/>
      <c r="AN614" s="430"/>
      <c r="AO614" s="430"/>
      <c r="AP614" s="430"/>
      <c r="AQ614" s="430"/>
      <c r="AR614" s="430"/>
      <c r="AS614" s="430"/>
      <c r="AT614" s="430"/>
      <c r="AU614" s="430"/>
      <c r="AV614" s="430"/>
      <c r="AW614" s="430"/>
      <c r="AX614" s="430"/>
      <c r="AY614" s="430"/>
      <c r="AZ614" s="430"/>
      <c r="BA614" s="430"/>
      <c r="BB614" s="430"/>
      <c r="BC614" s="430"/>
      <c r="BD614" s="430"/>
      <c r="BE614" s="430"/>
    </row>
    <row r="615" spans="1:57" ht="15.75" customHeight="1">
      <c r="A615" s="430"/>
      <c r="B615" s="430"/>
      <c r="C615" s="430"/>
      <c r="D615" s="430"/>
      <c r="E615" s="430"/>
      <c r="F615" s="430"/>
      <c r="G615" s="430"/>
      <c r="H615" s="430"/>
      <c r="I615" s="430"/>
      <c r="J615" s="430"/>
      <c r="K615" s="430"/>
      <c r="L615" s="430"/>
      <c r="M615" s="430"/>
      <c r="N615" s="430"/>
      <c r="O615" s="430"/>
      <c r="P615" s="430"/>
      <c r="Q615" s="430"/>
      <c r="R615" s="430"/>
      <c r="S615" s="430"/>
      <c r="T615" s="430"/>
      <c r="U615" s="430"/>
      <c r="V615" s="430"/>
      <c r="W615" s="430"/>
      <c r="X615" s="430"/>
      <c r="Y615" s="430"/>
      <c r="Z615" s="430"/>
      <c r="AA615" s="430"/>
      <c r="AB615" s="430"/>
      <c r="AC615" s="430"/>
      <c r="AD615" s="430"/>
      <c r="AE615" s="430"/>
      <c r="AF615" s="430"/>
      <c r="AG615" s="430"/>
      <c r="AH615" s="430"/>
      <c r="AI615" s="430"/>
      <c r="AJ615" s="430"/>
      <c r="AK615" s="430"/>
      <c r="AL615" s="430"/>
      <c r="AM615" s="430"/>
      <c r="AN615" s="430"/>
      <c r="AO615" s="430"/>
      <c r="AP615" s="430"/>
      <c r="AQ615" s="430"/>
      <c r="AR615" s="430"/>
      <c r="AS615" s="430"/>
      <c r="AT615" s="430"/>
      <c r="AU615" s="430"/>
      <c r="AV615" s="430"/>
      <c r="AW615" s="430"/>
      <c r="AX615" s="430"/>
      <c r="AY615" s="430"/>
      <c r="AZ615" s="430"/>
      <c r="BA615" s="430"/>
      <c r="BB615" s="430"/>
      <c r="BC615" s="430"/>
      <c r="BD615" s="430"/>
      <c r="BE615" s="430"/>
    </row>
    <row r="616" spans="1:57" ht="15.75" customHeight="1">
      <c r="A616" s="430"/>
      <c r="B616" s="430"/>
      <c r="C616" s="430"/>
      <c r="D616" s="430"/>
      <c r="E616" s="430"/>
      <c r="F616" s="430"/>
      <c r="G616" s="430"/>
      <c r="H616" s="430"/>
      <c r="I616" s="430"/>
      <c r="J616" s="430"/>
      <c r="K616" s="430"/>
      <c r="L616" s="430"/>
      <c r="M616" s="430"/>
      <c r="N616" s="430"/>
      <c r="O616" s="430"/>
      <c r="P616" s="430"/>
      <c r="Q616" s="430"/>
      <c r="R616" s="430"/>
      <c r="S616" s="430"/>
      <c r="T616" s="430"/>
      <c r="U616" s="430"/>
      <c r="V616" s="430"/>
      <c r="W616" s="430"/>
      <c r="X616" s="430"/>
      <c r="Y616" s="430"/>
      <c r="Z616" s="430"/>
      <c r="AA616" s="430"/>
      <c r="AB616" s="430"/>
      <c r="AC616" s="430"/>
      <c r="AD616" s="430"/>
      <c r="AE616" s="430"/>
      <c r="AF616" s="430"/>
      <c r="AG616" s="430"/>
      <c r="AH616" s="430"/>
      <c r="AI616" s="430"/>
      <c r="AJ616" s="430"/>
      <c r="AK616" s="430"/>
      <c r="AL616" s="430"/>
      <c r="AM616" s="430"/>
      <c r="AN616" s="430"/>
      <c r="AO616" s="430"/>
      <c r="AP616" s="430"/>
      <c r="AQ616" s="430"/>
      <c r="AR616" s="430"/>
      <c r="AS616" s="430"/>
      <c r="AT616" s="430"/>
      <c r="AU616" s="430"/>
      <c r="AV616" s="430"/>
      <c r="AW616" s="430"/>
      <c r="AX616" s="430"/>
      <c r="AY616" s="430"/>
      <c r="AZ616" s="430"/>
      <c r="BA616" s="430"/>
      <c r="BB616" s="430"/>
      <c r="BC616" s="430"/>
      <c r="BD616" s="430"/>
      <c r="BE616" s="430"/>
    </row>
    <row r="617" spans="1:57" ht="15.75" customHeight="1">
      <c r="A617" s="430"/>
      <c r="B617" s="430"/>
      <c r="C617" s="430"/>
      <c r="D617" s="430"/>
      <c r="E617" s="430"/>
      <c r="F617" s="430"/>
      <c r="G617" s="430"/>
      <c r="H617" s="430"/>
      <c r="I617" s="430"/>
      <c r="J617" s="430"/>
      <c r="K617" s="430"/>
      <c r="L617" s="430"/>
      <c r="M617" s="430"/>
      <c r="N617" s="430"/>
      <c r="O617" s="430"/>
      <c r="P617" s="430"/>
      <c r="Q617" s="430"/>
      <c r="R617" s="430"/>
      <c r="S617" s="430"/>
      <c r="T617" s="430"/>
      <c r="U617" s="430"/>
      <c r="V617" s="430"/>
      <c r="W617" s="430"/>
      <c r="X617" s="430"/>
      <c r="Y617" s="430"/>
      <c r="Z617" s="430"/>
      <c r="AA617" s="430"/>
      <c r="AB617" s="430"/>
      <c r="AC617" s="430"/>
      <c r="AD617" s="430"/>
      <c r="AE617" s="430"/>
      <c r="AF617" s="430"/>
      <c r="AG617" s="430"/>
      <c r="AH617" s="430"/>
      <c r="AI617" s="430"/>
      <c r="AJ617" s="430"/>
      <c r="AK617" s="430"/>
      <c r="AL617" s="430"/>
      <c r="AM617" s="430"/>
      <c r="AN617" s="430"/>
      <c r="AO617" s="430"/>
      <c r="AP617" s="430"/>
      <c r="AQ617" s="430"/>
      <c r="AR617" s="430"/>
      <c r="AS617" s="430"/>
      <c r="AT617" s="430"/>
      <c r="AU617" s="430"/>
      <c r="AV617" s="430"/>
      <c r="AW617" s="430"/>
      <c r="AX617" s="430"/>
      <c r="AY617" s="430"/>
      <c r="AZ617" s="430"/>
      <c r="BA617" s="430"/>
      <c r="BB617" s="430"/>
      <c r="BC617" s="430"/>
      <c r="BD617" s="430"/>
      <c r="BE617" s="430"/>
    </row>
    <row r="618" spans="1:57" ht="15.75" customHeight="1">
      <c r="A618" s="430"/>
      <c r="B618" s="430"/>
      <c r="C618" s="430"/>
      <c r="D618" s="430"/>
      <c r="E618" s="430"/>
      <c r="F618" s="430"/>
      <c r="G618" s="430"/>
      <c r="H618" s="430"/>
      <c r="I618" s="430"/>
      <c r="J618" s="430"/>
      <c r="K618" s="430"/>
      <c r="L618" s="430"/>
      <c r="M618" s="430"/>
      <c r="N618" s="430"/>
      <c r="O618" s="430"/>
      <c r="P618" s="430"/>
      <c r="Q618" s="430"/>
      <c r="R618" s="430"/>
      <c r="S618" s="430"/>
      <c r="T618" s="430"/>
      <c r="U618" s="430"/>
      <c r="V618" s="430"/>
      <c r="W618" s="430"/>
      <c r="X618" s="430"/>
      <c r="Y618" s="430"/>
      <c r="Z618" s="430"/>
      <c r="AA618" s="430"/>
      <c r="AB618" s="430"/>
      <c r="AC618" s="430"/>
      <c r="AD618" s="430"/>
      <c r="AE618" s="430"/>
      <c r="AF618" s="430"/>
      <c r="AG618" s="430"/>
      <c r="AH618" s="430"/>
      <c r="AI618" s="430"/>
      <c r="AJ618" s="430"/>
      <c r="AK618" s="430"/>
      <c r="AL618" s="430"/>
      <c r="AM618" s="430"/>
      <c r="AN618" s="430"/>
      <c r="AO618" s="430"/>
      <c r="AP618" s="430"/>
      <c r="AQ618" s="430"/>
      <c r="AR618" s="430"/>
      <c r="AS618" s="430"/>
      <c r="AT618" s="430"/>
      <c r="AU618" s="430"/>
      <c r="AV618" s="430"/>
      <c r="AW618" s="430"/>
      <c r="AX618" s="430"/>
      <c r="AY618" s="430"/>
      <c r="AZ618" s="430"/>
      <c r="BA618" s="430"/>
      <c r="BB618" s="430"/>
      <c r="BC618" s="430"/>
      <c r="BD618" s="430"/>
      <c r="BE618" s="430"/>
    </row>
    <row r="619" spans="1:57" ht="15.75" customHeight="1">
      <c r="A619" s="430"/>
      <c r="B619" s="430"/>
      <c r="C619" s="430"/>
      <c r="D619" s="430"/>
      <c r="E619" s="430"/>
      <c r="F619" s="430"/>
      <c r="G619" s="430"/>
      <c r="H619" s="430"/>
      <c r="I619" s="430"/>
      <c r="J619" s="430"/>
      <c r="K619" s="430"/>
      <c r="L619" s="430"/>
      <c r="M619" s="430"/>
      <c r="N619" s="430"/>
      <c r="O619" s="430"/>
      <c r="P619" s="430"/>
      <c r="Q619" s="430"/>
      <c r="R619" s="430"/>
      <c r="S619" s="430"/>
      <c r="T619" s="430"/>
      <c r="U619" s="430"/>
      <c r="V619" s="430"/>
      <c r="W619" s="430"/>
      <c r="X619" s="430"/>
      <c r="Y619" s="430"/>
      <c r="Z619" s="430"/>
      <c r="AA619" s="430"/>
      <c r="AB619" s="430"/>
      <c r="AC619" s="430"/>
      <c r="AD619" s="430"/>
      <c r="AE619" s="430"/>
      <c r="AF619" s="430"/>
      <c r="AG619" s="430"/>
      <c r="AH619" s="430"/>
      <c r="AI619" s="430"/>
      <c r="AJ619" s="430"/>
      <c r="AK619" s="430"/>
      <c r="AL619" s="430"/>
      <c r="AM619" s="430"/>
      <c r="AN619" s="430"/>
      <c r="AO619" s="430"/>
      <c r="AP619" s="430"/>
      <c r="AQ619" s="430"/>
      <c r="AR619" s="430"/>
      <c r="AS619" s="430"/>
      <c r="AT619" s="430"/>
      <c r="AU619" s="430"/>
      <c r="AV619" s="430"/>
      <c r="AW619" s="430"/>
      <c r="AX619" s="430"/>
      <c r="AY619" s="430"/>
      <c r="AZ619" s="430"/>
      <c r="BA619" s="430"/>
      <c r="BB619" s="430"/>
      <c r="BC619" s="430"/>
      <c r="BD619" s="430"/>
      <c r="BE619" s="430"/>
    </row>
    <row r="620" spans="1:57" ht="15.75" customHeight="1">
      <c r="A620" s="430"/>
      <c r="B620" s="430"/>
      <c r="C620" s="430"/>
      <c r="D620" s="430"/>
      <c r="E620" s="430"/>
      <c r="F620" s="430"/>
      <c r="G620" s="430"/>
      <c r="H620" s="430"/>
      <c r="I620" s="430"/>
      <c r="J620" s="430"/>
      <c r="K620" s="430"/>
      <c r="L620" s="430"/>
      <c r="M620" s="430"/>
      <c r="N620" s="430"/>
      <c r="O620" s="430"/>
      <c r="P620" s="430"/>
      <c r="Q620" s="430"/>
      <c r="R620" s="430"/>
      <c r="S620" s="430"/>
      <c r="T620" s="430"/>
      <c r="U620" s="430"/>
      <c r="V620" s="430"/>
      <c r="W620" s="430"/>
      <c r="X620" s="430"/>
      <c r="Y620" s="430"/>
      <c r="Z620" s="430"/>
      <c r="AA620" s="430"/>
      <c r="AB620" s="430"/>
      <c r="AC620" s="430"/>
      <c r="AD620" s="430"/>
      <c r="AE620" s="430"/>
      <c r="AF620" s="430"/>
      <c r="AG620" s="430"/>
      <c r="AH620" s="430"/>
      <c r="AI620" s="430"/>
      <c r="AJ620" s="430"/>
      <c r="AK620" s="430"/>
      <c r="AL620" s="430"/>
      <c r="AM620" s="430"/>
      <c r="AN620" s="430"/>
      <c r="AO620" s="430"/>
      <c r="AP620" s="430"/>
      <c r="AQ620" s="430"/>
      <c r="AR620" s="430"/>
      <c r="AS620" s="430"/>
      <c r="AT620" s="430"/>
      <c r="AU620" s="430"/>
      <c r="AV620" s="430"/>
      <c r="AW620" s="430"/>
      <c r="AX620" s="430"/>
      <c r="AY620" s="430"/>
      <c r="AZ620" s="430"/>
      <c r="BA620" s="430"/>
      <c r="BB620" s="430"/>
      <c r="BC620" s="430"/>
      <c r="BD620" s="430"/>
      <c r="BE620" s="430"/>
    </row>
    <row r="621" spans="1:57" ht="15.75" customHeight="1">
      <c r="A621" s="430"/>
      <c r="B621" s="430"/>
      <c r="C621" s="430"/>
      <c r="D621" s="430"/>
      <c r="E621" s="430"/>
      <c r="F621" s="430"/>
      <c r="G621" s="430"/>
      <c r="H621" s="430"/>
      <c r="I621" s="430"/>
      <c r="J621" s="430"/>
      <c r="K621" s="430"/>
      <c r="L621" s="430"/>
      <c r="M621" s="430"/>
      <c r="N621" s="430"/>
      <c r="O621" s="430"/>
      <c r="P621" s="430"/>
      <c r="Q621" s="430"/>
      <c r="R621" s="430"/>
      <c r="S621" s="430"/>
      <c r="T621" s="430"/>
      <c r="U621" s="430"/>
      <c r="V621" s="430"/>
      <c r="W621" s="430"/>
      <c r="X621" s="430"/>
      <c r="Y621" s="430"/>
      <c r="Z621" s="430"/>
      <c r="AA621" s="430"/>
      <c r="AB621" s="430"/>
      <c r="AC621" s="430"/>
      <c r="AD621" s="430"/>
      <c r="AE621" s="430"/>
      <c r="AF621" s="430"/>
      <c r="AG621" s="430"/>
      <c r="AH621" s="430"/>
      <c r="AI621" s="430"/>
      <c r="AJ621" s="430"/>
      <c r="AK621" s="430"/>
      <c r="AL621" s="430"/>
      <c r="AM621" s="430"/>
      <c r="AN621" s="430"/>
      <c r="AO621" s="430"/>
      <c r="AP621" s="430"/>
      <c r="AQ621" s="430"/>
      <c r="AR621" s="430"/>
      <c r="AS621" s="430"/>
      <c r="AT621" s="430"/>
      <c r="AU621" s="430"/>
      <c r="AV621" s="430"/>
      <c r="AW621" s="430"/>
      <c r="AX621" s="430"/>
      <c r="AY621" s="430"/>
      <c r="AZ621" s="430"/>
      <c r="BA621" s="430"/>
      <c r="BB621" s="430"/>
      <c r="BC621" s="430"/>
      <c r="BD621" s="430"/>
      <c r="BE621" s="430"/>
    </row>
    <row r="622" spans="1:57" ht="15.75" customHeight="1">
      <c r="A622" s="430"/>
      <c r="B622" s="430"/>
      <c r="C622" s="430"/>
      <c r="D622" s="430"/>
      <c r="E622" s="430"/>
      <c r="F622" s="430"/>
      <c r="G622" s="430"/>
      <c r="H622" s="430"/>
      <c r="I622" s="430"/>
      <c r="J622" s="430"/>
      <c r="K622" s="430"/>
      <c r="L622" s="430"/>
      <c r="M622" s="430"/>
      <c r="N622" s="430"/>
      <c r="O622" s="430"/>
      <c r="P622" s="430"/>
      <c r="Q622" s="430"/>
      <c r="R622" s="430"/>
      <c r="S622" s="430"/>
      <c r="T622" s="430"/>
      <c r="U622" s="430"/>
      <c r="V622" s="430"/>
      <c r="W622" s="430"/>
      <c r="X622" s="430"/>
      <c r="Y622" s="430"/>
      <c r="Z622" s="430"/>
      <c r="AA622" s="430"/>
      <c r="AB622" s="430"/>
      <c r="AC622" s="430"/>
      <c r="AD622" s="430"/>
      <c r="AE622" s="430"/>
      <c r="AF622" s="430"/>
      <c r="AG622" s="430"/>
      <c r="AH622" s="430"/>
      <c r="AI622" s="430"/>
      <c r="AJ622" s="430"/>
      <c r="AK622" s="430"/>
      <c r="AL622" s="430"/>
      <c r="AM622" s="430"/>
      <c r="AN622" s="430"/>
      <c r="AO622" s="430"/>
      <c r="AP622" s="430"/>
      <c r="AQ622" s="430"/>
      <c r="AR622" s="430"/>
      <c r="AS622" s="430"/>
      <c r="AT622" s="430"/>
      <c r="AU622" s="430"/>
      <c r="AV622" s="430"/>
      <c r="AW622" s="430"/>
      <c r="AX622" s="430"/>
      <c r="AY622" s="430"/>
      <c r="AZ622" s="430"/>
      <c r="BA622" s="430"/>
      <c r="BB622" s="430"/>
      <c r="BC622" s="430"/>
      <c r="BD622" s="430"/>
      <c r="BE622" s="430"/>
    </row>
    <row r="623" spans="1:57" ht="15.75" customHeight="1">
      <c r="A623" s="430"/>
      <c r="B623" s="430"/>
      <c r="C623" s="430"/>
      <c r="D623" s="430"/>
      <c r="E623" s="430"/>
      <c r="F623" s="430"/>
      <c r="G623" s="430"/>
      <c r="H623" s="430"/>
      <c r="I623" s="430"/>
      <c r="J623" s="430"/>
      <c r="K623" s="430"/>
      <c r="L623" s="430"/>
      <c r="M623" s="430"/>
      <c r="N623" s="430"/>
      <c r="O623" s="430"/>
      <c r="P623" s="430"/>
      <c r="Q623" s="430"/>
      <c r="R623" s="430"/>
      <c r="S623" s="430"/>
      <c r="T623" s="430"/>
      <c r="U623" s="430"/>
      <c r="V623" s="430"/>
      <c r="W623" s="430"/>
      <c r="X623" s="430"/>
      <c r="Y623" s="430"/>
      <c r="Z623" s="430"/>
      <c r="AA623" s="430"/>
      <c r="AB623" s="430"/>
      <c r="AC623" s="430"/>
      <c r="AD623" s="430"/>
      <c r="AE623" s="430"/>
      <c r="AF623" s="430"/>
      <c r="AG623" s="430"/>
      <c r="AH623" s="430"/>
      <c r="AI623" s="430"/>
      <c r="AJ623" s="430"/>
      <c r="AK623" s="430"/>
      <c r="AL623" s="430"/>
      <c r="AM623" s="430"/>
      <c r="AN623" s="430"/>
      <c r="AO623" s="430"/>
      <c r="AP623" s="430"/>
      <c r="AQ623" s="430"/>
      <c r="AR623" s="430"/>
      <c r="AS623" s="430"/>
      <c r="AT623" s="430"/>
      <c r="AU623" s="430"/>
      <c r="AV623" s="430"/>
      <c r="AW623" s="430"/>
      <c r="AX623" s="430"/>
      <c r="AY623" s="430"/>
      <c r="AZ623" s="430"/>
      <c r="BA623" s="430"/>
      <c r="BB623" s="430"/>
      <c r="BC623" s="430"/>
      <c r="BD623" s="430"/>
      <c r="BE623" s="430"/>
    </row>
    <row r="624" spans="1:57" ht="15.75" customHeight="1">
      <c r="A624" s="430"/>
      <c r="B624" s="430"/>
      <c r="C624" s="430"/>
      <c r="D624" s="430"/>
      <c r="E624" s="430"/>
      <c r="F624" s="430"/>
      <c r="G624" s="430"/>
      <c r="H624" s="430"/>
      <c r="I624" s="430"/>
      <c r="J624" s="430"/>
      <c r="K624" s="430"/>
      <c r="L624" s="430"/>
      <c r="M624" s="430"/>
      <c r="N624" s="430"/>
      <c r="O624" s="430"/>
      <c r="P624" s="430"/>
      <c r="Q624" s="430"/>
      <c r="R624" s="430"/>
      <c r="S624" s="430"/>
      <c r="T624" s="430"/>
      <c r="U624" s="430"/>
      <c r="V624" s="430"/>
      <c r="W624" s="430"/>
      <c r="X624" s="430"/>
      <c r="Y624" s="430"/>
      <c r="Z624" s="430"/>
      <c r="AA624" s="430"/>
      <c r="AB624" s="430"/>
      <c r="AC624" s="430"/>
      <c r="AD624" s="430"/>
      <c r="AE624" s="430"/>
      <c r="AF624" s="430"/>
      <c r="AG624" s="430"/>
      <c r="AH624" s="430"/>
      <c r="AI624" s="430"/>
      <c r="AJ624" s="430"/>
      <c r="AK624" s="430"/>
      <c r="AL624" s="430"/>
      <c r="AM624" s="430"/>
      <c r="AN624" s="430"/>
      <c r="AO624" s="430"/>
      <c r="AP624" s="430"/>
      <c r="AQ624" s="430"/>
      <c r="AR624" s="430"/>
      <c r="AS624" s="430"/>
      <c r="AT624" s="430"/>
      <c r="AU624" s="430"/>
      <c r="AV624" s="430"/>
      <c r="AW624" s="430"/>
      <c r="AX624" s="430"/>
      <c r="AY624" s="430"/>
      <c r="AZ624" s="430"/>
      <c r="BA624" s="430"/>
      <c r="BB624" s="430"/>
      <c r="BC624" s="430"/>
      <c r="BD624" s="430"/>
      <c r="BE624" s="430"/>
    </row>
    <row r="625" spans="1:57" ht="15.75" customHeight="1">
      <c r="A625" s="430"/>
      <c r="B625" s="430"/>
      <c r="C625" s="430"/>
      <c r="D625" s="430"/>
      <c r="E625" s="430"/>
      <c r="F625" s="430"/>
      <c r="G625" s="430"/>
      <c r="H625" s="430"/>
      <c r="I625" s="430"/>
      <c r="J625" s="430"/>
      <c r="K625" s="430"/>
      <c r="L625" s="430"/>
      <c r="M625" s="430"/>
      <c r="N625" s="430"/>
      <c r="O625" s="430"/>
      <c r="P625" s="430"/>
      <c r="Q625" s="430"/>
      <c r="R625" s="430"/>
      <c r="S625" s="430"/>
      <c r="T625" s="430"/>
      <c r="U625" s="430"/>
      <c r="V625" s="430"/>
      <c r="W625" s="430"/>
      <c r="X625" s="430"/>
      <c r="Y625" s="430"/>
      <c r="Z625" s="430"/>
      <c r="AA625" s="430"/>
      <c r="AB625" s="430"/>
      <c r="AC625" s="430"/>
      <c r="AD625" s="430"/>
      <c r="AE625" s="430"/>
      <c r="AF625" s="430"/>
      <c r="AG625" s="430"/>
      <c r="AH625" s="430"/>
      <c r="AI625" s="430"/>
      <c r="AJ625" s="430"/>
      <c r="AK625" s="430"/>
      <c r="AL625" s="430"/>
      <c r="AM625" s="430"/>
      <c r="AN625" s="430"/>
      <c r="AO625" s="430"/>
      <c r="AP625" s="430"/>
      <c r="AQ625" s="430"/>
      <c r="AR625" s="430"/>
      <c r="AS625" s="430"/>
      <c r="AT625" s="430"/>
      <c r="AU625" s="430"/>
      <c r="AV625" s="430"/>
      <c r="AW625" s="430"/>
      <c r="AX625" s="430"/>
      <c r="AY625" s="430"/>
      <c r="AZ625" s="430"/>
      <c r="BA625" s="430"/>
      <c r="BB625" s="430"/>
      <c r="BC625" s="430"/>
      <c r="BD625" s="430"/>
      <c r="BE625" s="430"/>
    </row>
    <row r="626" spans="1:57" ht="15.75" customHeight="1">
      <c r="A626" s="430"/>
      <c r="B626" s="430"/>
      <c r="C626" s="430"/>
      <c r="D626" s="430"/>
      <c r="E626" s="430"/>
      <c r="F626" s="430"/>
      <c r="G626" s="430"/>
      <c r="H626" s="430"/>
      <c r="I626" s="430"/>
      <c r="J626" s="430"/>
      <c r="K626" s="430"/>
      <c r="L626" s="430"/>
      <c r="M626" s="430"/>
      <c r="N626" s="430"/>
      <c r="O626" s="430"/>
      <c r="P626" s="430"/>
      <c r="Q626" s="430"/>
      <c r="R626" s="430"/>
      <c r="S626" s="430"/>
      <c r="T626" s="430"/>
      <c r="U626" s="430"/>
      <c r="V626" s="430"/>
      <c r="W626" s="430"/>
      <c r="X626" s="430"/>
      <c r="Y626" s="430"/>
      <c r="Z626" s="430"/>
      <c r="AA626" s="430"/>
      <c r="AB626" s="430"/>
      <c r="AC626" s="430"/>
      <c r="AD626" s="430"/>
      <c r="AE626" s="430"/>
      <c r="AF626" s="430"/>
      <c r="AG626" s="430"/>
      <c r="AH626" s="430"/>
      <c r="AI626" s="430"/>
      <c r="AJ626" s="430"/>
      <c r="AK626" s="430"/>
      <c r="AL626" s="430"/>
      <c r="AM626" s="430"/>
      <c r="AN626" s="430"/>
      <c r="AO626" s="430"/>
      <c r="AP626" s="430"/>
      <c r="AQ626" s="430"/>
      <c r="AR626" s="430"/>
      <c r="AS626" s="430"/>
      <c r="AT626" s="430"/>
      <c r="AU626" s="430"/>
      <c r="AV626" s="430"/>
      <c r="AW626" s="430"/>
      <c r="AX626" s="430"/>
      <c r="AY626" s="430"/>
      <c r="AZ626" s="430"/>
      <c r="BA626" s="430"/>
      <c r="BB626" s="430"/>
      <c r="BC626" s="430"/>
      <c r="BD626" s="430"/>
      <c r="BE626" s="430"/>
    </row>
    <row r="627" spans="1:57" ht="15.75" customHeight="1">
      <c r="A627" s="430"/>
      <c r="B627" s="430"/>
      <c r="C627" s="430"/>
      <c r="D627" s="430"/>
      <c r="E627" s="430"/>
      <c r="F627" s="430"/>
      <c r="G627" s="430"/>
      <c r="H627" s="430"/>
      <c r="I627" s="430"/>
      <c r="J627" s="430"/>
      <c r="K627" s="430"/>
      <c r="L627" s="430"/>
      <c r="M627" s="430"/>
      <c r="N627" s="430"/>
      <c r="O627" s="430"/>
      <c r="P627" s="430"/>
      <c r="Q627" s="430"/>
      <c r="R627" s="430"/>
      <c r="S627" s="430"/>
      <c r="T627" s="430"/>
      <c r="U627" s="430"/>
      <c r="V627" s="430"/>
      <c r="W627" s="430"/>
      <c r="X627" s="430"/>
      <c r="Y627" s="430"/>
      <c r="Z627" s="430"/>
      <c r="AA627" s="430"/>
      <c r="AB627" s="430"/>
      <c r="AC627" s="430"/>
      <c r="AD627" s="430"/>
      <c r="AE627" s="430"/>
      <c r="AF627" s="430"/>
      <c r="AG627" s="430"/>
      <c r="AH627" s="430"/>
      <c r="AI627" s="430"/>
      <c r="AJ627" s="430"/>
      <c r="AK627" s="430"/>
      <c r="AL627" s="430"/>
      <c r="AM627" s="430"/>
      <c r="AN627" s="430"/>
      <c r="AO627" s="430"/>
      <c r="AP627" s="430"/>
      <c r="AQ627" s="430"/>
      <c r="AR627" s="430"/>
      <c r="AS627" s="430"/>
      <c r="AT627" s="430"/>
      <c r="AU627" s="430"/>
      <c r="AV627" s="430"/>
      <c r="AW627" s="430"/>
      <c r="AX627" s="430"/>
      <c r="AY627" s="430"/>
      <c r="AZ627" s="430"/>
      <c r="BA627" s="430"/>
      <c r="BB627" s="430"/>
      <c r="BC627" s="430"/>
      <c r="BD627" s="430"/>
      <c r="BE627" s="430"/>
    </row>
    <row r="628" spans="1:57" ht="15.75" customHeight="1">
      <c r="A628" s="430"/>
      <c r="B628" s="430"/>
      <c r="C628" s="430"/>
      <c r="D628" s="430"/>
      <c r="E628" s="430"/>
      <c r="F628" s="430"/>
      <c r="G628" s="430"/>
      <c r="H628" s="430"/>
      <c r="I628" s="430"/>
      <c r="J628" s="430"/>
      <c r="K628" s="430"/>
      <c r="L628" s="430"/>
      <c r="M628" s="430"/>
      <c r="N628" s="430"/>
      <c r="O628" s="430"/>
      <c r="P628" s="430"/>
      <c r="Q628" s="430"/>
      <c r="R628" s="430"/>
      <c r="S628" s="430"/>
      <c r="T628" s="430"/>
      <c r="U628" s="430"/>
      <c r="V628" s="430"/>
      <c r="W628" s="430"/>
      <c r="X628" s="430"/>
      <c r="Y628" s="430"/>
      <c r="Z628" s="430"/>
      <c r="AA628" s="430"/>
      <c r="AB628" s="430"/>
      <c r="AC628" s="430"/>
      <c r="AD628" s="430"/>
      <c r="AE628" s="430"/>
      <c r="AF628" s="430"/>
      <c r="AG628" s="430"/>
      <c r="AH628" s="430"/>
      <c r="AI628" s="430"/>
      <c r="AJ628" s="430"/>
      <c r="AK628" s="430"/>
      <c r="AL628" s="430"/>
      <c r="AM628" s="430"/>
      <c r="AN628" s="430"/>
      <c r="AO628" s="430"/>
      <c r="AP628" s="430"/>
      <c r="AQ628" s="430"/>
      <c r="AR628" s="430"/>
      <c r="AS628" s="430"/>
      <c r="AT628" s="430"/>
      <c r="AU628" s="430"/>
      <c r="AV628" s="430"/>
      <c r="AW628" s="430"/>
      <c r="AX628" s="430"/>
      <c r="AY628" s="430"/>
      <c r="AZ628" s="430"/>
      <c r="BA628" s="430"/>
      <c r="BB628" s="430"/>
      <c r="BC628" s="430"/>
      <c r="BD628" s="430"/>
      <c r="BE628" s="430"/>
    </row>
    <row r="629" spans="1:57" ht="15.75" customHeight="1">
      <c r="A629" s="430"/>
      <c r="B629" s="430"/>
      <c r="C629" s="430"/>
      <c r="D629" s="430"/>
      <c r="E629" s="430"/>
      <c r="F629" s="430"/>
      <c r="G629" s="430"/>
      <c r="H629" s="430"/>
      <c r="I629" s="430"/>
      <c r="J629" s="430"/>
      <c r="K629" s="430"/>
      <c r="L629" s="430"/>
      <c r="M629" s="430"/>
      <c r="N629" s="430"/>
      <c r="O629" s="430"/>
      <c r="P629" s="430"/>
      <c r="Q629" s="430"/>
      <c r="R629" s="430"/>
      <c r="S629" s="430"/>
      <c r="T629" s="430"/>
      <c r="U629" s="430"/>
      <c r="V629" s="430"/>
      <c r="W629" s="430"/>
      <c r="X629" s="430"/>
      <c r="Y629" s="430"/>
      <c r="Z629" s="430"/>
      <c r="AA629" s="430"/>
      <c r="AB629" s="430"/>
      <c r="AC629" s="430"/>
      <c r="AD629" s="430"/>
      <c r="AE629" s="430"/>
      <c r="AF629" s="430"/>
      <c r="AG629" s="430"/>
      <c r="AH629" s="430"/>
      <c r="AI629" s="430"/>
      <c r="AJ629" s="430"/>
      <c r="AK629" s="430"/>
      <c r="AL629" s="430"/>
      <c r="AM629" s="430"/>
      <c r="AN629" s="430"/>
      <c r="AO629" s="430"/>
      <c r="AP629" s="430"/>
      <c r="AQ629" s="430"/>
      <c r="AR629" s="430"/>
      <c r="AS629" s="430"/>
      <c r="AT629" s="430"/>
      <c r="AU629" s="430"/>
      <c r="AV629" s="430"/>
      <c r="AW629" s="430"/>
      <c r="AX629" s="430"/>
      <c r="AY629" s="430"/>
      <c r="AZ629" s="430"/>
      <c r="BA629" s="430"/>
      <c r="BB629" s="430"/>
      <c r="BC629" s="430"/>
      <c r="BD629" s="430"/>
      <c r="BE629" s="430"/>
    </row>
    <row r="630" spans="1:57" ht="15.75" customHeight="1">
      <c r="A630" s="430"/>
      <c r="B630" s="430"/>
      <c r="C630" s="430"/>
      <c r="D630" s="430"/>
      <c r="E630" s="430"/>
      <c r="F630" s="430"/>
      <c r="G630" s="430"/>
      <c r="H630" s="430"/>
      <c r="I630" s="430"/>
      <c r="J630" s="430"/>
      <c r="K630" s="430"/>
      <c r="L630" s="430"/>
      <c r="M630" s="430"/>
      <c r="N630" s="430"/>
      <c r="O630" s="430"/>
      <c r="P630" s="430"/>
      <c r="Q630" s="430"/>
      <c r="R630" s="430"/>
      <c r="S630" s="430"/>
      <c r="T630" s="430"/>
      <c r="U630" s="430"/>
      <c r="V630" s="430"/>
      <c r="W630" s="430"/>
      <c r="X630" s="430"/>
      <c r="Y630" s="430"/>
      <c r="Z630" s="430"/>
      <c r="AA630" s="430"/>
      <c r="AB630" s="430"/>
      <c r="AC630" s="430"/>
      <c r="AD630" s="430"/>
      <c r="AE630" s="430"/>
      <c r="AF630" s="430"/>
      <c r="AG630" s="430"/>
      <c r="AH630" s="430"/>
      <c r="AI630" s="430"/>
      <c r="AJ630" s="430"/>
      <c r="AK630" s="430"/>
      <c r="AL630" s="430"/>
      <c r="AM630" s="430"/>
      <c r="AN630" s="430"/>
      <c r="AO630" s="430"/>
      <c r="AP630" s="430"/>
      <c r="AQ630" s="430"/>
      <c r="AR630" s="430"/>
      <c r="AS630" s="430"/>
      <c r="AT630" s="430"/>
      <c r="AU630" s="430"/>
      <c r="AV630" s="430"/>
      <c r="AW630" s="430"/>
      <c r="AX630" s="430"/>
      <c r="AY630" s="430"/>
      <c r="AZ630" s="430"/>
      <c r="BA630" s="430"/>
      <c r="BB630" s="430"/>
      <c r="BC630" s="430"/>
      <c r="BD630" s="430"/>
      <c r="BE630" s="430"/>
    </row>
    <row r="631" spans="1:57" ht="15.75" customHeight="1">
      <c r="A631" s="430"/>
      <c r="B631" s="430"/>
      <c r="C631" s="430"/>
      <c r="D631" s="430"/>
      <c r="E631" s="430"/>
      <c r="F631" s="430"/>
      <c r="G631" s="430"/>
      <c r="H631" s="430"/>
      <c r="I631" s="430"/>
      <c r="J631" s="430"/>
      <c r="K631" s="430"/>
      <c r="L631" s="430"/>
      <c r="M631" s="430"/>
      <c r="N631" s="430"/>
      <c r="O631" s="430"/>
      <c r="P631" s="430"/>
      <c r="Q631" s="430"/>
      <c r="R631" s="430"/>
      <c r="S631" s="430"/>
      <c r="T631" s="430"/>
      <c r="U631" s="430"/>
      <c r="V631" s="430"/>
      <c r="W631" s="430"/>
      <c r="X631" s="430"/>
      <c r="Y631" s="430"/>
      <c r="Z631" s="430"/>
      <c r="AA631" s="430"/>
      <c r="AB631" s="430"/>
      <c r="AC631" s="430"/>
      <c r="AD631" s="430"/>
      <c r="AE631" s="430"/>
      <c r="AF631" s="430"/>
      <c r="AG631" s="430"/>
      <c r="AH631" s="430"/>
      <c r="AI631" s="430"/>
      <c r="AJ631" s="430"/>
      <c r="AK631" s="430"/>
      <c r="AL631" s="430"/>
      <c r="AM631" s="430"/>
      <c r="AN631" s="430"/>
      <c r="AO631" s="430"/>
      <c r="AP631" s="430"/>
      <c r="AQ631" s="430"/>
      <c r="AR631" s="430"/>
      <c r="AS631" s="430"/>
      <c r="AT631" s="430"/>
      <c r="AU631" s="430"/>
      <c r="AV631" s="430"/>
      <c r="AW631" s="430"/>
      <c r="AX631" s="430"/>
      <c r="AY631" s="430"/>
      <c r="AZ631" s="430"/>
      <c r="BA631" s="430"/>
      <c r="BB631" s="430"/>
      <c r="BC631" s="430"/>
      <c r="BD631" s="430"/>
      <c r="BE631" s="430"/>
    </row>
    <row r="632" spans="1:57" ht="15.75" customHeight="1">
      <c r="A632" s="430"/>
      <c r="B632" s="430"/>
      <c r="C632" s="430"/>
      <c r="D632" s="430"/>
      <c r="E632" s="430"/>
      <c r="F632" s="430"/>
      <c r="G632" s="430"/>
      <c r="H632" s="430"/>
      <c r="I632" s="430"/>
      <c r="J632" s="430"/>
      <c r="K632" s="430"/>
      <c r="L632" s="430"/>
      <c r="M632" s="430"/>
      <c r="N632" s="430"/>
      <c r="O632" s="430"/>
      <c r="P632" s="430"/>
      <c r="Q632" s="430"/>
      <c r="R632" s="430"/>
      <c r="S632" s="430"/>
      <c r="T632" s="430"/>
      <c r="U632" s="430"/>
      <c r="V632" s="430"/>
      <c r="W632" s="430"/>
      <c r="X632" s="430"/>
      <c r="Y632" s="430"/>
      <c r="Z632" s="430"/>
      <c r="AA632" s="430"/>
      <c r="AB632" s="430"/>
      <c r="AC632" s="430"/>
      <c r="AD632" s="430"/>
      <c r="AE632" s="430"/>
      <c r="AF632" s="430"/>
      <c r="AG632" s="430"/>
      <c r="AH632" s="430"/>
      <c r="AI632" s="430"/>
      <c r="AJ632" s="430"/>
      <c r="AK632" s="430"/>
      <c r="AL632" s="430"/>
      <c r="AM632" s="430"/>
      <c r="AN632" s="430"/>
      <c r="AO632" s="430"/>
      <c r="AP632" s="430"/>
      <c r="AQ632" s="430"/>
      <c r="AR632" s="430"/>
      <c r="AS632" s="430"/>
      <c r="AT632" s="430"/>
      <c r="AU632" s="430"/>
      <c r="AV632" s="430"/>
      <c r="AW632" s="430"/>
      <c r="AX632" s="430"/>
      <c r="AY632" s="430"/>
      <c r="AZ632" s="430"/>
      <c r="BA632" s="430"/>
      <c r="BB632" s="430"/>
      <c r="BC632" s="430"/>
      <c r="BD632" s="430"/>
      <c r="BE632" s="430"/>
    </row>
    <row r="633" spans="1:57" ht="15.75" customHeight="1">
      <c r="A633" s="430"/>
      <c r="B633" s="430"/>
      <c r="C633" s="430"/>
      <c r="D633" s="430"/>
      <c r="E633" s="430"/>
      <c r="F633" s="430"/>
      <c r="G633" s="430"/>
      <c r="H633" s="430"/>
      <c r="I633" s="430"/>
      <c r="J633" s="430"/>
      <c r="K633" s="430"/>
      <c r="L633" s="430"/>
      <c r="M633" s="430"/>
      <c r="N633" s="430"/>
      <c r="O633" s="430"/>
      <c r="P633" s="430"/>
      <c r="Q633" s="430"/>
      <c r="R633" s="430"/>
      <c r="S633" s="430"/>
      <c r="T633" s="430"/>
      <c r="U633" s="430"/>
      <c r="V633" s="430"/>
      <c r="W633" s="430"/>
      <c r="X633" s="430"/>
      <c r="Y633" s="430"/>
      <c r="Z633" s="430"/>
      <c r="AA633" s="430"/>
      <c r="AB633" s="430"/>
      <c r="AC633" s="430"/>
      <c r="AD633" s="430"/>
      <c r="AE633" s="430"/>
      <c r="AF633" s="430"/>
      <c r="AG633" s="430"/>
      <c r="AH633" s="430"/>
      <c r="AI633" s="430"/>
      <c r="AJ633" s="430"/>
      <c r="AK633" s="430"/>
      <c r="AL633" s="430"/>
      <c r="AM633" s="430"/>
      <c r="AN633" s="430"/>
      <c r="AO633" s="430"/>
      <c r="AP633" s="430"/>
      <c r="AQ633" s="430"/>
      <c r="AR633" s="430"/>
      <c r="AS633" s="430"/>
      <c r="AT633" s="430"/>
      <c r="AU633" s="430"/>
      <c r="AV633" s="430"/>
      <c r="AW633" s="430"/>
      <c r="AX633" s="430"/>
      <c r="AY633" s="430"/>
      <c r="AZ633" s="430"/>
      <c r="BA633" s="430"/>
      <c r="BB633" s="430"/>
      <c r="BC633" s="430"/>
      <c r="BD633" s="430"/>
      <c r="BE633" s="430"/>
    </row>
    <row r="634" spans="1:57" ht="15.75" customHeight="1">
      <c r="A634" s="430"/>
      <c r="B634" s="430"/>
      <c r="C634" s="430"/>
      <c r="D634" s="430"/>
      <c r="E634" s="430"/>
      <c r="F634" s="430"/>
      <c r="G634" s="430"/>
      <c r="H634" s="430"/>
      <c r="I634" s="430"/>
      <c r="J634" s="430"/>
      <c r="K634" s="430"/>
      <c r="L634" s="430"/>
      <c r="M634" s="430"/>
      <c r="N634" s="430"/>
      <c r="O634" s="430"/>
      <c r="P634" s="430"/>
      <c r="Q634" s="430"/>
      <c r="R634" s="430"/>
      <c r="S634" s="430"/>
      <c r="T634" s="430"/>
      <c r="U634" s="430"/>
      <c r="V634" s="430"/>
      <c r="W634" s="430"/>
      <c r="X634" s="430"/>
      <c r="Y634" s="430"/>
      <c r="Z634" s="430"/>
      <c r="AA634" s="430"/>
      <c r="AB634" s="430"/>
      <c r="AC634" s="430"/>
      <c r="AD634" s="430"/>
      <c r="AE634" s="430"/>
      <c r="AF634" s="430"/>
      <c r="AG634" s="430"/>
      <c r="AH634" s="430"/>
      <c r="AI634" s="430"/>
      <c r="AJ634" s="430"/>
      <c r="AK634" s="430"/>
      <c r="AL634" s="430"/>
      <c r="AM634" s="430"/>
      <c r="AN634" s="430"/>
      <c r="AO634" s="430"/>
      <c r="AP634" s="430"/>
      <c r="AQ634" s="430"/>
      <c r="AR634" s="430"/>
      <c r="AS634" s="430"/>
      <c r="AT634" s="430"/>
      <c r="AU634" s="430"/>
      <c r="AV634" s="430"/>
      <c r="AW634" s="430"/>
      <c r="AX634" s="430"/>
      <c r="AY634" s="430"/>
      <c r="AZ634" s="430"/>
      <c r="BA634" s="430"/>
      <c r="BB634" s="430"/>
      <c r="BC634" s="430"/>
      <c r="BD634" s="430"/>
      <c r="BE634" s="430"/>
    </row>
    <row r="635" spans="1:57" ht="15.75" customHeight="1">
      <c r="A635" s="430"/>
      <c r="B635" s="430"/>
      <c r="C635" s="430"/>
      <c r="D635" s="430"/>
      <c r="E635" s="430"/>
      <c r="F635" s="430"/>
      <c r="G635" s="430"/>
      <c r="H635" s="430"/>
      <c r="I635" s="430"/>
      <c r="J635" s="430"/>
      <c r="K635" s="430"/>
      <c r="L635" s="430"/>
      <c r="M635" s="430"/>
      <c r="N635" s="430"/>
      <c r="O635" s="430"/>
      <c r="P635" s="430"/>
      <c r="Q635" s="430"/>
      <c r="R635" s="430"/>
      <c r="S635" s="430"/>
      <c r="T635" s="430"/>
      <c r="U635" s="430"/>
      <c r="V635" s="430"/>
      <c r="W635" s="430"/>
      <c r="X635" s="430"/>
      <c r="Y635" s="430"/>
      <c r="Z635" s="430"/>
      <c r="AA635" s="430"/>
      <c r="AB635" s="430"/>
      <c r="AC635" s="430"/>
      <c r="AD635" s="430"/>
      <c r="AE635" s="430"/>
      <c r="AF635" s="430"/>
      <c r="AG635" s="430"/>
      <c r="AH635" s="430"/>
      <c r="AI635" s="430"/>
      <c r="AJ635" s="430"/>
      <c r="AK635" s="430"/>
      <c r="AL635" s="430"/>
      <c r="AM635" s="430"/>
      <c r="AN635" s="430"/>
      <c r="AO635" s="430"/>
      <c r="AP635" s="430"/>
      <c r="AQ635" s="430"/>
      <c r="AR635" s="430"/>
      <c r="AS635" s="430"/>
      <c r="AT635" s="430"/>
      <c r="AU635" s="430"/>
      <c r="AV635" s="430"/>
      <c r="AW635" s="430"/>
      <c r="AX635" s="430"/>
      <c r="AY635" s="430"/>
      <c r="AZ635" s="430"/>
      <c r="BA635" s="430"/>
      <c r="BB635" s="430"/>
      <c r="BC635" s="430"/>
      <c r="BD635" s="430"/>
      <c r="BE635" s="430"/>
    </row>
    <row r="636" spans="1:57" ht="15.75" customHeight="1">
      <c r="A636" s="430"/>
      <c r="B636" s="430"/>
      <c r="C636" s="430"/>
      <c r="D636" s="430"/>
      <c r="E636" s="430"/>
      <c r="F636" s="430"/>
      <c r="G636" s="430"/>
      <c r="H636" s="430"/>
      <c r="I636" s="430"/>
      <c r="J636" s="430"/>
      <c r="K636" s="430"/>
      <c r="L636" s="430"/>
      <c r="M636" s="430"/>
      <c r="N636" s="430"/>
      <c r="O636" s="430"/>
      <c r="P636" s="430"/>
      <c r="Q636" s="430"/>
      <c r="R636" s="430"/>
      <c r="S636" s="430"/>
      <c r="T636" s="430"/>
      <c r="U636" s="430"/>
      <c r="V636" s="430"/>
      <c r="W636" s="430"/>
      <c r="X636" s="430"/>
      <c r="Y636" s="430"/>
      <c r="Z636" s="430"/>
      <c r="AA636" s="430"/>
      <c r="AB636" s="430"/>
      <c r="AC636" s="430"/>
      <c r="AD636" s="430"/>
      <c r="AE636" s="430"/>
      <c r="AF636" s="430"/>
      <c r="AG636" s="430"/>
      <c r="AH636" s="430"/>
      <c r="AI636" s="430"/>
      <c r="AJ636" s="430"/>
      <c r="AK636" s="430"/>
      <c r="AL636" s="430"/>
      <c r="AM636" s="430"/>
      <c r="AN636" s="430"/>
      <c r="AO636" s="430"/>
      <c r="AP636" s="430"/>
      <c r="AQ636" s="430"/>
      <c r="AR636" s="430"/>
      <c r="AS636" s="430"/>
      <c r="AT636" s="430"/>
      <c r="AU636" s="430"/>
      <c r="AV636" s="430"/>
      <c r="AW636" s="430"/>
      <c r="AX636" s="430"/>
      <c r="AY636" s="430"/>
      <c r="AZ636" s="430"/>
      <c r="BA636" s="430"/>
      <c r="BB636" s="430"/>
      <c r="BC636" s="430"/>
      <c r="BD636" s="430"/>
      <c r="BE636" s="430"/>
    </row>
    <row r="637" spans="1:57" ht="15.75" customHeight="1">
      <c r="A637" s="430"/>
      <c r="B637" s="430"/>
      <c r="C637" s="430"/>
      <c r="D637" s="430"/>
      <c r="E637" s="430"/>
      <c r="F637" s="430"/>
      <c r="G637" s="430"/>
      <c r="H637" s="430"/>
      <c r="I637" s="430"/>
      <c r="J637" s="430"/>
      <c r="K637" s="430"/>
      <c r="L637" s="430"/>
      <c r="M637" s="430"/>
      <c r="N637" s="430"/>
      <c r="O637" s="430"/>
      <c r="P637" s="430"/>
      <c r="Q637" s="430"/>
      <c r="R637" s="430"/>
      <c r="S637" s="430"/>
      <c r="T637" s="430"/>
      <c r="U637" s="430"/>
      <c r="V637" s="430"/>
      <c r="W637" s="430"/>
      <c r="X637" s="430"/>
      <c r="Y637" s="430"/>
      <c r="Z637" s="430"/>
      <c r="AA637" s="430"/>
      <c r="AB637" s="430"/>
      <c r="AC637" s="430"/>
      <c r="AD637" s="430"/>
      <c r="AE637" s="430"/>
      <c r="AF637" s="430"/>
      <c r="AG637" s="430"/>
      <c r="AH637" s="430"/>
      <c r="AI637" s="430"/>
      <c r="AJ637" s="430"/>
      <c r="AK637" s="430"/>
      <c r="AL637" s="430"/>
      <c r="AM637" s="430"/>
      <c r="AN637" s="430"/>
      <c r="AO637" s="430"/>
      <c r="AP637" s="430"/>
      <c r="AQ637" s="430"/>
      <c r="AR637" s="430"/>
      <c r="AS637" s="430"/>
      <c r="AT637" s="430"/>
      <c r="AU637" s="430"/>
      <c r="AV637" s="430"/>
      <c r="AW637" s="430"/>
      <c r="AX637" s="430"/>
      <c r="AY637" s="430"/>
      <c r="AZ637" s="430"/>
      <c r="BA637" s="430"/>
      <c r="BB637" s="430"/>
      <c r="BC637" s="430"/>
      <c r="BD637" s="430"/>
      <c r="BE637" s="430"/>
    </row>
    <row r="638" spans="1:57" ht="15.75" customHeight="1">
      <c r="A638" s="430"/>
      <c r="B638" s="430"/>
      <c r="C638" s="430"/>
      <c r="D638" s="430"/>
      <c r="E638" s="430"/>
      <c r="F638" s="430"/>
      <c r="G638" s="430"/>
      <c r="H638" s="430"/>
      <c r="I638" s="430"/>
      <c r="J638" s="430"/>
      <c r="K638" s="430"/>
      <c r="L638" s="430"/>
      <c r="M638" s="430"/>
      <c r="N638" s="430"/>
      <c r="O638" s="430"/>
      <c r="P638" s="430"/>
      <c r="Q638" s="430"/>
      <c r="R638" s="430"/>
      <c r="S638" s="430"/>
      <c r="T638" s="430"/>
      <c r="U638" s="430"/>
      <c r="V638" s="430"/>
      <c r="W638" s="430"/>
      <c r="X638" s="430"/>
      <c r="Y638" s="430"/>
      <c r="Z638" s="430"/>
      <c r="AA638" s="430"/>
      <c r="AB638" s="430"/>
      <c r="AC638" s="430"/>
      <c r="AD638" s="430"/>
      <c r="AE638" s="430"/>
      <c r="AF638" s="430"/>
      <c r="AG638" s="430"/>
      <c r="AH638" s="430"/>
      <c r="AI638" s="430"/>
      <c r="AJ638" s="430"/>
      <c r="AK638" s="430"/>
      <c r="AL638" s="430"/>
      <c r="AM638" s="430"/>
      <c r="AN638" s="430"/>
      <c r="AO638" s="430"/>
      <c r="AP638" s="430"/>
      <c r="AQ638" s="430"/>
      <c r="AR638" s="430"/>
      <c r="AS638" s="430"/>
      <c r="AT638" s="430"/>
      <c r="AU638" s="430"/>
      <c r="AV638" s="430"/>
      <c r="AW638" s="430"/>
      <c r="AX638" s="430"/>
      <c r="AY638" s="430"/>
      <c r="AZ638" s="430"/>
      <c r="BA638" s="430"/>
      <c r="BB638" s="430"/>
      <c r="BC638" s="430"/>
      <c r="BD638" s="430"/>
      <c r="BE638" s="430"/>
    </row>
    <row r="639" spans="1:57" ht="15.75" customHeight="1">
      <c r="A639" s="430"/>
      <c r="B639" s="430"/>
      <c r="C639" s="430"/>
      <c r="D639" s="430"/>
      <c r="E639" s="430"/>
      <c r="F639" s="430"/>
      <c r="G639" s="430"/>
      <c r="H639" s="430"/>
      <c r="I639" s="430"/>
      <c r="J639" s="430"/>
      <c r="K639" s="430"/>
      <c r="L639" s="430"/>
      <c r="M639" s="430"/>
      <c r="N639" s="430"/>
      <c r="O639" s="430"/>
      <c r="P639" s="430"/>
      <c r="Q639" s="430"/>
      <c r="R639" s="430"/>
      <c r="S639" s="430"/>
      <c r="T639" s="430"/>
      <c r="U639" s="430"/>
      <c r="V639" s="430"/>
      <c r="W639" s="430"/>
      <c r="X639" s="430"/>
      <c r="Y639" s="430"/>
      <c r="Z639" s="430"/>
      <c r="AA639" s="430"/>
      <c r="AB639" s="430"/>
      <c r="AC639" s="430"/>
      <c r="AD639" s="430"/>
      <c r="AE639" s="430"/>
      <c r="AF639" s="430"/>
      <c r="AG639" s="430"/>
      <c r="AH639" s="430"/>
      <c r="AI639" s="430"/>
      <c r="AJ639" s="430"/>
      <c r="AK639" s="430"/>
      <c r="AL639" s="430"/>
      <c r="AM639" s="430"/>
      <c r="AN639" s="430"/>
      <c r="AO639" s="430"/>
      <c r="AP639" s="430"/>
      <c r="AQ639" s="430"/>
      <c r="AR639" s="430"/>
      <c r="AS639" s="430"/>
      <c r="AT639" s="430"/>
      <c r="AU639" s="430"/>
      <c r="AV639" s="430"/>
      <c r="AW639" s="430"/>
      <c r="AX639" s="430"/>
      <c r="AY639" s="430"/>
      <c r="AZ639" s="430"/>
      <c r="BA639" s="430"/>
      <c r="BB639" s="430"/>
      <c r="BC639" s="430"/>
      <c r="BD639" s="430"/>
      <c r="BE639" s="430"/>
    </row>
    <row r="640" spans="1:57" ht="15.75" customHeight="1">
      <c r="A640" s="430"/>
      <c r="B640" s="430"/>
      <c r="C640" s="430"/>
      <c r="D640" s="430"/>
      <c r="E640" s="430"/>
      <c r="F640" s="430"/>
      <c r="G640" s="430"/>
      <c r="H640" s="430"/>
      <c r="I640" s="430"/>
      <c r="J640" s="430"/>
      <c r="K640" s="430"/>
      <c r="L640" s="430"/>
      <c r="M640" s="430"/>
      <c r="N640" s="430"/>
      <c r="O640" s="430"/>
      <c r="P640" s="430"/>
      <c r="Q640" s="430"/>
      <c r="R640" s="430"/>
      <c r="S640" s="430"/>
      <c r="T640" s="430"/>
      <c r="U640" s="430"/>
      <c r="V640" s="430"/>
      <c r="W640" s="430"/>
      <c r="X640" s="430"/>
      <c r="Y640" s="430"/>
      <c r="Z640" s="430"/>
      <c r="AA640" s="430"/>
      <c r="AB640" s="430"/>
      <c r="AC640" s="430"/>
      <c r="AD640" s="430"/>
      <c r="AE640" s="430"/>
      <c r="AF640" s="430"/>
      <c r="AG640" s="430"/>
      <c r="AH640" s="430"/>
      <c r="AI640" s="430"/>
      <c r="AJ640" s="430"/>
      <c r="AK640" s="430"/>
      <c r="AL640" s="430"/>
      <c r="AM640" s="430"/>
      <c r="AN640" s="430"/>
      <c r="AO640" s="430"/>
      <c r="AP640" s="430"/>
      <c r="AQ640" s="430"/>
      <c r="AR640" s="430"/>
      <c r="AS640" s="430"/>
      <c r="AT640" s="430"/>
      <c r="AU640" s="430"/>
      <c r="AV640" s="430"/>
      <c r="AW640" s="430"/>
      <c r="AX640" s="430"/>
      <c r="AY640" s="430"/>
      <c r="AZ640" s="430"/>
      <c r="BA640" s="430"/>
      <c r="BB640" s="430"/>
      <c r="BC640" s="430"/>
      <c r="BD640" s="430"/>
      <c r="BE640" s="430"/>
    </row>
    <row r="641" spans="1:57" ht="15.75" customHeight="1">
      <c r="A641" s="430"/>
      <c r="B641" s="430"/>
      <c r="C641" s="430"/>
      <c r="D641" s="430"/>
      <c r="E641" s="430"/>
      <c r="F641" s="430"/>
      <c r="G641" s="430"/>
      <c r="H641" s="430"/>
      <c r="I641" s="430"/>
      <c r="J641" s="430"/>
      <c r="K641" s="430"/>
      <c r="L641" s="430"/>
      <c r="M641" s="430"/>
      <c r="N641" s="430"/>
      <c r="O641" s="430"/>
      <c r="P641" s="430"/>
      <c r="Q641" s="430"/>
      <c r="R641" s="430"/>
      <c r="S641" s="430"/>
      <c r="T641" s="430"/>
      <c r="U641" s="430"/>
      <c r="V641" s="430"/>
      <c r="W641" s="430"/>
      <c r="X641" s="430"/>
      <c r="Y641" s="430"/>
      <c r="Z641" s="430"/>
      <c r="AA641" s="430"/>
      <c r="AB641" s="430"/>
      <c r="AC641" s="430"/>
      <c r="AD641" s="430"/>
      <c r="AE641" s="430"/>
      <c r="AF641" s="430"/>
      <c r="AG641" s="430"/>
      <c r="AH641" s="430"/>
      <c r="AI641" s="430"/>
      <c r="AJ641" s="430"/>
      <c r="AK641" s="430"/>
      <c r="AL641" s="430"/>
      <c r="AM641" s="430"/>
      <c r="AN641" s="430"/>
      <c r="AO641" s="430"/>
      <c r="AP641" s="430"/>
      <c r="AQ641" s="430"/>
      <c r="AR641" s="430"/>
      <c r="AS641" s="430"/>
      <c r="AT641" s="430"/>
      <c r="AU641" s="430"/>
      <c r="AV641" s="430"/>
      <c r="AW641" s="430"/>
      <c r="AX641" s="430"/>
      <c r="AY641" s="430"/>
      <c r="AZ641" s="430"/>
      <c r="BA641" s="430"/>
      <c r="BB641" s="430"/>
      <c r="BC641" s="430"/>
      <c r="BD641" s="430"/>
      <c r="BE641" s="430"/>
    </row>
    <row r="642" spans="1:57" ht="15.75" customHeight="1">
      <c r="A642" s="430"/>
      <c r="B642" s="430"/>
      <c r="C642" s="430"/>
      <c r="D642" s="430"/>
      <c r="E642" s="430"/>
      <c r="F642" s="430"/>
      <c r="G642" s="430"/>
      <c r="H642" s="430"/>
      <c r="I642" s="430"/>
      <c r="J642" s="430"/>
      <c r="K642" s="430"/>
      <c r="L642" s="430"/>
      <c r="M642" s="430"/>
      <c r="N642" s="430"/>
      <c r="O642" s="430"/>
      <c r="P642" s="430"/>
      <c r="Q642" s="430"/>
      <c r="R642" s="430"/>
      <c r="S642" s="430"/>
      <c r="T642" s="430"/>
      <c r="U642" s="430"/>
      <c r="V642" s="430"/>
      <c r="W642" s="430"/>
      <c r="X642" s="430"/>
      <c r="Y642" s="430"/>
      <c r="Z642" s="430"/>
      <c r="AA642" s="430"/>
      <c r="AB642" s="430"/>
      <c r="AC642" s="430"/>
      <c r="AD642" s="430"/>
      <c r="AE642" s="430"/>
      <c r="AF642" s="430"/>
      <c r="AG642" s="430"/>
      <c r="AH642" s="430"/>
      <c r="AI642" s="430"/>
      <c r="AJ642" s="430"/>
      <c r="AK642" s="430"/>
      <c r="AL642" s="430"/>
      <c r="AM642" s="430"/>
      <c r="AN642" s="430"/>
      <c r="AO642" s="430"/>
      <c r="AP642" s="430"/>
      <c r="AQ642" s="430"/>
      <c r="AR642" s="430"/>
      <c r="AS642" s="430"/>
      <c r="AT642" s="430"/>
      <c r="AU642" s="430"/>
      <c r="AV642" s="430"/>
      <c r="AW642" s="430"/>
      <c r="AX642" s="430"/>
      <c r="AY642" s="430"/>
      <c r="AZ642" s="430"/>
      <c r="BA642" s="430"/>
      <c r="BB642" s="430"/>
      <c r="BC642" s="430"/>
      <c r="BD642" s="430"/>
      <c r="BE642" s="430"/>
    </row>
    <row r="643" spans="1:57" ht="15.75" customHeight="1">
      <c r="A643" s="430"/>
      <c r="B643" s="430"/>
      <c r="C643" s="430"/>
      <c r="D643" s="430"/>
      <c r="E643" s="430"/>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0"/>
      <c r="AY643" s="430"/>
      <c r="AZ643" s="430"/>
      <c r="BA643" s="430"/>
      <c r="BB643" s="430"/>
      <c r="BC643" s="430"/>
      <c r="BD643" s="430"/>
      <c r="BE643" s="430"/>
    </row>
    <row r="644" spans="1:57" ht="15.75" customHeight="1">
      <c r="A644" s="430"/>
      <c r="B644" s="430"/>
      <c r="C644" s="430"/>
      <c r="D644" s="430"/>
      <c r="E644" s="430"/>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30"/>
      <c r="AY644" s="430"/>
      <c r="AZ644" s="430"/>
      <c r="BA644" s="430"/>
      <c r="BB644" s="430"/>
      <c r="BC644" s="430"/>
      <c r="BD644" s="430"/>
      <c r="BE644" s="430"/>
    </row>
    <row r="645" spans="1:57" ht="15.75" customHeight="1">
      <c r="A645" s="430"/>
      <c r="B645" s="430"/>
      <c r="C645" s="430"/>
      <c r="D645" s="430"/>
      <c r="E645" s="430"/>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30"/>
      <c r="AY645" s="430"/>
      <c r="AZ645" s="430"/>
      <c r="BA645" s="430"/>
      <c r="BB645" s="430"/>
      <c r="BC645" s="430"/>
      <c r="BD645" s="430"/>
      <c r="BE645" s="430"/>
    </row>
    <row r="646" spans="1:57" ht="15.75" customHeight="1">
      <c r="A646" s="430"/>
      <c r="B646" s="430"/>
      <c r="C646" s="430"/>
      <c r="D646" s="430"/>
      <c r="E646" s="430"/>
      <c r="F646" s="430"/>
      <c r="G646" s="430"/>
      <c r="H646" s="430"/>
      <c r="I646" s="430"/>
      <c r="J646" s="430"/>
      <c r="K646" s="430"/>
      <c r="L646" s="430"/>
      <c r="M646" s="430"/>
      <c r="N646" s="430"/>
      <c r="O646" s="430"/>
      <c r="P646" s="430"/>
      <c r="Q646" s="430"/>
      <c r="R646" s="430"/>
      <c r="S646" s="430"/>
      <c r="T646" s="430"/>
      <c r="U646" s="430"/>
      <c r="V646" s="430"/>
      <c r="W646" s="430"/>
      <c r="X646" s="430"/>
      <c r="Y646" s="430"/>
      <c r="Z646" s="430"/>
      <c r="AA646" s="430"/>
      <c r="AB646" s="430"/>
      <c r="AC646" s="430"/>
      <c r="AD646" s="430"/>
      <c r="AE646" s="430"/>
      <c r="AF646" s="430"/>
      <c r="AG646" s="430"/>
      <c r="AH646" s="430"/>
      <c r="AI646" s="430"/>
      <c r="AJ646" s="430"/>
      <c r="AK646" s="430"/>
      <c r="AL646" s="430"/>
      <c r="AM646" s="430"/>
      <c r="AN646" s="430"/>
      <c r="AO646" s="430"/>
      <c r="AP646" s="430"/>
      <c r="AQ646" s="430"/>
      <c r="AR646" s="430"/>
      <c r="AS646" s="430"/>
      <c r="AT646" s="430"/>
      <c r="AU646" s="430"/>
      <c r="AV646" s="430"/>
      <c r="AW646" s="430"/>
      <c r="AX646" s="430"/>
      <c r="AY646" s="430"/>
      <c r="AZ646" s="430"/>
      <c r="BA646" s="430"/>
      <c r="BB646" s="430"/>
      <c r="BC646" s="430"/>
      <c r="BD646" s="430"/>
      <c r="BE646" s="430"/>
    </row>
    <row r="647" spans="1:57" ht="15.75" customHeight="1">
      <c r="A647" s="430"/>
      <c r="B647" s="430"/>
      <c r="C647" s="430"/>
      <c r="D647" s="430"/>
      <c r="E647" s="430"/>
      <c r="F647" s="430"/>
      <c r="G647" s="430"/>
      <c r="H647" s="430"/>
      <c r="I647" s="430"/>
      <c r="J647" s="430"/>
      <c r="K647" s="430"/>
      <c r="L647" s="430"/>
      <c r="M647" s="430"/>
      <c r="N647" s="430"/>
      <c r="O647" s="430"/>
      <c r="P647" s="430"/>
      <c r="Q647" s="430"/>
      <c r="R647" s="430"/>
      <c r="S647" s="430"/>
      <c r="T647" s="430"/>
      <c r="U647" s="430"/>
      <c r="V647" s="430"/>
      <c r="W647" s="430"/>
      <c r="X647" s="430"/>
      <c r="Y647" s="430"/>
      <c r="Z647" s="430"/>
      <c r="AA647" s="430"/>
      <c r="AB647" s="430"/>
      <c r="AC647" s="430"/>
      <c r="AD647" s="430"/>
      <c r="AE647" s="430"/>
      <c r="AF647" s="430"/>
      <c r="AG647" s="430"/>
      <c r="AH647" s="430"/>
      <c r="AI647" s="430"/>
      <c r="AJ647" s="430"/>
      <c r="AK647" s="430"/>
      <c r="AL647" s="430"/>
      <c r="AM647" s="430"/>
      <c r="AN647" s="430"/>
      <c r="AO647" s="430"/>
      <c r="AP647" s="430"/>
      <c r="AQ647" s="430"/>
      <c r="AR647" s="430"/>
      <c r="AS647" s="430"/>
      <c r="AT647" s="430"/>
      <c r="AU647" s="430"/>
      <c r="AV647" s="430"/>
      <c r="AW647" s="430"/>
      <c r="AX647" s="430"/>
      <c r="AY647" s="430"/>
      <c r="AZ647" s="430"/>
      <c r="BA647" s="430"/>
      <c r="BB647" s="430"/>
      <c r="BC647" s="430"/>
      <c r="BD647" s="430"/>
      <c r="BE647" s="430"/>
    </row>
    <row r="648" spans="1:57" ht="15.75" customHeight="1">
      <c r="A648" s="430"/>
      <c r="B648" s="430"/>
      <c r="C648" s="430"/>
      <c r="D648" s="430"/>
      <c r="E648" s="430"/>
      <c r="F648" s="430"/>
      <c r="G648" s="430"/>
      <c r="H648" s="430"/>
      <c r="I648" s="430"/>
      <c r="J648" s="430"/>
      <c r="K648" s="430"/>
      <c r="L648" s="430"/>
      <c r="M648" s="430"/>
      <c r="N648" s="430"/>
      <c r="O648" s="430"/>
      <c r="P648" s="430"/>
      <c r="Q648" s="430"/>
      <c r="R648" s="430"/>
      <c r="S648" s="430"/>
      <c r="T648" s="430"/>
      <c r="U648" s="430"/>
      <c r="V648" s="430"/>
      <c r="W648" s="430"/>
      <c r="X648" s="430"/>
      <c r="Y648" s="430"/>
      <c r="Z648" s="430"/>
      <c r="AA648" s="430"/>
      <c r="AB648" s="430"/>
      <c r="AC648" s="430"/>
      <c r="AD648" s="430"/>
      <c r="AE648" s="430"/>
      <c r="AF648" s="430"/>
      <c r="AG648" s="430"/>
      <c r="AH648" s="430"/>
      <c r="AI648" s="430"/>
      <c r="AJ648" s="430"/>
      <c r="AK648" s="430"/>
      <c r="AL648" s="430"/>
      <c r="AM648" s="430"/>
      <c r="AN648" s="430"/>
      <c r="AO648" s="430"/>
      <c r="AP648" s="430"/>
      <c r="AQ648" s="430"/>
      <c r="AR648" s="430"/>
      <c r="AS648" s="430"/>
      <c r="AT648" s="430"/>
      <c r="AU648" s="430"/>
      <c r="AV648" s="430"/>
      <c r="AW648" s="430"/>
      <c r="AX648" s="430"/>
      <c r="AY648" s="430"/>
      <c r="AZ648" s="430"/>
      <c r="BA648" s="430"/>
      <c r="BB648" s="430"/>
      <c r="BC648" s="430"/>
      <c r="BD648" s="430"/>
      <c r="BE648" s="430"/>
    </row>
    <row r="649" spans="1:57" ht="15.75" customHeight="1">
      <c r="A649" s="430"/>
      <c r="B649" s="430"/>
      <c r="C649" s="430"/>
      <c r="D649" s="430"/>
      <c r="E649" s="430"/>
      <c r="F649" s="430"/>
      <c r="G649" s="430"/>
      <c r="H649" s="430"/>
      <c r="I649" s="430"/>
      <c r="J649" s="430"/>
      <c r="K649" s="430"/>
      <c r="L649" s="430"/>
      <c r="M649" s="430"/>
      <c r="N649" s="430"/>
      <c r="O649" s="430"/>
      <c r="P649" s="430"/>
      <c r="Q649" s="430"/>
      <c r="R649" s="430"/>
      <c r="S649" s="430"/>
      <c r="T649" s="430"/>
      <c r="U649" s="430"/>
      <c r="V649" s="430"/>
      <c r="W649" s="430"/>
      <c r="X649" s="430"/>
      <c r="Y649" s="430"/>
      <c r="Z649" s="430"/>
      <c r="AA649" s="430"/>
      <c r="AB649" s="430"/>
      <c r="AC649" s="430"/>
      <c r="AD649" s="430"/>
      <c r="AE649" s="430"/>
      <c r="AF649" s="430"/>
      <c r="AG649" s="430"/>
      <c r="AH649" s="430"/>
      <c r="AI649" s="430"/>
      <c r="AJ649" s="430"/>
      <c r="AK649" s="430"/>
      <c r="AL649" s="430"/>
      <c r="AM649" s="430"/>
      <c r="AN649" s="430"/>
      <c r="AO649" s="430"/>
      <c r="AP649" s="430"/>
      <c r="AQ649" s="430"/>
      <c r="AR649" s="430"/>
      <c r="AS649" s="430"/>
      <c r="AT649" s="430"/>
      <c r="AU649" s="430"/>
      <c r="AV649" s="430"/>
      <c r="AW649" s="430"/>
      <c r="AX649" s="430"/>
      <c r="AY649" s="430"/>
      <c r="AZ649" s="430"/>
      <c r="BA649" s="430"/>
      <c r="BB649" s="430"/>
      <c r="BC649" s="430"/>
      <c r="BD649" s="430"/>
      <c r="BE649" s="430"/>
    </row>
    <row r="650" spans="1:57" ht="15.75" customHeight="1">
      <c r="A650" s="430"/>
      <c r="B650" s="430"/>
      <c r="C650" s="430"/>
      <c r="D650" s="430"/>
      <c r="E650" s="430"/>
      <c r="F650" s="430"/>
      <c r="G650" s="430"/>
      <c r="H650" s="430"/>
      <c r="I650" s="430"/>
      <c r="J650" s="430"/>
      <c r="K650" s="430"/>
      <c r="L650" s="430"/>
      <c r="M650" s="430"/>
      <c r="N650" s="430"/>
      <c r="O650" s="430"/>
      <c r="P650" s="430"/>
      <c r="Q650" s="430"/>
      <c r="R650" s="430"/>
      <c r="S650" s="430"/>
      <c r="T650" s="430"/>
      <c r="U650" s="430"/>
      <c r="V650" s="430"/>
      <c r="W650" s="430"/>
      <c r="X650" s="430"/>
      <c r="Y650" s="430"/>
      <c r="Z650" s="430"/>
      <c r="AA650" s="430"/>
      <c r="AB650" s="430"/>
      <c r="AC650" s="430"/>
      <c r="AD650" s="430"/>
      <c r="AE650" s="430"/>
      <c r="AF650" s="430"/>
      <c r="AG650" s="430"/>
      <c r="AH650" s="430"/>
      <c r="AI650" s="430"/>
      <c r="AJ650" s="430"/>
      <c r="AK650" s="430"/>
      <c r="AL650" s="430"/>
      <c r="AM650" s="430"/>
      <c r="AN650" s="430"/>
      <c r="AO650" s="430"/>
      <c r="AP650" s="430"/>
      <c r="AQ650" s="430"/>
      <c r="AR650" s="430"/>
      <c r="AS650" s="430"/>
      <c r="AT650" s="430"/>
      <c r="AU650" s="430"/>
      <c r="AV650" s="430"/>
      <c r="AW650" s="430"/>
      <c r="AX650" s="430"/>
      <c r="AY650" s="430"/>
      <c r="AZ650" s="430"/>
      <c r="BA650" s="430"/>
      <c r="BB650" s="430"/>
      <c r="BC650" s="430"/>
      <c r="BD650" s="430"/>
      <c r="BE650" s="430"/>
    </row>
    <row r="651" spans="1:57" ht="15.75" customHeight="1">
      <c r="A651" s="430"/>
      <c r="B651" s="430"/>
      <c r="C651" s="430"/>
      <c r="D651" s="430"/>
      <c r="E651" s="430"/>
      <c r="F651" s="430"/>
      <c r="G651" s="430"/>
      <c r="H651" s="430"/>
      <c r="I651" s="430"/>
      <c r="J651" s="430"/>
      <c r="K651" s="430"/>
      <c r="L651" s="430"/>
      <c r="M651" s="430"/>
      <c r="N651" s="430"/>
      <c r="O651" s="430"/>
      <c r="P651" s="430"/>
      <c r="Q651" s="430"/>
      <c r="R651" s="430"/>
      <c r="S651" s="430"/>
      <c r="T651" s="430"/>
      <c r="U651" s="430"/>
      <c r="V651" s="430"/>
      <c r="W651" s="430"/>
      <c r="X651" s="430"/>
      <c r="Y651" s="430"/>
      <c r="Z651" s="430"/>
      <c r="AA651" s="430"/>
      <c r="AB651" s="430"/>
      <c r="AC651" s="430"/>
      <c r="AD651" s="430"/>
      <c r="AE651" s="430"/>
      <c r="AF651" s="430"/>
      <c r="AG651" s="430"/>
      <c r="AH651" s="430"/>
      <c r="AI651" s="430"/>
      <c r="AJ651" s="430"/>
      <c r="AK651" s="430"/>
      <c r="AL651" s="430"/>
      <c r="AM651" s="430"/>
      <c r="AN651" s="430"/>
      <c r="AO651" s="430"/>
      <c r="AP651" s="430"/>
      <c r="AQ651" s="430"/>
      <c r="AR651" s="430"/>
      <c r="AS651" s="430"/>
      <c r="AT651" s="430"/>
      <c r="AU651" s="430"/>
      <c r="AV651" s="430"/>
      <c r="AW651" s="430"/>
      <c r="AX651" s="430"/>
      <c r="AY651" s="430"/>
      <c r="AZ651" s="430"/>
      <c r="BA651" s="430"/>
      <c r="BB651" s="430"/>
      <c r="BC651" s="430"/>
      <c r="BD651" s="430"/>
      <c r="BE651" s="430"/>
    </row>
    <row r="652" spans="1:57" ht="15.75" customHeight="1">
      <c r="A652" s="430"/>
      <c r="B652" s="430"/>
      <c r="C652" s="430"/>
      <c r="D652" s="430"/>
      <c r="E652" s="430"/>
      <c r="F652" s="430"/>
      <c r="G652" s="430"/>
      <c r="H652" s="430"/>
      <c r="I652" s="430"/>
      <c r="J652" s="430"/>
      <c r="K652" s="430"/>
      <c r="L652" s="430"/>
      <c r="M652" s="430"/>
      <c r="N652" s="430"/>
      <c r="O652" s="430"/>
      <c r="P652" s="430"/>
      <c r="Q652" s="430"/>
      <c r="R652" s="430"/>
      <c r="S652" s="430"/>
      <c r="T652" s="430"/>
      <c r="U652" s="430"/>
      <c r="V652" s="430"/>
      <c r="W652" s="430"/>
      <c r="X652" s="430"/>
      <c r="Y652" s="430"/>
      <c r="Z652" s="430"/>
      <c r="AA652" s="430"/>
      <c r="AB652" s="430"/>
      <c r="AC652" s="430"/>
      <c r="AD652" s="430"/>
      <c r="AE652" s="430"/>
      <c r="AF652" s="430"/>
      <c r="AG652" s="430"/>
      <c r="AH652" s="430"/>
      <c r="AI652" s="430"/>
      <c r="AJ652" s="430"/>
      <c r="AK652" s="430"/>
      <c r="AL652" s="430"/>
      <c r="AM652" s="430"/>
      <c r="AN652" s="430"/>
      <c r="AO652" s="430"/>
      <c r="AP652" s="430"/>
      <c r="AQ652" s="430"/>
      <c r="AR652" s="430"/>
      <c r="AS652" s="430"/>
      <c r="AT652" s="430"/>
      <c r="AU652" s="430"/>
      <c r="AV652" s="430"/>
      <c r="AW652" s="430"/>
      <c r="AX652" s="430"/>
      <c r="AY652" s="430"/>
      <c r="AZ652" s="430"/>
      <c r="BA652" s="430"/>
      <c r="BB652" s="430"/>
      <c r="BC652" s="430"/>
      <c r="BD652" s="430"/>
      <c r="BE652" s="430"/>
    </row>
    <row r="653" spans="1:57" ht="15.75" customHeight="1">
      <c r="A653" s="430"/>
      <c r="B653" s="430"/>
      <c r="C653" s="430"/>
      <c r="D653" s="430"/>
      <c r="E653" s="430"/>
      <c r="F653" s="430"/>
      <c r="G653" s="430"/>
      <c r="H653" s="430"/>
      <c r="I653" s="430"/>
      <c r="J653" s="430"/>
      <c r="K653" s="430"/>
      <c r="L653" s="430"/>
      <c r="M653" s="430"/>
      <c r="N653" s="430"/>
      <c r="O653" s="430"/>
      <c r="P653" s="430"/>
      <c r="Q653" s="430"/>
      <c r="R653" s="430"/>
      <c r="S653" s="430"/>
      <c r="T653" s="430"/>
      <c r="U653" s="430"/>
      <c r="V653" s="430"/>
      <c r="W653" s="430"/>
      <c r="X653" s="430"/>
      <c r="Y653" s="430"/>
      <c r="Z653" s="430"/>
      <c r="AA653" s="430"/>
      <c r="AB653" s="430"/>
      <c r="AC653" s="430"/>
      <c r="AD653" s="430"/>
      <c r="AE653" s="430"/>
      <c r="AF653" s="430"/>
      <c r="AG653" s="430"/>
      <c r="AH653" s="430"/>
      <c r="AI653" s="430"/>
      <c r="AJ653" s="430"/>
      <c r="AK653" s="430"/>
      <c r="AL653" s="430"/>
      <c r="AM653" s="430"/>
      <c r="AN653" s="430"/>
      <c r="AO653" s="430"/>
      <c r="AP653" s="430"/>
      <c r="AQ653" s="430"/>
      <c r="AR653" s="430"/>
      <c r="AS653" s="430"/>
      <c r="AT653" s="430"/>
      <c r="AU653" s="430"/>
      <c r="AV653" s="430"/>
      <c r="AW653" s="430"/>
      <c r="AX653" s="430"/>
      <c r="AY653" s="430"/>
      <c r="AZ653" s="430"/>
      <c r="BA653" s="430"/>
      <c r="BB653" s="430"/>
      <c r="BC653" s="430"/>
      <c r="BD653" s="430"/>
      <c r="BE653" s="430"/>
    </row>
    <row r="654" spans="1:57" ht="15.75" customHeight="1">
      <c r="A654" s="430"/>
      <c r="B654" s="430"/>
      <c r="C654" s="430"/>
      <c r="D654" s="430"/>
      <c r="E654" s="430"/>
      <c r="F654" s="430"/>
      <c r="G654" s="430"/>
      <c r="H654" s="430"/>
      <c r="I654" s="430"/>
      <c r="J654" s="430"/>
      <c r="K654" s="430"/>
      <c r="L654" s="430"/>
      <c r="M654" s="430"/>
      <c r="N654" s="430"/>
      <c r="O654" s="430"/>
      <c r="P654" s="430"/>
      <c r="Q654" s="430"/>
      <c r="R654" s="430"/>
      <c r="S654" s="430"/>
      <c r="T654" s="430"/>
      <c r="U654" s="430"/>
      <c r="V654" s="430"/>
      <c r="W654" s="430"/>
      <c r="X654" s="430"/>
      <c r="Y654" s="430"/>
      <c r="Z654" s="430"/>
      <c r="AA654" s="430"/>
      <c r="AB654" s="430"/>
      <c r="AC654" s="430"/>
      <c r="AD654" s="430"/>
      <c r="AE654" s="430"/>
      <c r="AF654" s="430"/>
      <c r="AG654" s="430"/>
      <c r="AH654" s="430"/>
      <c r="AI654" s="430"/>
      <c r="AJ654" s="430"/>
      <c r="AK654" s="430"/>
      <c r="AL654" s="430"/>
      <c r="AM654" s="430"/>
      <c r="AN654" s="430"/>
      <c r="AO654" s="430"/>
      <c r="AP654" s="430"/>
      <c r="AQ654" s="430"/>
      <c r="AR654" s="430"/>
      <c r="AS654" s="430"/>
      <c r="AT654" s="430"/>
      <c r="AU654" s="430"/>
      <c r="AV654" s="430"/>
      <c r="AW654" s="430"/>
      <c r="AX654" s="430"/>
      <c r="AY654" s="430"/>
      <c r="AZ654" s="430"/>
      <c r="BA654" s="430"/>
      <c r="BB654" s="430"/>
      <c r="BC654" s="430"/>
      <c r="BD654" s="430"/>
      <c r="BE654" s="430"/>
    </row>
    <row r="655" spans="1:57" ht="15.75" customHeight="1">
      <c r="A655" s="430"/>
      <c r="B655" s="430"/>
      <c r="C655" s="430"/>
      <c r="D655" s="430"/>
      <c r="E655" s="430"/>
      <c r="F655" s="430"/>
      <c r="G655" s="430"/>
      <c r="H655" s="430"/>
      <c r="I655" s="430"/>
      <c r="J655" s="430"/>
      <c r="K655" s="430"/>
      <c r="L655" s="430"/>
      <c r="M655" s="430"/>
      <c r="N655" s="430"/>
      <c r="O655" s="430"/>
      <c r="P655" s="430"/>
      <c r="Q655" s="430"/>
      <c r="R655" s="430"/>
      <c r="S655" s="430"/>
      <c r="T655" s="430"/>
      <c r="U655" s="430"/>
      <c r="V655" s="430"/>
      <c r="W655" s="430"/>
      <c r="X655" s="430"/>
      <c r="Y655" s="430"/>
      <c r="Z655" s="430"/>
      <c r="AA655" s="430"/>
      <c r="AB655" s="430"/>
      <c r="AC655" s="430"/>
      <c r="AD655" s="430"/>
      <c r="AE655" s="430"/>
      <c r="AF655" s="430"/>
      <c r="AG655" s="430"/>
      <c r="AH655" s="430"/>
      <c r="AI655" s="430"/>
      <c r="AJ655" s="430"/>
      <c r="AK655" s="430"/>
      <c r="AL655" s="430"/>
      <c r="AM655" s="430"/>
      <c r="AN655" s="430"/>
      <c r="AO655" s="430"/>
      <c r="AP655" s="430"/>
      <c r="AQ655" s="430"/>
      <c r="AR655" s="430"/>
      <c r="AS655" s="430"/>
      <c r="AT655" s="430"/>
      <c r="AU655" s="430"/>
      <c r="AV655" s="430"/>
      <c r="AW655" s="430"/>
      <c r="AX655" s="430"/>
      <c r="AY655" s="430"/>
      <c r="AZ655" s="430"/>
      <c r="BA655" s="430"/>
      <c r="BB655" s="430"/>
      <c r="BC655" s="430"/>
      <c r="BD655" s="430"/>
      <c r="BE655" s="430"/>
    </row>
    <row r="656" spans="1:57" ht="15.75" customHeight="1">
      <c r="A656" s="430"/>
      <c r="B656" s="430"/>
      <c r="C656" s="430"/>
      <c r="D656" s="430"/>
      <c r="E656" s="430"/>
      <c r="F656" s="430"/>
      <c r="G656" s="430"/>
      <c r="H656" s="430"/>
      <c r="I656" s="430"/>
      <c r="J656" s="430"/>
      <c r="K656" s="430"/>
      <c r="L656" s="430"/>
      <c r="M656" s="430"/>
      <c r="N656" s="430"/>
      <c r="O656" s="430"/>
      <c r="P656" s="430"/>
      <c r="Q656" s="430"/>
      <c r="R656" s="430"/>
      <c r="S656" s="430"/>
      <c r="T656" s="430"/>
      <c r="U656" s="430"/>
      <c r="V656" s="430"/>
      <c r="W656" s="430"/>
      <c r="X656" s="430"/>
      <c r="Y656" s="430"/>
      <c r="Z656" s="430"/>
      <c r="AA656" s="430"/>
      <c r="AB656" s="430"/>
      <c r="AC656" s="430"/>
      <c r="AD656" s="430"/>
      <c r="AE656" s="430"/>
      <c r="AF656" s="430"/>
      <c r="AG656" s="430"/>
      <c r="AH656" s="430"/>
      <c r="AI656" s="430"/>
      <c r="AJ656" s="430"/>
      <c r="AK656" s="430"/>
      <c r="AL656" s="430"/>
      <c r="AM656" s="430"/>
      <c r="AN656" s="430"/>
      <c r="AO656" s="430"/>
      <c r="AP656" s="430"/>
      <c r="AQ656" s="430"/>
      <c r="AR656" s="430"/>
      <c r="AS656" s="430"/>
      <c r="AT656" s="430"/>
      <c r="AU656" s="430"/>
      <c r="AV656" s="430"/>
      <c r="AW656" s="430"/>
      <c r="AX656" s="430"/>
      <c r="AY656" s="430"/>
      <c r="AZ656" s="430"/>
      <c r="BA656" s="430"/>
      <c r="BB656" s="430"/>
      <c r="BC656" s="430"/>
      <c r="BD656" s="430"/>
      <c r="BE656" s="430"/>
    </row>
    <row r="657" spans="1:57" ht="15.75" customHeight="1">
      <c r="A657" s="430"/>
      <c r="B657" s="430"/>
      <c r="C657" s="430"/>
      <c r="D657" s="430"/>
      <c r="E657" s="430"/>
      <c r="F657" s="430"/>
      <c r="G657" s="430"/>
      <c r="H657" s="430"/>
      <c r="I657" s="430"/>
      <c r="J657" s="430"/>
      <c r="K657" s="430"/>
      <c r="L657" s="430"/>
      <c r="M657" s="430"/>
      <c r="N657" s="430"/>
      <c r="O657" s="430"/>
      <c r="P657" s="430"/>
      <c r="Q657" s="430"/>
      <c r="R657" s="430"/>
      <c r="S657" s="430"/>
      <c r="T657" s="430"/>
      <c r="U657" s="430"/>
      <c r="V657" s="430"/>
      <c r="W657" s="430"/>
      <c r="X657" s="430"/>
      <c r="Y657" s="430"/>
      <c r="Z657" s="430"/>
      <c r="AA657" s="430"/>
      <c r="AB657" s="430"/>
      <c r="AC657" s="430"/>
      <c r="AD657" s="430"/>
      <c r="AE657" s="430"/>
      <c r="AF657" s="430"/>
      <c r="AG657" s="430"/>
      <c r="AH657" s="430"/>
      <c r="AI657" s="430"/>
      <c r="AJ657" s="430"/>
      <c r="AK657" s="430"/>
      <c r="AL657" s="430"/>
      <c r="AM657" s="430"/>
      <c r="AN657" s="430"/>
      <c r="AO657" s="430"/>
      <c r="AP657" s="430"/>
      <c r="AQ657" s="430"/>
      <c r="AR657" s="430"/>
      <c r="AS657" s="430"/>
      <c r="AT657" s="430"/>
      <c r="AU657" s="430"/>
      <c r="AV657" s="430"/>
      <c r="AW657" s="430"/>
      <c r="AX657" s="430"/>
      <c r="AY657" s="430"/>
      <c r="AZ657" s="430"/>
      <c r="BA657" s="430"/>
      <c r="BB657" s="430"/>
      <c r="BC657" s="430"/>
      <c r="BD657" s="430"/>
      <c r="BE657" s="430"/>
    </row>
    <row r="658" spans="1:57" ht="15.75" customHeight="1">
      <c r="A658" s="430"/>
      <c r="B658" s="430"/>
      <c r="C658" s="430"/>
      <c r="D658" s="430"/>
      <c r="E658" s="430"/>
      <c r="F658" s="430"/>
      <c r="G658" s="430"/>
      <c r="H658" s="430"/>
      <c r="I658" s="430"/>
      <c r="J658" s="430"/>
      <c r="K658" s="430"/>
      <c r="L658" s="430"/>
      <c r="M658" s="430"/>
      <c r="N658" s="430"/>
      <c r="O658" s="430"/>
      <c r="P658" s="430"/>
      <c r="Q658" s="430"/>
      <c r="R658" s="430"/>
      <c r="S658" s="430"/>
      <c r="T658" s="430"/>
      <c r="U658" s="430"/>
      <c r="V658" s="430"/>
      <c r="W658" s="430"/>
      <c r="X658" s="430"/>
      <c r="Y658" s="430"/>
      <c r="Z658" s="430"/>
      <c r="AA658" s="430"/>
      <c r="AB658" s="430"/>
      <c r="AC658" s="430"/>
      <c r="AD658" s="430"/>
      <c r="AE658" s="430"/>
      <c r="AF658" s="430"/>
      <c r="AG658" s="430"/>
      <c r="AH658" s="430"/>
      <c r="AI658" s="430"/>
      <c r="AJ658" s="430"/>
      <c r="AK658" s="430"/>
      <c r="AL658" s="430"/>
      <c r="AM658" s="430"/>
      <c r="AN658" s="430"/>
      <c r="AO658" s="430"/>
      <c r="AP658" s="430"/>
      <c r="AQ658" s="430"/>
      <c r="AR658" s="430"/>
      <c r="AS658" s="430"/>
      <c r="AT658" s="430"/>
      <c r="AU658" s="430"/>
      <c r="AV658" s="430"/>
      <c r="AW658" s="430"/>
      <c r="AX658" s="430"/>
      <c r="AY658" s="430"/>
      <c r="AZ658" s="430"/>
      <c r="BA658" s="430"/>
      <c r="BB658" s="430"/>
      <c r="BC658" s="430"/>
      <c r="BD658" s="430"/>
      <c r="BE658" s="430"/>
    </row>
    <row r="659" spans="1:57" ht="15.75" customHeight="1">
      <c r="A659" s="430"/>
      <c r="B659" s="430"/>
      <c r="C659" s="430"/>
      <c r="D659" s="430"/>
      <c r="E659" s="430"/>
      <c r="F659" s="430"/>
      <c r="G659" s="430"/>
      <c r="H659" s="430"/>
      <c r="I659" s="430"/>
      <c r="J659" s="430"/>
      <c r="K659" s="430"/>
      <c r="L659" s="430"/>
      <c r="M659" s="430"/>
      <c r="N659" s="430"/>
      <c r="O659" s="430"/>
      <c r="P659" s="430"/>
      <c r="Q659" s="430"/>
      <c r="R659" s="430"/>
      <c r="S659" s="430"/>
      <c r="T659" s="430"/>
      <c r="U659" s="430"/>
      <c r="V659" s="430"/>
      <c r="W659" s="430"/>
      <c r="X659" s="430"/>
      <c r="Y659" s="430"/>
      <c r="Z659" s="430"/>
      <c r="AA659" s="430"/>
      <c r="AB659" s="430"/>
      <c r="AC659" s="430"/>
      <c r="AD659" s="430"/>
      <c r="AE659" s="430"/>
      <c r="AF659" s="430"/>
      <c r="AG659" s="430"/>
      <c r="AH659" s="430"/>
      <c r="AI659" s="430"/>
      <c r="AJ659" s="430"/>
      <c r="AK659" s="430"/>
      <c r="AL659" s="430"/>
      <c r="AM659" s="430"/>
      <c r="AN659" s="430"/>
      <c r="AO659" s="430"/>
      <c r="AP659" s="430"/>
      <c r="AQ659" s="430"/>
      <c r="AR659" s="430"/>
      <c r="AS659" s="430"/>
      <c r="AT659" s="430"/>
      <c r="AU659" s="430"/>
      <c r="AV659" s="430"/>
      <c r="AW659" s="430"/>
      <c r="AX659" s="430"/>
      <c r="AY659" s="430"/>
      <c r="AZ659" s="430"/>
      <c r="BA659" s="430"/>
      <c r="BB659" s="430"/>
      <c r="BC659" s="430"/>
      <c r="BD659" s="430"/>
      <c r="BE659" s="430"/>
    </row>
    <row r="660" spans="1:57" ht="15.75" customHeight="1">
      <c r="A660" s="430"/>
      <c r="B660" s="430"/>
      <c r="C660" s="430"/>
      <c r="D660" s="430"/>
      <c r="E660" s="430"/>
      <c r="F660" s="430"/>
      <c r="G660" s="430"/>
      <c r="H660" s="430"/>
      <c r="I660" s="430"/>
      <c r="J660" s="430"/>
      <c r="K660" s="430"/>
      <c r="L660" s="430"/>
      <c r="M660" s="430"/>
      <c r="N660" s="430"/>
      <c r="O660" s="430"/>
      <c r="P660" s="430"/>
      <c r="Q660" s="430"/>
      <c r="R660" s="430"/>
      <c r="S660" s="430"/>
      <c r="T660" s="430"/>
      <c r="U660" s="430"/>
      <c r="V660" s="430"/>
      <c r="W660" s="430"/>
      <c r="X660" s="430"/>
      <c r="Y660" s="430"/>
      <c r="Z660" s="430"/>
      <c r="AA660" s="430"/>
      <c r="AB660" s="430"/>
      <c r="AC660" s="430"/>
      <c r="AD660" s="430"/>
      <c r="AE660" s="430"/>
      <c r="AF660" s="430"/>
      <c r="AG660" s="430"/>
      <c r="AH660" s="430"/>
      <c r="AI660" s="430"/>
      <c r="AJ660" s="430"/>
      <c r="AK660" s="430"/>
      <c r="AL660" s="430"/>
      <c r="AM660" s="430"/>
      <c r="AN660" s="430"/>
      <c r="AO660" s="430"/>
      <c r="AP660" s="430"/>
      <c r="AQ660" s="430"/>
      <c r="AR660" s="430"/>
      <c r="AS660" s="430"/>
      <c r="AT660" s="430"/>
      <c r="AU660" s="430"/>
      <c r="AV660" s="430"/>
      <c r="AW660" s="430"/>
      <c r="AX660" s="430"/>
      <c r="AY660" s="430"/>
      <c r="AZ660" s="430"/>
      <c r="BA660" s="430"/>
      <c r="BB660" s="430"/>
      <c r="BC660" s="430"/>
      <c r="BD660" s="430"/>
      <c r="BE660" s="430"/>
    </row>
    <row r="661" spans="1:57" ht="15.75" customHeight="1">
      <c r="A661" s="430"/>
      <c r="B661" s="430"/>
      <c r="C661" s="430"/>
      <c r="D661" s="430"/>
      <c r="E661" s="430"/>
      <c r="F661" s="430"/>
      <c r="G661" s="430"/>
      <c r="H661" s="430"/>
      <c r="I661" s="430"/>
      <c r="J661" s="430"/>
      <c r="K661" s="430"/>
      <c r="L661" s="430"/>
      <c r="M661" s="430"/>
      <c r="N661" s="430"/>
      <c r="O661" s="430"/>
      <c r="P661" s="430"/>
      <c r="Q661" s="430"/>
      <c r="R661" s="430"/>
      <c r="S661" s="430"/>
      <c r="T661" s="430"/>
      <c r="U661" s="430"/>
      <c r="V661" s="430"/>
      <c r="W661" s="430"/>
      <c r="X661" s="430"/>
      <c r="Y661" s="430"/>
      <c r="Z661" s="430"/>
      <c r="AA661" s="430"/>
      <c r="AB661" s="430"/>
      <c r="AC661" s="430"/>
      <c r="AD661" s="430"/>
      <c r="AE661" s="430"/>
      <c r="AF661" s="430"/>
      <c r="AG661" s="430"/>
      <c r="AH661" s="430"/>
      <c r="AI661" s="430"/>
      <c r="AJ661" s="430"/>
      <c r="AK661" s="430"/>
      <c r="AL661" s="430"/>
      <c r="AM661" s="430"/>
      <c r="AN661" s="430"/>
      <c r="AO661" s="430"/>
      <c r="AP661" s="430"/>
      <c r="AQ661" s="430"/>
      <c r="AR661" s="430"/>
      <c r="AS661" s="430"/>
      <c r="AT661" s="430"/>
      <c r="AU661" s="430"/>
      <c r="AV661" s="430"/>
      <c r="AW661" s="430"/>
      <c r="AX661" s="430"/>
      <c r="AY661" s="430"/>
      <c r="AZ661" s="430"/>
      <c r="BA661" s="430"/>
      <c r="BB661" s="430"/>
      <c r="BC661" s="430"/>
      <c r="BD661" s="430"/>
      <c r="BE661" s="430"/>
    </row>
    <row r="662" spans="1:57" ht="15.75" customHeight="1">
      <c r="A662" s="430"/>
      <c r="B662" s="430"/>
      <c r="C662" s="430"/>
      <c r="D662" s="430"/>
      <c r="E662" s="430"/>
      <c r="F662" s="430"/>
      <c r="G662" s="430"/>
      <c r="H662" s="430"/>
      <c r="I662" s="430"/>
      <c r="J662" s="430"/>
      <c r="K662" s="430"/>
      <c r="L662" s="430"/>
      <c r="M662" s="430"/>
      <c r="N662" s="430"/>
      <c r="O662" s="430"/>
      <c r="P662" s="430"/>
      <c r="Q662" s="430"/>
      <c r="R662" s="430"/>
      <c r="S662" s="430"/>
      <c r="T662" s="430"/>
      <c r="U662" s="430"/>
      <c r="V662" s="430"/>
      <c r="W662" s="430"/>
      <c r="X662" s="430"/>
      <c r="Y662" s="430"/>
      <c r="Z662" s="430"/>
      <c r="AA662" s="430"/>
      <c r="AB662" s="430"/>
      <c r="AC662" s="430"/>
      <c r="AD662" s="430"/>
      <c r="AE662" s="430"/>
      <c r="AF662" s="430"/>
      <c r="AG662" s="430"/>
      <c r="AH662" s="430"/>
      <c r="AI662" s="430"/>
      <c r="AJ662" s="430"/>
      <c r="AK662" s="430"/>
      <c r="AL662" s="430"/>
      <c r="AM662" s="430"/>
      <c r="AN662" s="430"/>
      <c r="AO662" s="430"/>
      <c r="AP662" s="430"/>
      <c r="AQ662" s="430"/>
      <c r="AR662" s="430"/>
      <c r="AS662" s="430"/>
      <c r="AT662" s="430"/>
      <c r="AU662" s="430"/>
      <c r="AV662" s="430"/>
      <c r="AW662" s="430"/>
      <c r="AX662" s="430"/>
      <c r="AY662" s="430"/>
      <c r="AZ662" s="430"/>
      <c r="BA662" s="430"/>
      <c r="BB662" s="430"/>
      <c r="BC662" s="430"/>
      <c r="BD662" s="430"/>
      <c r="BE662" s="430"/>
    </row>
    <row r="663" spans="1:57" ht="15.75" customHeight="1">
      <c r="A663" s="430"/>
      <c r="B663" s="430"/>
      <c r="C663" s="430"/>
      <c r="D663" s="430"/>
      <c r="E663" s="430"/>
      <c r="F663" s="430"/>
      <c r="G663" s="430"/>
      <c r="H663" s="430"/>
      <c r="I663" s="430"/>
      <c r="J663" s="430"/>
      <c r="K663" s="430"/>
      <c r="L663" s="430"/>
      <c r="M663" s="430"/>
      <c r="N663" s="430"/>
      <c r="O663" s="430"/>
      <c r="P663" s="430"/>
      <c r="Q663" s="430"/>
      <c r="R663" s="430"/>
      <c r="S663" s="430"/>
      <c r="T663" s="430"/>
      <c r="U663" s="430"/>
      <c r="V663" s="430"/>
      <c r="W663" s="430"/>
      <c r="X663" s="430"/>
      <c r="Y663" s="430"/>
      <c r="Z663" s="430"/>
      <c r="AA663" s="430"/>
      <c r="AB663" s="430"/>
      <c r="AC663" s="430"/>
      <c r="AD663" s="430"/>
      <c r="AE663" s="430"/>
      <c r="AF663" s="430"/>
      <c r="AG663" s="430"/>
      <c r="AH663" s="430"/>
      <c r="AI663" s="430"/>
      <c r="AJ663" s="430"/>
      <c r="AK663" s="430"/>
      <c r="AL663" s="430"/>
      <c r="AM663" s="430"/>
      <c r="AN663" s="430"/>
      <c r="AO663" s="430"/>
      <c r="AP663" s="430"/>
      <c r="AQ663" s="430"/>
      <c r="AR663" s="430"/>
      <c r="AS663" s="430"/>
      <c r="AT663" s="430"/>
      <c r="AU663" s="430"/>
      <c r="AV663" s="430"/>
      <c r="AW663" s="430"/>
      <c r="AX663" s="430"/>
      <c r="AY663" s="430"/>
      <c r="AZ663" s="430"/>
      <c r="BA663" s="430"/>
      <c r="BB663" s="430"/>
      <c r="BC663" s="430"/>
      <c r="BD663" s="430"/>
      <c r="BE663" s="430"/>
    </row>
    <row r="664" spans="1:57" ht="15.75" customHeight="1">
      <c r="A664" s="430"/>
      <c r="B664" s="430"/>
      <c r="C664" s="430"/>
      <c r="D664" s="430"/>
      <c r="E664" s="430"/>
      <c r="F664" s="430"/>
      <c r="G664" s="430"/>
      <c r="H664" s="430"/>
      <c r="I664" s="430"/>
      <c r="J664" s="430"/>
      <c r="K664" s="430"/>
      <c r="L664" s="430"/>
      <c r="M664" s="430"/>
      <c r="N664" s="430"/>
      <c r="O664" s="430"/>
      <c r="P664" s="430"/>
      <c r="Q664" s="430"/>
      <c r="R664" s="430"/>
      <c r="S664" s="430"/>
      <c r="T664" s="430"/>
      <c r="U664" s="430"/>
      <c r="V664" s="430"/>
      <c r="W664" s="430"/>
      <c r="X664" s="430"/>
      <c r="Y664" s="430"/>
      <c r="Z664" s="430"/>
      <c r="AA664" s="430"/>
      <c r="AB664" s="430"/>
      <c r="AC664" s="430"/>
      <c r="AD664" s="430"/>
      <c r="AE664" s="430"/>
      <c r="AF664" s="430"/>
      <c r="AG664" s="430"/>
      <c r="AH664" s="430"/>
      <c r="AI664" s="430"/>
      <c r="AJ664" s="430"/>
      <c r="AK664" s="430"/>
      <c r="AL664" s="430"/>
      <c r="AM664" s="430"/>
      <c r="AN664" s="430"/>
      <c r="AO664" s="430"/>
      <c r="AP664" s="430"/>
      <c r="AQ664" s="430"/>
      <c r="AR664" s="430"/>
      <c r="AS664" s="430"/>
      <c r="AT664" s="430"/>
      <c r="AU664" s="430"/>
      <c r="AV664" s="430"/>
      <c r="AW664" s="430"/>
      <c r="AX664" s="430"/>
      <c r="AY664" s="430"/>
      <c r="AZ664" s="430"/>
      <c r="BA664" s="430"/>
      <c r="BB664" s="430"/>
      <c r="BC664" s="430"/>
      <c r="BD664" s="430"/>
      <c r="BE664" s="430"/>
    </row>
    <row r="665" spans="1:57" ht="15.75" customHeight="1">
      <c r="A665" s="430"/>
      <c r="B665" s="430"/>
      <c r="C665" s="430"/>
      <c r="D665" s="430"/>
      <c r="E665" s="430"/>
      <c r="F665" s="430"/>
      <c r="G665" s="430"/>
      <c r="H665" s="430"/>
      <c r="I665" s="430"/>
      <c r="J665" s="430"/>
      <c r="K665" s="430"/>
      <c r="L665" s="430"/>
      <c r="M665" s="430"/>
      <c r="N665" s="430"/>
      <c r="O665" s="430"/>
      <c r="P665" s="430"/>
      <c r="Q665" s="430"/>
      <c r="R665" s="430"/>
      <c r="S665" s="430"/>
      <c r="T665" s="430"/>
      <c r="U665" s="430"/>
      <c r="V665" s="430"/>
      <c r="W665" s="430"/>
      <c r="X665" s="430"/>
      <c r="Y665" s="430"/>
      <c r="Z665" s="430"/>
      <c r="AA665" s="430"/>
      <c r="AB665" s="430"/>
      <c r="AC665" s="430"/>
      <c r="AD665" s="430"/>
      <c r="AE665" s="430"/>
      <c r="AF665" s="430"/>
      <c r="AG665" s="430"/>
      <c r="AH665" s="430"/>
      <c r="AI665" s="430"/>
      <c r="AJ665" s="430"/>
      <c r="AK665" s="430"/>
      <c r="AL665" s="430"/>
      <c r="AM665" s="430"/>
      <c r="AN665" s="430"/>
      <c r="AO665" s="430"/>
      <c r="AP665" s="430"/>
      <c r="AQ665" s="430"/>
      <c r="AR665" s="430"/>
      <c r="AS665" s="430"/>
      <c r="AT665" s="430"/>
      <c r="AU665" s="430"/>
      <c r="AV665" s="430"/>
      <c r="AW665" s="430"/>
      <c r="AX665" s="430"/>
      <c r="AY665" s="430"/>
      <c r="AZ665" s="430"/>
      <c r="BA665" s="430"/>
      <c r="BB665" s="430"/>
      <c r="BC665" s="430"/>
      <c r="BD665" s="430"/>
      <c r="BE665" s="430"/>
    </row>
    <row r="666" spans="1:57" ht="15.75" customHeight="1">
      <c r="A666" s="430"/>
      <c r="B666" s="430"/>
      <c r="C666" s="430"/>
      <c r="D666" s="430"/>
      <c r="E666" s="430"/>
      <c r="F666" s="430"/>
      <c r="G666" s="430"/>
      <c r="H666" s="430"/>
      <c r="I666" s="430"/>
      <c r="J666" s="430"/>
      <c r="K666" s="430"/>
      <c r="L666" s="430"/>
      <c r="M666" s="430"/>
      <c r="N666" s="430"/>
      <c r="O666" s="430"/>
      <c r="P666" s="430"/>
      <c r="Q666" s="430"/>
      <c r="R666" s="430"/>
      <c r="S666" s="430"/>
      <c r="T666" s="430"/>
      <c r="U666" s="430"/>
      <c r="V666" s="430"/>
      <c r="W666" s="430"/>
      <c r="X666" s="430"/>
      <c r="Y666" s="430"/>
      <c r="Z666" s="430"/>
      <c r="AA666" s="430"/>
      <c r="AB666" s="430"/>
      <c r="AC666" s="430"/>
      <c r="AD666" s="430"/>
      <c r="AE666" s="430"/>
      <c r="AF666" s="430"/>
      <c r="AG666" s="430"/>
      <c r="AH666" s="430"/>
      <c r="AI666" s="430"/>
      <c r="AJ666" s="430"/>
      <c r="AK666" s="430"/>
      <c r="AL666" s="430"/>
      <c r="AM666" s="430"/>
      <c r="AN666" s="430"/>
      <c r="AO666" s="430"/>
      <c r="AP666" s="430"/>
      <c r="AQ666" s="430"/>
      <c r="AR666" s="430"/>
      <c r="AS666" s="430"/>
      <c r="AT666" s="430"/>
      <c r="AU666" s="430"/>
      <c r="AV666" s="430"/>
      <c r="AW666" s="430"/>
      <c r="AX666" s="430"/>
      <c r="AY666" s="430"/>
      <c r="AZ666" s="430"/>
      <c r="BA666" s="430"/>
      <c r="BB666" s="430"/>
      <c r="BC666" s="430"/>
      <c r="BD666" s="430"/>
      <c r="BE666" s="430"/>
    </row>
    <row r="667" spans="1:57" ht="15.75" customHeight="1">
      <c r="A667" s="430"/>
      <c r="B667" s="430"/>
      <c r="C667" s="430"/>
      <c r="D667" s="430"/>
      <c r="E667" s="430"/>
      <c r="F667" s="430"/>
      <c r="G667" s="430"/>
      <c r="H667" s="430"/>
      <c r="I667" s="430"/>
      <c r="J667" s="430"/>
      <c r="K667" s="430"/>
      <c r="L667" s="430"/>
      <c r="M667" s="430"/>
      <c r="N667" s="430"/>
      <c r="O667" s="430"/>
      <c r="P667" s="430"/>
      <c r="Q667" s="430"/>
      <c r="R667" s="430"/>
      <c r="S667" s="430"/>
      <c r="T667" s="430"/>
      <c r="U667" s="430"/>
      <c r="V667" s="430"/>
      <c r="W667" s="430"/>
      <c r="X667" s="430"/>
      <c r="Y667" s="430"/>
      <c r="Z667" s="430"/>
      <c r="AA667" s="430"/>
      <c r="AB667" s="430"/>
      <c r="AC667" s="430"/>
      <c r="AD667" s="430"/>
      <c r="AE667" s="430"/>
      <c r="AF667" s="430"/>
      <c r="AG667" s="430"/>
      <c r="AH667" s="430"/>
      <c r="AI667" s="430"/>
      <c r="AJ667" s="430"/>
      <c r="AK667" s="430"/>
      <c r="AL667" s="430"/>
      <c r="AM667" s="430"/>
      <c r="AN667" s="430"/>
      <c r="AO667" s="430"/>
      <c r="AP667" s="430"/>
      <c r="AQ667" s="430"/>
      <c r="AR667" s="430"/>
      <c r="AS667" s="430"/>
      <c r="AT667" s="430"/>
      <c r="AU667" s="430"/>
      <c r="AV667" s="430"/>
      <c r="AW667" s="430"/>
      <c r="AX667" s="430"/>
      <c r="AY667" s="430"/>
      <c r="AZ667" s="430"/>
      <c r="BA667" s="430"/>
      <c r="BB667" s="430"/>
      <c r="BC667" s="430"/>
      <c r="BD667" s="430"/>
      <c r="BE667" s="430"/>
    </row>
    <row r="668" spans="1:57" ht="15.75" customHeight="1">
      <c r="A668" s="430"/>
      <c r="B668" s="430"/>
      <c r="C668" s="430"/>
      <c r="D668" s="430"/>
      <c r="E668" s="430"/>
      <c r="F668" s="430"/>
      <c r="G668" s="430"/>
      <c r="H668" s="430"/>
      <c r="I668" s="430"/>
      <c r="J668" s="430"/>
      <c r="K668" s="430"/>
      <c r="L668" s="430"/>
      <c r="M668" s="430"/>
      <c r="N668" s="430"/>
      <c r="O668" s="430"/>
      <c r="P668" s="430"/>
      <c r="Q668" s="430"/>
      <c r="R668" s="430"/>
      <c r="S668" s="430"/>
      <c r="T668" s="430"/>
      <c r="U668" s="430"/>
      <c r="V668" s="430"/>
      <c r="W668" s="430"/>
      <c r="X668" s="430"/>
      <c r="Y668" s="430"/>
      <c r="Z668" s="430"/>
      <c r="AA668" s="430"/>
      <c r="AB668" s="430"/>
      <c r="AC668" s="430"/>
      <c r="AD668" s="430"/>
      <c r="AE668" s="430"/>
      <c r="AF668" s="430"/>
      <c r="AG668" s="430"/>
      <c r="AH668" s="430"/>
      <c r="AI668" s="430"/>
      <c r="AJ668" s="430"/>
      <c r="AK668" s="430"/>
      <c r="AL668" s="430"/>
      <c r="AM668" s="430"/>
      <c r="AN668" s="430"/>
      <c r="AO668" s="430"/>
      <c r="AP668" s="430"/>
      <c r="AQ668" s="430"/>
      <c r="AR668" s="430"/>
      <c r="AS668" s="430"/>
      <c r="AT668" s="430"/>
      <c r="AU668" s="430"/>
      <c r="AV668" s="430"/>
      <c r="AW668" s="430"/>
      <c r="AX668" s="430"/>
      <c r="AY668" s="430"/>
      <c r="AZ668" s="430"/>
      <c r="BA668" s="430"/>
      <c r="BB668" s="430"/>
      <c r="BC668" s="430"/>
      <c r="BD668" s="430"/>
      <c r="BE668" s="430"/>
    </row>
    <row r="669" spans="1:57" ht="15.75" customHeight="1">
      <c r="A669" s="430"/>
      <c r="B669" s="430"/>
      <c r="C669" s="430"/>
      <c r="D669" s="430"/>
      <c r="E669" s="430"/>
      <c r="F669" s="430"/>
      <c r="G669" s="430"/>
      <c r="H669" s="430"/>
      <c r="I669" s="430"/>
      <c r="J669" s="430"/>
      <c r="K669" s="430"/>
      <c r="L669" s="430"/>
      <c r="M669" s="430"/>
      <c r="N669" s="430"/>
      <c r="O669" s="430"/>
      <c r="P669" s="430"/>
      <c r="Q669" s="430"/>
      <c r="R669" s="430"/>
      <c r="S669" s="430"/>
      <c r="T669" s="430"/>
      <c r="U669" s="430"/>
      <c r="V669" s="430"/>
      <c r="W669" s="430"/>
      <c r="X669" s="430"/>
      <c r="Y669" s="430"/>
      <c r="Z669" s="430"/>
      <c r="AA669" s="430"/>
      <c r="AB669" s="430"/>
      <c r="AC669" s="430"/>
      <c r="AD669" s="430"/>
      <c r="AE669" s="430"/>
      <c r="AF669" s="430"/>
      <c r="AG669" s="430"/>
      <c r="AH669" s="430"/>
      <c r="AI669" s="430"/>
      <c r="AJ669" s="430"/>
      <c r="AK669" s="430"/>
      <c r="AL669" s="430"/>
      <c r="AM669" s="430"/>
      <c r="AN669" s="430"/>
      <c r="AO669" s="430"/>
      <c r="AP669" s="430"/>
      <c r="AQ669" s="430"/>
      <c r="AR669" s="430"/>
      <c r="AS669" s="430"/>
      <c r="AT669" s="430"/>
      <c r="AU669" s="430"/>
      <c r="AV669" s="430"/>
      <c r="AW669" s="430"/>
      <c r="AX669" s="430"/>
      <c r="AY669" s="430"/>
      <c r="AZ669" s="430"/>
      <c r="BA669" s="430"/>
      <c r="BB669" s="430"/>
      <c r="BC669" s="430"/>
      <c r="BD669" s="430"/>
      <c r="BE669" s="430"/>
    </row>
    <row r="670" spans="1:57" ht="15.75" customHeight="1">
      <c r="A670" s="430"/>
      <c r="B670" s="430"/>
      <c r="C670" s="430"/>
      <c r="D670" s="430"/>
      <c r="E670" s="430"/>
      <c r="F670" s="430"/>
      <c r="G670" s="430"/>
      <c r="H670" s="430"/>
      <c r="I670" s="430"/>
      <c r="J670" s="430"/>
      <c r="K670" s="430"/>
      <c r="L670" s="430"/>
      <c r="M670" s="430"/>
      <c r="N670" s="430"/>
      <c r="O670" s="430"/>
      <c r="P670" s="430"/>
      <c r="Q670" s="430"/>
      <c r="R670" s="430"/>
      <c r="S670" s="430"/>
      <c r="T670" s="430"/>
      <c r="U670" s="430"/>
      <c r="V670" s="430"/>
      <c r="W670" s="430"/>
      <c r="X670" s="430"/>
      <c r="Y670" s="430"/>
      <c r="Z670" s="430"/>
      <c r="AA670" s="430"/>
      <c r="AB670" s="430"/>
      <c r="AC670" s="430"/>
      <c r="AD670" s="430"/>
      <c r="AE670" s="430"/>
      <c r="AF670" s="430"/>
      <c r="AG670" s="430"/>
      <c r="AH670" s="430"/>
      <c r="AI670" s="430"/>
      <c r="AJ670" s="430"/>
      <c r="AK670" s="430"/>
      <c r="AL670" s="430"/>
      <c r="AM670" s="430"/>
      <c r="AN670" s="430"/>
      <c r="AO670" s="430"/>
      <c r="AP670" s="430"/>
      <c r="AQ670" s="430"/>
      <c r="AR670" s="430"/>
      <c r="AS670" s="430"/>
      <c r="AT670" s="430"/>
      <c r="AU670" s="430"/>
      <c r="AV670" s="430"/>
      <c r="AW670" s="430"/>
      <c r="AX670" s="430"/>
      <c r="AY670" s="430"/>
      <c r="AZ670" s="430"/>
      <c r="BA670" s="430"/>
      <c r="BB670" s="430"/>
      <c r="BC670" s="430"/>
      <c r="BD670" s="430"/>
      <c r="BE670" s="430"/>
    </row>
    <row r="671" spans="1:57" ht="15.75" customHeight="1">
      <c r="A671" s="430"/>
      <c r="B671" s="430"/>
      <c r="C671" s="430"/>
      <c r="D671" s="430"/>
      <c r="E671" s="430"/>
      <c r="F671" s="430"/>
      <c r="G671" s="430"/>
      <c r="H671" s="430"/>
      <c r="I671" s="430"/>
      <c r="J671" s="430"/>
      <c r="K671" s="430"/>
      <c r="L671" s="430"/>
      <c r="M671" s="430"/>
      <c r="N671" s="430"/>
      <c r="O671" s="430"/>
      <c r="P671" s="430"/>
      <c r="Q671" s="430"/>
      <c r="R671" s="430"/>
      <c r="S671" s="430"/>
      <c r="T671" s="430"/>
      <c r="U671" s="430"/>
      <c r="V671" s="430"/>
      <c r="W671" s="430"/>
      <c r="X671" s="430"/>
      <c r="Y671" s="430"/>
      <c r="Z671" s="430"/>
      <c r="AA671" s="430"/>
      <c r="AB671" s="430"/>
      <c r="AC671" s="430"/>
      <c r="AD671" s="430"/>
      <c r="AE671" s="430"/>
      <c r="AF671" s="430"/>
      <c r="AG671" s="430"/>
      <c r="AH671" s="430"/>
      <c r="AI671" s="430"/>
      <c r="AJ671" s="430"/>
      <c r="AK671" s="430"/>
      <c r="AL671" s="430"/>
      <c r="AM671" s="430"/>
      <c r="AN671" s="430"/>
      <c r="AO671" s="430"/>
      <c r="AP671" s="430"/>
      <c r="AQ671" s="430"/>
      <c r="AR671" s="430"/>
      <c r="AS671" s="430"/>
      <c r="AT671" s="430"/>
      <c r="AU671" s="430"/>
      <c r="AV671" s="430"/>
      <c r="AW671" s="430"/>
      <c r="AX671" s="430"/>
      <c r="AY671" s="430"/>
      <c r="AZ671" s="430"/>
      <c r="BA671" s="430"/>
      <c r="BB671" s="430"/>
      <c r="BC671" s="430"/>
      <c r="BD671" s="430"/>
      <c r="BE671" s="430"/>
    </row>
    <row r="672" spans="1:57" ht="15.75" customHeight="1">
      <c r="A672" s="430"/>
      <c r="B672" s="430"/>
      <c r="C672" s="430"/>
      <c r="D672" s="430"/>
      <c r="E672" s="430"/>
      <c r="F672" s="430"/>
      <c r="G672" s="430"/>
      <c r="H672" s="430"/>
      <c r="I672" s="430"/>
      <c r="J672" s="430"/>
      <c r="K672" s="430"/>
      <c r="L672" s="430"/>
      <c r="M672" s="430"/>
      <c r="N672" s="430"/>
      <c r="O672" s="430"/>
      <c r="P672" s="430"/>
      <c r="Q672" s="430"/>
      <c r="R672" s="430"/>
      <c r="S672" s="430"/>
      <c r="T672" s="430"/>
      <c r="U672" s="430"/>
      <c r="V672" s="430"/>
      <c r="W672" s="430"/>
      <c r="X672" s="430"/>
      <c r="Y672" s="430"/>
      <c r="Z672" s="430"/>
      <c r="AA672" s="430"/>
      <c r="AB672" s="430"/>
      <c r="AC672" s="430"/>
      <c r="AD672" s="430"/>
      <c r="AE672" s="430"/>
      <c r="AF672" s="430"/>
      <c r="AG672" s="430"/>
      <c r="AH672" s="430"/>
      <c r="AI672" s="430"/>
      <c r="AJ672" s="430"/>
      <c r="AK672" s="430"/>
      <c r="AL672" s="430"/>
      <c r="AM672" s="430"/>
      <c r="AN672" s="430"/>
      <c r="AO672" s="430"/>
      <c r="AP672" s="430"/>
      <c r="AQ672" s="430"/>
      <c r="AR672" s="430"/>
      <c r="AS672" s="430"/>
      <c r="AT672" s="430"/>
      <c r="AU672" s="430"/>
      <c r="AV672" s="430"/>
      <c r="AW672" s="430"/>
      <c r="AX672" s="430"/>
      <c r="AY672" s="430"/>
      <c r="AZ672" s="430"/>
      <c r="BA672" s="430"/>
      <c r="BB672" s="430"/>
      <c r="BC672" s="430"/>
      <c r="BD672" s="430"/>
      <c r="BE672" s="430"/>
    </row>
    <row r="673" spans="1:57" ht="15.75" customHeight="1">
      <c r="A673" s="430"/>
      <c r="B673" s="430"/>
      <c r="C673" s="430"/>
      <c r="D673" s="430"/>
      <c r="E673" s="430"/>
      <c r="F673" s="430"/>
      <c r="G673" s="430"/>
      <c r="H673" s="430"/>
      <c r="I673" s="430"/>
      <c r="J673" s="430"/>
      <c r="K673" s="430"/>
      <c r="L673" s="430"/>
      <c r="M673" s="430"/>
      <c r="N673" s="430"/>
      <c r="O673" s="430"/>
      <c r="P673" s="430"/>
      <c r="Q673" s="430"/>
      <c r="R673" s="430"/>
      <c r="S673" s="430"/>
      <c r="T673" s="430"/>
      <c r="U673" s="430"/>
      <c r="V673" s="430"/>
      <c r="W673" s="430"/>
      <c r="X673" s="430"/>
      <c r="Y673" s="430"/>
      <c r="Z673" s="430"/>
      <c r="AA673" s="430"/>
      <c r="AB673" s="430"/>
      <c r="AC673" s="430"/>
      <c r="AD673" s="430"/>
      <c r="AE673" s="430"/>
      <c r="AF673" s="430"/>
      <c r="AG673" s="430"/>
      <c r="AH673" s="430"/>
      <c r="AI673" s="430"/>
      <c r="AJ673" s="430"/>
      <c r="AK673" s="430"/>
      <c r="AL673" s="430"/>
      <c r="AM673" s="430"/>
      <c r="AN673" s="430"/>
      <c r="AO673" s="430"/>
      <c r="AP673" s="430"/>
      <c r="AQ673" s="430"/>
      <c r="AR673" s="430"/>
      <c r="AS673" s="430"/>
      <c r="AT673" s="430"/>
      <c r="AU673" s="430"/>
      <c r="AV673" s="430"/>
      <c r="AW673" s="430"/>
      <c r="AX673" s="430"/>
      <c r="AY673" s="430"/>
      <c r="AZ673" s="430"/>
      <c r="BA673" s="430"/>
      <c r="BB673" s="430"/>
      <c r="BC673" s="430"/>
      <c r="BD673" s="430"/>
      <c r="BE673" s="430"/>
    </row>
    <row r="674" spans="1:57" ht="15.75" customHeight="1">
      <c r="A674" s="430"/>
      <c r="B674" s="430"/>
      <c r="C674" s="430"/>
      <c r="D674" s="430"/>
      <c r="E674" s="430"/>
      <c r="F674" s="430"/>
      <c r="G674" s="430"/>
      <c r="H674" s="430"/>
      <c r="I674" s="430"/>
      <c r="J674" s="430"/>
      <c r="K674" s="430"/>
      <c r="L674" s="430"/>
      <c r="M674" s="430"/>
      <c r="N674" s="430"/>
      <c r="O674" s="430"/>
      <c r="P674" s="430"/>
      <c r="Q674" s="430"/>
      <c r="R674" s="430"/>
      <c r="S674" s="430"/>
      <c r="T674" s="430"/>
      <c r="U674" s="430"/>
      <c r="V674" s="430"/>
      <c r="W674" s="430"/>
      <c r="X674" s="430"/>
      <c r="Y674" s="430"/>
      <c r="Z674" s="430"/>
      <c r="AA674" s="430"/>
      <c r="AB674" s="430"/>
      <c r="AC674" s="430"/>
      <c r="AD674" s="430"/>
      <c r="AE674" s="430"/>
      <c r="AF674" s="430"/>
      <c r="AG674" s="430"/>
      <c r="AH674" s="430"/>
      <c r="AI674" s="430"/>
      <c r="AJ674" s="430"/>
      <c r="AK674" s="430"/>
      <c r="AL674" s="430"/>
      <c r="AM674" s="430"/>
      <c r="AN674" s="430"/>
      <c r="AO674" s="430"/>
      <c r="AP674" s="430"/>
      <c r="AQ674" s="430"/>
      <c r="AR674" s="430"/>
      <c r="AS674" s="430"/>
      <c r="AT674" s="430"/>
      <c r="AU674" s="430"/>
      <c r="AV674" s="430"/>
      <c r="AW674" s="430"/>
      <c r="AX674" s="430"/>
      <c r="AY674" s="430"/>
      <c r="AZ674" s="430"/>
      <c r="BA674" s="430"/>
      <c r="BB674" s="430"/>
      <c r="BC674" s="430"/>
      <c r="BD674" s="430"/>
      <c r="BE674" s="430"/>
    </row>
    <row r="675" spans="1:57" ht="15.75" customHeight="1">
      <c r="A675" s="430"/>
      <c r="B675" s="430"/>
      <c r="C675" s="430"/>
      <c r="D675" s="430"/>
      <c r="E675" s="430"/>
      <c r="F675" s="430"/>
      <c r="G675" s="430"/>
      <c r="H675" s="430"/>
      <c r="I675" s="430"/>
      <c r="J675" s="430"/>
      <c r="K675" s="430"/>
      <c r="L675" s="430"/>
      <c r="M675" s="430"/>
      <c r="N675" s="430"/>
      <c r="O675" s="430"/>
      <c r="P675" s="430"/>
      <c r="Q675" s="430"/>
      <c r="R675" s="430"/>
      <c r="S675" s="430"/>
      <c r="T675" s="430"/>
      <c r="U675" s="430"/>
      <c r="V675" s="430"/>
      <c r="W675" s="430"/>
      <c r="X675" s="430"/>
      <c r="Y675" s="430"/>
      <c r="Z675" s="430"/>
      <c r="AA675" s="430"/>
      <c r="AB675" s="430"/>
      <c r="AC675" s="430"/>
      <c r="AD675" s="430"/>
      <c r="AE675" s="430"/>
      <c r="AF675" s="430"/>
      <c r="AG675" s="430"/>
      <c r="AH675" s="430"/>
      <c r="AI675" s="430"/>
      <c r="AJ675" s="430"/>
      <c r="AK675" s="430"/>
      <c r="AL675" s="430"/>
      <c r="AM675" s="430"/>
      <c r="AN675" s="430"/>
      <c r="AO675" s="430"/>
      <c r="AP675" s="430"/>
      <c r="AQ675" s="430"/>
      <c r="AR675" s="430"/>
      <c r="AS675" s="430"/>
      <c r="AT675" s="430"/>
      <c r="AU675" s="430"/>
      <c r="AV675" s="430"/>
      <c r="AW675" s="430"/>
      <c r="AX675" s="430"/>
      <c r="AY675" s="430"/>
      <c r="AZ675" s="430"/>
      <c r="BA675" s="430"/>
      <c r="BB675" s="430"/>
      <c r="BC675" s="430"/>
      <c r="BD675" s="430"/>
      <c r="BE675" s="430"/>
    </row>
    <row r="676" spans="1:57" ht="15.75" customHeight="1">
      <c r="A676" s="430"/>
      <c r="B676" s="430"/>
      <c r="C676" s="430"/>
      <c r="D676" s="430"/>
      <c r="E676" s="430"/>
      <c r="F676" s="430"/>
      <c r="G676" s="430"/>
      <c r="H676" s="430"/>
      <c r="I676" s="430"/>
      <c r="J676" s="430"/>
      <c r="K676" s="430"/>
      <c r="L676" s="430"/>
      <c r="M676" s="430"/>
      <c r="N676" s="430"/>
      <c r="O676" s="430"/>
      <c r="P676" s="430"/>
      <c r="Q676" s="430"/>
      <c r="R676" s="430"/>
      <c r="S676" s="430"/>
      <c r="T676" s="430"/>
      <c r="U676" s="430"/>
      <c r="V676" s="430"/>
      <c r="W676" s="430"/>
      <c r="X676" s="430"/>
      <c r="Y676" s="430"/>
      <c r="Z676" s="430"/>
      <c r="AA676" s="430"/>
      <c r="AB676" s="430"/>
      <c r="AC676" s="430"/>
      <c r="AD676" s="430"/>
      <c r="AE676" s="430"/>
      <c r="AF676" s="430"/>
      <c r="AG676" s="430"/>
      <c r="AH676" s="430"/>
      <c r="AI676" s="430"/>
      <c r="AJ676" s="430"/>
      <c r="AK676" s="430"/>
      <c r="AL676" s="430"/>
      <c r="AM676" s="430"/>
      <c r="AN676" s="430"/>
      <c r="AO676" s="430"/>
      <c r="AP676" s="430"/>
      <c r="AQ676" s="430"/>
      <c r="AR676" s="430"/>
      <c r="AS676" s="430"/>
      <c r="AT676" s="430"/>
      <c r="AU676" s="430"/>
      <c r="AV676" s="430"/>
      <c r="AW676" s="430"/>
      <c r="AX676" s="430"/>
      <c r="AY676" s="430"/>
      <c r="AZ676" s="430"/>
      <c r="BA676" s="430"/>
      <c r="BB676" s="430"/>
      <c r="BC676" s="430"/>
      <c r="BD676" s="430"/>
      <c r="BE676" s="430"/>
    </row>
    <row r="677" spans="1:57" ht="15.75" customHeight="1">
      <c r="A677" s="430"/>
      <c r="B677" s="430"/>
      <c r="C677" s="430"/>
      <c r="D677" s="430"/>
      <c r="E677" s="430"/>
      <c r="F677" s="430"/>
      <c r="G677" s="430"/>
      <c r="H677" s="430"/>
      <c r="I677" s="430"/>
      <c r="J677" s="430"/>
      <c r="K677" s="430"/>
      <c r="L677" s="430"/>
      <c r="M677" s="430"/>
      <c r="N677" s="430"/>
      <c r="O677" s="430"/>
      <c r="P677" s="430"/>
      <c r="Q677" s="430"/>
      <c r="R677" s="430"/>
      <c r="S677" s="430"/>
      <c r="T677" s="430"/>
      <c r="U677" s="430"/>
      <c r="V677" s="430"/>
      <c r="W677" s="430"/>
      <c r="X677" s="430"/>
      <c r="Y677" s="430"/>
      <c r="Z677" s="430"/>
      <c r="AA677" s="430"/>
      <c r="AB677" s="430"/>
      <c r="AC677" s="430"/>
      <c r="AD677" s="430"/>
      <c r="AE677" s="430"/>
      <c r="AF677" s="430"/>
      <c r="AG677" s="430"/>
      <c r="AH677" s="430"/>
      <c r="AI677" s="430"/>
      <c r="AJ677" s="430"/>
      <c r="AK677" s="430"/>
      <c r="AL677" s="430"/>
      <c r="AM677" s="430"/>
      <c r="AN677" s="430"/>
      <c r="AO677" s="430"/>
      <c r="AP677" s="430"/>
      <c r="AQ677" s="430"/>
      <c r="AR677" s="430"/>
      <c r="AS677" s="430"/>
      <c r="AT677" s="430"/>
      <c r="AU677" s="430"/>
      <c r="AV677" s="430"/>
      <c r="AW677" s="430"/>
      <c r="AX677" s="430"/>
      <c r="AY677" s="430"/>
      <c r="AZ677" s="430"/>
      <c r="BA677" s="430"/>
      <c r="BB677" s="430"/>
      <c r="BC677" s="430"/>
      <c r="BD677" s="430"/>
      <c r="BE677" s="430"/>
    </row>
    <row r="678" spans="1:57" ht="15.75" customHeight="1">
      <c r="A678" s="430"/>
      <c r="B678" s="430"/>
      <c r="C678" s="430"/>
      <c r="D678" s="430"/>
      <c r="E678" s="430"/>
      <c r="F678" s="430"/>
      <c r="G678" s="430"/>
      <c r="H678" s="430"/>
      <c r="I678" s="430"/>
      <c r="J678" s="430"/>
      <c r="K678" s="430"/>
      <c r="L678" s="430"/>
      <c r="M678" s="430"/>
      <c r="N678" s="430"/>
      <c r="O678" s="430"/>
      <c r="P678" s="430"/>
      <c r="Q678" s="430"/>
      <c r="R678" s="430"/>
      <c r="S678" s="430"/>
      <c r="T678" s="430"/>
      <c r="U678" s="430"/>
      <c r="V678" s="430"/>
      <c r="W678" s="430"/>
      <c r="X678" s="430"/>
      <c r="Y678" s="430"/>
      <c r="Z678" s="430"/>
      <c r="AA678" s="430"/>
      <c r="AB678" s="430"/>
      <c r="AC678" s="430"/>
      <c r="AD678" s="430"/>
      <c r="AE678" s="430"/>
      <c r="AF678" s="430"/>
      <c r="AG678" s="430"/>
      <c r="AH678" s="430"/>
      <c r="AI678" s="430"/>
      <c r="AJ678" s="430"/>
      <c r="AK678" s="430"/>
      <c r="AL678" s="430"/>
      <c r="AM678" s="430"/>
      <c r="AN678" s="430"/>
      <c r="AO678" s="430"/>
      <c r="AP678" s="430"/>
      <c r="AQ678" s="430"/>
      <c r="AR678" s="430"/>
      <c r="AS678" s="430"/>
      <c r="AT678" s="430"/>
      <c r="AU678" s="430"/>
      <c r="AV678" s="430"/>
      <c r="AW678" s="430"/>
      <c r="AX678" s="430"/>
      <c r="AY678" s="430"/>
      <c r="AZ678" s="430"/>
      <c r="BA678" s="430"/>
      <c r="BB678" s="430"/>
      <c r="BC678" s="430"/>
      <c r="BD678" s="430"/>
      <c r="BE678" s="430"/>
    </row>
    <row r="679" spans="1:57" ht="15.75" customHeight="1">
      <c r="A679" s="430"/>
      <c r="B679" s="430"/>
      <c r="C679" s="430"/>
      <c r="D679" s="430"/>
      <c r="E679" s="430"/>
      <c r="F679" s="430"/>
      <c r="G679" s="430"/>
      <c r="H679" s="430"/>
      <c r="I679" s="430"/>
      <c r="J679" s="430"/>
      <c r="K679" s="430"/>
      <c r="L679" s="430"/>
      <c r="M679" s="430"/>
      <c r="N679" s="430"/>
      <c r="O679" s="430"/>
      <c r="P679" s="430"/>
      <c r="Q679" s="430"/>
      <c r="R679" s="430"/>
      <c r="S679" s="430"/>
      <c r="T679" s="430"/>
      <c r="U679" s="430"/>
      <c r="V679" s="430"/>
      <c r="W679" s="430"/>
      <c r="X679" s="430"/>
      <c r="Y679" s="430"/>
      <c r="Z679" s="430"/>
      <c r="AA679" s="430"/>
      <c r="AB679" s="430"/>
      <c r="AC679" s="430"/>
      <c r="AD679" s="430"/>
      <c r="AE679" s="430"/>
      <c r="AF679" s="430"/>
      <c r="AG679" s="430"/>
      <c r="AH679" s="430"/>
      <c r="AI679" s="430"/>
      <c r="AJ679" s="430"/>
      <c r="AK679" s="430"/>
      <c r="AL679" s="430"/>
      <c r="AM679" s="430"/>
      <c r="AN679" s="430"/>
      <c r="AO679" s="430"/>
      <c r="AP679" s="430"/>
      <c r="AQ679" s="430"/>
      <c r="AR679" s="430"/>
      <c r="AS679" s="430"/>
      <c r="AT679" s="430"/>
      <c r="AU679" s="430"/>
      <c r="AV679" s="430"/>
      <c r="AW679" s="430"/>
      <c r="AX679" s="430"/>
      <c r="AY679" s="430"/>
      <c r="AZ679" s="430"/>
      <c r="BA679" s="430"/>
      <c r="BB679" s="430"/>
      <c r="BC679" s="430"/>
      <c r="BD679" s="430"/>
      <c r="BE679" s="430"/>
    </row>
    <row r="680" spans="1:57" ht="15.75" customHeight="1">
      <c r="A680" s="430"/>
      <c r="B680" s="430"/>
      <c r="C680" s="430"/>
      <c r="D680" s="430"/>
      <c r="E680" s="430"/>
      <c r="F680" s="430"/>
      <c r="G680" s="430"/>
      <c r="H680" s="430"/>
      <c r="I680" s="430"/>
      <c r="J680" s="430"/>
      <c r="K680" s="430"/>
      <c r="L680" s="430"/>
      <c r="M680" s="430"/>
      <c r="N680" s="430"/>
      <c r="O680" s="430"/>
      <c r="P680" s="430"/>
      <c r="Q680" s="430"/>
      <c r="R680" s="430"/>
      <c r="S680" s="430"/>
      <c r="T680" s="430"/>
      <c r="U680" s="430"/>
      <c r="V680" s="430"/>
      <c r="W680" s="430"/>
      <c r="X680" s="430"/>
      <c r="Y680" s="430"/>
      <c r="Z680" s="430"/>
      <c r="AA680" s="430"/>
      <c r="AB680" s="430"/>
      <c r="AC680" s="430"/>
      <c r="AD680" s="430"/>
      <c r="AE680" s="430"/>
      <c r="AF680" s="430"/>
      <c r="AG680" s="430"/>
      <c r="AH680" s="430"/>
      <c r="AI680" s="430"/>
      <c r="AJ680" s="430"/>
      <c r="AK680" s="430"/>
      <c r="AL680" s="430"/>
      <c r="AM680" s="430"/>
      <c r="AN680" s="430"/>
      <c r="AO680" s="430"/>
      <c r="AP680" s="430"/>
      <c r="AQ680" s="430"/>
      <c r="AR680" s="430"/>
      <c r="AS680" s="430"/>
      <c r="AT680" s="430"/>
      <c r="AU680" s="430"/>
      <c r="AV680" s="430"/>
      <c r="AW680" s="430"/>
      <c r="AX680" s="430"/>
      <c r="AY680" s="430"/>
      <c r="AZ680" s="430"/>
      <c r="BA680" s="430"/>
      <c r="BB680" s="430"/>
      <c r="BC680" s="430"/>
      <c r="BD680" s="430"/>
      <c r="BE680" s="430"/>
    </row>
    <row r="681" spans="1:57" ht="15.75" customHeight="1">
      <c r="A681" s="430"/>
      <c r="B681" s="430"/>
      <c r="C681" s="430"/>
      <c r="D681" s="430"/>
      <c r="E681" s="430"/>
      <c r="F681" s="430"/>
      <c r="G681" s="430"/>
      <c r="H681" s="430"/>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430"/>
      <c r="AE681" s="430"/>
      <c r="AF681" s="430"/>
      <c r="AG681" s="430"/>
      <c r="AH681" s="430"/>
      <c r="AI681" s="430"/>
      <c r="AJ681" s="430"/>
      <c r="AK681" s="430"/>
      <c r="AL681" s="430"/>
      <c r="AM681" s="430"/>
      <c r="AN681" s="430"/>
      <c r="AO681" s="430"/>
      <c r="AP681" s="430"/>
      <c r="AQ681" s="430"/>
      <c r="AR681" s="430"/>
      <c r="AS681" s="430"/>
      <c r="AT681" s="430"/>
      <c r="AU681" s="430"/>
      <c r="AV681" s="430"/>
      <c r="AW681" s="430"/>
      <c r="AX681" s="430"/>
      <c r="AY681" s="430"/>
      <c r="AZ681" s="430"/>
      <c r="BA681" s="430"/>
      <c r="BB681" s="430"/>
      <c r="BC681" s="430"/>
      <c r="BD681" s="430"/>
      <c r="BE681" s="430"/>
    </row>
    <row r="682" spans="1:57" ht="15.75" customHeight="1">
      <c r="A682" s="430"/>
      <c r="B682" s="430"/>
      <c r="C682" s="430"/>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430"/>
      <c r="AD682" s="430"/>
      <c r="AE682" s="430"/>
      <c r="AF682" s="430"/>
      <c r="AG682" s="430"/>
      <c r="AH682" s="430"/>
      <c r="AI682" s="430"/>
      <c r="AJ682" s="430"/>
      <c r="AK682" s="430"/>
      <c r="AL682" s="430"/>
      <c r="AM682" s="430"/>
      <c r="AN682" s="430"/>
      <c r="AO682" s="430"/>
      <c r="AP682" s="430"/>
      <c r="AQ682" s="430"/>
      <c r="AR682" s="430"/>
      <c r="AS682" s="430"/>
      <c r="AT682" s="430"/>
      <c r="AU682" s="430"/>
      <c r="AV682" s="430"/>
      <c r="AW682" s="430"/>
      <c r="AX682" s="430"/>
      <c r="AY682" s="430"/>
      <c r="AZ682" s="430"/>
      <c r="BA682" s="430"/>
      <c r="BB682" s="430"/>
      <c r="BC682" s="430"/>
      <c r="BD682" s="430"/>
      <c r="BE682" s="430"/>
    </row>
    <row r="683" spans="1:57" ht="15.75" customHeight="1">
      <c r="A683" s="430"/>
      <c r="B683" s="430"/>
      <c r="C683" s="430"/>
      <c r="D683" s="430"/>
      <c r="E683" s="430"/>
      <c r="F683" s="430"/>
      <c r="G683" s="430"/>
      <c r="H683" s="430"/>
      <c r="I683" s="430"/>
      <c r="J683" s="430"/>
      <c r="K683" s="430"/>
      <c r="L683" s="430"/>
      <c r="M683" s="430"/>
      <c r="N683" s="430"/>
      <c r="O683" s="430"/>
      <c r="P683" s="430"/>
      <c r="Q683" s="430"/>
      <c r="R683" s="430"/>
      <c r="S683" s="430"/>
      <c r="T683" s="430"/>
      <c r="U683" s="430"/>
      <c r="V683" s="430"/>
      <c r="W683" s="430"/>
      <c r="X683" s="430"/>
      <c r="Y683" s="430"/>
      <c r="Z683" s="430"/>
      <c r="AA683" s="430"/>
      <c r="AB683" s="430"/>
      <c r="AC683" s="430"/>
      <c r="AD683" s="430"/>
      <c r="AE683" s="430"/>
      <c r="AF683" s="430"/>
      <c r="AG683" s="430"/>
      <c r="AH683" s="430"/>
      <c r="AI683" s="430"/>
      <c r="AJ683" s="430"/>
      <c r="AK683" s="430"/>
      <c r="AL683" s="430"/>
      <c r="AM683" s="430"/>
      <c r="AN683" s="430"/>
      <c r="AO683" s="430"/>
      <c r="AP683" s="430"/>
      <c r="AQ683" s="430"/>
      <c r="AR683" s="430"/>
      <c r="AS683" s="430"/>
      <c r="AT683" s="430"/>
      <c r="AU683" s="430"/>
      <c r="AV683" s="430"/>
      <c r="AW683" s="430"/>
      <c r="AX683" s="430"/>
      <c r="AY683" s="430"/>
      <c r="AZ683" s="430"/>
      <c r="BA683" s="430"/>
      <c r="BB683" s="430"/>
      <c r="BC683" s="430"/>
      <c r="BD683" s="430"/>
      <c r="BE683" s="430"/>
    </row>
    <row r="684" spans="1:57" ht="15.75" customHeight="1">
      <c r="A684" s="430"/>
      <c r="B684" s="430"/>
      <c r="C684" s="430"/>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0"/>
      <c r="AD684" s="430"/>
      <c r="AE684" s="430"/>
      <c r="AF684" s="430"/>
      <c r="AG684" s="430"/>
      <c r="AH684" s="430"/>
      <c r="AI684" s="430"/>
      <c r="AJ684" s="430"/>
      <c r="AK684" s="430"/>
      <c r="AL684" s="430"/>
      <c r="AM684" s="430"/>
      <c r="AN684" s="430"/>
      <c r="AO684" s="430"/>
      <c r="AP684" s="430"/>
      <c r="AQ684" s="430"/>
      <c r="AR684" s="430"/>
      <c r="AS684" s="430"/>
      <c r="AT684" s="430"/>
      <c r="AU684" s="430"/>
      <c r="AV684" s="430"/>
      <c r="AW684" s="430"/>
      <c r="AX684" s="430"/>
      <c r="AY684" s="430"/>
      <c r="AZ684" s="430"/>
      <c r="BA684" s="430"/>
      <c r="BB684" s="430"/>
      <c r="BC684" s="430"/>
      <c r="BD684" s="430"/>
      <c r="BE684" s="430"/>
    </row>
    <row r="685" spans="1:57" ht="15.75" customHeight="1">
      <c r="A685" s="430"/>
      <c r="B685" s="430"/>
      <c r="C685" s="430"/>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0"/>
      <c r="AD685" s="430"/>
      <c r="AE685" s="430"/>
      <c r="AF685" s="430"/>
      <c r="AG685" s="430"/>
      <c r="AH685" s="430"/>
      <c r="AI685" s="430"/>
      <c r="AJ685" s="430"/>
      <c r="AK685" s="430"/>
      <c r="AL685" s="430"/>
      <c r="AM685" s="430"/>
      <c r="AN685" s="430"/>
      <c r="AO685" s="430"/>
      <c r="AP685" s="430"/>
      <c r="AQ685" s="430"/>
      <c r="AR685" s="430"/>
      <c r="AS685" s="430"/>
      <c r="AT685" s="430"/>
      <c r="AU685" s="430"/>
      <c r="AV685" s="430"/>
      <c r="AW685" s="430"/>
      <c r="AX685" s="430"/>
      <c r="AY685" s="430"/>
      <c r="AZ685" s="430"/>
      <c r="BA685" s="430"/>
      <c r="BB685" s="430"/>
      <c r="BC685" s="430"/>
      <c r="BD685" s="430"/>
      <c r="BE685" s="430"/>
    </row>
    <row r="686" spans="1:57" ht="15.75" customHeight="1">
      <c r="A686" s="430"/>
      <c r="B686" s="430"/>
      <c r="C686" s="430"/>
      <c r="D686" s="430"/>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0"/>
      <c r="AD686" s="430"/>
      <c r="AE686" s="430"/>
      <c r="AF686" s="430"/>
      <c r="AG686" s="430"/>
      <c r="AH686" s="430"/>
      <c r="AI686" s="430"/>
      <c r="AJ686" s="430"/>
      <c r="AK686" s="430"/>
      <c r="AL686" s="430"/>
      <c r="AM686" s="430"/>
      <c r="AN686" s="430"/>
      <c r="AO686" s="430"/>
      <c r="AP686" s="430"/>
      <c r="AQ686" s="430"/>
      <c r="AR686" s="430"/>
      <c r="AS686" s="430"/>
      <c r="AT686" s="430"/>
      <c r="AU686" s="430"/>
      <c r="AV686" s="430"/>
      <c r="AW686" s="430"/>
      <c r="AX686" s="430"/>
      <c r="AY686" s="430"/>
      <c r="AZ686" s="430"/>
      <c r="BA686" s="430"/>
      <c r="BB686" s="430"/>
      <c r="BC686" s="430"/>
      <c r="BD686" s="430"/>
      <c r="BE686" s="430"/>
    </row>
    <row r="687" spans="1:57" ht="15.75" customHeight="1">
      <c r="A687" s="430"/>
      <c r="B687" s="430"/>
      <c r="C687" s="430"/>
      <c r="D687" s="430"/>
      <c r="E687" s="430"/>
      <c r="F687" s="430"/>
      <c r="G687" s="430"/>
      <c r="H687" s="430"/>
      <c r="I687" s="430"/>
      <c r="J687" s="430"/>
      <c r="K687" s="430"/>
      <c r="L687" s="430"/>
      <c r="M687" s="430"/>
      <c r="N687" s="430"/>
      <c r="O687" s="430"/>
      <c r="P687" s="430"/>
      <c r="Q687" s="430"/>
      <c r="R687" s="430"/>
      <c r="S687" s="430"/>
      <c r="T687" s="430"/>
      <c r="U687" s="430"/>
      <c r="V687" s="430"/>
      <c r="W687" s="430"/>
      <c r="X687" s="430"/>
      <c r="Y687" s="430"/>
      <c r="Z687" s="430"/>
      <c r="AA687" s="430"/>
      <c r="AB687" s="430"/>
      <c r="AC687" s="430"/>
      <c r="AD687" s="430"/>
      <c r="AE687" s="430"/>
      <c r="AF687" s="430"/>
      <c r="AG687" s="430"/>
      <c r="AH687" s="430"/>
      <c r="AI687" s="430"/>
      <c r="AJ687" s="430"/>
      <c r="AK687" s="430"/>
      <c r="AL687" s="430"/>
      <c r="AM687" s="430"/>
      <c r="AN687" s="430"/>
      <c r="AO687" s="430"/>
      <c r="AP687" s="430"/>
      <c r="AQ687" s="430"/>
      <c r="AR687" s="430"/>
      <c r="AS687" s="430"/>
      <c r="AT687" s="430"/>
      <c r="AU687" s="430"/>
      <c r="AV687" s="430"/>
      <c r="AW687" s="430"/>
      <c r="AX687" s="430"/>
      <c r="AY687" s="430"/>
      <c r="AZ687" s="430"/>
      <c r="BA687" s="430"/>
      <c r="BB687" s="430"/>
      <c r="BC687" s="430"/>
      <c r="BD687" s="430"/>
      <c r="BE687" s="430"/>
    </row>
    <row r="688" spans="1:57" ht="15.75" customHeight="1">
      <c r="A688" s="430"/>
      <c r="B688" s="430"/>
      <c r="C688" s="430"/>
      <c r="D688" s="430"/>
      <c r="E688" s="430"/>
      <c r="F688" s="430"/>
      <c r="G688" s="430"/>
      <c r="H688" s="430"/>
      <c r="I688" s="430"/>
      <c r="J688" s="430"/>
      <c r="K688" s="430"/>
      <c r="L688" s="430"/>
      <c r="M688" s="430"/>
      <c r="N688" s="430"/>
      <c r="O688" s="430"/>
      <c r="P688" s="430"/>
      <c r="Q688" s="430"/>
      <c r="R688" s="430"/>
      <c r="S688" s="430"/>
      <c r="T688" s="430"/>
      <c r="U688" s="430"/>
      <c r="V688" s="430"/>
      <c r="W688" s="430"/>
      <c r="X688" s="430"/>
      <c r="Y688" s="430"/>
      <c r="Z688" s="430"/>
      <c r="AA688" s="430"/>
      <c r="AB688" s="430"/>
      <c r="AC688" s="430"/>
      <c r="AD688" s="430"/>
      <c r="AE688" s="430"/>
      <c r="AF688" s="430"/>
      <c r="AG688" s="430"/>
      <c r="AH688" s="430"/>
      <c r="AI688" s="430"/>
      <c r="AJ688" s="430"/>
      <c r="AK688" s="430"/>
      <c r="AL688" s="430"/>
      <c r="AM688" s="430"/>
      <c r="AN688" s="430"/>
      <c r="AO688" s="430"/>
      <c r="AP688" s="430"/>
      <c r="AQ688" s="430"/>
      <c r="AR688" s="430"/>
      <c r="AS688" s="430"/>
      <c r="AT688" s="430"/>
      <c r="AU688" s="430"/>
      <c r="AV688" s="430"/>
      <c r="AW688" s="430"/>
      <c r="AX688" s="430"/>
      <c r="AY688" s="430"/>
      <c r="AZ688" s="430"/>
      <c r="BA688" s="430"/>
      <c r="BB688" s="430"/>
      <c r="BC688" s="430"/>
      <c r="BD688" s="430"/>
      <c r="BE688" s="430"/>
    </row>
    <row r="689" spans="1:57" ht="15.75" customHeight="1">
      <c r="A689" s="430"/>
      <c r="B689" s="430"/>
      <c r="C689" s="430"/>
      <c r="D689" s="430"/>
      <c r="E689" s="430"/>
      <c r="F689" s="430"/>
      <c r="G689" s="430"/>
      <c r="H689" s="430"/>
      <c r="I689" s="430"/>
      <c r="J689" s="430"/>
      <c r="K689" s="430"/>
      <c r="L689" s="430"/>
      <c r="M689" s="430"/>
      <c r="N689" s="430"/>
      <c r="O689" s="430"/>
      <c r="P689" s="430"/>
      <c r="Q689" s="430"/>
      <c r="R689" s="430"/>
      <c r="S689" s="430"/>
      <c r="T689" s="430"/>
      <c r="U689" s="430"/>
      <c r="V689" s="430"/>
      <c r="W689" s="430"/>
      <c r="X689" s="430"/>
      <c r="Y689" s="430"/>
      <c r="Z689" s="430"/>
      <c r="AA689" s="430"/>
      <c r="AB689" s="430"/>
      <c r="AC689" s="430"/>
      <c r="AD689" s="430"/>
      <c r="AE689" s="430"/>
      <c r="AF689" s="430"/>
      <c r="AG689" s="430"/>
      <c r="AH689" s="430"/>
      <c r="AI689" s="430"/>
      <c r="AJ689" s="430"/>
      <c r="AK689" s="430"/>
      <c r="AL689" s="430"/>
      <c r="AM689" s="430"/>
      <c r="AN689" s="430"/>
      <c r="AO689" s="430"/>
      <c r="AP689" s="430"/>
      <c r="AQ689" s="430"/>
      <c r="AR689" s="430"/>
      <c r="AS689" s="430"/>
      <c r="AT689" s="430"/>
      <c r="AU689" s="430"/>
      <c r="AV689" s="430"/>
      <c r="AW689" s="430"/>
      <c r="AX689" s="430"/>
      <c r="AY689" s="430"/>
      <c r="AZ689" s="430"/>
      <c r="BA689" s="430"/>
      <c r="BB689" s="430"/>
      <c r="BC689" s="430"/>
      <c r="BD689" s="430"/>
      <c r="BE689" s="430"/>
    </row>
    <row r="690" spans="1:57" ht="15.75" customHeight="1">
      <c r="A690" s="430"/>
      <c r="B690" s="430"/>
      <c r="C690" s="430"/>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430"/>
      <c r="AE690" s="430"/>
      <c r="AF690" s="430"/>
      <c r="AG690" s="430"/>
      <c r="AH690" s="430"/>
      <c r="AI690" s="430"/>
      <c r="AJ690" s="430"/>
      <c r="AK690" s="430"/>
      <c r="AL690" s="430"/>
      <c r="AM690" s="430"/>
      <c r="AN690" s="430"/>
      <c r="AO690" s="430"/>
      <c r="AP690" s="430"/>
      <c r="AQ690" s="430"/>
      <c r="AR690" s="430"/>
      <c r="AS690" s="430"/>
      <c r="AT690" s="430"/>
      <c r="AU690" s="430"/>
      <c r="AV690" s="430"/>
      <c r="AW690" s="430"/>
      <c r="AX690" s="430"/>
      <c r="AY690" s="430"/>
      <c r="AZ690" s="430"/>
      <c r="BA690" s="430"/>
      <c r="BB690" s="430"/>
      <c r="BC690" s="430"/>
      <c r="BD690" s="430"/>
      <c r="BE690" s="430"/>
    </row>
    <row r="691" spans="1:57" ht="15.75" customHeight="1">
      <c r="A691" s="430"/>
      <c r="B691" s="430"/>
      <c r="C691" s="430"/>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430"/>
      <c r="AE691" s="430"/>
      <c r="AF691" s="430"/>
      <c r="AG691" s="430"/>
      <c r="AH691" s="430"/>
      <c r="AI691" s="430"/>
      <c r="AJ691" s="430"/>
      <c r="AK691" s="430"/>
      <c r="AL691" s="430"/>
      <c r="AM691" s="430"/>
      <c r="AN691" s="430"/>
      <c r="AO691" s="430"/>
      <c r="AP691" s="430"/>
      <c r="AQ691" s="430"/>
      <c r="AR691" s="430"/>
      <c r="AS691" s="430"/>
      <c r="AT691" s="430"/>
      <c r="AU691" s="430"/>
      <c r="AV691" s="430"/>
      <c r="AW691" s="430"/>
      <c r="AX691" s="430"/>
      <c r="AY691" s="430"/>
      <c r="AZ691" s="430"/>
      <c r="BA691" s="430"/>
      <c r="BB691" s="430"/>
      <c r="BC691" s="430"/>
      <c r="BD691" s="430"/>
      <c r="BE691" s="430"/>
    </row>
    <row r="692" spans="1:57" ht="15.75" customHeight="1">
      <c r="A692" s="430"/>
      <c r="B692" s="430"/>
      <c r="C692" s="430"/>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430"/>
      <c r="AD692" s="430"/>
      <c r="AE692" s="430"/>
      <c r="AF692" s="430"/>
      <c r="AG692" s="430"/>
      <c r="AH692" s="430"/>
      <c r="AI692" s="430"/>
      <c r="AJ692" s="430"/>
      <c r="AK692" s="430"/>
      <c r="AL692" s="430"/>
      <c r="AM692" s="430"/>
      <c r="AN692" s="430"/>
      <c r="AO692" s="430"/>
      <c r="AP692" s="430"/>
      <c r="AQ692" s="430"/>
      <c r="AR692" s="430"/>
      <c r="AS692" s="430"/>
      <c r="AT692" s="430"/>
      <c r="AU692" s="430"/>
      <c r="AV692" s="430"/>
      <c r="AW692" s="430"/>
      <c r="AX692" s="430"/>
      <c r="AY692" s="430"/>
      <c r="AZ692" s="430"/>
      <c r="BA692" s="430"/>
      <c r="BB692" s="430"/>
      <c r="BC692" s="430"/>
      <c r="BD692" s="430"/>
      <c r="BE692" s="430"/>
    </row>
    <row r="693" spans="1:57" ht="15.75" customHeight="1">
      <c r="A693" s="430"/>
      <c r="B693" s="430"/>
      <c r="C693" s="430"/>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430"/>
      <c r="AD693" s="430"/>
      <c r="AE693" s="430"/>
      <c r="AF693" s="430"/>
      <c r="AG693" s="430"/>
      <c r="AH693" s="430"/>
      <c r="AI693" s="430"/>
      <c r="AJ693" s="430"/>
      <c r="AK693" s="430"/>
      <c r="AL693" s="430"/>
      <c r="AM693" s="430"/>
      <c r="AN693" s="430"/>
      <c r="AO693" s="430"/>
      <c r="AP693" s="430"/>
      <c r="AQ693" s="430"/>
      <c r="AR693" s="430"/>
      <c r="AS693" s="430"/>
      <c r="AT693" s="430"/>
      <c r="AU693" s="430"/>
      <c r="AV693" s="430"/>
      <c r="AW693" s="430"/>
      <c r="AX693" s="430"/>
      <c r="AY693" s="430"/>
      <c r="AZ693" s="430"/>
      <c r="BA693" s="430"/>
      <c r="BB693" s="430"/>
      <c r="BC693" s="430"/>
      <c r="BD693" s="430"/>
      <c r="BE693" s="430"/>
    </row>
    <row r="694" spans="1:57" ht="15.75" customHeight="1">
      <c r="A694" s="430"/>
      <c r="B694" s="430"/>
      <c r="C694" s="430"/>
      <c r="D694" s="430"/>
      <c r="E694" s="430"/>
      <c r="F694" s="430"/>
      <c r="G694" s="430"/>
      <c r="H694" s="430"/>
      <c r="I694" s="430"/>
      <c r="J694" s="430"/>
      <c r="K694" s="430"/>
      <c r="L694" s="430"/>
      <c r="M694" s="430"/>
      <c r="N694" s="430"/>
      <c r="O694" s="430"/>
      <c r="P694" s="430"/>
      <c r="Q694" s="430"/>
      <c r="R694" s="430"/>
      <c r="S694" s="430"/>
      <c r="T694" s="430"/>
      <c r="U694" s="430"/>
      <c r="V694" s="430"/>
      <c r="W694" s="430"/>
      <c r="X694" s="430"/>
      <c r="Y694" s="430"/>
      <c r="Z694" s="430"/>
      <c r="AA694" s="430"/>
      <c r="AB694" s="430"/>
      <c r="AC694" s="430"/>
      <c r="AD694" s="430"/>
      <c r="AE694" s="430"/>
      <c r="AF694" s="430"/>
      <c r="AG694" s="430"/>
      <c r="AH694" s="430"/>
      <c r="AI694" s="430"/>
      <c r="AJ694" s="430"/>
      <c r="AK694" s="430"/>
      <c r="AL694" s="430"/>
      <c r="AM694" s="430"/>
      <c r="AN694" s="430"/>
      <c r="AO694" s="430"/>
      <c r="AP694" s="430"/>
      <c r="AQ694" s="430"/>
      <c r="AR694" s="430"/>
      <c r="AS694" s="430"/>
      <c r="AT694" s="430"/>
      <c r="AU694" s="430"/>
      <c r="AV694" s="430"/>
      <c r="AW694" s="430"/>
      <c r="AX694" s="430"/>
      <c r="AY694" s="430"/>
      <c r="AZ694" s="430"/>
      <c r="BA694" s="430"/>
      <c r="BB694" s="430"/>
      <c r="BC694" s="430"/>
      <c r="BD694" s="430"/>
      <c r="BE694" s="430"/>
    </row>
    <row r="695" spans="1:57" ht="15.75" customHeight="1">
      <c r="A695" s="430"/>
      <c r="B695" s="430"/>
      <c r="C695" s="430"/>
      <c r="D695" s="430"/>
      <c r="E695" s="430"/>
      <c r="F695" s="430"/>
      <c r="G695" s="430"/>
      <c r="H695" s="430"/>
      <c r="I695" s="430"/>
      <c r="J695" s="430"/>
      <c r="K695" s="430"/>
      <c r="L695" s="430"/>
      <c r="M695" s="430"/>
      <c r="N695" s="430"/>
      <c r="O695" s="430"/>
      <c r="P695" s="430"/>
      <c r="Q695" s="430"/>
      <c r="R695" s="430"/>
      <c r="S695" s="430"/>
      <c r="T695" s="430"/>
      <c r="U695" s="430"/>
      <c r="V695" s="430"/>
      <c r="W695" s="430"/>
      <c r="X695" s="430"/>
      <c r="Y695" s="430"/>
      <c r="Z695" s="430"/>
      <c r="AA695" s="430"/>
      <c r="AB695" s="430"/>
      <c r="AC695" s="430"/>
      <c r="AD695" s="430"/>
      <c r="AE695" s="430"/>
      <c r="AF695" s="430"/>
      <c r="AG695" s="430"/>
      <c r="AH695" s="430"/>
      <c r="AI695" s="430"/>
      <c r="AJ695" s="430"/>
      <c r="AK695" s="430"/>
      <c r="AL695" s="430"/>
      <c r="AM695" s="430"/>
      <c r="AN695" s="430"/>
      <c r="AO695" s="430"/>
      <c r="AP695" s="430"/>
      <c r="AQ695" s="430"/>
      <c r="AR695" s="430"/>
      <c r="AS695" s="430"/>
      <c r="AT695" s="430"/>
      <c r="AU695" s="430"/>
      <c r="AV695" s="430"/>
      <c r="AW695" s="430"/>
      <c r="AX695" s="430"/>
      <c r="AY695" s="430"/>
      <c r="AZ695" s="430"/>
      <c r="BA695" s="430"/>
      <c r="BB695" s="430"/>
      <c r="BC695" s="430"/>
      <c r="BD695" s="430"/>
      <c r="BE695" s="430"/>
    </row>
    <row r="696" spans="1:57" ht="15.75" customHeight="1">
      <c r="A696" s="430"/>
      <c r="B696" s="430"/>
      <c r="C696" s="430"/>
      <c r="D696" s="430"/>
      <c r="E696" s="430"/>
      <c r="F696" s="430"/>
      <c r="G696" s="430"/>
      <c r="H696" s="430"/>
      <c r="I696" s="430"/>
      <c r="J696" s="430"/>
      <c r="K696" s="430"/>
      <c r="L696" s="430"/>
      <c r="M696" s="430"/>
      <c r="N696" s="430"/>
      <c r="O696" s="430"/>
      <c r="P696" s="430"/>
      <c r="Q696" s="430"/>
      <c r="R696" s="430"/>
      <c r="S696" s="430"/>
      <c r="T696" s="430"/>
      <c r="U696" s="430"/>
      <c r="V696" s="430"/>
      <c r="W696" s="430"/>
      <c r="X696" s="430"/>
      <c r="Y696" s="430"/>
      <c r="Z696" s="430"/>
      <c r="AA696" s="430"/>
      <c r="AB696" s="430"/>
      <c r="AC696" s="430"/>
      <c r="AD696" s="430"/>
      <c r="AE696" s="430"/>
      <c r="AF696" s="430"/>
      <c r="AG696" s="430"/>
      <c r="AH696" s="430"/>
      <c r="AI696" s="430"/>
      <c r="AJ696" s="430"/>
      <c r="AK696" s="430"/>
      <c r="AL696" s="430"/>
      <c r="AM696" s="430"/>
      <c r="AN696" s="430"/>
      <c r="AO696" s="430"/>
      <c r="AP696" s="430"/>
      <c r="AQ696" s="430"/>
      <c r="AR696" s="430"/>
      <c r="AS696" s="430"/>
      <c r="AT696" s="430"/>
      <c r="AU696" s="430"/>
      <c r="AV696" s="430"/>
      <c r="AW696" s="430"/>
      <c r="AX696" s="430"/>
      <c r="AY696" s="430"/>
      <c r="AZ696" s="430"/>
      <c r="BA696" s="430"/>
      <c r="BB696" s="430"/>
      <c r="BC696" s="430"/>
      <c r="BD696" s="430"/>
      <c r="BE696" s="430"/>
    </row>
    <row r="697" spans="1:57" ht="15.75" customHeight="1">
      <c r="A697" s="430"/>
      <c r="B697" s="430"/>
      <c r="C697" s="430"/>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0"/>
      <c r="AY697" s="430"/>
      <c r="AZ697" s="430"/>
      <c r="BA697" s="430"/>
      <c r="BB697" s="430"/>
      <c r="BC697" s="430"/>
      <c r="BD697" s="430"/>
      <c r="BE697" s="430"/>
    </row>
    <row r="698" spans="1:57" ht="15.75" customHeight="1">
      <c r="A698" s="430"/>
      <c r="B698" s="430"/>
      <c r="C698" s="430"/>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30"/>
      <c r="AY698" s="430"/>
      <c r="AZ698" s="430"/>
      <c r="BA698" s="430"/>
      <c r="BB698" s="430"/>
      <c r="BC698" s="430"/>
      <c r="BD698" s="430"/>
      <c r="BE698" s="430"/>
    </row>
    <row r="699" spans="1:57" ht="15.75" customHeight="1">
      <c r="A699" s="430"/>
      <c r="B699" s="430"/>
      <c r="C699" s="430"/>
      <c r="D699" s="430"/>
      <c r="E699" s="430"/>
      <c r="F699" s="430"/>
      <c r="G699" s="430"/>
      <c r="H699" s="430"/>
      <c r="I699" s="430"/>
      <c r="J699" s="430"/>
      <c r="K699" s="430"/>
      <c r="L699" s="430"/>
      <c r="M699" s="430"/>
      <c r="N699" s="430"/>
      <c r="O699" s="430"/>
      <c r="P699" s="430"/>
      <c r="Q699" s="430"/>
      <c r="R699" s="430"/>
      <c r="S699" s="430"/>
      <c r="T699" s="430"/>
      <c r="U699" s="430"/>
      <c r="V699" s="430"/>
      <c r="W699" s="430"/>
      <c r="X699" s="430"/>
      <c r="Y699" s="430"/>
      <c r="Z699" s="430"/>
      <c r="AA699" s="430"/>
      <c r="AB699" s="430"/>
      <c r="AC699" s="430"/>
      <c r="AD699" s="430"/>
      <c r="AE699" s="430"/>
      <c r="AF699" s="430"/>
      <c r="AG699" s="430"/>
      <c r="AH699" s="430"/>
      <c r="AI699" s="430"/>
      <c r="AJ699" s="430"/>
      <c r="AK699" s="430"/>
      <c r="AL699" s="430"/>
      <c r="AM699" s="430"/>
      <c r="AN699" s="430"/>
      <c r="AO699" s="430"/>
      <c r="AP699" s="430"/>
      <c r="AQ699" s="430"/>
      <c r="AR699" s="430"/>
      <c r="AS699" s="430"/>
      <c r="AT699" s="430"/>
      <c r="AU699" s="430"/>
      <c r="AV699" s="430"/>
      <c r="AW699" s="430"/>
      <c r="AX699" s="430"/>
      <c r="AY699" s="430"/>
      <c r="AZ699" s="430"/>
      <c r="BA699" s="430"/>
      <c r="BB699" s="430"/>
      <c r="BC699" s="430"/>
      <c r="BD699" s="430"/>
      <c r="BE699" s="430"/>
    </row>
    <row r="700" spans="1:57" ht="15.75" customHeight="1">
      <c r="A700" s="430"/>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0"/>
      <c r="AY700" s="430"/>
      <c r="AZ700" s="430"/>
      <c r="BA700" s="430"/>
      <c r="BB700" s="430"/>
      <c r="BC700" s="430"/>
      <c r="BD700" s="430"/>
      <c r="BE700" s="430"/>
    </row>
    <row r="701" spans="1:57" ht="15.75" customHeight="1">
      <c r="A701" s="430"/>
      <c r="B701" s="430"/>
      <c r="C701" s="430"/>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0"/>
      <c r="AD701" s="430"/>
      <c r="AE701" s="430"/>
      <c r="AF701" s="430"/>
      <c r="AG701" s="430"/>
      <c r="AH701" s="430"/>
      <c r="AI701" s="430"/>
      <c r="AJ701" s="430"/>
      <c r="AK701" s="430"/>
      <c r="AL701" s="430"/>
      <c r="AM701" s="430"/>
      <c r="AN701" s="430"/>
      <c r="AO701" s="430"/>
      <c r="AP701" s="430"/>
      <c r="AQ701" s="430"/>
      <c r="AR701" s="430"/>
      <c r="AS701" s="430"/>
      <c r="AT701" s="430"/>
      <c r="AU701" s="430"/>
      <c r="AV701" s="430"/>
      <c r="AW701" s="430"/>
      <c r="AX701" s="430"/>
      <c r="AY701" s="430"/>
      <c r="AZ701" s="430"/>
      <c r="BA701" s="430"/>
      <c r="BB701" s="430"/>
      <c r="BC701" s="430"/>
      <c r="BD701" s="430"/>
      <c r="BE701" s="430"/>
    </row>
    <row r="702" spans="1:57" ht="15.75" customHeight="1">
      <c r="A702" s="430"/>
      <c r="B702" s="430"/>
      <c r="C702" s="430"/>
      <c r="D702" s="430"/>
      <c r="E702" s="430"/>
      <c r="F702" s="430"/>
      <c r="G702" s="430"/>
      <c r="H702" s="430"/>
      <c r="I702" s="430"/>
      <c r="J702" s="430"/>
      <c r="K702" s="430"/>
      <c r="L702" s="430"/>
      <c r="M702" s="430"/>
      <c r="N702" s="430"/>
      <c r="O702" s="430"/>
      <c r="P702" s="430"/>
      <c r="Q702" s="430"/>
      <c r="R702" s="430"/>
      <c r="S702" s="430"/>
      <c r="T702" s="430"/>
      <c r="U702" s="430"/>
      <c r="V702" s="430"/>
      <c r="W702" s="430"/>
      <c r="X702" s="430"/>
      <c r="Y702" s="430"/>
      <c r="Z702" s="430"/>
      <c r="AA702" s="430"/>
      <c r="AB702" s="430"/>
      <c r="AC702" s="430"/>
      <c r="AD702" s="430"/>
      <c r="AE702" s="430"/>
      <c r="AF702" s="430"/>
      <c r="AG702" s="430"/>
      <c r="AH702" s="430"/>
      <c r="AI702" s="430"/>
      <c r="AJ702" s="430"/>
      <c r="AK702" s="430"/>
      <c r="AL702" s="430"/>
      <c r="AM702" s="430"/>
      <c r="AN702" s="430"/>
      <c r="AO702" s="430"/>
      <c r="AP702" s="430"/>
      <c r="AQ702" s="430"/>
      <c r="AR702" s="430"/>
      <c r="AS702" s="430"/>
      <c r="AT702" s="430"/>
      <c r="AU702" s="430"/>
      <c r="AV702" s="430"/>
      <c r="AW702" s="430"/>
      <c r="AX702" s="430"/>
      <c r="AY702" s="430"/>
      <c r="AZ702" s="430"/>
      <c r="BA702" s="430"/>
      <c r="BB702" s="430"/>
      <c r="BC702" s="430"/>
      <c r="BD702" s="430"/>
      <c r="BE702" s="430"/>
    </row>
    <row r="703" spans="1:57" ht="15.75" customHeight="1">
      <c r="A703" s="430"/>
      <c r="B703" s="430"/>
      <c r="C703" s="430"/>
      <c r="D703" s="430"/>
      <c r="E703" s="430"/>
      <c r="F703" s="430"/>
      <c r="G703" s="430"/>
      <c r="H703" s="430"/>
      <c r="I703" s="430"/>
      <c r="J703" s="430"/>
      <c r="K703" s="430"/>
      <c r="L703" s="430"/>
      <c r="M703" s="430"/>
      <c r="N703" s="430"/>
      <c r="O703" s="430"/>
      <c r="P703" s="430"/>
      <c r="Q703" s="430"/>
      <c r="R703" s="430"/>
      <c r="S703" s="430"/>
      <c r="T703" s="430"/>
      <c r="U703" s="430"/>
      <c r="V703" s="430"/>
      <c r="W703" s="430"/>
      <c r="X703" s="430"/>
      <c r="Y703" s="430"/>
      <c r="Z703" s="430"/>
      <c r="AA703" s="430"/>
      <c r="AB703" s="430"/>
      <c r="AC703" s="430"/>
      <c r="AD703" s="430"/>
      <c r="AE703" s="430"/>
      <c r="AF703" s="430"/>
      <c r="AG703" s="430"/>
      <c r="AH703" s="430"/>
      <c r="AI703" s="430"/>
      <c r="AJ703" s="430"/>
      <c r="AK703" s="430"/>
      <c r="AL703" s="430"/>
      <c r="AM703" s="430"/>
      <c r="AN703" s="430"/>
      <c r="AO703" s="430"/>
      <c r="AP703" s="430"/>
      <c r="AQ703" s="430"/>
      <c r="AR703" s="430"/>
      <c r="AS703" s="430"/>
      <c r="AT703" s="430"/>
      <c r="AU703" s="430"/>
      <c r="AV703" s="430"/>
      <c r="AW703" s="430"/>
      <c r="AX703" s="430"/>
      <c r="AY703" s="430"/>
      <c r="AZ703" s="430"/>
      <c r="BA703" s="430"/>
      <c r="BB703" s="430"/>
      <c r="BC703" s="430"/>
      <c r="BD703" s="430"/>
      <c r="BE703" s="430"/>
    </row>
    <row r="704" spans="1:57" ht="15.75" customHeight="1">
      <c r="A704" s="430"/>
      <c r="B704" s="430"/>
      <c r="C704" s="430"/>
      <c r="D704" s="430"/>
      <c r="E704" s="430"/>
      <c r="F704" s="430"/>
      <c r="G704" s="430"/>
      <c r="H704" s="430"/>
      <c r="I704" s="430"/>
      <c r="J704" s="430"/>
      <c r="K704" s="430"/>
      <c r="L704" s="430"/>
      <c r="M704" s="430"/>
      <c r="N704" s="430"/>
      <c r="O704" s="430"/>
      <c r="P704" s="430"/>
      <c r="Q704" s="430"/>
      <c r="R704" s="430"/>
      <c r="S704" s="430"/>
      <c r="T704" s="430"/>
      <c r="U704" s="430"/>
      <c r="V704" s="430"/>
      <c r="W704" s="430"/>
      <c r="X704" s="430"/>
      <c r="Y704" s="430"/>
      <c r="Z704" s="430"/>
      <c r="AA704" s="430"/>
      <c r="AB704" s="430"/>
      <c r="AC704" s="430"/>
      <c r="AD704" s="430"/>
      <c r="AE704" s="430"/>
      <c r="AF704" s="430"/>
      <c r="AG704" s="430"/>
      <c r="AH704" s="430"/>
      <c r="AI704" s="430"/>
      <c r="AJ704" s="430"/>
      <c r="AK704" s="430"/>
      <c r="AL704" s="430"/>
      <c r="AM704" s="430"/>
      <c r="AN704" s="430"/>
      <c r="AO704" s="430"/>
      <c r="AP704" s="430"/>
      <c r="AQ704" s="430"/>
      <c r="AR704" s="430"/>
      <c r="AS704" s="430"/>
      <c r="AT704" s="430"/>
      <c r="AU704" s="430"/>
      <c r="AV704" s="430"/>
      <c r="AW704" s="430"/>
      <c r="AX704" s="430"/>
      <c r="AY704" s="430"/>
      <c r="AZ704" s="430"/>
      <c r="BA704" s="430"/>
      <c r="BB704" s="430"/>
      <c r="BC704" s="430"/>
      <c r="BD704" s="430"/>
      <c r="BE704" s="430"/>
    </row>
    <row r="705" spans="1:57" ht="15.75" customHeight="1">
      <c r="A705" s="430"/>
      <c r="B705" s="430"/>
      <c r="C705" s="430"/>
      <c r="D705" s="430"/>
      <c r="E705" s="430"/>
      <c r="F705" s="430"/>
      <c r="G705" s="430"/>
      <c r="H705" s="430"/>
      <c r="I705" s="430"/>
      <c r="J705" s="430"/>
      <c r="K705" s="430"/>
      <c r="L705" s="430"/>
      <c r="M705" s="430"/>
      <c r="N705" s="430"/>
      <c r="O705" s="430"/>
      <c r="P705" s="430"/>
      <c r="Q705" s="430"/>
      <c r="R705" s="430"/>
      <c r="S705" s="430"/>
      <c r="T705" s="430"/>
      <c r="U705" s="430"/>
      <c r="V705" s="430"/>
      <c r="W705" s="430"/>
      <c r="X705" s="430"/>
      <c r="Y705" s="430"/>
      <c r="Z705" s="430"/>
      <c r="AA705" s="430"/>
      <c r="AB705" s="430"/>
      <c r="AC705" s="430"/>
      <c r="AD705" s="430"/>
      <c r="AE705" s="430"/>
      <c r="AF705" s="430"/>
      <c r="AG705" s="430"/>
      <c r="AH705" s="430"/>
      <c r="AI705" s="430"/>
      <c r="AJ705" s="430"/>
      <c r="AK705" s="430"/>
      <c r="AL705" s="430"/>
      <c r="AM705" s="430"/>
      <c r="AN705" s="430"/>
      <c r="AO705" s="430"/>
      <c r="AP705" s="430"/>
      <c r="AQ705" s="430"/>
      <c r="AR705" s="430"/>
      <c r="AS705" s="430"/>
      <c r="AT705" s="430"/>
      <c r="AU705" s="430"/>
      <c r="AV705" s="430"/>
      <c r="AW705" s="430"/>
      <c r="AX705" s="430"/>
      <c r="AY705" s="430"/>
      <c r="AZ705" s="430"/>
      <c r="BA705" s="430"/>
      <c r="BB705" s="430"/>
      <c r="BC705" s="430"/>
      <c r="BD705" s="430"/>
      <c r="BE705" s="430"/>
    </row>
    <row r="706" spans="1:57" ht="15.75" customHeight="1">
      <c r="A706" s="430"/>
      <c r="B706" s="430"/>
      <c r="C706" s="430"/>
      <c r="D706" s="430"/>
      <c r="E706" s="430"/>
      <c r="F706" s="430"/>
      <c r="G706" s="430"/>
      <c r="H706" s="430"/>
      <c r="I706" s="430"/>
      <c r="J706" s="430"/>
      <c r="K706" s="430"/>
      <c r="L706" s="430"/>
      <c r="M706" s="430"/>
      <c r="N706" s="430"/>
      <c r="O706" s="430"/>
      <c r="P706" s="430"/>
      <c r="Q706" s="430"/>
      <c r="R706" s="430"/>
      <c r="S706" s="430"/>
      <c r="T706" s="430"/>
      <c r="U706" s="430"/>
      <c r="V706" s="430"/>
      <c r="W706" s="430"/>
      <c r="X706" s="430"/>
      <c r="Y706" s="430"/>
      <c r="Z706" s="430"/>
      <c r="AA706" s="430"/>
      <c r="AB706" s="430"/>
      <c r="AC706" s="430"/>
      <c r="AD706" s="430"/>
      <c r="AE706" s="430"/>
      <c r="AF706" s="430"/>
      <c r="AG706" s="430"/>
      <c r="AH706" s="430"/>
      <c r="AI706" s="430"/>
      <c r="AJ706" s="430"/>
      <c r="AK706" s="430"/>
      <c r="AL706" s="430"/>
      <c r="AM706" s="430"/>
      <c r="AN706" s="430"/>
      <c r="AO706" s="430"/>
      <c r="AP706" s="430"/>
      <c r="AQ706" s="430"/>
      <c r="AR706" s="430"/>
      <c r="AS706" s="430"/>
      <c r="AT706" s="430"/>
      <c r="AU706" s="430"/>
      <c r="AV706" s="430"/>
      <c r="AW706" s="430"/>
      <c r="AX706" s="430"/>
      <c r="AY706" s="430"/>
      <c r="AZ706" s="430"/>
      <c r="BA706" s="430"/>
      <c r="BB706" s="430"/>
      <c r="BC706" s="430"/>
      <c r="BD706" s="430"/>
      <c r="BE706" s="430"/>
    </row>
    <row r="707" spans="1:57" ht="15.75" customHeight="1">
      <c r="A707" s="430"/>
      <c r="B707" s="430"/>
      <c r="C707" s="430"/>
      <c r="D707" s="430"/>
      <c r="E707" s="430"/>
      <c r="F707" s="430"/>
      <c r="G707" s="430"/>
      <c r="H707" s="430"/>
      <c r="I707" s="430"/>
      <c r="J707" s="430"/>
      <c r="K707" s="430"/>
      <c r="L707" s="430"/>
      <c r="M707" s="430"/>
      <c r="N707" s="430"/>
      <c r="O707" s="430"/>
      <c r="P707" s="430"/>
      <c r="Q707" s="430"/>
      <c r="R707" s="430"/>
      <c r="S707" s="430"/>
      <c r="T707" s="430"/>
      <c r="U707" s="430"/>
      <c r="V707" s="430"/>
      <c r="W707" s="430"/>
      <c r="X707" s="430"/>
      <c r="Y707" s="430"/>
      <c r="Z707" s="430"/>
      <c r="AA707" s="430"/>
      <c r="AB707" s="430"/>
      <c r="AC707" s="430"/>
      <c r="AD707" s="430"/>
      <c r="AE707" s="430"/>
      <c r="AF707" s="430"/>
      <c r="AG707" s="430"/>
      <c r="AH707" s="430"/>
      <c r="AI707" s="430"/>
      <c r="AJ707" s="430"/>
      <c r="AK707" s="430"/>
      <c r="AL707" s="430"/>
      <c r="AM707" s="430"/>
      <c r="AN707" s="430"/>
      <c r="AO707" s="430"/>
      <c r="AP707" s="430"/>
      <c r="AQ707" s="430"/>
      <c r="AR707" s="430"/>
      <c r="AS707" s="430"/>
      <c r="AT707" s="430"/>
      <c r="AU707" s="430"/>
      <c r="AV707" s="430"/>
      <c r="AW707" s="430"/>
      <c r="AX707" s="430"/>
      <c r="AY707" s="430"/>
      <c r="AZ707" s="430"/>
      <c r="BA707" s="430"/>
      <c r="BB707" s="430"/>
      <c r="BC707" s="430"/>
      <c r="BD707" s="430"/>
      <c r="BE707" s="430"/>
    </row>
    <row r="708" spans="1:57" ht="15.75" customHeight="1">
      <c r="A708" s="430"/>
      <c r="B708" s="430"/>
      <c r="C708" s="430"/>
      <c r="D708" s="430"/>
      <c r="E708" s="430"/>
      <c r="F708" s="430"/>
      <c r="G708" s="430"/>
      <c r="H708" s="430"/>
      <c r="I708" s="430"/>
      <c r="J708" s="430"/>
      <c r="K708" s="430"/>
      <c r="L708" s="430"/>
      <c r="M708" s="430"/>
      <c r="N708" s="430"/>
      <c r="O708" s="430"/>
      <c r="P708" s="430"/>
      <c r="Q708" s="430"/>
      <c r="R708" s="430"/>
      <c r="S708" s="430"/>
      <c r="T708" s="430"/>
      <c r="U708" s="430"/>
      <c r="V708" s="430"/>
      <c r="W708" s="430"/>
      <c r="X708" s="430"/>
      <c r="Y708" s="430"/>
      <c r="Z708" s="430"/>
      <c r="AA708" s="430"/>
      <c r="AB708" s="430"/>
      <c r="AC708" s="430"/>
      <c r="AD708" s="430"/>
      <c r="AE708" s="430"/>
      <c r="AF708" s="430"/>
      <c r="AG708" s="430"/>
      <c r="AH708" s="430"/>
      <c r="AI708" s="430"/>
      <c r="AJ708" s="430"/>
      <c r="AK708" s="430"/>
      <c r="AL708" s="430"/>
      <c r="AM708" s="430"/>
      <c r="AN708" s="430"/>
      <c r="AO708" s="430"/>
      <c r="AP708" s="430"/>
      <c r="AQ708" s="430"/>
      <c r="AR708" s="430"/>
      <c r="AS708" s="430"/>
      <c r="AT708" s="430"/>
      <c r="AU708" s="430"/>
      <c r="AV708" s="430"/>
      <c r="AW708" s="430"/>
      <c r="AX708" s="430"/>
      <c r="AY708" s="430"/>
      <c r="AZ708" s="430"/>
      <c r="BA708" s="430"/>
      <c r="BB708" s="430"/>
      <c r="BC708" s="430"/>
      <c r="BD708" s="430"/>
      <c r="BE708" s="430"/>
    </row>
    <row r="709" spans="1:57" ht="15.75" customHeight="1">
      <c r="A709" s="430"/>
      <c r="B709" s="430"/>
      <c r="C709" s="430"/>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430"/>
      <c r="AE709" s="430"/>
      <c r="AF709" s="430"/>
      <c r="AG709" s="430"/>
      <c r="AH709" s="430"/>
      <c r="AI709" s="430"/>
      <c r="AJ709" s="430"/>
      <c r="AK709" s="430"/>
      <c r="AL709" s="430"/>
      <c r="AM709" s="430"/>
      <c r="AN709" s="430"/>
      <c r="AO709" s="430"/>
      <c r="AP709" s="430"/>
      <c r="AQ709" s="430"/>
      <c r="AR709" s="430"/>
      <c r="AS709" s="430"/>
      <c r="AT709" s="430"/>
      <c r="AU709" s="430"/>
      <c r="AV709" s="430"/>
      <c r="AW709" s="430"/>
      <c r="AX709" s="430"/>
      <c r="AY709" s="430"/>
      <c r="AZ709" s="430"/>
      <c r="BA709" s="430"/>
      <c r="BB709" s="430"/>
      <c r="BC709" s="430"/>
      <c r="BD709" s="430"/>
      <c r="BE709" s="430"/>
    </row>
    <row r="710" spans="1:57" ht="15.75" customHeight="1">
      <c r="A710" s="430"/>
      <c r="B710" s="430"/>
      <c r="C710" s="430"/>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430"/>
      <c r="AE710" s="430"/>
      <c r="AF710" s="430"/>
      <c r="AG710" s="430"/>
      <c r="AH710" s="430"/>
      <c r="AI710" s="430"/>
      <c r="AJ710" s="430"/>
      <c r="AK710" s="430"/>
      <c r="AL710" s="430"/>
      <c r="AM710" s="430"/>
      <c r="AN710" s="430"/>
      <c r="AO710" s="430"/>
      <c r="AP710" s="430"/>
      <c r="AQ710" s="430"/>
      <c r="AR710" s="430"/>
      <c r="AS710" s="430"/>
      <c r="AT710" s="430"/>
      <c r="AU710" s="430"/>
      <c r="AV710" s="430"/>
      <c r="AW710" s="430"/>
      <c r="AX710" s="430"/>
      <c r="AY710" s="430"/>
      <c r="AZ710" s="430"/>
      <c r="BA710" s="430"/>
      <c r="BB710" s="430"/>
      <c r="BC710" s="430"/>
      <c r="BD710" s="430"/>
      <c r="BE710" s="430"/>
    </row>
    <row r="711" spans="1:57" ht="15.75" customHeight="1">
      <c r="A711" s="430"/>
      <c r="B711" s="430"/>
      <c r="C711" s="430"/>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430"/>
      <c r="AD711" s="430"/>
      <c r="AE711" s="430"/>
      <c r="AF711" s="430"/>
      <c r="AG711" s="430"/>
      <c r="AH711" s="430"/>
      <c r="AI711" s="430"/>
      <c r="AJ711" s="430"/>
      <c r="AK711" s="430"/>
      <c r="AL711" s="430"/>
      <c r="AM711" s="430"/>
      <c r="AN711" s="430"/>
      <c r="AO711" s="430"/>
      <c r="AP711" s="430"/>
      <c r="AQ711" s="430"/>
      <c r="AR711" s="430"/>
      <c r="AS711" s="430"/>
      <c r="AT711" s="430"/>
      <c r="AU711" s="430"/>
      <c r="AV711" s="430"/>
      <c r="AW711" s="430"/>
      <c r="AX711" s="430"/>
      <c r="AY711" s="430"/>
      <c r="AZ711" s="430"/>
      <c r="BA711" s="430"/>
      <c r="BB711" s="430"/>
      <c r="BC711" s="430"/>
      <c r="BD711" s="430"/>
      <c r="BE711" s="430"/>
    </row>
    <row r="712" spans="1:57" ht="15.75" customHeight="1">
      <c r="A712" s="430"/>
      <c r="B712" s="430"/>
      <c r="C712" s="430"/>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430"/>
      <c r="AD712" s="430"/>
      <c r="AE712" s="430"/>
      <c r="AF712" s="430"/>
      <c r="AG712" s="430"/>
      <c r="AH712" s="430"/>
      <c r="AI712" s="430"/>
      <c r="AJ712" s="430"/>
      <c r="AK712" s="430"/>
      <c r="AL712" s="430"/>
      <c r="AM712" s="430"/>
      <c r="AN712" s="430"/>
      <c r="AO712" s="430"/>
      <c r="AP712" s="430"/>
      <c r="AQ712" s="430"/>
      <c r="AR712" s="430"/>
      <c r="AS712" s="430"/>
      <c r="AT712" s="430"/>
      <c r="AU712" s="430"/>
      <c r="AV712" s="430"/>
      <c r="AW712" s="430"/>
      <c r="AX712" s="430"/>
      <c r="AY712" s="430"/>
      <c r="AZ712" s="430"/>
      <c r="BA712" s="430"/>
      <c r="BB712" s="430"/>
      <c r="BC712" s="430"/>
      <c r="BD712" s="430"/>
      <c r="BE712" s="430"/>
    </row>
    <row r="713" spans="1:57" ht="15.75" customHeight="1">
      <c r="A713" s="430"/>
      <c r="B713" s="430"/>
      <c r="C713" s="430"/>
      <c r="D713" s="430"/>
      <c r="E713" s="430"/>
      <c r="F713" s="430"/>
      <c r="G713" s="430"/>
      <c r="H713" s="430"/>
      <c r="I713" s="430"/>
      <c r="J713" s="430"/>
      <c r="K713" s="430"/>
      <c r="L713" s="430"/>
      <c r="M713" s="430"/>
      <c r="N713" s="430"/>
      <c r="O713" s="430"/>
      <c r="P713" s="430"/>
      <c r="Q713" s="430"/>
      <c r="R713" s="430"/>
      <c r="S713" s="430"/>
      <c r="T713" s="430"/>
      <c r="U713" s="430"/>
      <c r="V713" s="430"/>
      <c r="W713" s="430"/>
      <c r="X713" s="430"/>
      <c r="Y713" s="430"/>
      <c r="Z713" s="430"/>
      <c r="AA713" s="430"/>
      <c r="AB713" s="430"/>
      <c r="AC713" s="430"/>
      <c r="AD713" s="430"/>
      <c r="AE713" s="430"/>
      <c r="AF713" s="430"/>
      <c r="AG713" s="430"/>
      <c r="AH713" s="430"/>
      <c r="AI713" s="430"/>
      <c r="AJ713" s="430"/>
      <c r="AK713" s="430"/>
      <c r="AL713" s="430"/>
      <c r="AM713" s="430"/>
      <c r="AN713" s="430"/>
      <c r="AO713" s="430"/>
      <c r="AP713" s="430"/>
      <c r="AQ713" s="430"/>
      <c r="AR713" s="430"/>
      <c r="AS713" s="430"/>
      <c r="AT713" s="430"/>
      <c r="AU713" s="430"/>
      <c r="AV713" s="430"/>
      <c r="AW713" s="430"/>
      <c r="AX713" s="430"/>
      <c r="AY713" s="430"/>
      <c r="AZ713" s="430"/>
      <c r="BA713" s="430"/>
      <c r="BB713" s="430"/>
      <c r="BC713" s="430"/>
      <c r="BD713" s="430"/>
      <c r="BE713" s="430"/>
    </row>
    <row r="714" spans="1:57" ht="15.75" customHeight="1">
      <c r="A714" s="430"/>
      <c r="B714" s="430"/>
      <c r="C714" s="430"/>
      <c r="D714" s="430"/>
      <c r="E714" s="430"/>
      <c r="F714" s="430"/>
      <c r="G714" s="430"/>
      <c r="H714" s="430"/>
      <c r="I714" s="430"/>
      <c r="J714" s="430"/>
      <c r="K714" s="430"/>
      <c r="L714" s="430"/>
      <c r="M714" s="430"/>
      <c r="N714" s="430"/>
      <c r="O714" s="430"/>
      <c r="P714" s="430"/>
      <c r="Q714" s="430"/>
      <c r="R714" s="430"/>
      <c r="S714" s="430"/>
      <c r="T714" s="430"/>
      <c r="U714" s="430"/>
      <c r="V714" s="430"/>
      <c r="W714" s="430"/>
      <c r="X714" s="430"/>
      <c r="Y714" s="430"/>
      <c r="Z714" s="430"/>
      <c r="AA714" s="430"/>
      <c r="AB714" s="430"/>
      <c r="AC714" s="430"/>
      <c r="AD714" s="430"/>
      <c r="AE714" s="430"/>
      <c r="AF714" s="430"/>
      <c r="AG714" s="430"/>
      <c r="AH714" s="430"/>
      <c r="AI714" s="430"/>
      <c r="AJ714" s="430"/>
      <c r="AK714" s="430"/>
      <c r="AL714" s="430"/>
      <c r="AM714" s="430"/>
      <c r="AN714" s="430"/>
      <c r="AO714" s="430"/>
      <c r="AP714" s="430"/>
      <c r="AQ714" s="430"/>
      <c r="AR714" s="430"/>
      <c r="AS714" s="430"/>
      <c r="AT714" s="430"/>
      <c r="AU714" s="430"/>
      <c r="AV714" s="430"/>
      <c r="AW714" s="430"/>
      <c r="AX714" s="430"/>
      <c r="AY714" s="430"/>
      <c r="AZ714" s="430"/>
      <c r="BA714" s="430"/>
      <c r="BB714" s="430"/>
      <c r="BC714" s="430"/>
      <c r="BD714" s="430"/>
      <c r="BE714" s="430"/>
    </row>
    <row r="715" spans="1:57" ht="15.75" customHeight="1">
      <c r="A715" s="430"/>
      <c r="B715" s="430"/>
      <c r="C715" s="430"/>
      <c r="D715" s="430"/>
      <c r="E715" s="430"/>
      <c r="F715" s="430"/>
      <c r="G715" s="430"/>
      <c r="H715" s="430"/>
      <c r="I715" s="430"/>
      <c r="J715" s="430"/>
      <c r="K715" s="430"/>
      <c r="L715" s="430"/>
      <c r="M715" s="430"/>
      <c r="N715" s="430"/>
      <c r="O715" s="430"/>
      <c r="P715" s="430"/>
      <c r="Q715" s="430"/>
      <c r="R715" s="430"/>
      <c r="S715" s="430"/>
      <c r="T715" s="430"/>
      <c r="U715" s="430"/>
      <c r="V715" s="430"/>
      <c r="W715" s="430"/>
      <c r="X715" s="430"/>
      <c r="Y715" s="430"/>
      <c r="Z715" s="430"/>
      <c r="AA715" s="430"/>
      <c r="AB715" s="430"/>
      <c r="AC715" s="430"/>
      <c r="AD715" s="430"/>
      <c r="AE715" s="430"/>
      <c r="AF715" s="430"/>
      <c r="AG715" s="430"/>
      <c r="AH715" s="430"/>
      <c r="AI715" s="430"/>
      <c r="AJ715" s="430"/>
      <c r="AK715" s="430"/>
      <c r="AL715" s="430"/>
      <c r="AM715" s="430"/>
      <c r="AN715" s="430"/>
      <c r="AO715" s="430"/>
      <c r="AP715" s="430"/>
      <c r="AQ715" s="430"/>
      <c r="AR715" s="430"/>
      <c r="AS715" s="430"/>
      <c r="AT715" s="430"/>
      <c r="AU715" s="430"/>
      <c r="AV715" s="430"/>
      <c r="AW715" s="430"/>
      <c r="AX715" s="430"/>
      <c r="AY715" s="430"/>
      <c r="AZ715" s="430"/>
      <c r="BA715" s="430"/>
      <c r="BB715" s="430"/>
      <c r="BC715" s="430"/>
      <c r="BD715" s="430"/>
      <c r="BE715" s="430"/>
    </row>
    <row r="716" spans="1:57" ht="15.75" customHeight="1">
      <c r="A716" s="430"/>
      <c r="B716" s="430"/>
      <c r="C716" s="430"/>
      <c r="D716" s="430"/>
      <c r="E716" s="430"/>
      <c r="F716" s="430"/>
      <c r="G716" s="430"/>
      <c r="H716" s="430"/>
      <c r="I716" s="430"/>
      <c r="J716" s="430"/>
      <c r="K716" s="430"/>
      <c r="L716" s="430"/>
      <c r="M716" s="430"/>
      <c r="N716" s="430"/>
      <c r="O716" s="430"/>
      <c r="P716" s="430"/>
      <c r="Q716" s="430"/>
      <c r="R716" s="430"/>
      <c r="S716" s="430"/>
      <c r="T716" s="430"/>
      <c r="U716" s="430"/>
      <c r="V716" s="430"/>
      <c r="W716" s="430"/>
      <c r="X716" s="430"/>
      <c r="Y716" s="430"/>
      <c r="Z716" s="430"/>
      <c r="AA716" s="430"/>
      <c r="AB716" s="430"/>
      <c r="AC716" s="430"/>
      <c r="AD716" s="430"/>
      <c r="AE716" s="430"/>
      <c r="AF716" s="430"/>
      <c r="AG716" s="430"/>
      <c r="AH716" s="430"/>
      <c r="AI716" s="430"/>
      <c r="AJ716" s="430"/>
      <c r="AK716" s="430"/>
      <c r="AL716" s="430"/>
      <c r="AM716" s="430"/>
      <c r="AN716" s="430"/>
      <c r="AO716" s="430"/>
      <c r="AP716" s="430"/>
      <c r="AQ716" s="430"/>
      <c r="AR716" s="430"/>
      <c r="AS716" s="430"/>
      <c r="AT716" s="430"/>
      <c r="AU716" s="430"/>
      <c r="AV716" s="430"/>
      <c r="AW716" s="430"/>
      <c r="AX716" s="430"/>
      <c r="AY716" s="430"/>
      <c r="AZ716" s="430"/>
      <c r="BA716" s="430"/>
      <c r="BB716" s="430"/>
      <c r="BC716" s="430"/>
      <c r="BD716" s="430"/>
      <c r="BE716" s="430"/>
    </row>
    <row r="717" spans="1:57" ht="15.75" customHeight="1">
      <c r="A717" s="430"/>
      <c r="B717" s="430"/>
      <c r="C717" s="430"/>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430"/>
      <c r="AE717" s="430"/>
      <c r="AF717" s="430"/>
      <c r="AG717" s="430"/>
      <c r="AH717" s="430"/>
      <c r="AI717" s="430"/>
      <c r="AJ717" s="430"/>
      <c r="AK717" s="430"/>
      <c r="AL717" s="430"/>
      <c r="AM717" s="430"/>
      <c r="AN717" s="430"/>
      <c r="AO717" s="430"/>
      <c r="AP717" s="430"/>
      <c r="AQ717" s="430"/>
      <c r="AR717" s="430"/>
      <c r="AS717" s="430"/>
      <c r="AT717" s="430"/>
      <c r="AU717" s="430"/>
      <c r="AV717" s="430"/>
      <c r="AW717" s="430"/>
      <c r="AX717" s="430"/>
      <c r="AY717" s="430"/>
      <c r="AZ717" s="430"/>
      <c r="BA717" s="430"/>
      <c r="BB717" s="430"/>
      <c r="BC717" s="430"/>
      <c r="BD717" s="430"/>
      <c r="BE717" s="430"/>
    </row>
    <row r="718" spans="1:57" ht="15.75" customHeight="1">
      <c r="A718" s="430"/>
      <c r="B718" s="430"/>
      <c r="C718" s="430"/>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430"/>
      <c r="AE718" s="430"/>
      <c r="AF718" s="430"/>
      <c r="AG718" s="430"/>
      <c r="AH718" s="430"/>
      <c r="AI718" s="430"/>
      <c r="AJ718" s="430"/>
      <c r="AK718" s="430"/>
      <c r="AL718" s="430"/>
      <c r="AM718" s="430"/>
      <c r="AN718" s="430"/>
      <c r="AO718" s="430"/>
      <c r="AP718" s="430"/>
      <c r="AQ718" s="430"/>
      <c r="AR718" s="430"/>
      <c r="AS718" s="430"/>
      <c r="AT718" s="430"/>
      <c r="AU718" s="430"/>
      <c r="AV718" s="430"/>
      <c r="AW718" s="430"/>
      <c r="AX718" s="430"/>
      <c r="AY718" s="430"/>
      <c r="AZ718" s="430"/>
      <c r="BA718" s="430"/>
      <c r="BB718" s="430"/>
      <c r="BC718" s="430"/>
      <c r="BD718" s="430"/>
      <c r="BE718" s="430"/>
    </row>
    <row r="719" spans="1:57" ht="15.75" customHeight="1">
      <c r="A719" s="430"/>
      <c r="B719" s="430"/>
      <c r="C719" s="430"/>
      <c r="D719" s="430"/>
      <c r="E719" s="430"/>
      <c r="F719" s="430"/>
      <c r="G719" s="430"/>
      <c r="H719" s="430"/>
      <c r="I719" s="430"/>
      <c r="J719" s="430"/>
      <c r="K719" s="430"/>
      <c r="L719" s="430"/>
      <c r="M719" s="430"/>
      <c r="N719" s="430"/>
      <c r="O719" s="430"/>
      <c r="P719" s="430"/>
      <c r="Q719" s="430"/>
      <c r="R719" s="430"/>
      <c r="S719" s="430"/>
      <c r="T719" s="430"/>
      <c r="U719" s="430"/>
      <c r="V719" s="430"/>
      <c r="W719" s="430"/>
      <c r="X719" s="430"/>
      <c r="Y719" s="430"/>
      <c r="Z719" s="430"/>
      <c r="AA719" s="430"/>
      <c r="AB719" s="430"/>
      <c r="AC719" s="430"/>
      <c r="AD719" s="430"/>
      <c r="AE719" s="430"/>
      <c r="AF719" s="430"/>
      <c r="AG719" s="430"/>
      <c r="AH719" s="430"/>
      <c r="AI719" s="430"/>
      <c r="AJ719" s="430"/>
      <c r="AK719" s="430"/>
      <c r="AL719" s="430"/>
      <c r="AM719" s="430"/>
      <c r="AN719" s="430"/>
      <c r="AO719" s="430"/>
      <c r="AP719" s="430"/>
      <c r="AQ719" s="430"/>
      <c r="AR719" s="430"/>
      <c r="AS719" s="430"/>
      <c r="AT719" s="430"/>
      <c r="AU719" s="430"/>
      <c r="AV719" s="430"/>
      <c r="AW719" s="430"/>
      <c r="AX719" s="430"/>
      <c r="AY719" s="430"/>
      <c r="AZ719" s="430"/>
      <c r="BA719" s="430"/>
      <c r="BB719" s="430"/>
      <c r="BC719" s="430"/>
      <c r="BD719" s="430"/>
      <c r="BE719" s="430"/>
    </row>
    <row r="720" spans="1:57" ht="15.75" customHeight="1">
      <c r="A720" s="430"/>
      <c r="B720" s="430"/>
      <c r="C720" s="430"/>
      <c r="D720" s="430"/>
      <c r="E720" s="430"/>
      <c r="F720" s="430"/>
      <c r="G720" s="430"/>
      <c r="H720" s="430"/>
      <c r="I720" s="430"/>
      <c r="J720" s="430"/>
      <c r="K720" s="430"/>
      <c r="L720" s="430"/>
      <c r="M720" s="430"/>
      <c r="N720" s="430"/>
      <c r="O720" s="430"/>
      <c r="P720" s="430"/>
      <c r="Q720" s="430"/>
      <c r="R720" s="430"/>
      <c r="S720" s="430"/>
      <c r="T720" s="430"/>
      <c r="U720" s="430"/>
      <c r="V720" s="430"/>
      <c r="W720" s="430"/>
      <c r="X720" s="430"/>
      <c r="Y720" s="430"/>
      <c r="Z720" s="430"/>
      <c r="AA720" s="430"/>
      <c r="AB720" s="430"/>
      <c r="AC720" s="430"/>
      <c r="AD720" s="430"/>
      <c r="AE720" s="430"/>
      <c r="AF720" s="430"/>
      <c r="AG720" s="430"/>
      <c r="AH720" s="430"/>
      <c r="AI720" s="430"/>
      <c r="AJ720" s="430"/>
      <c r="AK720" s="430"/>
      <c r="AL720" s="430"/>
      <c r="AM720" s="430"/>
      <c r="AN720" s="430"/>
      <c r="AO720" s="430"/>
      <c r="AP720" s="430"/>
      <c r="AQ720" s="430"/>
      <c r="AR720" s="430"/>
      <c r="AS720" s="430"/>
      <c r="AT720" s="430"/>
      <c r="AU720" s="430"/>
      <c r="AV720" s="430"/>
      <c r="AW720" s="430"/>
      <c r="AX720" s="430"/>
      <c r="AY720" s="430"/>
      <c r="AZ720" s="430"/>
      <c r="BA720" s="430"/>
      <c r="BB720" s="430"/>
      <c r="BC720" s="430"/>
      <c r="BD720" s="430"/>
      <c r="BE720" s="430"/>
    </row>
    <row r="721" spans="1:57" ht="15.75" customHeight="1">
      <c r="A721" s="430"/>
      <c r="B721" s="430"/>
      <c r="C721" s="430"/>
      <c r="D721" s="430"/>
      <c r="E721" s="430"/>
      <c r="F721" s="430"/>
      <c r="G721" s="430"/>
      <c r="H721" s="430"/>
      <c r="I721" s="430"/>
      <c r="J721" s="430"/>
      <c r="K721" s="430"/>
      <c r="L721" s="430"/>
      <c r="M721" s="430"/>
      <c r="N721" s="430"/>
      <c r="O721" s="430"/>
      <c r="P721" s="430"/>
      <c r="Q721" s="430"/>
      <c r="R721" s="430"/>
      <c r="S721" s="430"/>
      <c r="T721" s="430"/>
      <c r="U721" s="430"/>
      <c r="V721" s="430"/>
      <c r="W721" s="430"/>
      <c r="X721" s="430"/>
      <c r="Y721" s="430"/>
      <c r="Z721" s="430"/>
      <c r="AA721" s="430"/>
      <c r="AB721" s="430"/>
      <c r="AC721" s="430"/>
      <c r="AD721" s="430"/>
      <c r="AE721" s="430"/>
      <c r="AF721" s="430"/>
      <c r="AG721" s="430"/>
      <c r="AH721" s="430"/>
      <c r="AI721" s="430"/>
      <c r="AJ721" s="430"/>
      <c r="AK721" s="430"/>
      <c r="AL721" s="430"/>
      <c r="AM721" s="430"/>
      <c r="AN721" s="430"/>
      <c r="AO721" s="430"/>
      <c r="AP721" s="430"/>
      <c r="AQ721" s="430"/>
      <c r="AR721" s="430"/>
      <c r="AS721" s="430"/>
      <c r="AT721" s="430"/>
      <c r="AU721" s="430"/>
      <c r="AV721" s="430"/>
      <c r="AW721" s="430"/>
      <c r="AX721" s="430"/>
      <c r="AY721" s="430"/>
      <c r="AZ721" s="430"/>
      <c r="BA721" s="430"/>
      <c r="BB721" s="430"/>
      <c r="BC721" s="430"/>
      <c r="BD721" s="430"/>
      <c r="BE721" s="430"/>
    </row>
    <row r="722" spans="1:57" ht="15.75" customHeight="1">
      <c r="A722" s="430"/>
      <c r="B722" s="430"/>
      <c r="C722" s="430"/>
      <c r="D722" s="430"/>
      <c r="E722" s="430"/>
      <c r="F722" s="430"/>
      <c r="G722" s="430"/>
      <c r="H722" s="430"/>
      <c r="I722" s="430"/>
      <c r="J722" s="430"/>
      <c r="K722" s="430"/>
      <c r="L722" s="430"/>
      <c r="M722" s="430"/>
      <c r="N722" s="430"/>
      <c r="O722" s="430"/>
      <c r="P722" s="430"/>
      <c r="Q722" s="430"/>
      <c r="R722" s="430"/>
      <c r="S722" s="430"/>
      <c r="T722" s="430"/>
      <c r="U722" s="430"/>
      <c r="V722" s="430"/>
      <c r="W722" s="430"/>
      <c r="X722" s="430"/>
      <c r="Y722" s="430"/>
      <c r="Z722" s="430"/>
      <c r="AA722" s="430"/>
      <c r="AB722" s="430"/>
      <c r="AC722" s="430"/>
      <c r="AD722" s="430"/>
      <c r="AE722" s="430"/>
      <c r="AF722" s="430"/>
      <c r="AG722" s="430"/>
      <c r="AH722" s="430"/>
      <c r="AI722" s="430"/>
      <c r="AJ722" s="430"/>
      <c r="AK722" s="430"/>
      <c r="AL722" s="430"/>
      <c r="AM722" s="430"/>
      <c r="AN722" s="430"/>
      <c r="AO722" s="430"/>
      <c r="AP722" s="430"/>
      <c r="AQ722" s="430"/>
      <c r="AR722" s="430"/>
      <c r="AS722" s="430"/>
      <c r="AT722" s="430"/>
      <c r="AU722" s="430"/>
      <c r="AV722" s="430"/>
      <c r="AW722" s="430"/>
      <c r="AX722" s="430"/>
      <c r="AY722" s="430"/>
      <c r="AZ722" s="430"/>
      <c r="BA722" s="430"/>
      <c r="BB722" s="430"/>
      <c r="BC722" s="430"/>
      <c r="BD722" s="430"/>
      <c r="BE722" s="430"/>
    </row>
    <row r="723" spans="1:57" ht="15.75" customHeight="1">
      <c r="A723" s="430"/>
      <c r="B723" s="430"/>
      <c r="C723" s="430"/>
      <c r="D723" s="430"/>
      <c r="E723" s="430"/>
      <c r="F723" s="430"/>
      <c r="G723" s="430"/>
      <c r="H723" s="430"/>
      <c r="I723" s="430"/>
      <c r="J723" s="430"/>
      <c r="K723" s="430"/>
      <c r="L723" s="430"/>
      <c r="M723" s="430"/>
      <c r="N723" s="430"/>
      <c r="O723" s="430"/>
      <c r="P723" s="430"/>
      <c r="Q723" s="430"/>
      <c r="R723" s="430"/>
      <c r="S723" s="430"/>
      <c r="T723" s="430"/>
      <c r="U723" s="430"/>
      <c r="V723" s="430"/>
      <c r="W723" s="430"/>
      <c r="X723" s="430"/>
      <c r="Y723" s="430"/>
      <c r="Z723" s="430"/>
      <c r="AA723" s="430"/>
      <c r="AB723" s="430"/>
      <c r="AC723" s="430"/>
      <c r="AD723" s="430"/>
      <c r="AE723" s="430"/>
      <c r="AF723" s="430"/>
      <c r="AG723" s="430"/>
      <c r="AH723" s="430"/>
      <c r="AI723" s="430"/>
      <c r="AJ723" s="430"/>
      <c r="AK723" s="430"/>
      <c r="AL723" s="430"/>
      <c r="AM723" s="430"/>
      <c r="AN723" s="430"/>
      <c r="AO723" s="430"/>
      <c r="AP723" s="430"/>
      <c r="AQ723" s="430"/>
      <c r="AR723" s="430"/>
      <c r="AS723" s="430"/>
      <c r="AT723" s="430"/>
      <c r="AU723" s="430"/>
      <c r="AV723" s="430"/>
      <c r="AW723" s="430"/>
      <c r="AX723" s="430"/>
      <c r="AY723" s="430"/>
      <c r="AZ723" s="430"/>
      <c r="BA723" s="430"/>
      <c r="BB723" s="430"/>
      <c r="BC723" s="430"/>
      <c r="BD723" s="430"/>
      <c r="BE723" s="430"/>
    </row>
    <row r="724" spans="1:57" ht="15.75" customHeight="1">
      <c r="A724" s="430"/>
      <c r="B724" s="430"/>
      <c r="C724" s="430"/>
      <c r="D724" s="430"/>
      <c r="E724" s="430"/>
      <c r="F724" s="430"/>
      <c r="G724" s="430"/>
      <c r="H724" s="430"/>
      <c r="I724" s="430"/>
      <c r="J724" s="430"/>
      <c r="K724" s="430"/>
      <c r="L724" s="430"/>
      <c r="M724" s="430"/>
      <c r="N724" s="430"/>
      <c r="O724" s="430"/>
      <c r="P724" s="430"/>
      <c r="Q724" s="430"/>
      <c r="R724" s="430"/>
      <c r="S724" s="430"/>
      <c r="T724" s="430"/>
      <c r="U724" s="430"/>
      <c r="V724" s="430"/>
      <c r="W724" s="430"/>
      <c r="X724" s="430"/>
      <c r="Y724" s="430"/>
      <c r="Z724" s="430"/>
      <c r="AA724" s="430"/>
      <c r="AB724" s="430"/>
      <c r="AC724" s="430"/>
      <c r="AD724" s="430"/>
      <c r="AE724" s="430"/>
      <c r="AF724" s="430"/>
      <c r="AG724" s="430"/>
      <c r="AH724" s="430"/>
      <c r="AI724" s="430"/>
      <c r="AJ724" s="430"/>
      <c r="AK724" s="430"/>
      <c r="AL724" s="430"/>
      <c r="AM724" s="430"/>
      <c r="AN724" s="430"/>
      <c r="AO724" s="430"/>
      <c r="AP724" s="430"/>
      <c r="AQ724" s="430"/>
      <c r="AR724" s="430"/>
      <c r="AS724" s="430"/>
      <c r="AT724" s="430"/>
      <c r="AU724" s="430"/>
      <c r="AV724" s="430"/>
      <c r="AW724" s="430"/>
      <c r="AX724" s="430"/>
      <c r="AY724" s="430"/>
      <c r="AZ724" s="430"/>
      <c r="BA724" s="430"/>
      <c r="BB724" s="430"/>
      <c r="BC724" s="430"/>
      <c r="BD724" s="430"/>
      <c r="BE724" s="430"/>
    </row>
    <row r="725" spans="1:57" ht="15.75" customHeight="1">
      <c r="A725" s="430"/>
      <c r="B725" s="430"/>
      <c r="C725" s="430"/>
      <c r="D725" s="430"/>
      <c r="E725" s="430"/>
      <c r="F725" s="430"/>
      <c r="G725" s="430"/>
      <c r="H725" s="430"/>
      <c r="I725" s="430"/>
      <c r="J725" s="430"/>
      <c r="K725" s="430"/>
      <c r="L725" s="430"/>
      <c r="M725" s="430"/>
      <c r="N725" s="430"/>
      <c r="O725" s="430"/>
      <c r="P725" s="430"/>
      <c r="Q725" s="430"/>
      <c r="R725" s="430"/>
      <c r="S725" s="430"/>
      <c r="T725" s="430"/>
      <c r="U725" s="430"/>
      <c r="V725" s="430"/>
      <c r="W725" s="430"/>
      <c r="X725" s="430"/>
      <c r="Y725" s="430"/>
      <c r="Z725" s="430"/>
      <c r="AA725" s="430"/>
      <c r="AB725" s="430"/>
      <c r="AC725" s="430"/>
      <c r="AD725" s="430"/>
      <c r="AE725" s="430"/>
      <c r="AF725" s="430"/>
      <c r="AG725" s="430"/>
      <c r="AH725" s="430"/>
      <c r="AI725" s="430"/>
      <c r="AJ725" s="430"/>
      <c r="AK725" s="430"/>
      <c r="AL725" s="430"/>
      <c r="AM725" s="430"/>
      <c r="AN725" s="430"/>
      <c r="AO725" s="430"/>
      <c r="AP725" s="430"/>
      <c r="AQ725" s="430"/>
      <c r="AR725" s="430"/>
      <c r="AS725" s="430"/>
      <c r="AT725" s="430"/>
      <c r="AU725" s="430"/>
      <c r="AV725" s="430"/>
      <c r="AW725" s="430"/>
      <c r="AX725" s="430"/>
      <c r="AY725" s="430"/>
      <c r="AZ725" s="430"/>
      <c r="BA725" s="430"/>
      <c r="BB725" s="430"/>
      <c r="BC725" s="430"/>
      <c r="BD725" s="430"/>
      <c r="BE725" s="430"/>
    </row>
    <row r="726" spans="1:57" ht="15.75" customHeight="1">
      <c r="A726" s="430"/>
      <c r="B726" s="430"/>
      <c r="C726" s="430"/>
      <c r="D726" s="430"/>
      <c r="E726" s="430"/>
      <c r="F726" s="430"/>
      <c r="G726" s="430"/>
      <c r="H726" s="430"/>
      <c r="I726" s="430"/>
      <c r="J726" s="430"/>
      <c r="K726" s="430"/>
      <c r="L726" s="430"/>
      <c r="M726" s="430"/>
      <c r="N726" s="430"/>
      <c r="O726" s="430"/>
      <c r="P726" s="430"/>
      <c r="Q726" s="430"/>
      <c r="R726" s="430"/>
      <c r="S726" s="430"/>
      <c r="T726" s="430"/>
      <c r="U726" s="430"/>
      <c r="V726" s="430"/>
      <c r="W726" s="430"/>
      <c r="X726" s="430"/>
      <c r="Y726" s="430"/>
      <c r="Z726" s="430"/>
      <c r="AA726" s="430"/>
      <c r="AB726" s="430"/>
      <c r="AC726" s="430"/>
      <c r="AD726" s="430"/>
      <c r="AE726" s="430"/>
      <c r="AF726" s="430"/>
      <c r="AG726" s="430"/>
      <c r="AH726" s="430"/>
      <c r="AI726" s="430"/>
      <c r="AJ726" s="430"/>
      <c r="AK726" s="430"/>
      <c r="AL726" s="430"/>
      <c r="AM726" s="430"/>
      <c r="AN726" s="430"/>
      <c r="AO726" s="430"/>
      <c r="AP726" s="430"/>
      <c r="AQ726" s="430"/>
      <c r="AR726" s="430"/>
      <c r="AS726" s="430"/>
      <c r="AT726" s="430"/>
      <c r="AU726" s="430"/>
      <c r="AV726" s="430"/>
      <c r="AW726" s="430"/>
      <c r="AX726" s="430"/>
      <c r="AY726" s="430"/>
      <c r="AZ726" s="430"/>
      <c r="BA726" s="430"/>
      <c r="BB726" s="430"/>
      <c r="BC726" s="430"/>
      <c r="BD726" s="430"/>
      <c r="BE726" s="430"/>
    </row>
    <row r="727" spans="1:57" ht="15.75" customHeight="1">
      <c r="A727" s="430"/>
      <c r="B727" s="430"/>
      <c r="C727" s="430"/>
      <c r="D727" s="430"/>
      <c r="E727" s="430"/>
      <c r="F727" s="430"/>
      <c r="G727" s="430"/>
      <c r="H727" s="430"/>
      <c r="I727" s="430"/>
      <c r="J727" s="430"/>
      <c r="K727" s="430"/>
      <c r="L727" s="430"/>
      <c r="M727" s="430"/>
      <c r="N727" s="430"/>
      <c r="O727" s="430"/>
      <c r="P727" s="430"/>
      <c r="Q727" s="430"/>
      <c r="R727" s="430"/>
      <c r="S727" s="430"/>
      <c r="T727" s="430"/>
      <c r="U727" s="430"/>
      <c r="V727" s="430"/>
      <c r="W727" s="430"/>
      <c r="X727" s="430"/>
      <c r="Y727" s="430"/>
      <c r="Z727" s="430"/>
      <c r="AA727" s="430"/>
      <c r="AB727" s="430"/>
      <c r="AC727" s="430"/>
      <c r="AD727" s="430"/>
      <c r="AE727" s="430"/>
      <c r="AF727" s="430"/>
      <c r="AG727" s="430"/>
      <c r="AH727" s="430"/>
      <c r="AI727" s="430"/>
      <c r="AJ727" s="430"/>
      <c r="AK727" s="430"/>
      <c r="AL727" s="430"/>
      <c r="AM727" s="430"/>
      <c r="AN727" s="430"/>
      <c r="AO727" s="430"/>
      <c r="AP727" s="430"/>
      <c r="AQ727" s="430"/>
      <c r="AR727" s="430"/>
      <c r="AS727" s="430"/>
      <c r="AT727" s="430"/>
      <c r="AU727" s="430"/>
      <c r="AV727" s="430"/>
      <c r="AW727" s="430"/>
      <c r="AX727" s="430"/>
      <c r="AY727" s="430"/>
      <c r="AZ727" s="430"/>
      <c r="BA727" s="430"/>
      <c r="BB727" s="430"/>
      <c r="BC727" s="430"/>
      <c r="BD727" s="430"/>
      <c r="BE727" s="430"/>
    </row>
    <row r="728" spans="1:57" ht="15.75" customHeight="1">
      <c r="A728" s="430"/>
      <c r="B728" s="430"/>
      <c r="C728" s="430"/>
      <c r="D728" s="430"/>
      <c r="E728" s="430"/>
      <c r="F728" s="430"/>
      <c r="G728" s="430"/>
      <c r="H728" s="430"/>
      <c r="I728" s="430"/>
      <c r="J728" s="430"/>
      <c r="K728" s="430"/>
      <c r="L728" s="430"/>
      <c r="M728" s="430"/>
      <c r="N728" s="430"/>
      <c r="O728" s="430"/>
      <c r="P728" s="430"/>
      <c r="Q728" s="430"/>
      <c r="R728" s="430"/>
      <c r="S728" s="430"/>
      <c r="T728" s="430"/>
      <c r="U728" s="430"/>
      <c r="V728" s="430"/>
      <c r="W728" s="430"/>
      <c r="X728" s="430"/>
      <c r="Y728" s="430"/>
      <c r="Z728" s="430"/>
      <c r="AA728" s="430"/>
      <c r="AB728" s="430"/>
      <c r="AC728" s="430"/>
      <c r="AD728" s="430"/>
      <c r="AE728" s="430"/>
      <c r="AF728" s="430"/>
      <c r="AG728" s="430"/>
      <c r="AH728" s="430"/>
      <c r="AI728" s="430"/>
      <c r="AJ728" s="430"/>
      <c r="AK728" s="430"/>
      <c r="AL728" s="430"/>
      <c r="AM728" s="430"/>
      <c r="AN728" s="430"/>
      <c r="AO728" s="430"/>
      <c r="AP728" s="430"/>
      <c r="AQ728" s="430"/>
      <c r="AR728" s="430"/>
      <c r="AS728" s="430"/>
      <c r="AT728" s="430"/>
      <c r="AU728" s="430"/>
      <c r="AV728" s="430"/>
      <c r="AW728" s="430"/>
      <c r="AX728" s="430"/>
      <c r="AY728" s="430"/>
      <c r="AZ728" s="430"/>
      <c r="BA728" s="430"/>
      <c r="BB728" s="430"/>
      <c r="BC728" s="430"/>
      <c r="BD728" s="430"/>
      <c r="BE728" s="430"/>
    </row>
    <row r="729" spans="1:57" ht="15.75" customHeight="1">
      <c r="A729" s="430"/>
      <c r="B729" s="430"/>
      <c r="C729" s="430"/>
      <c r="D729" s="430"/>
      <c r="E729" s="430"/>
      <c r="F729" s="430"/>
      <c r="G729" s="430"/>
      <c r="H729" s="430"/>
      <c r="I729" s="430"/>
      <c r="J729" s="430"/>
      <c r="K729" s="430"/>
      <c r="L729" s="430"/>
      <c r="M729" s="430"/>
      <c r="N729" s="430"/>
      <c r="O729" s="430"/>
      <c r="P729" s="430"/>
      <c r="Q729" s="430"/>
      <c r="R729" s="430"/>
      <c r="S729" s="430"/>
      <c r="T729" s="430"/>
      <c r="U729" s="430"/>
      <c r="V729" s="430"/>
      <c r="W729" s="430"/>
      <c r="X729" s="430"/>
      <c r="Y729" s="430"/>
      <c r="Z729" s="430"/>
      <c r="AA729" s="430"/>
      <c r="AB729" s="430"/>
      <c r="AC729" s="430"/>
      <c r="AD729" s="430"/>
      <c r="AE729" s="430"/>
      <c r="AF729" s="430"/>
      <c r="AG729" s="430"/>
      <c r="AH729" s="430"/>
      <c r="AI729" s="430"/>
      <c r="AJ729" s="430"/>
      <c r="AK729" s="430"/>
      <c r="AL729" s="430"/>
      <c r="AM729" s="430"/>
      <c r="AN729" s="430"/>
      <c r="AO729" s="430"/>
      <c r="AP729" s="430"/>
      <c r="AQ729" s="430"/>
      <c r="AR729" s="430"/>
      <c r="AS729" s="430"/>
      <c r="AT729" s="430"/>
      <c r="AU729" s="430"/>
      <c r="AV729" s="430"/>
      <c r="AW729" s="430"/>
      <c r="AX729" s="430"/>
      <c r="AY729" s="430"/>
      <c r="AZ729" s="430"/>
      <c r="BA729" s="430"/>
      <c r="BB729" s="430"/>
      <c r="BC729" s="430"/>
      <c r="BD729" s="430"/>
      <c r="BE729" s="430"/>
    </row>
    <row r="730" spans="1:57" ht="15.75" customHeight="1">
      <c r="A730" s="430"/>
      <c r="B730" s="430"/>
      <c r="C730" s="430"/>
      <c r="D730" s="430"/>
      <c r="E730" s="430"/>
      <c r="F730" s="430"/>
      <c r="G730" s="430"/>
      <c r="H730" s="430"/>
      <c r="I730" s="430"/>
      <c r="J730" s="430"/>
      <c r="K730" s="430"/>
      <c r="L730" s="430"/>
      <c r="M730" s="430"/>
      <c r="N730" s="430"/>
      <c r="O730" s="430"/>
      <c r="P730" s="430"/>
      <c r="Q730" s="430"/>
      <c r="R730" s="430"/>
      <c r="S730" s="430"/>
      <c r="T730" s="430"/>
      <c r="U730" s="430"/>
      <c r="V730" s="430"/>
      <c r="W730" s="430"/>
      <c r="X730" s="430"/>
      <c r="Y730" s="430"/>
      <c r="Z730" s="430"/>
      <c r="AA730" s="430"/>
      <c r="AB730" s="430"/>
      <c r="AC730" s="430"/>
      <c r="AD730" s="430"/>
      <c r="AE730" s="430"/>
      <c r="AF730" s="430"/>
      <c r="AG730" s="430"/>
      <c r="AH730" s="430"/>
      <c r="AI730" s="430"/>
      <c r="AJ730" s="430"/>
      <c r="AK730" s="430"/>
      <c r="AL730" s="430"/>
      <c r="AM730" s="430"/>
      <c r="AN730" s="430"/>
      <c r="AO730" s="430"/>
      <c r="AP730" s="430"/>
      <c r="AQ730" s="430"/>
      <c r="AR730" s="430"/>
      <c r="AS730" s="430"/>
      <c r="AT730" s="430"/>
      <c r="AU730" s="430"/>
      <c r="AV730" s="430"/>
      <c r="AW730" s="430"/>
      <c r="AX730" s="430"/>
      <c r="AY730" s="430"/>
      <c r="AZ730" s="430"/>
      <c r="BA730" s="430"/>
      <c r="BB730" s="430"/>
      <c r="BC730" s="430"/>
      <c r="BD730" s="430"/>
      <c r="BE730" s="430"/>
    </row>
    <row r="731" spans="1:57" ht="15.75" customHeight="1">
      <c r="A731" s="430"/>
      <c r="B731" s="430"/>
      <c r="C731" s="430"/>
      <c r="D731" s="430"/>
      <c r="E731" s="430"/>
      <c r="F731" s="430"/>
      <c r="G731" s="430"/>
      <c r="H731" s="430"/>
      <c r="I731" s="430"/>
      <c r="J731" s="430"/>
      <c r="K731" s="430"/>
      <c r="L731" s="430"/>
      <c r="M731" s="430"/>
      <c r="N731" s="430"/>
      <c r="O731" s="430"/>
      <c r="P731" s="430"/>
      <c r="Q731" s="430"/>
      <c r="R731" s="430"/>
      <c r="S731" s="430"/>
      <c r="T731" s="430"/>
      <c r="U731" s="430"/>
      <c r="V731" s="430"/>
      <c r="W731" s="430"/>
      <c r="X731" s="430"/>
      <c r="Y731" s="430"/>
      <c r="Z731" s="430"/>
      <c r="AA731" s="430"/>
      <c r="AB731" s="430"/>
      <c r="AC731" s="430"/>
      <c r="AD731" s="430"/>
      <c r="AE731" s="430"/>
      <c r="AF731" s="430"/>
      <c r="AG731" s="430"/>
      <c r="AH731" s="430"/>
      <c r="AI731" s="430"/>
      <c r="AJ731" s="430"/>
      <c r="AK731" s="430"/>
      <c r="AL731" s="430"/>
      <c r="AM731" s="430"/>
      <c r="AN731" s="430"/>
      <c r="AO731" s="430"/>
      <c r="AP731" s="430"/>
      <c r="AQ731" s="430"/>
      <c r="AR731" s="430"/>
      <c r="AS731" s="430"/>
      <c r="AT731" s="430"/>
      <c r="AU731" s="430"/>
      <c r="AV731" s="430"/>
      <c r="AW731" s="430"/>
      <c r="AX731" s="430"/>
      <c r="AY731" s="430"/>
      <c r="AZ731" s="430"/>
      <c r="BA731" s="430"/>
      <c r="BB731" s="430"/>
      <c r="BC731" s="430"/>
      <c r="BD731" s="430"/>
      <c r="BE731" s="430"/>
    </row>
    <row r="732" spans="1:57" ht="15.75" customHeight="1">
      <c r="A732" s="430"/>
      <c r="B732" s="430"/>
      <c r="C732" s="430"/>
      <c r="D732" s="430"/>
      <c r="E732" s="430"/>
      <c r="F732" s="430"/>
      <c r="G732" s="430"/>
      <c r="H732" s="430"/>
      <c r="I732" s="430"/>
      <c r="J732" s="430"/>
      <c r="K732" s="430"/>
      <c r="L732" s="430"/>
      <c r="M732" s="430"/>
      <c r="N732" s="430"/>
      <c r="O732" s="430"/>
      <c r="P732" s="430"/>
      <c r="Q732" s="430"/>
      <c r="R732" s="430"/>
      <c r="S732" s="430"/>
      <c r="T732" s="430"/>
      <c r="U732" s="430"/>
      <c r="V732" s="430"/>
      <c r="W732" s="430"/>
      <c r="X732" s="430"/>
      <c r="Y732" s="430"/>
      <c r="Z732" s="430"/>
      <c r="AA732" s="430"/>
      <c r="AB732" s="430"/>
      <c r="AC732" s="430"/>
      <c r="AD732" s="430"/>
      <c r="AE732" s="430"/>
      <c r="AF732" s="430"/>
      <c r="AG732" s="430"/>
      <c r="AH732" s="430"/>
      <c r="AI732" s="430"/>
      <c r="AJ732" s="430"/>
      <c r="AK732" s="430"/>
      <c r="AL732" s="430"/>
      <c r="AM732" s="430"/>
      <c r="AN732" s="430"/>
      <c r="AO732" s="430"/>
      <c r="AP732" s="430"/>
      <c r="AQ732" s="430"/>
      <c r="AR732" s="430"/>
      <c r="AS732" s="430"/>
      <c r="AT732" s="430"/>
      <c r="AU732" s="430"/>
      <c r="AV732" s="430"/>
      <c r="AW732" s="430"/>
      <c r="AX732" s="430"/>
      <c r="AY732" s="430"/>
      <c r="AZ732" s="430"/>
      <c r="BA732" s="430"/>
      <c r="BB732" s="430"/>
      <c r="BC732" s="430"/>
      <c r="BD732" s="430"/>
      <c r="BE732" s="430"/>
    </row>
    <row r="733" spans="1:57" ht="15.75" customHeight="1">
      <c r="A733" s="430"/>
      <c r="B733" s="430"/>
      <c r="C733" s="430"/>
      <c r="D733" s="430"/>
      <c r="E733" s="430"/>
      <c r="F733" s="430"/>
      <c r="G733" s="430"/>
      <c r="H733" s="430"/>
      <c r="I733" s="430"/>
      <c r="J733" s="430"/>
      <c r="K733" s="430"/>
      <c r="L733" s="430"/>
      <c r="M733" s="430"/>
      <c r="N733" s="430"/>
      <c r="O733" s="430"/>
      <c r="P733" s="430"/>
      <c r="Q733" s="430"/>
      <c r="R733" s="430"/>
      <c r="S733" s="430"/>
      <c r="T733" s="430"/>
      <c r="U733" s="430"/>
      <c r="V733" s="430"/>
      <c r="W733" s="430"/>
      <c r="X733" s="430"/>
      <c r="Y733" s="430"/>
      <c r="Z733" s="430"/>
      <c r="AA733" s="430"/>
      <c r="AB733" s="430"/>
      <c r="AC733" s="430"/>
      <c r="AD733" s="430"/>
      <c r="AE733" s="430"/>
      <c r="AF733" s="430"/>
      <c r="AG733" s="430"/>
      <c r="AH733" s="430"/>
      <c r="AI733" s="430"/>
      <c r="AJ733" s="430"/>
      <c r="AK733" s="430"/>
      <c r="AL733" s="430"/>
      <c r="AM733" s="430"/>
      <c r="AN733" s="430"/>
      <c r="AO733" s="430"/>
      <c r="AP733" s="430"/>
      <c r="AQ733" s="430"/>
      <c r="AR733" s="430"/>
      <c r="AS733" s="430"/>
      <c r="AT733" s="430"/>
      <c r="AU733" s="430"/>
      <c r="AV733" s="430"/>
      <c r="AW733" s="430"/>
      <c r="AX733" s="430"/>
      <c r="AY733" s="430"/>
      <c r="AZ733" s="430"/>
      <c r="BA733" s="430"/>
      <c r="BB733" s="430"/>
      <c r="BC733" s="430"/>
      <c r="BD733" s="430"/>
      <c r="BE733" s="430"/>
    </row>
    <row r="734" spans="1:57" ht="15.75" customHeight="1">
      <c r="A734" s="430"/>
      <c r="B734" s="430"/>
      <c r="C734" s="430"/>
      <c r="D734" s="430"/>
      <c r="E734" s="430"/>
      <c r="F734" s="430"/>
      <c r="G734" s="430"/>
      <c r="H734" s="430"/>
      <c r="I734" s="430"/>
      <c r="J734" s="430"/>
      <c r="K734" s="430"/>
      <c r="L734" s="430"/>
      <c r="M734" s="430"/>
      <c r="N734" s="430"/>
      <c r="O734" s="430"/>
      <c r="P734" s="430"/>
      <c r="Q734" s="430"/>
      <c r="R734" s="430"/>
      <c r="S734" s="430"/>
      <c r="T734" s="430"/>
      <c r="U734" s="430"/>
      <c r="V734" s="430"/>
      <c r="W734" s="430"/>
      <c r="X734" s="430"/>
      <c r="Y734" s="430"/>
      <c r="Z734" s="430"/>
      <c r="AA734" s="430"/>
      <c r="AB734" s="430"/>
      <c r="AC734" s="430"/>
      <c r="AD734" s="430"/>
      <c r="AE734" s="430"/>
      <c r="AF734" s="430"/>
      <c r="AG734" s="430"/>
      <c r="AH734" s="430"/>
      <c r="AI734" s="430"/>
      <c r="AJ734" s="430"/>
      <c r="AK734" s="430"/>
      <c r="AL734" s="430"/>
      <c r="AM734" s="430"/>
      <c r="AN734" s="430"/>
      <c r="AO734" s="430"/>
      <c r="AP734" s="430"/>
      <c r="AQ734" s="430"/>
      <c r="AR734" s="430"/>
      <c r="AS734" s="430"/>
      <c r="AT734" s="430"/>
      <c r="AU734" s="430"/>
      <c r="AV734" s="430"/>
      <c r="AW734" s="430"/>
      <c r="AX734" s="430"/>
      <c r="AY734" s="430"/>
      <c r="AZ734" s="430"/>
      <c r="BA734" s="430"/>
      <c r="BB734" s="430"/>
      <c r="BC734" s="430"/>
      <c r="BD734" s="430"/>
      <c r="BE734" s="430"/>
    </row>
    <row r="735" spans="1:57" ht="15.75" customHeight="1">
      <c r="A735" s="430"/>
      <c r="B735" s="430"/>
      <c r="C735" s="430"/>
      <c r="D735" s="430"/>
      <c r="E735" s="430"/>
      <c r="F735" s="430"/>
      <c r="G735" s="430"/>
      <c r="H735" s="430"/>
      <c r="I735" s="430"/>
      <c r="J735" s="430"/>
      <c r="K735" s="430"/>
      <c r="L735" s="430"/>
      <c r="M735" s="430"/>
      <c r="N735" s="430"/>
      <c r="O735" s="430"/>
      <c r="P735" s="430"/>
      <c r="Q735" s="430"/>
      <c r="R735" s="430"/>
      <c r="S735" s="430"/>
      <c r="T735" s="430"/>
      <c r="U735" s="430"/>
      <c r="V735" s="430"/>
      <c r="W735" s="430"/>
      <c r="X735" s="430"/>
      <c r="Y735" s="430"/>
      <c r="Z735" s="430"/>
      <c r="AA735" s="430"/>
      <c r="AB735" s="430"/>
      <c r="AC735" s="430"/>
      <c r="AD735" s="430"/>
      <c r="AE735" s="430"/>
      <c r="AF735" s="430"/>
      <c r="AG735" s="430"/>
      <c r="AH735" s="430"/>
      <c r="AI735" s="430"/>
      <c r="AJ735" s="430"/>
      <c r="AK735" s="430"/>
      <c r="AL735" s="430"/>
      <c r="AM735" s="430"/>
      <c r="AN735" s="430"/>
      <c r="AO735" s="430"/>
      <c r="AP735" s="430"/>
      <c r="AQ735" s="430"/>
      <c r="AR735" s="430"/>
      <c r="AS735" s="430"/>
      <c r="AT735" s="430"/>
      <c r="AU735" s="430"/>
      <c r="AV735" s="430"/>
      <c r="AW735" s="430"/>
      <c r="AX735" s="430"/>
      <c r="AY735" s="430"/>
      <c r="AZ735" s="430"/>
      <c r="BA735" s="430"/>
      <c r="BB735" s="430"/>
      <c r="BC735" s="430"/>
      <c r="BD735" s="430"/>
      <c r="BE735" s="430"/>
    </row>
    <row r="736" spans="1:57" ht="15.75" customHeight="1">
      <c r="A736" s="430"/>
      <c r="B736" s="430"/>
      <c r="C736" s="430"/>
      <c r="D736" s="430"/>
      <c r="E736" s="430"/>
      <c r="F736" s="430"/>
      <c r="G736" s="430"/>
      <c r="H736" s="430"/>
      <c r="I736" s="430"/>
      <c r="J736" s="430"/>
      <c r="K736" s="430"/>
      <c r="L736" s="430"/>
      <c r="M736" s="430"/>
      <c r="N736" s="430"/>
      <c r="O736" s="430"/>
      <c r="P736" s="430"/>
      <c r="Q736" s="430"/>
      <c r="R736" s="430"/>
      <c r="S736" s="430"/>
      <c r="T736" s="430"/>
      <c r="U736" s="430"/>
      <c r="V736" s="430"/>
      <c r="W736" s="430"/>
      <c r="X736" s="430"/>
      <c r="Y736" s="430"/>
      <c r="Z736" s="430"/>
      <c r="AA736" s="430"/>
      <c r="AB736" s="430"/>
      <c r="AC736" s="430"/>
      <c r="AD736" s="430"/>
      <c r="AE736" s="430"/>
      <c r="AF736" s="430"/>
      <c r="AG736" s="430"/>
      <c r="AH736" s="430"/>
      <c r="AI736" s="430"/>
      <c r="AJ736" s="430"/>
      <c r="AK736" s="430"/>
      <c r="AL736" s="430"/>
      <c r="AM736" s="430"/>
      <c r="AN736" s="430"/>
      <c r="AO736" s="430"/>
      <c r="AP736" s="430"/>
      <c r="AQ736" s="430"/>
      <c r="AR736" s="430"/>
      <c r="AS736" s="430"/>
      <c r="AT736" s="430"/>
      <c r="AU736" s="430"/>
      <c r="AV736" s="430"/>
      <c r="AW736" s="430"/>
      <c r="AX736" s="430"/>
      <c r="AY736" s="430"/>
      <c r="AZ736" s="430"/>
      <c r="BA736" s="430"/>
      <c r="BB736" s="430"/>
      <c r="BC736" s="430"/>
      <c r="BD736" s="430"/>
      <c r="BE736" s="430"/>
    </row>
    <row r="737" spans="1:57" ht="15.75" customHeight="1">
      <c r="A737" s="430"/>
      <c r="B737" s="430"/>
      <c r="C737" s="430"/>
      <c r="D737" s="430"/>
      <c r="E737" s="430"/>
      <c r="F737" s="430"/>
      <c r="G737" s="430"/>
      <c r="H737" s="430"/>
      <c r="I737" s="430"/>
      <c r="J737" s="430"/>
      <c r="K737" s="430"/>
      <c r="L737" s="430"/>
      <c r="M737" s="430"/>
      <c r="N737" s="430"/>
      <c r="O737" s="430"/>
      <c r="P737" s="430"/>
      <c r="Q737" s="430"/>
      <c r="R737" s="430"/>
      <c r="S737" s="430"/>
      <c r="T737" s="430"/>
      <c r="U737" s="430"/>
      <c r="V737" s="430"/>
      <c r="W737" s="430"/>
      <c r="X737" s="430"/>
      <c r="Y737" s="430"/>
      <c r="Z737" s="430"/>
      <c r="AA737" s="430"/>
      <c r="AB737" s="430"/>
      <c r="AC737" s="430"/>
      <c r="AD737" s="430"/>
      <c r="AE737" s="430"/>
      <c r="AF737" s="430"/>
      <c r="AG737" s="430"/>
      <c r="AH737" s="430"/>
      <c r="AI737" s="430"/>
      <c r="AJ737" s="430"/>
      <c r="AK737" s="430"/>
      <c r="AL737" s="430"/>
      <c r="AM737" s="430"/>
      <c r="AN737" s="430"/>
      <c r="AO737" s="430"/>
      <c r="AP737" s="430"/>
      <c r="AQ737" s="430"/>
      <c r="AR737" s="430"/>
      <c r="AS737" s="430"/>
      <c r="AT737" s="430"/>
      <c r="AU737" s="430"/>
      <c r="AV737" s="430"/>
      <c r="AW737" s="430"/>
      <c r="AX737" s="430"/>
      <c r="AY737" s="430"/>
      <c r="AZ737" s="430"/>
      <c r="BA737" s="430"/>
      <c r="BB737" s="430"/>
      <c r="BC737" s="430"/>
      <c r="BD737" s="430"/>
      <c r="BE737" s="430"/>
    </row>
    <row r="738" spans="1:57" ht="15.75" customHeight="1">
      <c r="A738" s="430"/>
      <c r="B738" s="430"/>
      <c r="C738" s="430"/>
      <c r="D738" s="430"/>
      <c r="E738" s="430"/>
      <c r="F738" s="430"/>
      <c r="G738" s="430"/>
      <c r="H738" s="430"/>
      <c r="I738" s="430"/>
      <c r="J738" s="430"/>
      <c r="K738" s="430"/>
      <c r="L738" s="430"/>
      <c r="M738" s="430"/>
      <c r="N738" s="430"/>
      <c r="O738" s="430"/>
      <c r="P738" s="430"/>
      <c r="Q738" s="430"/>
      <c r="R738" s="430"/>
      <c r="S738" s="430"/>
      <c r="T738" s="430"/>
      <c r="U738" s="430"/>
      <c r="V738" s="430"/>
      <c r="W738" s="430"/>
      <c r="X738" s="430"/>
      <c r="Y738" s="430"/>
      <c r="Z738" s="430"/>
      <c r="AA738" s="430"/>
      <c r="AB738" s="430"/>
      <c r="AC738" s="430"/>
      <c r="AD738" s="430"/>
      <c r="AE738" s="430"/>
      <c r="AF738" s="430"/>
      <c r="AG738" s="430"/>
      <c r="AH738" s="430"/>
      <c r="AI738" s="430"/>
      <c r="AJ738" s="430"/>
      <c r="AK738" s="430"/>
      <c r="AL738" s="430"/>
      <c r="AM738" s="430"/>
      <c r="AN738" s="430"/>
      <c r="AO738" s="430"/>
      <c r="AP738" s="430"/>
      <c r="AQ738" s="430"/>
      <c r="AR738" s="430"/>
      <c r="AS738" s="430"/>
      <c r="AT738" s="430"/>
      <c r="AU738" s="430"/>
      <c r="AV738" s="430"/>
      <c r="AW738" s="430"/>
      <c r="AX738" s="430"/>
      <c r="AY738" s="430"/>
      <c r="AZ738" s="430"/>
      <c r="BA738" s="430"/>
      <c r="BB738" s="430"/>
      <c r="BC738" s="430"/>
      <c r="BD738" s="430"/>
      <c r="BE738" s="430"/>
    </row>
    <row r="739" spans="1:57" ht="15.75" customHeight="1">
      <c r="A739" s="430"/>
      <c r="B739" s="430"/>
      <c r="C739" s="430"/>
      <c r="D739" s="430"/>
      <c r="E739" s="430"/>
      <c r="F739" s="430"/>
      <c r="G739" s="430"/>
      <c r="H739" s="430"/>
      <c r="I739" s="430"/>
      <c r="J739" s="430"/>
      <c r="K739" s="430"/>
      <c r="L739" s="430"/>
      <c r="M739" s="430"/>
      <c r="N739" s="430"/>
      <c r="O739" s="430"/>
      <c r="P739" s="430"/>
      <c r="Q739" s="430"/>
      <c r="R739" s="430"/>
      <c r="S739" s="430"/>
      <c r="T739" s="430"/>
      <c r="U739" s="430"/>
      <c r="V739" s="430"/>
      <c r="W739" s="430"/>
      <c r="X739" s="430"/>
      <c r="Y739" s="430"/>
      <c r="Z739" s="430"/>
      <c r="AA739" s="430"/>
      <c r="AB739" s="430"/>
      <c r="AC739" s="430"/>
      <c r="AD739" s="430"/>
      <c r="AE739" s="430"/>
      <c r="AF739" s="430"/>
      <c r="AG739" s="430"/>
      <c r="AH739" s="430"/>
      <c r="AI739" s="430"/>
      <c r="AJ739" s="430"/>
      <c r="AK739" s="430"/>
      <c r="AL739" s="430"/>
      <c r="AM739" s="430"/>
      <c r="AN739" s="430"/>
      <c r="AO739" s="430"/>
      <c r="AP739" s="430"/>
      <c r="AQ739" s="430"/>
      <c r="AR739" s="430"/>
      <c r="AS739" s="430"/>
      <c r="AT739" s="430"/>
      <c r="AU739" s="430"/>
      <c r="AV739" s="430"/>
      <c r="AW739" s="430"/>
      <c r="AX739" s="430"/>
      <c r="AY739" s="430"/>
      <c r="AZ739" s="430"/>
      <c r="BA739" s="430"/>
      <c r="BB739" s="430"/>
      <c r="BC739" s="430"/>
      <c r="BD739" s="430"/>
      <c r="BE739" s="430"/>
    </row>
    <row r="740" spans="1:57" ht="15.75" customHeight="1">
      <c r="A740" s="430"/>
      <c r="B740" s="430"/>
      <c r="C740" s="430"/>
      <c r="D740" s="430"/>
      <c r="E740" s="430"/>
      <c r="F740" s="430"/>
      <c r="G740" s="430"/>
      <c r="H740" s="430"/>
      <c r="I740" s="430"/>
      <c r="J740" s="430"/>
      <c r="K740" s="430"/>
      <c r="L740" s="430"/>
      <c r="M740" s="430"/>
      <c r="N740" s="430"/>
      <c r="O740" s="430"/>
      <c r="P740" s="430"/>
      <c r="Q740" s="430"/>
      <c r="R740" s="430"/>
      <c r="S740" s="430"/>
      <c r="T740" s="430"/>
      <c r="U740" s="430"/>
      <c r="V740" s="430"/>
      <c r="W740" s="430"/>
      <c r="X740" s="430"/>
      <c r="Y740" s="430"/>
      <c r="Z740" s="430"/>
      <c r="AA740" s="430"/>
      <c r="AB740" s="430"/>
      <c r="AC740" s="430"/>
      <c r="AD740" s="430"/>
      <c r="AE740" s="430"/>
      <c r="AF740" s="430"/>
      <c r="AG740" s="430"/>
      <c r="AH740" s="430"/>
      <c r="AI740" s="430"/>
      <c r="AJ740" s="430"/>
      <c r="AK740" s="430"/>
      <c r="AL740" s="430"/>
      <c r="AM740" s="430"/>
      <c r="AN740" s="430"/>
      <c r="AO740" s="430"/>
      <c r="AP740" s="430"/>
      <c r="AQ740" s="430"/>
      <c r="AR740" s="430"/>
      <c r="AS740" s="430"/>
      <c r="AT740" s="430"/>
      <c r="AU740" s="430"/>
      <c r="AV740" s="430"/>
      <c r="AW740" s="430"/>
      <c r="AX740" s="430"/>
      <c r="AY740" s="430"/>
      <c r="AZ740" s="430"/>
      <c r="BA740" s="430"/>
      <c r="BB740" s="430"/>
      <c r="BC740" s="430"/>
      <c r="BD740" s="430"/>
      <c r="BE740" s="430"/>
    </row>
    <row r="741" spans="1:57" ht="15.75" customHeight="1">
      <c r="A741" s="430"/>
      <c r="B741" s="430"/>
      <c r="C741" s="430"/>
      <c r="D741" s="430"/>
      <c r="E741" s="430"/>
      <c r="F741" s="430"/>
      <c r="G741" s="430"/>
      <c r="H741" s="430"/>
      <c r="I741" s="430"/>
      <c r="J741" s="430"/>
      <c r="K741" s="430"/>
      <c r="L741" s="430"/>
      <c r="M741" s="430"/>
      <c r="N741" s="430"/>
      <c r="O741" s="430"/>
      <c r="P741" s="430"/>
      <c r="Q741" s="430"/>
      <c r="R741" s="430"/>
      <c r="S741" s="430"/>
      <c r="T741" s="430"/>
      <c r="U741" s="430"/>
      <c r="V741" s="430"/>
      <c r="W741" s="430"/>
      <c r="X741" s="430"/>
      <c r="Y741" s="430"/>
      <c r="Z741" s="430"/>
      <c r="AA741" s="430"/>
      <c r="AB741" s="430"/>
      <c r="AC741" s="430"/>
      <c r="AD741" s="430"/>
      <c r="AE741" s="430"/>
      <c r="AF741" s="430"/>
      <c r="AG741" s="430"/>
      <c r="AH741" s="430"/>
      <c r="AI741" s="430"/>
      <c r="AJ741" s="430"/>
      <c r="AK741" s="430"/>
      <c r="AL741" s="430"/>
      <c r="AM741" s="430"/>
      <c r="AN741" s="430"/>
      <c r="AO741" s="430"/>
      <c r="AP741" s="430"/>
      <c r="AQ741" s="430"/>
      <c r="AR741" s="430"/>
      <c r="AS741" s="430"/>
      <c r="AT741" s="430"/>
      <c r="AU741" s="430"/>
      <c r="AV741" s="430"/>
      <c r="AW741" s="430"/>
      <c r="AX741" s="430"/>
      <c r="AY741" s="430"/>
      <c r="AZ741" s="430"/>
      <c r="BA741" s="430"/>
      <c r="BB741" s="430"/>
      <c r="BC741" s="430"/>
      <c r="BD741" s="430"/>
      <c r="BE741" s="430"/>
    </row>
    <row r="742" spans="1:57" ht="15.75" customHeight="1">
      <c r="A742" s="430"/>
      <c r="B742" s="430"/>
      <c r="C742" s="430"/>
      <c r="D742" s="430"/>
      <c r="E742" s="430"/>
      <c r="F742" s="430"/>
      <c r="G742" s="430"/>
      <c r="H742" s="430"/>
      <c r="I742" s="430"/>
      <c r="J742" s="430"/>
      <c r="K742" s="430"/>
      <c r="L742" s="430"/>
      <c r="M742" s="430"/>
      <c r="N742" s="430"/>
      <c r="O742" s="430"/>
      <c r="P742" s="430"/>
      <c r="Q742" s="430"/>
      <c r="R742" s="430"/>
      <c r="S742" s="430"/>
      <c r="T742" s="430"/>
      <c r="U742" s="430"/>
      <c r="V742" s="430"/>
      <c r="W742" s="430"/>
      <c r="X742" s="430"/>
      <c r="Y742" s="430"/>
      <c r="Z742" s="430"/>
      <c r="AA742" s="430"/>
      <c r="AB742" s="430"/>
      <c r="AC742" s="430"/>
      <c r="AD742" s="430"/>
      <c r="AE742" s="430"/>
      <c r="AF742" s="430"/>
      <c r="AG742" s="430"/>
      <c r="AH742" s="430"/>
      <c r="AI742" s="430"/>
      <c r="AJ742" s="430"/>
      <c r="AK742" s="430"/>
      <c r="AL742" s="430"/>
      <c r="AM742" s="430"/>
      <c r="AN742" s="430"/>
      <c r="AO742" s="430"/>
      <c r="AP742" s="430"/>
      <c r="AQ742" s="430"/>
      <c r="AR742" s="430"/>
      <c r="AS742" s="430"/>
      <c r="AT742" s="430"/>
      <c r="AU742" s="430"/>
      <c r="AV742" s="430"/>
      <c r="AW742" s="430"/>
      <c r="AX742" s="430"/>
      <c r="AY742" s="430"/>
      <c r="AZ742" s="430"/>
      <c r="BA742" s="430"/>
      <c r="BB742" s="430"/>
      <c r="BC742" s="430"/>
      <c r="BD742" s="430"/>
      <c r="BE742" s="430"/>
    </row>
    <row r="743" spans="1:57" ht="15.75" customHeight="1">
      <c r="A743" s="430"/>
      <c r="B743" s="430"/>
      <c r="C743" s="430"/>
      <c r="D743" s="430"/>
      <c r="E743" s="430"/>
      <c r="F743" s="430"/>
      <c r="G743" s="430"/>
      <c r="H743" s="430"/>
      <c r="I743" s="430"/>
      <c r="J743" s="430"/>
      <c r="K743" s="430"/>
      <c r="L743" s="430"/>
      <c r="M743" s="430"/>
      <c r="N743" s="430"/>
      <c r="O743" s="430"/>
      <c r="P743" s="430"/>
      <c r="Q743" s="430"/>
      <c r="R743" s="430"/>
      <c r="S743" s="430"/>
      <c r="T743" s="430"/>
      <c r="U743" s="430"/>
      <c r="V743" s="430"/>
      <c r="W743" s="430"/>
      <c r="X743" s="430"/>
      <c r="Y743" s="430"/>
      <c r="Z743" s="430"/>
      <c r="AA743" s="430"/>
      <c r="AB743" s="430"/>
      <c r="AC743" s="430"/>
      <c r="AD743" s="430"/>
      <c r="AE743" s="430"/>
      <c r="AF743" s="430"/>
      <c r="AG743" s="430"/>
      <c r="AH743" s="430"/>
      <c r="AI743" s="430"/>
      <c r="AJ743" s="430"/>
      <c r="AK743" s="430"/>
      <c r="AL743" s="430"/>
      <c r="AM743" s="430"/>
      <c r="AN743" s="430"/>
      <c r="AO743" s="430"/>
      <c r="AP743" s="430"/>
      <c r="AQ743" s="430"/>
      <c r="AR743" s="430"/>
      <c r="AS743" s="430"/>
      <c r="AT743" s="430"/>
      <c r="AU743" s="430"/>
      <c r="AV743" s="430"/>
      <c r="AW743" s="430"/>
      <c r="AX743" s="430"/>
      <c r="AY743" s="430"/>
      <c r="AZ743" s="430"/>
      <c r="BA743" s="430"/>
      <c r="BB743" s="430"/>
      <c r="BC743" s="430"/>
      <c r="BD743" s="430"/>
      <c r="BE743" s="430"/>
    </row>
    <row r="744" spans="1:57" ht="15.75" customHeight="1">
      <c r="A744" s="430"/>
      <c r="B744" s="430"/>
      <c r="C744" s="430"/>
      <c r="D744" s="430"/>
      <c r="E744" s="430"/>
      <c r="F744" s="430"/>
      <c r="G744" s="430"/>
      <c r="H744" s="430"/>
      <c r="I744" s="430"/>
      <c r="J744" s="430"/>
      <c r="K744" s="430"/>
      <c r="L744" s="430"/>
      <c r="M744" s="430"/>
      <c r="N744" s="430"/>
      <c r="O744" s="430"/>
      <c r="P744" s="430"/>
      <c r="Q744" s="430"/>
      <c r="R744" s="430"/>
      <c r="S744" s="430"/>
      <c r="T744" s="430"/>
      <c r="U744" s="430"/>
      <c r="V744" s="430"/>
      <c r="W744" s="430"/>
      <c r="X744" s="430"/>
      <c r="Y744" s="430"/>
      <c r="Z744" s="430"/>
      <c r="AA744" s="430"/>
      <c r="AB744" s="430"/>
      <c r="AC744" s="430"/>
      <c r="AD744" s="430"/>
      <c r="AE744" s="430"/>
      <c r="AF744" s="430"/>
      <c r="AG744" s="430"/>
      <c r="AH744" s="430"/>
      <c r="AI744" s="430"/>
      <c r="AJ744" s="430"/>
      <c r="AK744" s="430"/>
      <c r="AL744" s="430"/>
      <c r="AM744" s="430"/>
      <c r="AN744" s="430"/>
      <c r="AO744" s="430"/>
      <c r="AP744" s="430"/>
      <c r="AQ744" s="430"/>
      <c r="AR744" s="430"/>
      <c r="AS744" s="430"/>
      <c r="AT744" s="430"/>
      <c r="AU744" s="430"/>
      <c r="AV744" s="430"/>
      <c r="AW744" s="430"/>
      <c r="AX744" s="430"/>
      <c r="AY744" s="430"/>
      <c r="AZ744" s="430"/>
      <c r="BA744" s="430"/>
      <c r="BB744" s="430"/>
      <c r="BC744" s="430"/>
      <c r="BD744" s="430"/>
      <c r="BE744" s="430"/>
    </row>
    <row r="745" spans="1:57" ht="15.75" customHeight="1">
      <c r="A745" s="430"/>
      <c r="B745" s="430"/>
      <c r="C745" s="430"/>
      <c r="D745" s="430"/>
      <c r="E745" s="430"/>
      <c r="F745" s="430"/>
      <c r="G745" s="430"/>
      <c r="H745" s="430"/>
      <c r="I745" s="430"/>
      <c r="J745" s="430"/>
      <c r="K745" s="430"/>
      <c r="L745" s="430"/>
      <c r="M745" s="430"/>
      <c r="N745" s="430"/>
      <c r="O745" s="430"/>
      <c r="P745" s="430"/>
      <c r="Q745" s="430"/>
      <c r="R745" s="430"/>
      <c r="S745" s="430"/>
      <c r="T745" s="430"/>
      <c r="U745" s="430"/>
      <c r="V745" s="430"/>
      <c r="W745" s="430"/>
      <c r="X745" s="430"/>
      <c r="Y745" s="430"/>
      <c r="Z745" s="430"/>
      <c r="AA745" s="430"/>
      <c r="AB745" s="430"/>
      <c r="AC745" s="430"/>
      <c r="AD745" s="430"/>
      <c r="AE745" s="430"/>
      <c r="AF745" s="430"/>
      <c r="AG745" s="430"/>
      <c r="AH745" s="430"/>
      <c r="AI745" s="430"/>
      <c r="AJ745" s="430"/>
      <c r="AK745" s="430"/>
      <c r="AL745" s="430"/>
      <c r="AM745" s="430"/>
      <c r="AN745" s="430"/>
      <c r="AO745" s="430"/>
      <c r="AP745" s="430"/>
      <c r="AQ745" s="430"/>
      <c r="AR745" s="430"/>
      <c r="AS745" s="430"/>
      <c r="AT745" s="430"/>
      <c r="AU745" s="430"/>
      <c r="AV745" s="430"/>
      <c r="AW745" s="430"/>
      <c r="AX745" s="430"/>
      <c r="AY745" s="430"/>
      <c r="AZ745" s="430"/>
      <c r="BA745" s="430"/>
      <c r="BB745" s="430"/>
      <c r="BC745" s="430"/>
      <c r="BD745" s="430"/>
      <c r="BE745" s="430"/>
    </row>
    <row r="746" spans="1:57" ht="15.75" customHeight="1">
      <c r="A746" s="430"/>
      <c r="B746" s="430"/>
      <c r="C746" s="430"/>
      <c r="D746" s="430"/>
      <c r="E746" s="430"/>
      <c r="F746" s="430"/>
      <c r="G746" s="430"/>
      <c r="H746" s="430"/>
      <c r="I746" s="430"/>
      <c r="J746" s="430"/>
      <c r="K746" s="430"/>
      <c r="L746" s="430"/>
      <c r="M746" s="430"/>
      <c r="N746" s="430"/>
      <c r="O746" s="430"/>
      <c r="P746" s="430"/>
      <c r="Q746" s="430"/>
      <c r="R746" s="430"/>
      <c r="S746" s="430"/>
      <c r="T746" s="430"/>
      <c r="U746" s="430"/>
      <c r="V746" s="430"/>
      <c r="W746" s="430"/>
      <c r="X746" s="430"/>
      <c r="Y746" s="430"/>
      <c r="Z746" s="430"/>
      <c r="AA746" s="430"/>
      <c r="AB746" s="430"/>
      <c r="AC746" s="430"/>
      <c r="AD746" s="430"/>
      <c r="AE746" s="430"/>
      <c r="AF746" s="430"/>
      <c r="AG746" s="430"/>
      <c r="AH746" s="430"/>
      <c r="AI746" s="430"/>
      <c r="AJ746" s="430"/>
      <c r="AK746" s="430"/>
      <c r="AL746" s="430"/>
      <c r="AM746" s="430"/>
      <c r="AN746" s="430"/>
      <c r="AO746" s="430"/>
      <c r="AP746" s="430"/>
      <c r="AQ746" s="430"/>
      <c r="AR746" s="430"/>
      <c r="AS746" s="430"/>
      <c r="AT746" s="430"/>
      <c r="AU746" s="430"/>
      <c r="AV746" s="430"/>
      <c r="AW746" s="430"/>
      <c r="AX746" s="430"/>
      <c r="AY746" s="430"/>
      <c r="AZ746" s="430"/>
      <c r="BA746" s="430"/>
      <c r="BB746" s="430"/>
      <c r="BC746" s="430"/>
      <c r="BD746" s="430"/>
      <c r="BE746" s="430"/>
    </row>
    <row r="747" spans="1:57" ht="15.75" customHeight="1">
      <c r="A747" s="430"/>
      <c r="B747" s="430"/>
      <c r="C747" s="430"/>
      <c r="D747" s="430"/>
      <c r="E747" s="430"/>
      <c r="F747" s="430"/>
      <c r="G747" s="430"/>
      <c r="H747" s="430"/>
      <c r="I747" s="430"/>
      <c r="J747" s="430"/>
      <c r="K747" s="430"/>
      <c r="L747" s="430"/>
      <c r="M747" s="430"/>
      <c r="N747" s="430"/>
      <c r="O747" s="430"/>
      <c r="P747" s="430"/>
      <c r="Q747" s="430"/>
      <c r="R747" s="430"/>
      <c r="S747" s="430"/>
      <c r="T747" s="430"/>
      <c r="U747" s="430"/>
      <c r="V747" s="430"/>
      <c r="W747" s="430"/>
      <c r="X747" s="430"/>
      <c r="Y747" s="430"/>
      <c r="Z747" s="430"/>
      <c r="AA747" s="430"/>
      <c r="AB747" s="430"/>
      <c r="AC747" s="430"/>
      <c r="AD747" s="430"/>
      <c r="AE747" s="430"/>
      <c r="AF747" s="430"/>
      <c r="AG747" s="430"/>
      <c r="AH747" s="430"/>
      <c r="AI747" s="430"/>
      <c r="AJ747" s="430"/>
      <c r="AK747" s="430"/>
      <c r="AL747" s="430"/>
      <c r="AM747" s="430"/>
      <c r="AN747" s="430"/>
      <c r="AO747" s="430"/>
      <c r="AP747" s="430"/>
      <c r="AQ747" s="430"/>
      <c r="AR747" s="430"/>
      <c r="AS747" s="430"/>
      <c r="AT747" s="430"/>
      <c r="AU747" s="430"/>
      <c r="AV747" s="430"/>
      <c r="AW747" s="430"/>
      <c r="AX747" s="430"/>
      <c r="AY747" s="430"/>
      <c r="AZ747" s="430"/>
      <c r="BA747" s="430"/>
      <c r="BB747" s="430"/>
      <c r="BC747" s="430"/>
      <c r="BD747" s="430"/>
      <c r="BE747" s="430"/>
    </row>
    <row r="748" spans="1:57" ht="15.75" customHeight="1">
      <c r="A748" s="430"/>
      <c r="B748" s="430"/>
      <c r="C748" s="430"/>
      <c r="D748" s="430"/>
      <c r="E748" s="430"/>
      <c r="F748" s="430"/>
      <c r="G748" s="430"/>
      <c r="H748" s="430"/>
      <c r="I748" s="430"/>
      <c r="J748" s="430"/>
      <c r="K748" s="430"/>
      <c r="L748" s="430"/>
      <c r="M748" s="430"/>
      <c r="N748" s="430"/>
      <c r="O748" s="430"/>
      <c r="P748" s="430"/>
      <c r="Q748" s="430"/>
      <c r="R748" s="430"/>
      <c r="S748" s="430"/>
      <c r="T748" s="430"/>
      <c r="U748" s="430"/>
      <c r="V748" s="430"/>
      <c r="W748" s="430"/>
      <c r="X748" s="430"/>
      <c r="Y748" s="430"/>
      <c r="Z748" s="430"/>
      <c r="AA748" s="430"/>
      <c r="AB748" s="430"/>
      <c r="AC748" s="430"/>
      <c r="AD748" s="430"/>
      <c r="AE748" s="430"/>
      <c r="AF748" s="430"/>
      <c r="AG748" s="430"/>
      <c r="AH748" s="430"/>
      <c r="AI748" s="430"/>
      <c r="AJ748" s="430"/>
      <c r="AK748" s="430"/>
      <c r="AL748" s="430"/>
      <c r="AM748" s="430"/>
      <c r="AN748" s="430"/>
      <c r="AO748" s="430"/>
      <c r="AP748" s="430"/>
      <c r="AQ748" s="430"/>
      <c r="AR748" s="430"/>
      <c r="AS748" s="430"/>
      <c r="AT748" s="430"/>
      <c r="AU748" s="430"/>
      <c r="AV748" s="430"/>
      <c r="AW748" s="430"/>
      <c r="AX748" s="430"/>
      <c r="AY748" s="430"/>
      <c r="AZ748" s="430"/>
      <c r="BA748" s="430"/>
      <c r="BB748" s="430"/>
      <c r="BC748" s="430"/>
      <c r="BD748" s="430"/>
      <c r="BE748" s="430"/>
    </row>
    <row r="749" spans="1:57" ht="15.75" customHeight="1">
      <c r="A749" s="430"/>
      <c r="B749" s="430"/>
      <c r="C749" s="430"/>
      <c r="D749" s="430"/>
      <c r="E749" s="430"/>
      <c r="F749" s="430"/>
      <c r="G749" s="430"/>
      <c r="H749" s="430"/>
      <c r="I749" s="430"/>
      <c r="J749" s="430"/>
      <c r="K749" s="430"/>
      <c r="L749" s="430"/>
      <c r="M749" s="430"/>
      <c r="N749" s="430"/>
      <c r="O749" s="430"/>
      <c r="P749" s="430"/>
      <c r="Q749" s="430"/>
      <c r="R749" s="430"/>
      <c r="S749" s="430"/>
      <c r="T749" s="430"/>
      <c r="U749" s="430"/>
      <c r="V749" s="430"/>
      <c r="W749" s="430"/>
      <c r="X749" s="430"/>
      <c r="Y749" s="430"/>
      <c r="Z749" s="430"/>
      <c r="AA749" s="430"/>
      <c r="AB749" s="430"/>
      <c r="AC749" s="430"/>
      <c r="AD749" s="430"/>
      <c r="AE749" s="430"/>
      <c r="AF749" s="430"/>
      <c r="AG749" s="430"/>
      <c r="AH749" s="430"/>
      <c r="AI749" s="430"/>
      <c r="AJ749" s="430"/>
      <c r="AK749" s="430"/>
      <c r="AL749" s="430"/>
      <c r="AM749" s="430"/>
      <c r="AN749" s="430"/>
      <c r="AO749" s="430"/>
      <c r="AP749" s="430"/>
      <c r="AQ749" s="430"/>
      <c r="AR749" s="430"/>
      <c r="AS749" s="430"/>
      <c r="AT749" s="430"/>
      <c r="AU749" s="430"/>
      <c r="AV749" s="430"/>
      <c r="AW749" s="430"/>
      <c r="AX749" s="430"/>
      <c r="AY749" s="430"/>
      <c r="AZ749" s="430"/>
      <c r="BA749" s="430"/>
      <c r="BB749" s="430"/>
      <c r="BC749" s="430"/>
      <c r="BD749" s="430"/>
      <c r="BE749" s="430"/>
    </row>
    <row r="750" spans="1:57" ht="15.75" customHeight="1">
      <c r="A750" s="430"/>
      <c r="B750" s="430"/>
      <c r="C750" s="430"/>
      <c r="D750" s="430"/>
      <c r="E750" s="430"/>
      <c r="F750" s="430"/>
      <c r="G750" s="430"/>
      <c r="H750" s="430"/>
      <c r="I750" s="430"/>
      <c r="J750" s="430"/>
      <c r="K750" s="430"/>
      <c r="L750" s="430"/>
      <c r="M750" s="430"/>
      <c r="N750" s="430"/>
      <c r="O750" s="430"/>
      <c r="P750" s="430"/>
      <c r="Q750" s="430"/>
      <c r="R750" s="430"/>
      <c r="S750" s="430"/>
      <c r="T750" s="430"/>
      <c r="U750" s="430"/>
      <c r="V750" s="430"/>
      <c r="W750" s="430"/>
      <c r="X750" s="430"/>
      <c r="Y750" s="430"/>
      <c r="Z750" s="430"/>
      <c r="AA750" s="430"/>
      <c r="AB750" s="430"/>
      <c r="AC750" s="430"/>
      <c r="AD750" s="430"/>
      <c r="AE750" s="430"/>
      <c r="AF750" s="430"/>
      <c r="AG750" s="430"/>
      <c r="AH750" s="430"/>
      <c r="AI750" s="430"/>
      <c r="AJ750" s="430"/>
      <c r="AK750" s="430"/>
      <c r="AL750" s="430"/>
      <c r="AM750" s="430"/>
      <c r="AN750" s="430"/>
      <c r="AO750" s="430"/>
      <c r="AP750" s="430"/>
      <c r="AQ750" s="430"/>
      <c r="AR750" s="430"/>
      <c r="AS750" s="430"/>
      <c r="AT750" s="430"/>
      <c r="AU750" s="430"/>
      <c r="AV750" s="430"/>
      <c r="AW750" s="430"/>
      <c r="AX750" s="430"/>
      <c r="AY750" s="430"/>
      <c r="AZ750" s="430"/>
      <c r="BA750" s="430"/>
      <c r="BB750" s="430"/>
      <c r="BC750" s="430"/>
      <c r="BD750" s="430"/>
      <c r="BE750" s="430"/>
    </row>
    <row r="751" spans="1:57" ht="15.75" customHeight="1">
      <c r="A751" s="430"/>
      <c r="B751" s="430"/>
      <c r="C751" s="430"/>
      <c r="D751" s="430"/>
      <c r="E751" s="430"/>
      <c r="F751" s="430"/>
      <c r="G751" s="430"/>
      <c r="H751" s="430"/>
      <c r="I751" s="430"/>
      <c r="J751" s="430"/>
      <c r="K751" s="430"/>
      <c r="L751" s="430"/>
      <c r="M751" s="430"/>
      <c r="N751" s="430"/>
      <c r="O751" s="430"/>
      <c r="P751" s="430"/>
      <c r="Q751" s="430"/>
      <c r="R751" s="430"/>
      <c r="S751" s="430"/>
      <c r="T751" s="430"/>
      <c r="U751" s="430"/>
      <c r="V751" s="430"/>
      <c r="W751" s="430"/>
      <c r="X751" s="430"/>
      <c r="Y751" s="430"/>
      <c r="Z751" s="430"/>
      <c r="AA751" s="430"/>
      <c r="AB751" s="430"/>
      <c r="AC751" s="430"/>
      <c r="AD751" s="430"/>
      <c r="AE751" s="430"/>
      <c r="AF751" s="430"/>
      <c r="AG751" s="430"/>
      <c r="AH751" s="430"/>
      <c r="AI751" s="430"/>
      <c r="AJ751" s="430"/>
      <c r="AK751" s="430"/>
      <c r="AL751" s="430"/>
      <c r="AM751" s="430"/>
      <c r="AN751" s="430"/>
      <c r="AO751" s="430"/>
      <c r="AP751" s="430"/>
      <c r="AQ751" s="430"/>
      <c r="AR751" s="430"/>
      <c r="AS751" s="430"/>
      <c r="AT751" s="430"/>
      <c r="AU751" s="430"/>
      <c r="AV751" s="430"/>
      <c r="AW751" s="430"/>
      <c r="AX751" s="430"/>
      <c r="AY751" s="430"/>
      <c r="AZ751" s="430"/>
      <c r="BA751" s="430"/>
      <c r="BB751" s="430"/>
      <c r="BC751" s="430"/>
      <c r="BD751" s="430"/>
      <c r="BE751" s="430"/>
    </row>
    <row r="752" spans="1:57" ht="15.75" customHeight="1">
      <c r="A752" s="430"/>
      <c r="B752" s="430"/>
      <c r="C752" s="430"/>
      <c r="D752" s="430"/>
      <c r="E752" s="430"/>
      <c r="F752" s="430"/>
      <c r="G752" s="430"/>
      <c r="H752" s="430"/>
      <c r="I752" s="430"/>
      <c r="J752" s="430"/>
      <c r="K752" s="430"/>
      <c r="L752" s="430"/>
      <c r="M752" s="430"/>
      <c r="N752" s="430"/>
      <c r="O752" s="430"/>
      <c r="P752" s="430"/>
      <c r="Q752" s="430"/>
      <c r="R752" s="430"/>
      <c r="S752" s="430"/>
      <c r="T752" s="430"/>
      <c r="U752" s="430"/>
      <c r="V752" s="430"/>
      <c r="W752" s="430"/>
      <c r="X752" s="430"/>
      <c r="Y752" s="430"/>
      <c r="Z752" s="430"/>
      <c r="AA752" s="430"/>
      <c r="AB752" s="430"/>
      <c r="AC752" s="430"/>
      <c r="AD752" s="430"/>
      <c r="AE752" s="430"/>
      <c r="AF752" s="430"/>
      <c r="AG752" s="430"/>
      <c r="AH752" s="430"/>
      <c r="AI752" s="430"/>
      <c r="AJ752" s="430"/>
      <c r="AK752" s="430"/>
      <c r="AL752" s="430"/>
      <c r="AM752" s="430"/>
      <c r="AN752" s="430"/>
      <c r="AO752" s="430"/>
      <c r="AP752" s="430"/>
      <c r="AQ752" s="430"/>
      <c r="AR752" s="430"/>
      <c r="AS752" s="430"/>
      <c r="AT752" s="430"/>
      <c r="AU752" s="430"/>
      <c r="AV752" s="430"/>
      <c r="AW752" s="430"/>
      <c r="AX752" s="430"/>
      <c r="AY752" s="430"/>
      <c r="AZ752" s="430"/>
      <c r="BA752" s="430"/>
      <c r="BB752" s="430"/>
      <c r="BC752" s="430"/>
      <c r="BD752" s="430"/>
      <c r="BE752" s="430"/>
    </row>
    <row r="753" spans="1:57" ht="15.75" customHeight="1">
      <c r="A753" s="430"/>
      <c r="B753" s="430"/>
      <c r="C753" s="430"/>
      <c r="D753" s="430"/>
      <c r="E753" s="430"/>
      <c r="F753" s="430"/>
      <c r="G753" s="430"/>
      <c r="H753" s="430"/>
      <c r="I753" s="430"/>
      <c r="J753" s="430"/>
      <c r="K753" s="430"/>
      <c r="L753" s="430"/>
      <c r="M753" s="430"/>
      <c r="N753" s="430"/>
      <c r="O753" s="430"/>
      <c r="P753" s="430"/>
      <c r="Q753" s="430"/>
      <c r="R753" s="430"/>
      <c r="S753" s="430"/>
      <c r="T753" s="430"/>
      <c r="U753" s="430"/>
      <c r="V753" s="430"/>
      <c r="W753" s="430"/>
      <c r="X753" s="430"/>
      <c r="Y753" s="430"/>
      <c r="Z753" s="430"/>
      <c r="AA753" s="430"/>
      <c r="AB753" s="430"/>
      <c r="AC753" s="430"/>
      <c r="AD753" s="430"/>
      <c r="AE753" s="430"/>
      <c r="AF753" s="430"/>
      <c r="AG753" s="430"/>
      <c r="AH753" s="430"/>
      <c r="AI753" s="430"/>
      <c r="AJ753" s="430"/>
      <c r="AK753" s="430"/>
      <c r="AL753" s="430"/>
      <c r="AM753" s="430"/>
      <c r="AN753" s="430"/>
      <c r="AO753" s="430"/>
      <c r="AP753" s="430"/>
      <c r="AQ753" s="430"/>
      <c r="AR753" s="430"/>
      <c r="AS753" s="430"/>
      <c r="AT753" s="430"/>
      <c r="AU753" s="430"/>
      <c r="AV753" s="430"/>
      <c r="AW753" s="430"/>
      <c r="AX753" s="430"/>
      <c r="AY753" s="430"/>
      <c r="AZ753" s="430"/>
      <c r="BA753" s="430"/>
      <c r="BB753" s="430"/>
      <c r="BC753" s="430"/>
      <c r="BD753" s="430"/>
      <c r="BE753" s="430"/>
    </row>
    <row r="754" spans="1:57" ht="15.75" customHeight="1">
      <c r="A754" s="430"/>
      <c r="B754" s="430"/>
      <c r="C754" s="430"/>
      <c r="D754" s="430"/>
      <c r="E754" s="430"/>
      <c r="F754" s="430"/>
      <c r="G754" s="430"/>
      <c r="H754" s="430"/>
      <c r="I754" s="430"/>
      <c r="J754" s="430"/>
      <c r="K754" s="430"/>
      <c r="L754" s="430"/>
      <c r="M754" s="430"/>
      <c r="N754" s="430"/>
      <c r="O754" s="430"/>
      <c r="P754" s="430"/>
      <c r="Q754" s="430"/>
      <c r="R754" s="430"/>
      <c r="S754" s="430"/>
      <c r="T754" s="430"/>
      <c r="U754" s="430"/>
      <c r="V754" s="430"/>
      <c r="W754" s="430"/>
      <c r="X754" s="430"/>
      <c r="Y754" s="430"/>
      <c r="Z754" s="430"/>
      <c r="AA754" s="430"/>
      <c r="AB754" s="430"/>
      <c r="AC754" s="430"/>
      <c r="AD754" s="430"/>
      <c r="AE754" s="430"/>
      <c r="AF754" s="430"/>
      <c r="AG754" s="430"/>
      <c r="AH754" s="430"/>
      <c r="AI754" s="430"/>
      <c r="AJ754" s="430"/>
      <c r="AK754" s="430"/>
      <c r="AL754" s="430"/>
      <c r="AM754" s="430"/>
      <c r="AN754" s="430"/>
      <c r="AO754" s="430"/>
      <c r="AP754" s="430"/>
      <c r="AQ754" s="430"/>
      <c r="AR754" s="430"/>
      <c r="AS754" s="430"/>
      <c r="AT754" s="430"/>
      <c r="AU754" s="430"/>
      <c r="AV754" s="430"/>
      <c r="AW754" s="430"/>
      <c r="AX754" s="430"/>
      <c r="AY754" s="430"/>
      <c r="AZ754" s="430"/>
      <c r="BA754" s="430"/>
      <c r="BB754" s="430"/>
      <c r="BC754" s="430"/>
      <c r="BD754" s="430"/>
      <c r="BE754" s="430"/>
    </row>
    <row r="755" spans="1:57" ht="15.75" customHeight="1">
      <c r="A755" s="430"/>
      <c r="B755" s="430"/>
      <c r="C755" s="430"/>
      <c r="D755" s="430"/>
      <c r="E755" s="430"/>
      <c r="F755" s="430"/>
      <c r="G755" s="430"/>
      <c r="H755" s="430"/>
      <c r="I755" s="430"/>
      <c r="J755" s="430"/>
      <c r="K755" s="430"/>
      <c r="L755" s="430"/>
      <c r="M755" s="430"/>
      <c r="N755" s="430"/>
      <c r="O755" s="430"/>
      <c r="P755" s="430"/>
      <c r="Q755" s="430"/>
      <c r="R755" s="430"/>
      <c r="S755" s="430"/>
      <c r="T755" s="430"/>
      <c r="U755" s="430"/>
      <c r="V755" s="430"/>
      <c r="W755" s="430"/>
      <c r="X755" s="430"/>
      <c r="Y755" s="430"/>
      <c r="Z755" s="430"/>
      <c r="AA755" s="430"/>
      <c r="AB755" s="430"/>
      <c r="AC755" s="430"/>
      <c r="AD755" s="430"/>
      <c r="AE755" s="430"/>
      <c r="AF755" s="430"/>
      <c r="AG755" s="430"/>
      <c r="AH755" s="430"/>
      <c r="AI755" s="430"/>
      <c r="AJ755" s="430"/>
      <c r="AK755" s="430"/>
      <c r="AL755" s="430"/>
      <c r="AM755" s="430"/>
      <c r="AN755" s="430"/>
      <c r="AO755" s="430"/>
      <c r="AP755" s="430"/>
      <c r="AQ755" s="430"/>
      <c r="AR755" s="430"/>
      <c r="AS755" s="430"/>
      <c r="AT755" s="430"/>
      <c r="AU755" s="430"/>
      <c r="AV755" s="430"/>
      <c r="AW755" s="430"/>
      <c r="AX755" s="430"/>
      <c r="AY755" s="430"/>
      <c r="AZ755" s="430"/>
      <c r="BA755" s="430"/>
      <c r="BB755" s="430"/>
      <c r="BC755" s="430"/>
      <c r="BD755" s="430"/>
      <c r="BE755" s="430"/>
    </row>
    <row r="756" spans="1:57" ht="15.75" customHeight="1">
      <c r="A756" s="430"/>
      <c r="B756" s="430"/>
      <c r="C756" s="430"/>
      <c r="D756" s="430"/>
      <c r="E756" s="430"/>
      <c r="F756" s="430"/>
      <c r="G756" s="430"/>
      <c r="H756" s="430"/>
      <c r="I756" s="430"/>
      <c r="J756" s="430"/>
      <c r="K756" s="430"/>
      <c r="L756" s="430"/>
      <c r="M756" s="430"/>
      <c r="N756" s="430"/>
      <c r="O756" s="430"/>
      <c r="P756" s="430"/>
      <c r="Q756" s="430"/>
      <c r="R756" s="430"/>
      <c r="S756" s="430"/>
      <c r="T756" s="430"/>
      <c r="U756" s="430"/>
      <c r="V756" s="430"/>
      <c r="W756" s="430"/>
      <c r="X756" s="430"/>
      <c r="Y756" s="430"/>
      <c r="Z756" s="430"/>
      <c r="AA756" s="430"/>
      <c r="AB756" s="430"/>
      <c r="AC756" s="430"/>
      <c r="AD756" s="430"/>
      <c r="AE756" s="430"/>
      <c r="AF756" s="430"/>
      <c r="AG756" s="430"/>
      <c r="AH756" s="430"/>
      <c r="AI756" s="430"/>
      <c r="AJ756" s="430"/>
      <c r="AK756" s="430"/>
      <c r="AL756" s="430"/>
      <c r="AM756" s="430"/>
      <c r="AN756" s="430"/>
      <c r="AO756" s="430"/>
      <c r="AP756" s="430"/>
      <c r="AQ756" s="430"/>
      <c r="AR756" s="430"/>
      <c r="AS756" s="430"/>
      <c r="AT756" s="430"/>
      <c r="AU756" s="430"/>
      <c r="AV756" s="430"/>
      <c r="AW756" s="430"/>
      <c r="AX756" s="430"/>
      <c r="AY756" s="430"/>
      <c r="AZ756" s="430"/>
      <c r="BA756" s="430"/>
      <c r="BB756" s="430"/>
      <c r="BC756" s="430"/>
      <c r="BD756" s="430"/>
      <c r="BE756" s="430"/>
    </row>
    <row r="757" spans="1:57" ht="15.75" customHeight="1">
      <c r="A757" s="430"/>
      <c r="B757" s="430"/>
      <c r="C757" s="430"/>
      <c r="D757" s="430"/>
      <c r="E757" s="430"/>
      <c r="F757" s="430"/>
      <c r="G757" s="430"/>
      <c r="H757" s="430"/>
      <c r="I757" s="430"/>
      <c r="J757" s="430"/>
      <c r="K757" s="430"/>
      <c r="L757" s="430"/>
      <c r="M757" s="430"/>
      <c r="N757" s="430"/>
      <c r="O757" s="430"/>
      <c r="P757" s="430"/>
      <c r="Q757" s="430"/>
      <c r="R757" s="430"/>
      <c r="S757" s="430"/>
      <c r="T757" s="430"/>
      <c r="U757" s="430"/>
      <c r="V757" s="430"/>
      <c r="W757" s="430"/>
      <c r="X757" s="430"/>
      <c r="Y757" s="430"/>
      <c r="Z757" s="430"/>
      <c r="AA757" s="430"/>
      <c r="AB757" s="430"/>
      <c r="AC757" s="430"/>
      <c r="AD757" s="430"/>
      <c r="AE757" s="430"/>
      <c r="AF757" s="430"/>
      <c r="AG757" s="430"/>
      <c r="AH757" s="430"/>
      <c r="AI757" s="430"/>
      <c r="AJ757" s="430"/>
      <c r="AK757" s="430"/>
      <c r="AL757" s="430"/>
      <c r="AM757" s="430"/>
      <c r="AN757" s="430"/>
      <c r="AO757" s="430"/>
      <c r="AP757" s="430"/>
      <c r="AQ757" s="430"/>
      <c r="AR757" s="430"/>
      <c r="AS757" s="430"/>
      <c r="AT757" s="430"/>
      <c r="AU757" s="430"/>
      <c r="AV757" s="430"/>
      <c r="AW757" s="430"/>
      <c r="AX757" s="430"/>
      <c r="AY757" s="430"/>
      <c r="AZ757" s="430"/>
      <c r="BA757" s="430"/>
      <c r="BB757" s="430"/>
      <c r="BC757" s="430"/>
      <c r="BD757" s="430"/>
      <c r="BE757" s="430"/>
    </row>
    <row r="758" spans="1:57" ht="15.75" customHeight="1">
      <c r="A758" s="430"/>
      <c r="B758" s="430"/>
      <c r="C758" s="430"/>
      <c r="D758" s="430"/>
      <c r="E758" s="430"/>
      <c r="F758" s="430"/>
      <c r="G758" s="430"/>
      <c r="H758" s="430"/>
      <c r="I758" s="430"/>
      <c r="J758" s="430"/>
      <c r="K758" s="430"/>
      <c r="L758" s="430"/>
      <c r="M758" s="430"/>
      <c r="N758" s="430"/>
      <c r="O758" s="430"/>
      <c r="P758" s="430"/>
      <c r="Q758" s="430"/>
      <c r="R758" s="430"/>
      <c r="S758" s="430"/>
      <c r="T758" s="430"/>
      <c r="U758" s="430"/>
      <c r="V758" s="430"/>
      <c r="W758" s="430"/>
      <c r="X758" s="430"/>
      <c r="Y758" s="430"/>
      <c r="Z758" s="430"/>
      <c r="AA758" s="430"/>
      <c r="AB758" s="430"/>
      <c r="AC758" s="430"/>
      <c r="AD758" s="430"/>
      <c r="AE758" s="430"/>
      <c r="AF758" s="430"/>
      <c r="AG758" s="430"/>
      <c r="AH758" s="430"/>
      <c r="AI758" s="430"/>
      <c r="AJ758" s="430"/>
      <c r="AK758" s="430"/>
      <c r="AL758" s="430"/>
      <c r="AM758" s="430"/>
      <c r="AN758" s="430"/>
      <c r="AO758" s="430"/>
      <c r="AP758" s="430"/>
      <c r="AQ758" s="430"/>
      <c r="AR758" s="430"/>
      <c r="AS758" s="430"/>
      <c r="AT758" s="430"/>
      <c r="AU758" s="430"/>
      <c r="AV758" s="430"/>
      <c r="AW758" s="430"/>
      <c r="AX758" s="430"/>
      <c r="AY758" s="430"/>
      <c r="AZ758" s="430"/>
      <c r="BA758" s="430"/>
      <c r="BB758" s="430"/>
      <c r="BC758" s="430"/>
      <c r="BD758" s="430"/>
      <c r="BE758" s="430"/>
    </row>
    <row r="759" spans="1:57" ht="15.75" customHeight="1">
      <c r="A759" s="430"/>
      <c r="B759" s="430"/>
      <c r="C759" s="430"/>
      <c r="D759" s="430"/>
      <c r="E759" s="430"/>
      <c r="F759" s="430"/>
      <c r="G759" s="430"/>
      <c r="H759" s="430"/>
      <c r="I759" s="430"/>
      <c r="J759" s="430"/>
      <c r="K759" s="430"/>
      <c r="L759" s="430"/>
      <c r="M759" s="430"/>
      <c r="N759" s="430"/>
      <c r="O759" s="430"/>
      <c r="P759" s="430"/>
      <c r="Q759" s="430"/>
      <c r="R759" s="430"/>
      <c r="S759" s="430"/>
      <c r="T759" s="430"/>
      <c r="U759" s="430"/>
      <c r="V759" s="430"/>
      <c r="W759" s="430"/>
      <c r="X759" s="430"/>
      <c r="Y759" s="430"/>
      <c r="Z759" s="430"/>
      <c r="AA759" s="430"/>
      <c r="AB759" s="430"/>
      <c r="AC759" s="430"/>
      <c r="AD759" s="430"/>
      <c r="AE759" s="430"/>
      <c r="AF759" s="430"/>
      <c r="AG759" s="430"/>
      <c r="AH759" s="430"/>
      <c r="AI759" s="430"/>
      <c r="AJ759" s="430"/>
      <c r="AK759" s="430"/>
      <c r="AL759" s="430"/>
      <c r="AM759" s="430"/>
      <c r="AN759" s="430"/>
      <c r="AO759" s="430"/>
      <c r="AP759" s="430"/>
      <c r="AQ759" s="430"/>
      <c r="AR759" s="430"/>
      <c r="AS759" s="430"/>
      <c r="AT759" s="430"/>
      <c r="AU759" s="430"/>
      <c r="AV759" s="430"/>
      <c r="AW759" s="430"/>
      <c r="AX759" s="430"/>
      <c r="AY759" s="430"/>
      <c r="AZ759" s="430"/>
      <c r="BA759" s="430"/>
      <c r="BB759" s="430"/>
      <c r="BC759" s="430"/>
      <c r="BD759" s="430"/>
      <c r="BE759" s="430"/>
    </row>
    <row r="760" spans="1:57" ht="15.75" customHeight="1">
      <c r="A760" s="430"/>
      <c r="B760" s="430"/>
      <c r="C760" s="430"/>
      <c r="D760" s="430"/>
      <c r="E760" s="430"/>
      <c r="F760" s="430"/>
      <c r="G760" s="430"/>
      <c r="H760" s="430"/>
      <c r="I760" s="430"/>
      <c r="J760" s="430"/>
      <c r="K760" s="430"/>
      <c r="L760" s="430"/>
      <c r="M760" s="430"/>
      <c r="N760" s="430"/>
      <c r="O760" s="430"/>
      <c r="P760" s="430"/>
      <c r="Q760" s="430"/>
      <c r="R760" s="430"/>
      <c r="S760" s="430"/>
      <c r="T760" s="430"/>
      <c r="U760" s="430"/>
      <c r="V760" s="430"/>
      <c r="W760" s="430"/>
      <c r="X760" s="430"/>
      <c r="Y760" s="430"/>
      <c r="Z760" s="430"/>
      <c r="AA760" s="430"/>
      <c r="AB760" s="430"/>
      <c r="AC760" s="430"/>
      <c r="AD760" s="430"/>
      <c r="AE760" s="430"/>
      <c r="AF760" s="430"/>
      <c r="AG760" s="430"/>
      <c r="AH760" s="430"/>
      <c r="AI760" s="430"/>
      <c r="AJ760" s="430"/>
      <c r="AK760" s="430"/>
      <c r="AL760" s="430"/>
      <c r="AM760" s="430"/>
      <c r="AN760" s="430"/>
      <c r="AO760" s="430"/>
      <c r="AP760" s="430"/>
      <c r="AQ760" s="430"/>
      <c r="AR760" s="430"/>
      <c r="AS760" s="430"/>
      <c r="AT760" s="430"/>
      <c r="AU760" s="430"/>
      <c r="AV760" s="430"/>
      <c r="AW760" s="430"/>
      <c r="AX760" s="430"/>
      <c r="AY760" s="430"/>
      <c r="AZ760" s="430"/>
      <c r="BA760" s="430"/>
      <c r="BB760" s="430"/>
      <c r="BC760" s="430"/>
      <c r="BD760" s="430"/>
      <c r="BE760" s="430"/>
    </row>
    <row r="761" spans="1:57" ht="15.75" customHeight="1">
      <c r="A761" s="430"/>
      <c r="B761" s="430"/>
      <c r="C761" s="430"/>
      <c r="D761" s="430"/>
      <c r="E761" s="430"/>
      <c r="F761" s="430"/>
      <c r="G761" s="430"/>
      <c r="H761" s="430"/>
      <c r="I761" s="430"/>
      <c r="J761" s="430"/>
      <c r="K761" s="430"/>
      <c r="L761" s="430"/>
      <c r="M761" s="430"/>
      <c r="N761" s="430"/>
      <c r="O761" s="430"/>
      <c r="P761" s="430"/>
      <c r="Q761" s="430"/>
      <c r="R761" s="430"/>
      <c r="S761" s="430"/>
      <c r="T761" s="430"/>
      <c r="U761" s="430"/>
      <c r="V761" s="430"/>
      <c r="W761" s="430"/>
      <c r="X761" s="430"/>
      <c r="Y761" s="430"/>
      <c r="Z761" s="430"/>
      <c r="AA761" s="430"/>
      <c r="AB761" s="430"/>
      <c r="AC761" s="430"/>
      <c r="AD761" s="430"/>
      <c r="AE761" s="430"/>
      <c r="AF761" s="430"/>
      <c r="AG761" s="430"/>
      <c r="AH761" s="430"/>
      <c r="AI761" s="430"/>
      <c r="AJ761" s="430"/>
      <c r="AK761" s="430"/>
      <c r="AL761" s="430"/>
      <c r="AM761" s="430"/>
      <c r="AN761" s="430"/>
      <c r="AO761" s="430"/>
      <c r="AP761" s="430"/>
      <c r="AQ761" s="430"/>
      <c r="AR761" s="430"/>
      <c r="AS761" s="430"/>
      <c r="AT761" s="430"/>
      <c r="AU761" s="430"/>
      <c r="AV761" s="430"/>
      <c r="AW761" s="430"/>
      <c r="AX761" s="430"/>
      <c r="AY761" s="430"/>
      <c r="AZ761" s="430"/>
      <c r="BA761" s="430"/>
      <c r="BB761" s="430"/>
      <c r="BC761" s="430"/>
      <c r="BD761" s="430"/>
      <c r="BE761" s="430"/>
    </row>
    <row r="762" spans="1:57" ht="15.75" customHeight="1">
      <c r="A762" s="430"/>
      <c r="B762" s="430"/>
      <c r="C762" s="430"/>
      <c r="D762" s="430"/>
      <c r="E762" s="430"/>
      <c r="F762" s="430"/>
      <c r="G762" s="430"/>
      <c r="H762" s="430"/>
      <c r="I762" s="430"/>
      <c r="J762" s="430"/>
      <c r="K762" s="430"/>
      <c r="L762" s="430"/>
      <c r="M762" s="430"/>
      <c r="N762" s="430"/>
      <c r="O762" s="430"/>
      <c r="P762" s="430"/>
      <c r="Q762" s="430"/>
      <c r="R762" s="430"/>
      <c r="S762" s="430"/>
      <c r="T762" s="430"/>
      <c r="U762" s="430"/>
      <c r="V762" s="430"/>
      <c r="W762" s="430"/>
      <c r="X762" s="430"/>
      <c r="Y762" s="430"/>
      <c r="Z762" s="430"/>
      <c r="AA762" s="430"/>
      <c r="AB762" s="430"/>
      <c r="AC762" s="430"/>
      <c r="AD762" s="430"/>
      <c r="AE762" s="430"/>
      <c r="AF762" s="430"/>
      <c r="AG762" s="430"/>
      <c r="AH762" s="430"/>
      <c r="AI762" s="430"/>
      <c r="AJ762" s="430"/>
      <c r="AK762" s="430"/>
      <c r="AL762" s="430"/>
      <c r="AM762" s="430"/>
      <c r="AN762" s="430"/>
      <c r="AO762" s="430"/>
      <c r="AP762" s="430"/>
      <c r="AQ762" s="430"/>
      <c r="AR762" s="430"/>
      <c r="AS762" s="430"/>
      <c r="AT762" s="430"/>
      <c r="AU762" s="430"/>
      <c r="AV762" s="430"/>
      <c r="AW762" s="430"/>
      <c r="AX762" s="430"/>
      <c r="AY762" s="430"/>
      <c r="AZ762" s="430"/>
      <c r="BA762" s="430"/>
      <c r="BB762" s="430"/>
      <c r="BC762" s="430"/>
      <c r="BD762" s="430"/>
      <c r="BE762" s="430"/>
    </row>
    <row r="763" spans="1:57" ht="15.75" customHeight="1">
      <c r="A763" s="430"/>
      <c r="B763" s="430"/>
      <c r="C763" s="430"/>
      <c r="D763" s="430"/>
      <c r="E763" s="430"/>
      <c r="F763" s="430"/>
      <c r="G763" s="430"/>
      <c r="H763" s="430"/>
      <c r="I763" s="430"/>
      <c r="J763" s="430"/>
      <c r="K763" s="430"/>
      <c r="L763" s="430"/>
      <c r="M763" s="430"/>
      <c r="N763" s="430"/>
      <c r="O763" s="430"/>
      <c r="P763" s="430"/>
      <c r="Q763" s="430"/>
      <c r="R763" s="430"/>
      <c r="S763" s="430"/>
      <c r="T763" s="430"/>
      <c r="U763" s="430"/>
      <c r="V763" s="430"/>
      <c r="W763" s="430"/>
      <c r="X763" s="430"/>
      <c r="Y763" s="430"/>
      <c r="Z763" s="430"/>
      <c r="AA763" s="430"/>
      <c r="AB763" s="430"/>
      <c r="AC763" s="430"/>
      <c r="AD763" s="430"/>
      <c r="AE763" s="430"/>
      <c r="AF763" s="430"/>
      <c r="AG763" s="430"/>
      <c r="AH763" s="430"/>
      <c r="AI763" s="430"/>
      <c r="AJ763" s="430"/>
      <c r="AK763" s="430"/>
      <c r="AL763" s="430"/>
      <c r="AM763" s="430"/>
      <c r="AN763" s="430"/>
      <c r="AO763" s="430"/>
      <c r="AP763" s="430"/>
      <c r="AQ763" s="430"/>
      <c r="AR763" s="430"/>
      <c r="AS763" s="430"/>
      <c r="AT763" s="430"/>
      <c r="AU763" s="430"/>
      <c r="AV763" s="430"/>
      <c r="AW763" s="430"/>
      <c r="AX763" s="430"/>
      <c r="AY763" s="430"/>
      <c r="AZ763" s="430"/>
      <c r="BA763" s="430"/>
      <c r="BB763" s="430"/>
      <c r="BC763" s="430"/>
      <c r="BD763" s="430"/>
      <c r="BE763" s="430"/>
    </row>
    <row r="764" spans="1:57" ht="15.75" customHeight="1">
      <c r="A764" s="430"/>
      <c r="B764" s="430"/>
      <c r="C764" s="430"/>
      <c r="D764" s="430"/>
      <c r="E764" s="430"/>
      <c r="F764" s="430"/>
      <c r="G764" s="430"/>
      <c r="H764" s="430"/>
      <c r="I764" s="430"/>
      <c r="J764" s="430"/>
      <c r="K764" s="430"/>
      <c r="L764" s="430"/>
      <c r="M764" s="430"/>
      <c r="N764" s="430"/>
      <c r="O764" s="430"/>
      <c r="P764" s="430"/>
      <c r="Q764" s="430"/>
      <c r="R764" s="430"/>
      <c r="S764" s="430"/>
      <c r="T764" s="430"/>
      <c r="U764" s="430"/>
      <c r="V764" s="430"/>
      <c r="W764" s="430"/>
      <c r="X764" s="430"/>
      <c r="Y764" s="430"/>
      <c r="Z764" s="430"/>
      <c r="AA764" s="430"/>
      <c r="AB764" s="430"/>
      <c r="AC764" s="430"/>
      <c r="AD764" s="430"/>
      <c r="AE764" s="430"/>
      <c r="AF764" s="430"/>
      <c r="AG764" s="430"/>
      <c r="AH764" s="430"/>
      <c r="AI764" s="430"/>
      <c r="AJ764" s="430"/>
      <c r="AK764" s="430"/>
      <c r="AL764" s="430"/>
      <c r="AM764" s="430"/>
      <c r="AN764" s="430"/>
      <c r="AO764" s="430"/>
      <c r="AP764" s="430"/>
      <c r="AQ764" s="430"/>
      <c r="AR764" s="430"/>
      <c r="AS764" s="430"/>
      <c r="AT764" s="430"/>
      <c r="AU764" s="430"/>
      <c r="AV764" s="430"/>
      <c r="AW764" s="430"/>
      <c r="AX764" s="430"/>
      <c r="AY764" s="430"/>
      <c r="AZ764" s="430"/>
      <c r="BA764" s="430"/>
      <c r="BB764" s="430"/>
      <c r="BC764" s="430"/>
      <c r="BD764" s="430"/>
      <c r="BE764" s="430"/>
    </row>
    <row r="765" spans="1:57" ht="15.75" customHeight="1">
      <c r="A765" s="430"/>
      <c r="B765" s="430"/>
      <c r="C765" s="430"/>
      <c r="D765" s="430"/>
      <c r="E765" s="430"/>
      <c r="F765" s="430"/>
      <c r="G765" s="430"/>
      <c r="H765" s="430"/>
      <c r="I765" s="430"/>
      <c r="J765" s="430"/>
      <c r="K765" s="430"/>
      <c r="L765" s="430"/>
      <c r="M765" s="430"/>
      <c r="N765" s="430"/>
      <c r="O765" s="430"/>
      <c r="P765" s="430"/>
      <c r="Q765" s="430"/>
      <c r="R765" s="430"/>
      <c r="S765" s="430"/>
      <c r="T765" s="430"/>
      <c r="U765" s="430"/>
      <c r="V765" s="430"/>
      <c r="W765" s="430"/>
      <c r="X765" s="430"/>
      <c r="Y765" s="430"/>
      <c r="Z765" s="430"/>
      <c r="AA765" s="430"/>
      <c r="AB765" s="430"/>
      <c r="AC765" s="430"/>
      <c r="AD765" s="430"/>
      <c r="AE765" s="430"/>
      <c r="AF765" s="430"/>
      <c r="AG765" s="430"/>
      <c r="AH765" s="430"/>
      <c r="AI765" s="430"/>
      <c r="AJ765" s="430"/>
      <c r="AK765" s="430"/>
      <c r="AL765" s="430"/>
      <c r="AM765" s="430"/>
      <c r="AN765" s="430"/>
      <c r="AO765" s="430"/>
      <c r="AP765" s="430"/>
      <c r="AQ765" s="430"/>
      <c r="AR765" s="430"/>
      <c r="AS765" s="430"/>
      <c r="AT765" s="430"/>
      <c r="AU765" s="430"/>
      <c r="AV765" s="430"/>
      <c r="AW765" s="430"/>
      <c r="AX765" s="430"/>
      <c r="AY765" s="430"/>
      <c r="AZ765" s="430"/>
      <c r="BA765" s="430"/>
      <c r="BB765" s="430"/>
      <c r="BC765" s="430"/>
      <c r="BD765" s="430"/>
      <c r="BE765" s="430"/>
    </row>
    <row r="766" spans="1:57" ht="15.75" customHeight="1">
      <c r="A766" s="430"/>
      <c r="B766" s="430"/>
      <c r="C766" s="430"/>
      <c r="D766" s="430"/>
      <c r="E766" s="430"/>
      <c r="F766" s="430"/>
      <c r="G766" s="430"/>
      <c r="H766" s="430"/>
      <c r="I766" s="430"/>
      <c r="J766" s="430"/>
      <c r="K766" s="430"/>
      <c r="L766" s="430"/>
      <c r="M766" s="430"/>
      <c r="N766" s="430"/>
      <c r="O766" s="430"/>
      <c r="P766" s="430"/>
      <c r="Q766" s="430"/>
      <c r="R766" s="430"/>
      <c r="S766" s="430"/>
      <c r="T766" s="430"/>
      <c r="U766" s="430"/>
      <c r="V766" s="430"/>
      <c r="W766" s="430"/>
      <c r="X766" s="430"/>
      <c r="Y766" s="430"/>
      <c r="Z766" s="430"/>
      <c r="AA766" s="430"/>
      <c r="AB766" s="430"/>
      <c r="AC766" s="430"/>
      <c r="AD766" s="430"/>
      <c r="AE766" s="430"/>
      <c r="AF766" s="430"/>
      <c r="AG766" s="430"/>
      <c r="AH766" s="430"/>
      <c r="AI766" s="430"/>
      <c r="AJ766" s="430"/>
      <c r="AK766" s="430"/>
      <c r="AL766" s="430"/>
      <c r="AM766" s="430"/>
      <c r="AN766" s="430"/>
      <c r="AO766" s="430"/>
      <c r="AP766" s="430"/>
      <c r="AQ766" s="430"/>
      <c r="AR766" s="430"/>
      <c r="AS766" s="430"/>
      <c r="AT766" s="430"/>
      <c r="AU766" s="430"/>
      <c r="AV766" s="430"/>
      <c r="AW766" s="430"/>
      <c r="AX766" s="430"/>
      <c r="AY766" s="430"/>
      <c r="AZ766" s="430"/>
      <c r="BA766" s="430"/>
      <c r="BB766" s="430"/>
      <c r="BC766" s="430"/>
      <c r="BD766" s="430"/>
      <c r="BE766" s="430"/>
    </row>
    <row r="767" spans="1:57" ht="15.75" customHeight="1">
      <c r="A767" s="430"/>
      <c r="B767" s="430"/>
      <c r="C767" s="430"/>
      <c r="D767" s="430"/>
      <c r="E767" s="430"/>
      <c r="F767" s="430"/>
      <c r="G767" s="430"/>
      <c r="H767" s="430"/>
      <c r="I767" s="430"/>
      <c r="J767" s="430"/>
      <c r="K767" s="430"/>
      <c r="L767" s="430"/>
      <c r="M767" s="430"/>
      <c r="N767" s="430"/>
      <c r="O767" s="430"/>
      <c r="P767" s="430"/>
      <c r="Q767" s="430"/>
      <c r="R767" s="430"/>
      <c r="S767" s="430"/>
      <c r="T767" s="430"/>
      <c r="U767" s="430"/>
      <c r="V767" s="430"/>
      <c r="W767" s="430"/>
      <c r="X767" s="430"/>
      <c r="Y767" s="430"/>
      <c r="Z767" s="430"/>
      <c r="AA767" s="430"/>
      <c r="AB767" s="430"/>
      <c r="AC767" s="430"/>
      <c r="AD767" s="430"/>
      <c r="AE767" s="430"/>
      <c r="AF767" s="430"/>
      <c r="AG767" s="430"/>
      <c r="AH767" s="430"/>
      <c r="AI767" s="430"/>
      <c r="AJ767" s="430"/>
      <c r="AK767" s="430"/>
      <c r="AL767" s="430"/>
      <c r="AM767" s="430"/>
      <c r="AN767" s="430"/>
      <c r="AO767" s="430"/>
      <c r="AP767" s="430"/>
      <c r="AQ767" s="430"/>
      <c r="AR767" s="430"/>
      <c r="AS767" s="430"/>
      <c r="AT767" s="430"/>
      <c r="AU767" s="430"/>
      <c r="AV767" s="430"/>
      <c r="AW767" s="430"/>
      <c r="AX767" s="430"/>
      <c r="AY767" s="430"/>
      <c r="AZ767" s="430"/>
      <c r="BA767" s="430"/>
      <c r="BB767" s="430"/>
      <c r="BC767" s="430"/>
      <c r="BD767" s="430"/>
      <c r="BE767" s="430"/>
    </row>
    <row r="768" spans="1:57" ht="15.75" customHeight="1">
      <c r="A768" s="430"/>
      <c r="B768" s="430"/>
      <c r="C768" s="430"/>
      <c r="D768" s="430"/>
      <c r="E768" s="430"/>
      <c r="F768" s="430"/>
      <c r="G768" s="430"/>
      <c r="H768" s="430"/>
      <c r="I768" s="430"/>
      <c r="J768" s="430"/>
      <c r="K768" s="430"/>
      <c r="L768" s="430"/>
      <c r="M768" s="430"/>
      <c r="N768" s="430"/>
      <c r="O768" s="430"/>
      <c r="P768" s="430"/>
      <c r="Q768" s="430"/>
      <c r="R768" s="430"/>
      <c r="S768" s="430"/>
      <c r="T768" s="430"/>
      <c r="U768" s="430"/>
      <c r="V768" s="430"/>
      <c r="W768" s="430"/>
      <c r="X768" s="430"/>
      <c r="Y768" s="430"/>
      <c r="Z768" s="430"/>
      <c r="AA768" s="430"/>
      <c r="AB768" s="430"/>
      <c r="AC768" s="430"/>
      <c r="AD768" s="430"/>
      <c r="AE768" s="430"/>
      <c r="AF768" s="430"/>
      <c r="AG768" s="430"/>
      <c r="AH768" s="430"/>
      <c r="AI768" s="430"/>
      <c r="AJ768" s="430"/>
      <c r="AK768" s="430"/>
      <c r="AL768" s="430"/>
      <c r="AM768" s="430"/>
      <c r="AN768" s="430"/>
      <c r="AO768" s="430"/>
      <c r="AP768" s="430"/>
      <c r="AQ768" s="430"/>
      <c r="AR768" s="430"/>
      <c r="AS768" s="430"/>
      <c r="AT768" s="430"/>
      <c r="AU768" s="430"/>
      <c r="AV768" s="430"/>
      <c r="AW768" s="430"/>
      <c r="AX768" s="430"/>
      <c r="AY768" s="430"/>
      <c r="AZ768" s="430"/>
      <c r="BA768" s="430"/>
      <c r="BB768" s="430"/>
      <c r="BC768" s="430"/>
      <c r="BD768" s="430"/>
      <c r="BE768" s="430"/>
    </row>
    <row r="769" spans="1:57" ht="15.75" customHeight="1">
      <c r="A769" s="430"/>
      <c r="B769" s="430"/>
      <c r="C769" s="430"/>
      <c r="D769" s="430"/>
      <c r="E769" s="430"/>
      <c r="F769" s="430"/>
      <c r="G769" s="430"/>
      <c r="H769" s="430"/>
      <c r="I769" s="430"/>
      <c r="J769" s="430"/>
      <c r="K769" s="430"/>
      <c r="L769" s="430"/>
      <c r="M769" s="430"/>
      <c r="N769" s="430"/>
      <c r="O769" s="430"/>
      <c r="P769" s="430"/>
      <c r="Q769" s="430"/>
      <c r="R769" s="430"/>
      <c r="S769" s="430"/>
      <c r="T769" s="430"/>
      <c r="U769" s="430"/>
      <c r="V769" s="430"/>
      <c r="W769" s="430"/>
      <c r="X769" s="430"/>
      <c r="Y769" s="430"/>
      <c r="Z769" s="430"/>
      <c r="AA769" s="430"/>
      <c r="AB769" s="430"/>
      <c r="AC769" s="430"/>
      <c r="AD769" s="430"/>
      <c r="AE769" s="430"/>
      <c r="AF769" s="430"/>
      <c r="AG769" s="430"/>
      <c r="AH769" s="430"/>
      <c r="AI769" s="430"/>
      <c r="AJ769" s="430"/>
      <c r="AK769" s="430"/>
      <c r="AL769" s="430"/>
      <c r="AM769" s="430"/>
      <c r="AN769" s="430"/>
      <c r="AO769" s="430"/>
      <c r="AP769" s="430"/>
      <c r="AQ769" s="430"/>
      <c r="AR769" s="430"/>
      <c r="AS769" s="430"/>
      <c r="AT769" s="430"/>
      <c r="AU769" s="430"/>
      <c r="AV769" s="430"/>
      <c r="AW769" s="430"/>
      <c r="AX769" s="430"/>
      <c r="AY769" s="430"/>
      <c r="AZ769" s="430"/>
      <c r="BA769" s="430"/>
      <c r="BB769" s="430"/>
      <c r="BC769" s="430"/>
      <c r="BD769" s="430"/>
      <c r="BE769" s="430"/>
    </row>
    <row r="770" spans="1:57" ht="15.75" customHeight="1">
      <c r="A770" s="430"/>
      <c r="B770" s="430"/>
      <c r="C770" s="430"/>
      <c r="D770" s="430"/>
      <c r="E770" s="430"/>
      <c r="F770" s="430"/>
      <c r="G770" s="430"/>
      <c r="H770" s="430"/>
      <c r="I770" s="430"/>
      <c r="J770" s="430"/>
      <c r="K770" s="430"/>
      <c r="L770" s="430"/>
      <c r="M770" s="430"/>
      <c r="N770" s="430"/>
      <c r="O770" s="430"/>
      <c r="P770" s="430"/>
      <c r="Q770" s="430"/>
      <c r="R770" s="430"/>
      <c r="S770" s="430"/>
      <c r="T770" s="430"/>
      <c r="U770" s="430"/>
      <c r="V770" s="430"/>
      <c r="W770" s="430"/>
      <c r="X770" s="430"/>
      <c r="Y770" s="430"/>
      <c r="Z770" s="430"/>
      <c r="AA770" s="430"/>
      <c r="AB770" s="430"/>
      <c r="AC770" s="430"/>
      <c r="AD770" s="430"/>
      <c r="AE770" s="430"/>
      <c r="AF770" s="430"/>
      <c r="AG770" s="430"/>
      <c r="AH770" s="430"/>
      <c r="AI770" s="430"/>
      <c r="AJ770" s="430"/>
      <c r="AK770" s="430"/>
      <c r="AL770" s="430"/>
      <c r="AM770" s="430"/>
      <c r="AN770" s="430"/>
      <c r="AO770" s="430"/>
      <c r="AP770" s="430"/>
      <c r="AQ770" s="430"/>
      <c r="AR770" s="430"/>
      <c r="AS770" s="430"/>
      <c r="AT770" s="430"/>
      <c r="AU770" s="430"/>
      <c r="AV770" s="430"/>
      <c r="AW770" s="430"/>
      <c r="AX770" s="430"/>
      <c r="AY770" s="430"/>
      <c r="AZ770" s="430"/>
      <c r="BA770" s="430"/>
      <c r="BB770" s="430"/>
      <c r="BC770" s="430"/>
      <c r="BD770" s="430"/>
      <c r="BE770" s="430"/>
    </row>
    <row r="771" spans="1:57" ht="15.75" customHeight="1">
      <c r="A771" s="430"/>
      <c r="B771" s="430"/>
      <c r="C771" s="430"/>
      <c r="D771" s="430"/>
      <c r="E771" s="430"/>
      <c r="F771" s="430"/>
      <c r="G771" s="430"/>
      <c r="H771" s="430"/>
      <c r="I771" s="430"/>
      <c r="J771" s="430"/>
      <c r="K771" s="430"/>
      <c r="L771" s="430"/>
      <c r="M771" s="430"/>
      <c r="N771" s="430"/>
      <c r="O771" s="430"/>
      <c r="P771" s="430"/>
      <c r="Q771" s="430"/>
      <c r="R771" s="430"/>
      <c r="S771" s="430"/>
      <c r="T771" s="430"/>
      <c r="U771" s="430"/>
      <c r="V771" s="430"/>
      <c r="W771" s="430"/>
      <c r="X771" s="430"/>
      <c r="Y771" s="430"/>
      <c r="Z771" s="430"/>
      <c r="AA771" s="430"/>
      <c r="AB771" s="430"/>
      <c r="AC771" s="430"/>
      <c r="AD771" s="430"/>
      <c r="AE771" s="430"/>
      <c r="AF771" s="430"/>
      <c r="AG771" s="430"/>
      <c r="AH771" s="430"/>
      <c r="AI771" s="430"/>
      <c r="AJ771" s="430"/>
      <c r="AK771" s="430"/>
      <c r="AL771" s="430"/>
      <c r="AM771" s="430"/>
      <c r="AN771" s="430"/>
      <c r="AO771" s="430"/>
      <c r="AP771" s="430"/>
      <c r="AQ771" s="430"/>
      <c r="AR771" s="430"/>
      <c r="AS771" s="430"/>
      <c r="AT771" s="430"/>
      <c r="AU771" s="430"/>
      <c r="AV771" s="430"/>
      <c r="AW771" s="430"/>
      <c r="AX771" s="430"/>
      <c r="AY771" s="430"/>
      <c r="AZ771" s="430"/>
      <c r="BA771" s="430"/>
      <c r="BB771" s="430"/>
      <c r="BC771" s="430"/>
      <c r="BD771" s="430"/>
      <c r="BE771" s="430"/>
    </row>
    <row r="772" spans="1:57" ht="15.75" customHeight="1">
      <c r="A772" s="430"/>
      <c r="B772" s="430"/>
      <c r="C772" s="430"/>
      <c r="D772" s="430"/>
      <c r="E772" s="430"/>
      <c r="F772" s="430"/>
      <c r="G772" s="430"/>
      <c r="H772" s="430"/>
      <c r="I772" s="430"/>
      <c r="J772" s="430"/>
      <c r="K772" s="430"/>
      <c r="L772" s="430"/>
      <c r="M772" s="430"/>
      <c r="N772" s="430"/>
      <c r="O772" s="430"/>
      <c r="P772" s="430"/>
      <c r="Q772" s="430"/>
      <c r="R772" s="430"/>
      <c r="S772" s="430"/>
      <c r="T772" s="430"/>
      <c r="U772" s="430"/>
      <c r="V772" s="430"/>
      <c r="W772" s="430"/>
      <c r="X772" s="430"/>
      <c r="Y772" s="430"/>
      <c r="Z772" s="430"/>
      <c r="AA772" s="430"/>
      <c r="AB772" s="430"/>
      <c r="AC772" s="430"/>
      <c r="AD772" s="430"/>
      <c r="AE772" s="430"/>
      <c r="AF772" s="430"/>
      <c r="AG772" s="430"/>
      <c r="AH772" s="430"/>
      <c r="AI772" s="430"/>
      <c r="AJ772" s="430"/>
      <c r="AK772" s="430"/>
      <c r="AL772" s="430"/>
      <c r="AM772" s="430"/>
      <c r="AN772" s="430"/>
      <c r="AO772" s="430"/>
      <c r="AP772" s="430"/>
      <c r="AQ772" s="430"/>
      <c r="AR772" s="430"/>
      <c r="AS772" s="430"/>
      <c r="AT772" s="430"/>
      <c r="AU772" s="430"/>
      <c r="AV772" s="430"/>
      <c r="AW772" s="430"/>
      <c r="AX772" s="430"/>
      <c r="AY772" s="430"/>
      <c r="AZ772" s="430"/>
      <c r="BA772" s="430"/>
      <c r="BB772" s="430"/>
      <c r="BC772" s="430"/>
      <c r="BD772" s="430"/>
      <c r="BE772" s="430"/>
    </row>
    <row r="773" spans="1:57" ht="15.75" customHeight="1">
      <c r="A773" s="430"/>
      <c r="B773" s="430"/>
      <c r="C773" s="430"/>
      <c r="D773" s="430"/>
      <c r="E773" s="430"/>
      <c r="F773" s="430"/>
      <c r="G773" s="430"/>
      <c r="H773" s="430"/>
      <c r="I773" s="430"/>
      <c r="J773" s="430"/>
      <c r="K773" s="430"/>
      <c r="L773" s="430"/>
      <c r="M773" s="430"/>
      <c r="N773" s="430"/>
      <c r="O773" s="430"/>
      <c r="P773" s="430"/>
      <c r="Q773" s="430"/>
      <c r="R773" s="430"/>
      <c r="S773" s="430"/>
      <c r="T773" s="430"/>
      <c r="U773" s="430"/>
      <c r="V773" s="430"/>
      <c r="W773" s="430"/>
      <c r="X773" s="430"/>
      <c r="Y773" s="430"/>
      <c r="Z773" s="430"/>
      <c r="AA773" s="430"/>
      <c r="AB773" s="430"/>
      <c r="AC773" s="430"/>
      <c r="AD773" s="430"/>
      <c r="AE773" s="430"/>
      <c r="AF773" s="430"/>
      <c r="AG773" s="430"/>
      <c r="AH773" s="430"/>
      <c r="AI773" s="430"/>
      <c r="AJ773" s="430"/>
      <c r="AK773" s="430"/>
      <c r="AL773" s="430"/>
      <c r="AM773" s="430"/>
      <c r="AN773" s="430"/>
      <c r="AO773" s="430"/>
      <c r="AP773" s="430"/>
      <c r="AQ773" s="430"/>
      <c r="AR773" s="430"/>
      <c r="AS773" s="430"/>
      <c r="AT773" s="430"/>
      <c r="AU773" s="430"/>
      <c r="AV773" s="430"/>
      <c r="AW773" s="430"/>
      <c r="AX773" s="430"/>
      <c r="AY773" s="430"/>
      <c r="AZ773" s="430"/>
      <c r="BA773" s="430"/>
      <c r="BB773" s="430"/>
      <c r="BC773" s="430"/>
      <c r="BD773" s="430"/>
      <c r="BE773" s="430"/>
    </row>
    <row r="774" spans="1:57" ht="15.75" customHeight="1">
      <c r="A774" s="430"/>
      <c r="B774" s="430"/>
      <c r="C774" s="430"/>
      <c r="D774" s="430"/>
      <c r="E774" s="430"/>
      <c r="F774" s="430"/>
      <c r="G774" s="430"/>
      <c r="H774" s="430"/>
      <c r="I774" s="430"/>
      <c r="J774" s="430"/>
      <c r="K774" s="430"/>
      <c r="L774" s="430"/>
      <c r="M774" s="430"/>
      <c r="N774" s="430"/>
      <c r="O774" s="430"/>
      <c r="P774" s="430"/>
      <c r="Q774" s="430"/>
      <c r="R774" s="430"/>
      <c r="S774" s="430"/>
      <c r="T774" s="430"/>
      <c r="U774" s="430"/>
      <c r="V774" s="430"/>
      <c r="W774" s="430"/>
      <c r="X774" s="430"/>
      <c r="Y774" s="430"/>
      <c r="Z774" s="430"/>
      <c r="AA774" s="430"/>
      <c r="AB774" s="430"/>
      <c r="AC774" s="430"/>
      <c r="AD774" s="430"/>
      <c r="AE774" s="430"/>
      <c r="AF774" s="430"/>
      <c r="AG774" s="430"/>
      <c r="AH774" s="430"/>
      <c r="AI774" s="430"/>
      <c r="AJ774" s="430"/>
      <c r="AK774" s="430"/>
      <c r="AL774" s="430"/>
      <c r="AM774" s="430"/>
      <c r="AN774" s="430"/>
      <c r="AO774" s="430"/>
      <c r="AP774" s="430"/>
      <c r="AQ774" s="430"/>
      <c r="AR774" s="430"/>
      <c r="AS774" s="430"/>
      <c r="AT774" s="430"/>
      <c r="AU774" s="430"/>
      <c r="AV774" s="430"/>
      <c r="AW774" s="430"/>
      <c r="AX774" s="430"/>
      <c r="AY774" s="430"/>
      <c r="AZ774" s="430"/>
      <c r="BA774" s="430"/>
      <c r="BB774" s="430"/>
      <c r="BC774" s="430"/>
      <c r="BD774" s="430"/>
      <c r="BE774" s="430"/>
    </row>
    <row r="775" spans="1:57" ht="15.75" customHeight="1">
      <c r="A775" s="430"/>
      <c r="B775" s="430"/>
      <c r="C775" s="430"/>
      <c r="D775" s="430"/>
      <c r="E775" s="430"/>
      <c r="F775" s="430"/>
      <c r="G775" s="430"/>
      <c r="H775" s="430"/>
      <c r="I775" s="430"/>
      <c r="J775" s="430"/>
      <c r="K775" s="430"/>
      <c r="L775" s="430"/>
      <c r="M775" s="430"/>
      <c r="N775" s="430"/>
      <c r="O775" s="430"/>
      <c r="P775" s="430"/>
      <c r="Q775" s="430"/>
      <c r="R775" s="430"/>
      <c r="S775" s="430"/>
      <c r="T775" s="430"/>
      <c r="U775" s="430"/>
      <c r="V775" s="430"/>
      <c r="W775" s="430"/>
      <c r="X775" s="430"/>
      <c r="Y775" s="430"/>
      <c r="Z775" s="430"/>
      <c r="AA775" s="430"/>
      <c r="AB775" s="430"/>
      <c r="AC775" s="430"/>
      <c r="AD775" s="430"/>
      <c r="AE775" s="430"/>
      <c r="AF775" s="430"/>
      <c r="AG775" s="430"/>
      <c r="AH775" s="430"/>
      <c r="AI775" s="430"/>
      <c r="AJ775" s="430"/>
      <c r="AK775" s="430"/>
      <c r="AL775" s="430"/>
      <c r="AM775" s="430"/>
      <c r="AN775" s="430"/>
      <c r="AO775" s="430"/>
      <c r="AP775" s="430"/>
      <c r="AQ775" s="430"/>
      <c r="AR775" s="430"/>
      <c r="AS775" s="430"/>
      <c r="AT775" s="430"/>
      <c r="AU775" s="430"/>
      <c r="AV775" s="430"/>
      <c r="AW775" s="430"/>
      <c r="AX775" s="430"/>
      <c r="AY775" s="430"/>
      <c r="AZ775" s="430"/>
      <c r="BA775" s="430"/>
      <c r="BB775" s="430"/>
      <c r="BC775" s="430"/>
      <c r="BD775" s="430"/>
      <c r="BE775" s="430"/>
    </row>
    <row r="776" spans="1:57" ht="15.75" customHeight="1">
      <c r="A776" s="430"/>
      <c r="B776" s="430"/>
      <c r="C776" s="430"/>
      <c r="D776" s="430"/>
      <c r="E776" s="430"/>
      <c r="F776" s="430"/>
      <c r="G776" s="430"/>
      <c r="H776" s="430"/>
      <c r="I776" s="430"/>
      <c r="J776" s="430"/>
      <c r="K776" s="430"/>
      <c r="L776" s="430"/>
      <c r="M776" s="430"/>
      <c r="N776" s="430"/>
      <c r="O776" s="430"/>
      <c r="P776" s="430"/>
      <c r="Q776" s="430"/>
      <c r="R776" s="430"/>
      <c r="S776" s="430"/>
      <c r="T776" s="430"/>
      <c r="U776" s="430"/>
      <c r="V776" s="430"/>
      <c r="W776" s="430"/>
      <c r="X776" s="430"/>
      <c r="Y776" s="430"/>
      <c r="Z776" s="430"/>
      <c r="AA776" s="430"/>
      <c r="AB776" s="430"/>
      <c r="AC776" s="430"/>
      <c r="AD776" s="430"/>
      <c r="AE776" s="430"/>
      <c r="AF776" s="430"/>
      <c r="AG776" s="430"/>
      <c r="AH776" s="430"/>
      <c r="AI776" s="430"/>
      <c r="AJ776" s="430"/>
      <c r="AK776" s="430"/>
      <c r="AL776" s="430"/>
      <c r="AM776" s="430"/>
      <c r="AN776" s="430"/>
      <c r="AO776" s="430"/>
      <c r="AP776" s="430"/>
      <c r="AQ776" s="430"/>
      <c r="AR776" s="430"/>
      <c r="AS776" s="430"/>
      <c r="AT776" s="430"/>
      <c r="AU776" s="430"/>
      <c r="AV776" s="430"/>
      <c r="AW776" s="430"/>
      <c r="AX776" s="430"/>
      <c r="AY776" s="430"/>
      <c r="AZ776" s="430"/>
      <c r="BA776" s="430"/>
      <c r="BB776" s="430"/>
      <c r="BC776" s="430"/>
      <c r="BD776" s="430"/>
      <c r="BE776" s="430"/>
    </row>
    <row r="777" spans="1:57" ht="15.75" customHeight="1">
      <c r="A777" s="430"/>
      <c r="B777" s="430"/>
      <c r="C777" s="430"/>
      <c r="D777" s="430"/>
      <c r="E777" s="430"/>
      <c r="F777" s="430"/>
      <c r="G777" s="430"/>
      <c r="H777" s="430"/>
      <c r="I777" s="430"/>
      <c r="J777" s="430"/>
      <c r="K777" s="430"/>
      <c r="L777" s="430"/>
      <c r="M777" s="430"/>
      <c r="N777" s="430"/>
      <c r="O777" s="430"/>
      <c r="P777" s="430"/>
      <c r="Q777" s="430"/>
      <c r="R777" s="430"/>
      <c r="S777" s="430"/>
      <c r="T777" s="430"/>
      <c r="U777" s="430"/>
      <c r="V777" s="430"/>
      <c r="W777" s="430"/>
      <c r="X777" s="430"/>
      <c r="Y777" s="430"/>
      <c r="Z777" s="430"/>
      <c r="AA777" s="430"/>
      <c r="AB777" s="430"/>
      <c r="AC777" s="430"/>
      <c r="AD777" s="430"/>
      <c r="AE777" s="430"/>
      <c r="AF777" s="430"/>
      <c r="AG777" s="430"/>
      <c r="AH777" s="430"/>
      <c r="AI777" s="430"/>
      <c r="AJ777" s="430"/>
      <c r="AK777" s="430"/>
      <c r="AL777" s="430"/>
      <c r="AM777" s="430"/>
      <c r="AN777" s="430"/>
      <c r="AO777" s="430"/>
      <c r="AP777" s="430"/>
      <c r="AQ777" s="430"/>
      <c r="AR777" s="430"/>
      <c r="AS777" s="430"/>
      <c r="AT777" s="430"/>
      <c r="AU777" s="430"/>
      <c r="AV777" s="430"/>
      <c r="AW777" s="430"/>
      <c r="AX777" s="430"/>
      <c r="AY777" s="430"/>
      <c r="AZ777" s="430"/>
      <c r="BA777" s="430"/>
      <c r="BB777" s="430"/>
      <c r="BC777" s="430"/>
      <c r="BD777" s="430"/>
      <c r="BE777" s="430"/>
    </row>
    <row r="778" spans="1:57" ht="15.75" customHeight="1">
      <c r="A778" s="430"/>
      <c r="B778" s="430"/>
      <c r="C778" s="430"/>
      <c r="D778" s="430"/>
      <c r="E778" s="430"/>
      <c r="F778" s="430"/>
      <c r="G778" s="430"/>
      <c r="H778" s="430"/>
      <c r="I778" s="430"/>
      <c r="J778" s="430"/>
      <c r="K778" s="430"/>
      <c r="L778" s="430"/>
      <c r="M778" s="430"/>
      <c r="N778" s="430"/>
      <c r="O778" s="430"/>
      <c r="P778" s="430"/>
      <c r="Q778" s="430"/>
      <c r="R778" s="430"/>
      <c r="S778" s="430"/>
      <c r="T778" s="430"/>
      <c r="U778" s="430"/>
      <c r="V778" s="430"/>
      <c r="W778" s="430"/>
      <c r="X778" s="430"/>
      <c r="Y778" s="430"/>
      <c r="Z778" s="430"/>
      <c r="AA778" s="430"/>
      <c r="AB778" s="430"/>
      <c r="AC778" s="430"/>
      <c r="AD778" s="430"/>
      <c r="AE778" s="430"/>
      <c r="AF778" s="430"/>
      <c r="AG778" s="430"/>
      <c r="AH778" s="430"/>
      <c r="AI778" s="430"/>
      <c r="AJ778" s="430"/>
      <c r="AK778" s="430"/>
      <c r="AL778" s="430"/>
      <c r="AM778" s="430"/>
      <c r="AN778" s="430"/>
      <c r="AO778" s="430"/>
      <c r="AP778" s="430"/>
      <c r="AQ778" s="430"/>
      <c r="AR778" s="430"/>
      <c r="AS778" s="430"/>
      <c r="AT778" s="430"/>
      <c r="AU778" s="430"/>
      <c r="AV778" s="430"/>
      <c r="AW778" s="430"/>
      <c r="AX778" s="430"/>
      <c r="AY778" s="430"/>
      <c r="AZ778" s="430"/>
      <c r="BA778" s="430"/>
      <c r="BB778" s="430"/>
      <c r="BC778" s="430"/>
      <c r="BD778" s="430"/>
      <c r="BE778" s="430"/>
    </row>
    <row r="779" spans="1:57" ht="15.75" customHeight="1">
      <c r="A779" s="430"/>
      <c r="B779" s="430"/>
      <c r="C779" s="430"/>
      <c r="D779" s="430"/>
      <c r="E779" s="430"/>
      <c r="F779" s="430"/>
      <c r="G779" s="430"/>
      <c r="H779" s="430"/>
      <c r="I779" s="430"/>
      <c r="J779" s="430"/>
      <c r="K779" s="430"/>
      <c r="L779" s="430"/>
      <c r="M779" s="430"/>
      <c r="N779" s="430"/>
      <c r="O779" s="430"/>
      <c r="P779" s="430"/>
      <c r="Q779" s="430"/>
      <c r="R779" s="430"/>
      <c r="S779" s="430"/>
      <c r="T779" s="430"/>
      <c r="U779" s="430"/>
      <c r="V779" s="430"/>
      <c r="W779" s="430"/>
      <c r="X779" s="430"/>
      <c r="Y779" s="430"/>
      <c r="Z779" s="430"/>
      <c r="AA779" s="430"/>
      <c r="AB779" s="430"/>
      <c r="AC779" s="430"/>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0"/>
      <c r="AY779" s="430"/>
      <c r="AZ779" s="430"/>
      <c r="BA779" s="430"/>
      <c r="BB779" s="430"/>
      <c r="BC779" s="430"/>
      <c r="BD779" s="430"/>
      <c r="BE779" s="430"/>
    </row>
    <row r="780" spans="1:57" ht="15.75" customHeight="1">
      <c r="A780" s="430"/>
      <c r="B780" s="430"/>
      <c r="C780" s="430"/>
      <c r="D780" s="430"/>
      <c r="E780" s="430"/>
      <c r="F780" s="430"/>
      <c r="G780" s="430"/>
      <c r="H780" s="430"/>
      <c r="I780" s="430"/>
      <c r="J780" s="430"/>
      <c r="K780" s="430"/>
      <c r="L780" s="430"/>
      <c r="M780" s="430"/>
      <c r="N780" s="430"/>
      <c r="O780" s="430"/>
      <c r="P780" s="430"/>
      <c r="Q780" s="430"/>
      <c r="R780" s="430"/>
      <c r="S780" s="430"/>
      <c r="T780" s="430"/>
      <c r="U780" s="430"/>
      <c r="V780" s="430"/>
      <c r="W780" s="430"/>
      <c r="X780" s="430"/>
      <c r="Y780" s="430"/>
      <c r="Z780" s="430"/>
      <c r="AA780" s="430"/>
      <c r="AB780" s="430"/>
      <c r="AC780" s="430"/>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0"/>
      <c r="AY780" s="430"/>
      <c r="AZ780" s="430"/>
      <c r="BA780" s="430"/>
      <c r="BB780" s="430"/>
      <c r="BC780" s="430"/>
      <c r="BD780" s="430"/>
      <c r="BE780" s="430"/>
    </row>
    <row r="781" spans="1:57" ht="15.75" customHeight="1">
      <c r="A781" s="430"/>
      <c r="B781" s="430"/>
      <c r="C781" s="430"/>
      <c r="D781" s="430"/>
      <c r="E781" s="430"/>
      <c r="F781" s="430"/>
      <c r="G781" s="430"/>
      <c r="H781" s="430"/>
      <c r="I781" s="430"/>
      <c r="J781" s="430"/>
      <c r="K781" s="430"/>
      <c r="L781" s="430"/>
      <c r="M781" s="430"/>
      <c r="N781" s="430"/>
      <c r="O781" s="430"/>
      <c r="P781" s="430"/>
      <c r="Q781" s="430"/>
      <c r="R781" s="430"/>
      <c r="S781" s="430"/>
      <c r="T781" s="430"/>
      <c r="U781" s="430"/>
      <c r="V781" s="430"/>
      <c r="W781" s="430"/>
      <c r="X781" s="430"/>
      <c r="Y781" s="430"/>
      <c r="Z781" s="430"/>
      <c r="AA781" s="430"/>
      <c r="AB781" s="430"/>
      <c r="AC781" s="430"/>
      <c r="AD781" s="430"/>
      <c r="AE781" s="430"/>
      <c r="AF781" s="430"/>
      <c r="AG781" s="430"/>
      <c r="AH781" s="430"/>
      <c r="AI781" s="430"/>
      <c r="AJ781" s="430"/>
      <c r="AK781" s="430"/>
      <c r="AL781" s="430"/>
      <c r="AM781" s="430"/>
      <c r="AN781" s="430"/>
      <c r="AO781" s="430"/>
      <c r="AP781" s="430"/>
      <c r="AQ781" s="430"/>
      <c r="AR781" s="430"/>
      <c r="AS781" s="430"/>
      <c r="AT781" s="430"/>
      <c r="AU781" s="430"/>
      <c r="AV781" s="430"/>
      <c r="AW781" s="430"/>
      <c r="AX781" s="430"/>
      <c r="AY781" s="430"/>
      <c r="AZ781" s="430"/>
      <c r="BA781" s="430"/>
      <c r="BB781" s="430"/>
      <c r="BC781" s="430"/>
      <c r="BD781" s="430"/>
      <c r="BE781" s="430"/>
    </row>
    <row r="782" spans="1:57" ht="15.75" customHeight="1">
      <c r="A782" s="430"/>
      <c r="B782" s="430"/>
      <c r="C782" s="430"/>
      <c r="D782" s="430"/>
      <c r="E782" s="430"/>
      <c r="F782" s="430"/>
      <c r="G782" s="430"/>
      <c r="H782" s="430"/>
      <c r="I782" s="430"/>
      <c r="J782" s="430"/>
      <c r="K782" s="430"/>
      <c r="L782" s="430"/>
      <c r="M782" s="430"/>
      <c r="N782" s="430"/>
      <c r="O782" s="430"/>
      <c r="P782" s="430"/>
      <c r="Q782" s="430"/>
      <c r="R782" s="430"/>
      <c r="S782" s="430"/>
      <c r="T782" s="430"/>
      <c r="U782" s="430"/>
      <c r="V782" s="430"/>
      <c r="W782" s="430"/>
      <c r="X782" s="430"/>
      <c r="Y782" s="430"/>
      <c r="Z782" s="430"/>
      <c r="AA782" s="430"/>
      <c r="AB782" s="430"/>
      <c r="AC782" s="430"/>
      <c r="AD782" s="430"/>
      <c r="AE782" s="430"/>
      <c r="AF782" s="430"/>
      <c r="AG782" s="430"/>
      <c r="AH782" s="430"/>
      <c r="AI782" s="430"/>
      <c r="AJ782" s="430"/>
      <c r="AK782" s="430"/>
      <c r="AL782" s="430"/>
      <c r="AM782" s="430"/>
      <c r="AN782" s="430"/>
      <c r="AO782" s="430"/>
      <c r="AP782" s="430"/>
      <c r="AQ782" s="430"/>
      <c r="AR782" s="430"/>
      <c r="AS782" s="430"/>
      <c r="AT782" s="430"/>
      <c r="AU782" s="430"/>
      <c r="AV782" s="430"/>
      <c r="AW782" s="430"/>
      <c r="AX782" s="430"/>
      <c r="AY782" s="430"/>
      <c r="AZ782" s="430"/>
      <c r="BA782" s="430"/>
      <c r="BB782" s="430"/>
      <c r="BC782" s="430"/>
      <c r="BD782" s="430"/>
      <c r="BE782" s="430"/>
    </row>
    <row r="783" spans="1:57" ht="15.75" customHeight="1">
      <c r="A783" s="430"/>
      <c r="B783" s="430"/>
      <c r="C783" s="430"/>
      <c r="D783" s="430"/>
      <c r="E783" s="430"/>
      <c r="F783" s="430"/>
      <c r="G783" s="430"/>
      <c r="H783" s="430"/>
      <c r="I783" s="430"/>
      <c r="J783" s="430"/>
      <c r="K783" s="430"/>
      <c r="L783" s="430"/>
      <c r="M783" s="430"/>
      <c r="N783" s="430"/>
      <c r="O783" s="430"/>
      <c r="P783" s="430"/>
      <c r="Q783" s="430"/>
      <c r="R783" s="430"/>
      <c r="S783" s="430"/>
      <c r="T783" s="430"/>
      <c r="U783" s="430"/>
      <c r="V783" s="430"/>
      <c r="W783" s="430"/>
      <c r="X783" s="430"/>
      <c r="Y783" s="430"/>
      <c r="Z783" s="430"/>
      <c r="AA783" s="430"/>
      <c r="AB783" s="430"/>
      <c r="AC783" s="430"/>
      <c r="AD783" s="430"/>
      <c r="AE783" s="430"/>
      <c r="AF783" s="430"/>
      <c r="AG783" s="430"/>
      <c r="AH783" s="430"/>
      <c r="AI783" s="430"/>
      <c r="AJ783" s="430"/>
      <c r="AK783" s="430"/>
      <c r="AL783" s="430"/>
      <c r="AM783" s="430"/>
      <c r="AN783" s="430"/>
      <c r="AO783" s="430"/>
      <c r="AP783" s="430"/>
      <c r="AQ783" s="430"/>
      <c r="AR783" s="430"/>
      <c r="AS783" s="430"/>
      <c r="AT783" s="430"/>
      <c r="AU783" s="430"/>
      <c r="AV783" s="430"/>
      <c r="AW783" s="430"/>
      <c r="AX783" s="430"/>
      <c r="AY783" s="430"/>
      <c r="AZ783" s="430"/>
      <c r="BA783" s="430"/>
      <c r="BB783" s="430"/>
      <c r="BC783" s="430"/>
      <c r="BD783" s="430"/>
      <c r="BE783" s="430"/>
    </row>
    <row r="784" spans="1:57" ht="15.75" customHeight="1">
      <c r="A784" s="430"/>
      <c r="B784" s="430"/>
      <c r="C784" s="430"/>
      <c r="D784" s="430"/>
      <c r="E784" s="430"/>
      <c r="F784" s="430"/>
      <c r="G784" s="430"/>
      <c r="H784" s="430"/>
      <c r="I784" s="430"/>
      <c r="J784" s="430"/>
      <c r="K784" s="430"/>
      <c r="L784" s="430"/>
      <c r="M784" s="430"/>
      <c r="N784" s="430"/>
      <c r="O784" s="430"/>
      <c r="P784" s="430"/>
      <c r="Q784" s="430"/>
      <c r="R784" s="430"/>
      <c r="S784" s="430"/>
      <c r="T784" s="430"/>
      <c r="U784" s="430"/>
      <c r="V784" s="430"/>
      <c r="W784" s="430"/>
      <c r="X784" s="430"/>
      <c r="Y784" s="430"/>
      <c r="Z784" s="430"/>
      <c r="AA784" s="430"/>
      <c r="AB784" s="430"/>
      <c r="AC784" s="430"/>
      <c r="AD784" s="430"/>
      <c r="AE784" s="430"/>
      <c r="AF784" s="430"/>
      <c r="AG784" s="430"/>
      <c r="AH784" s="430"/>
      <c r="AI784" s="430"/>
      <c r="AJ784" s="430"/>
      <c r="AK784" s="430"/>
      <c r="AL784" s="430"/>
      <c r="AM784" s="430"/>
      <c r="AN784" s="430"/>
      <c r="AO784" s="430"/>
      <c r="AP784" s="430"/>
      <c r="AQ784" s="430"/>
      <c r="AR784" s="430"/>
      <c r="AS784" s="430"/>
      <c r="AT784" s="430"/>
      <c r="AU784" s="430"/>
      <c r="AV784" s="430"/>
      <c r="AW784" s="430"/>
      <c r="AX784" s="430"/>
      <c r="AY784" s="430"/>
      <c r="AZ784" s="430"/>
      <c r="BA784" s="430"/>
      <c r="BB784" s="430"/>
      <c r="BC784" s="430"/>
      <c r="BD784" s="430"/>
      <c r="BE784" s="430"/>
    </row>
    <row r="785" spans="1:57" ht="15.75" customHeight="1">
      <c r="A785" s="430"/>
      <c r="B785" s="430"/>
      <c r="C785" s="430"/>
      <c r="D785" s="430"/>
      <c r="E785" s="430"/>
      <c r="F785" s="430"/>
      <c r="G785" s="430"/>
      <c r="H785" s="430"/>
      <c r="I785" s="430"/>
      <c r="J785" s="430"/>
      <c r="K785" s="430"/>
      <c r="L785" s="430"/>
      <c r="M785" s="430"/>
      <c r="N785" s="430"/>
      <c r="O785" s="430"/>
      <c r="P785" s="430"/>
      <c r="Q785" s="430"/>
      <c r="R785" s="430"/>
      <c r="S785" s="430"/>
      <c r="T785" s="430"/>
      <c r="U785" s="430"/>
      <c r="V785" s="430"/>
      <c r="W785" s="430"/>
      <c r="X785" s="430"/>
      <c r="Y785" s="430"/>
      <c r="Z785" s="430"/>
      <c r="AA785" s="430"/>
      <c r="AB785" s="430"/>
      <c r="AC785" s="430"/>
      <c r="AD785" s="430"/>
      <c r="AE785" s="430"/>
      <c r="AF785" s="430"/>
      <c r="AG785" s="430"/>
      <c r="AH785" s="430"/>
      <c r="AI785" s="430"/>
      <c r="AJ785" s="430"/>
      <c r="AK785" s="430"/>
      <c r="AL785" s="430"/>
      <c r="AM785" s="430"/>
      <c r="AN785" s="430"/>
      <c r="AO785" s="430"/>
      <c r="AP785" s="430"/>
      <c r="AQ785" s="430"/>
      <c r="AR785" s="430"/>
      <c r="AS785" s="430"/>
      <c r="AT785" s="430"/>
      <c r="AU785" s="430"/>
      <c r="AV785" s="430"/>
      <c r="AW785" s="430"/>
      <c r="AX785" s="430"/>
      <c r="AY785" s="430"/>
      <c r="AZ785" s="430"/>
      <c r="BA785" s="430"/>
      <c r="BB785" s="430"/>
      <c r="BC785" s="430"/>
      <c r="BD785" s="430"/>
      <c r="BE785" s="430"/>
    </row>
    <row r="786" spans="1:57" ht="15.75" customHeight="1">
      <c r="A786" s="430"/>
      <c r="B786" s="430"/>
      <c r="C786" s="430"/>
      <c r="D786" s="430"/>
      <c r="E786" s="430"/>
      <c r="F786" s="430"/>
      <c r="G786" s="430"/>
      <c r="H786" s="430"/>
      <c r="I786" s="430"/>
      <c r="J786" s="430"/>
      <c r="K786" s="430"/>
      <c r="L786" s="430"/>
      <c r="M786" s="430"/>
      <c r="N786" s="430"/>
      <c r="O786" s="430"/>
      <c r="P786" s="430"/>
      <c r="Q786" s="430"/>
      <c r="R786" s="430"/>
      <c r="S786" s="430"/>
      <c r="T786" s="430"/>
      <c r="U786" s="430"/>
      <c r="V786" s="430"/>
      <c r="W786" s="430"/>
      <c r="X786" s="430"/>
      <c r="Y786" s="430"/>
      <c r="Z786" s="430"/>
      <c r="AA786" s="430"/>
      <c r="AB786" s="430"/>
      <c r="AC786" s="430"/>
      <c r="AD786" s="430"/>
      <c r="AE786" s="430"/>
      <c r="AF786" s="430"/>
      <c r="AG786" s="430"/>
      <c r="AH786" s="430"/>
      <c r="AI786" s="430"/>
      <c r="AJ786" s="430"/>
      <c r="AK786" s="430"/>
      <c r="AL786" s="430"/>
      <c r="AM786" s="430"/>
      <c r="AN786" s="430"/>
      <c r="AO786" s="430"/>
      <c r="AP786" s="430"/>
      <c r="AQ786" s="430"/>
      <c r="AR786" s="430"/>
      <c r="AS786" s="430"/>
      <c r="AT786" s="430"/>
      <c r="AU786" s="430"/>
      <c r="AV786" s="430"/>
      <c r="AW786" s="430"/>
      <c r="AX786" s="430"/>
      <c r="AY786" s="430"/>
      <c r="AZ786" s="430"/>
      <c r="BA786" s="430"/>
      <c r="BB786" s="430"/>
      <c r="BC786" s="430"/>
      <c r="BD786" s="430"/>
      <c r="BE786" s="430"/>
    </row>
    <row r="787" spans="1:57" ht="15.75" customHeight="1">
      <c r="A787" s="430"/>
      <c r="B787" s="430"/>
      <c r="C787" s="430"/>
      <c r="D787" s="430"/>
      <c r="E787" s="430"/>
      <c r="F787" s="430"/>
      <c r="G787" s="430"/>
      <c r="H787" s="430"/>
      <c r="I787" s="430"/>
      <c r="J787" s="430"/>
      <c r="K787" s="430"/>
      <c r="L787" s="430"/>
      <c r="M787" s="430"/>
      <c r="N787" s="430"/>
      <c r="O787" s="430"/>
      <c r="P787" s="430"/>
      <c r="Q787" s="430"/>
      <c r="R787" s="430"/>
      <c r="S787" s="430"/>
      <c r="T787" s="430"/>
      <c r="U787" s="430"/>
      <c r="V787" s="430"/>
      <c r="W787" s="430"/>
      <c r="X787" s="430"/>
      <c r="Y787" s="430"/>
      <c r="Z787" s="430"/>
      <c r="AA787" s="430"/>
      <c r="AB787" s="430"/>
      <c r="AC787" s="430"/>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0"/>
      <c r="AY787" s="430"/>
      <c r="AZ787" s="430"/>
      <c r="BA787" s="430"/>
      <c r="BB787" s="430"/>
      <c r="BC787" s="430"/>
      <c r="BD787" s="430"/>
      <c r="BE787" s="430"/>
    </row>
    <row r="788" spans="1:57" ht="15.75" customHeight="1">
      <c r="A788" s="430"/>
      <c r="B788" s="430"/>
      <c r="C788" s="430"/>
      <c r="D788" s="430"/>
      <c r="E788" s="430"/>
      <c r="F788" s="430"/>
      <c r="G788" s="430"/>
      <c r="H788" s="430"/>
      <c r="I788" s="430"/>
      <c r="J788" s="430"/>
      <c r="K788" s="430"/>
      <c r="L788" s="430"/>
      <c r="M788" s="430"/>
      <c r="N788" s="430"/>
      <c r="O788" s="430"/>
      <c r="P788" s="430"/>
      <c r="Q788" s="430"/>
      <c r="R788" s="430"/>
      <c r="S788" s="430"/>
      <c r="T788" s="430"/>
      <c r="U788" s="430"/>
      <c r="V788" s="430"/>
      <c r="W788" s="430"/>
      <c r="X788" s="430"/>
      <c r="Y788" s="430"/>
      <c r="Z788" s="430"/>
      <c r="AA788" s="430"/>
      <c r="AB788" s="430"/>
      <c r="AC788" s="430"/>
      <c r="AD788" s="430"/>
      <c r="AE788" s="430"/>
      <c r="AF788" s="430"/>
      <c r="AG788" s="430"/>
      <c r="AH788" s="430"/>
      <c r="AI788" s="430"/>
      <c r="AJ788" s="430"/>
      <c r="AK788" s="430"/>
      <c r="AL788" s="430"/>
      <c r="AM788" s="430"/>
      <c r="AN788" s="430"/>
      <c r="AO788" s="430"/>
      <c r="AP788" s="430"/>
      <c r="AQ788" s="430"/>
      <c r="AR788" s="430"/>
      <c r="AS788" s="430"/>
      <c r="AT788" s="430"/>
      <c r="AU788" s="430"/>
      <c r="AV788" s="430"/>
      <c r="AW788" s="430"/>
      <c r="AX788" s="430"/>
      <c r="AY788" s="430"/>
      <c r="AZ788" s="430"/>
      <c r="BA788" s="430"/>
      <c r="BB788" s="430"/>
      <c r="BC788" s="430"/>
      <c r="BD788" s="430"/>
      <c r="BE788" s="430"/>
    </row>
    <row r="789" spans="1:57" ht="15.75" customHeight="1">
      <c r="A789" s="430"/>
      <c r="B789" s="430"/>
      <c r="C789" s="430"/>
      <c r="D789" s="430"/>
      <c r="E789" s="430"/>
      <c r="F789" s="430"/>
      <c r="G789" s="430"/>
      <c r="H789" s="430"/>
      <c r="I789" s="430"/>
      <c r="J789" s="430"/>
      <c r="K789" s="430"/>
      <c r="L789" s="430"/>
      <c r="M789" s="430"/>
      <c r="N789" s="430"/>
      <c r="O789" s="430"/>
      <c r="P789" s="430"/>
      <c r="Q789" s="430"/>
      <c r="R789" s="430"/>
      <c r="S789" s="430"/>
      <c r="T789" s="430"/>
      <c r="U789" s="430"/>
      <c r="V789" s="430"/>
      <c r="W789" s="430"/>
      <c r="X789" s="430"/>
      <c r="Y789" s="430"/>
      <c r="Z789" s="430"/>
      <c r="AA789" s="430"/>
      <c r="AB789" s="430"/>
      <c r="AC789" s="430"/>
      <c r="AD789" s="430"/>
      <c r="AE789" s="430"/>
      <c r="AF789" s="430"/>
      <c r="AG789" s="430"/>
      <c r="AH789" s="430"/>
      <c r="AI789" s="430"/>
      <c r="AJ789" s="430"/>
      <c r="AK789" s="430"/>
      <c r="AL789" s="430"/>
      <c r="AM789" s="430"/>
      <c r="AN789" s="430"/>
      <c r="AO789" s="430"/>
      <c r="AP789" s="430"/>
      <c r="AQ789" s="430"/>
      <c r="AR789" s="430"/>
      <c r="AS789" s="430"/>
      <c r="AT789" s="430"/>
      <c r="AU789" s="430"/>
      <c r="AV789" s="430"/>
      <c r="AW789" s="430"/>
      <c r="AX789" s="430"/>
      <c r="AY789" s="430"/>
      <c r="AZ789" s="430"/>
      <c r="BA789" s="430"/>
      <c r="BB789" s="430"/>
      <c r="BC789" s="430"/>
      <c r="BD789" s="430"/>
      <c r="BE789" s="430"/>
    </row>
    <row r="790" spans="1:57" ht="15.75" customHeight="1">
      <c r="A790" s="430"/>
      <c r="B790" s="430"/>
      <c r="C790" s="430"/>
      <c r="D790" s="430"/>
      <c r="E790" s="430"/>
      <c r="F790" s="430"/>
      <c r="G790" s="430"/>
      <c r="H790" s="430"/>
      <c r="I790" s="430"/>
      <c r="J790" s="430"/>
      <c r="K790" s="430"/>
      <c r="L790" s="430"/>
      <c r="M790" s="430"/>
      <c r="N790" s="430"/>
      <c r="O790" s="430"/>
      <c r="P790" s="430"/>
      <c r="Q790" s="430"/>
      <c r="R790" s="430"/>
      <c r="S790" s="430"/>
      <c r="T790" s="430"/>
      <c r="U790" s="430"/>
      <c r="V790" s="430"/>
      <c r="W790" s="430"/>
      <c r="X790" s="430"/>
      <c r="Y790" s="430"/>
      <c r="Z790" s="430"/>
      <c r="AA790" s="430"/>
      <c r="AB790" s="430"/>
      <c r="AC790" s="430"/>
      <c r="AD790" s="430"/>
      <c r="AE790" s="430"/>
      <c r="AF790" s="430"/>
      <c r="AG790" s="430"/>
      <c r="AH790" s="430"/>
      <c r="AI790" s="430"/>
      <c r="AJ790" s="430"/>
      <c r="AK790" s="430"/>
      <c r="AL790" s="430"/>
      <c r="AM790" s="430"/>
      <c r="AN790" s="430"/>
      <c r="AO790" s="430"/>
      <c r="AP790" s="430"/>
      <c r="AQ790" s="430"/>
      <c r="AR790" s="430"/>
      <c r="AS790" s="430"/>
      <c r="AT790" s="430"/>
      <c r="AU790" s="430"/>
      <c r="AV790" s="430"/>
      <c r="AW790" s="430"/>
      <c r="AX790" s="430"/>
      <c r="AY790" s="430"/>
      <c r="AZ790" s="430"/>
      <c r="BA790" s="430"/>
      <c r="BB790" s="430"/>
      <c r="BC790" s="430"/>
      <c r="BD790" s="430"/>
      <c r="BE790" s="430"/>
    </row>
    <row r="791" spans="1:57" ht="15.75" customHeight="1">
      <c r="A791" s="430"/>
      <c r="B791" s="430"/>
      <c r="C791" s="430"/>
      <c r="D791" s="430"/>
      <c r="E791" s="430"/>
      <c r="F791" s="430"/>
      <c r="G791" s="430"/>
      <c r="H791" s="430"/>
      <c r="I791" s="430"/>
      <c r="J791" s="430"/>
      <c r="K791" s="430"/>
      <c r="L791" s="430"/>
      <c r="M791" s="430"/>
      <c r="N791" s="430"/>
      <c r="O791" s="430"/>
      <c r="P791" s="430"/>
      <c r="Q791" s="430"/>
      <c r="R791" s="430"/>
      <c r="S791" s="430"/>
      <c r="T791" s="430"/>
      <c r="U791" s="430"/>
      <c r="V791" s="430"/>
      <c r="W791" s="430"/>
      <c r="X791" s="430"/>
      <c r="Y791" s="430"/>
      <c r="Z791" s="430"/>
      <c r="AA791" s="430"/>
      <c r="AB791" s="430"/>
      <c r="AC791" s="430"/>
      <c r="AD791" s="430"/>
      <c r="AE791" s="430"/>
      <c r="AF791" s="430"/>
      <c r="AG791" s="430"/>
      <c r="AH791" s="430"/>
      <c r="AI791" s="430"/>
      <c r="AJ791" s="430"/>
      <c r="AK791" s="430"/>
      <c r="AL791" s="430"/>
      <c r="AM791" s="430"/>
      <c r="AN791" s="430"/>
      <c r="AO791" s="430"/>
      <c r="AP791" s="430"/>
      <c r="AQ791" s="430"/>
      <c r="AR791" s="430"/>
      <c r="AS791" s="430"/>
      <c r="AT791" s="430"/>
      <c r="AU791" s="430"/>
      <c r="AV791" s="430"/>
      <c r="AW791" s="430"/>
      <c r="AX791" s="430"/>
      <c r="AY791" s="430"/>
      <c r="AZ791" s="430"/>
      <c r="BA791" s="430"/>
      <c r="BB791" s="430"/>
      <c r="BC791" s="430"/>
      <c r="BD791" s="430"/>
      <c r="BE791" s="430"/>
    </row>
    <row r="792" spans="1:57" ht="15.75" customHeight="1">
      <c r="A792" s="430"/>
      <c r="B792" s="430"/>
      <c r="C792" s="430"/>
      <c r="D792" s="430"/>
      <c r="E792" s="430"/>
      <c r="F792" s="430"/>
      <c r="G792" s="430"/>
      <c r="H792" s="430"/>
      <c r="I792" s="430"/>
      <c r="J792" s="430"/>
      <c r="K792" s="430"/>
      <c r="L792" s="430"/>
      <c r="M792" s="430"/>
      <c r="N792" s="430"/>
      <c r="O792" s="430"/>
      <c r="P792" s="430"/>
      <c r="Q792" s="430"/>
      <c r="R792" s="430"/>
      <c r="S792" s="430"/>
      <c r="T792" s="430"/>
      <c r="U792" s="430"/>
      <c r="V792" s="430"/>
      <c r="W792" s="430"/>
      <c r="X792" s="430"/>
      <c r="Y792" s="430"/>
      <c r="Z792" s="430"/>
      <c r="AA792" s="430"/>
      <c r="AB792" s="430"/>
      <c r="AC792" s="430"/>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0"/>
      <c r="AY792" s="430"/>
      <c r="AZ792" s="430"/>
      <c r="BA792" s="430"/>
      <c r="BB792" s="430"/>
      <c r="BC792" s="430"/>
      <c r="BD792" s="430"/>
      <c r="BE792" s="430"/>
    </row>
    <row r="793" spans="1:57" ht="15.75" customHeight="1">
      <c r="A793" s="430"/>
      <c r="B793" s="430"/>
      <c r="C793" s="430"/>
      <c r="D793" s="430"/>
      <c r="E793" s="430"/>
      <c r="F793" s="430"/>
      <c r="G793" s="430"/>
      <c r="H793" s="430"/>
      <c r="I793" s="430"/>
      <c r="J793" s="430"/>
      <c r="K793" s="430"/>
      <c r="L793" s="430"/>
      <c r="M793" s="430"/>
      <c r="N793" s="430"/>
      <c r="O793" s="430"/>
      <c r="P793" s="430"/>
      <c r="Q793" s="430"/>
      <c r="R793" s="430"/>
      <c r="S793" s="430"/>
      <c r="T793" s="430"/>
      <c r="U793" s="430"/>
      <c r="V793" s="430"/>
      <c r="W793" s="430"/>
      <c r="X793" s="430"/>
      <c r="Y793" s="430"/>
      <c r="Z793" s="430"/>
      <c r="AA793" s="430"/>
      <c r="AB793" s="430"/>
      <c r="AC793" s="430"/>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0"/>
      <c r="AY793" s="430"/>
      <c r="AZ793" s="430"/>
      <c r="BA793" s="430"/>
      <c r="BB793" s="430"/>
      <c r="BC793" s="430"/>
      <c r="BD793" s="430"/>
      <c r="BE793" s="430"/>
    </row>
    <row r="794" spans="1:57" ht="15.75" customHeight="1">
      <c r="A794" s="430"/>
      <c r="B794" s="430"/>
      <c r="C794" s="430"/>
      <c r="D794" s="430"/>
      <c r="E794" s="430"/>
      <c r="F794" s="430"/>
      <c r="G794" s="430"/>
      <c r="H794" s="430"/>
      <c r="I794" s="430"/>
      <c r="J794" s="430"/>
      <c r="K794" s="430"/>
      <c r="L794" s="430"/>
      <c r="M794" s="430"/>
      <c r="N794" s="430"/>
      <c r="O794" s="430"/>
      <c r="P794" s="430"/>
      <c r="Q794" s="430"/>
      <c r="R794" s="430"/>
      <c r="S794" s="430"/>
      <c r="T794" s="430"/>
      <c r="U794" s="430"/>
      <c r="V794" s="430"/>
      <c r="W794" s="430"/>
      <c r="X794" s="430"/>
      <c r="Y794" s="430"/>
      <c r="Z794" s="430"/>
      <c r="AA794" s="430"/>
      <c r="AB794" s="430"/>
      <c r="AC794" s="430"/>
      <c r="AD794" s="430"/>
      <c r="AE794" s="430"/>
      <c r="AF794" s="430"/>
      <c r="AG794" s="430"/>
      <c r="AH794" s="430"/>
      <c r="AI794" s="430"/>
      <c r="AJ794" s="430"/>
      <c r="AK794" s="430"/>
      <c r="AL794" s="430"/>
      <c r="AM794" s="430"/>
      <c r="AN794" s="430"/>
      <c r="AO794" s="430"/>
      <c r="AP794" s="430"/>
      <c r="AQ794" s="430"/>
      <c r="AR794" s="430"/>
      <c r="AS794" s="430"/>
      <c r="AT794" s="430"/>
      <c r="AU794" s="430"/>
      <c r="AV794" s="430"/>
      <c r="AW794" s="430"/>
      <c r="AX794" s="430"/>
      <c r="AY794" s="430"/>
      <c r="AZ794" s="430"/>
      <c r="BA794" s="430"/>
      <c r="BB794" s="430"/>
      <c r="BC794" s="430"/>
      <c r="BD794" s="430"/>
      <c r="BE794" s="430"/>
    </row>
    <row r="795" spans="1:57" ht="15.75" customHeight="1">
      <c r="A795" s="430"/>
      <c r="B795" s="430"/>
      <c r="C795" s="430"/>
      <c r="D795" s="430"/>
      <c r="E795" s="430"/>
      <c r="F795" s="430"/>
      <c r="G795" s="430"/>
      <c r="H795" s="430"/>
      <c r="I795" s="430"/>
      <c r="J795" s="430"/>
      <c r="K795" s="430"/>
      <c r="L795" s="430"/>
      <c r="M795" s="430"/>
      <c r="N795" s="430"/>
      <c r="O795" s="430"/>
      <c r="P795" s="430"/>
      <c r="Q795" s="430"/>
      <c r="R795" s="430"/>
      <c r="S795" s="430"/>
      <c r="T795" s="430"/>
      <c r="U795" s="430"/>
      <c r="V795" s="430"/>
      <c r="W795" s="430"/>
      <c r="X795" s="430"/>
      <c r="Y795" s="430"/>
      <c r="Z795" s="430"/>
      <c r="AA795" s="430"/>
      <c r="AB795" s="430"/>
      <c r="AC795" s="430"/>
      <c r="AD795" s="430"/>
      <c r="AE795" s="430"/>
      <c r="AF795" s="430"/>
      <c r="AG795" s="430"/>
      <c r="AH795" s="430"/>
      <c r="AI795" s="430"/>
      <c r="AJ795" s="430"/>
      <c r="AK795" s="430"/>
      <c r="AL795" s="430"/>
      <c r="AM795" s="430"/>
      <c r="AN795" s="430"/>
      <c r="AO795" s="430"/>
      <c r="AP795" s="430"/>
      <c r="AQ795" s="430"/>
      <c r="AR795" s="430"/>
      <c r="AS795" s="430"/>
      <c r="AT795" s="430"/>
      <c r="AU795" s="430"/>
      <c r="AV795" s="430"/>
      <c r="AW795" s="430"/>
      <c r="AX795" s="430"/>
      <c r="AY795" s="430"/>
      <c r="AZ795" s="430"/>
      <c r="BA795" s="430"/>
      <c r="BB795" s="430"/>
      <c r="BC795" s="430"/>
      <c r="BD795" s="430"/>
      <c r="BE795" s="430"/>
    </row>
    <row r="796" spans="1:57" ht="15.75" customHeight="1">
      <c r="A796" s="430"/>
      <c r="B796" s="430"/>
      <c r="C796" s="430"/>
      <c r="D796" s="430"/>
      <c r="E796" s="430"/>
      <c r="F796" s="430"/>
      <c r="G796" s="430"/>
      <c r="H796" s="430"/>
      <c r="I796" s="430"/>
      <c r="J796" s="430"/>
      <c r="K796" s="430"/>
      <c r="L796" s="430"/>
      <c r="M796" s="430"/>
      <c r="N796" s="430"/>
      <c r="O796" s="430"/>
      <c r="P796" s="430"/>
      <c r="Q796" s="430"/>
      <c r="R796" s="430"/>
      <c r="S796" s="430"/>
      <c r="T796" s="430"/>
      <c r="U796" s="430"/>
      <c r="V796" s="430"/>
      <c r="W796" s="430"/>
      <c r="X796" s="430"/>
      <c r="Y796" s="430"/>
      <c r="Z796" s="430"/>
      <c r="AA796" s="430"/>
      <c r="AB796" s="430"/>
      <c r="AC796" s="430"/>
      <c r="AD796" s="430"/>
      <c r="AE796" s="430"/>
      <c r="AF796" s="430"/>
      <c r="AG796" s="430"/>
      <c r="AH796" s="430"/>
      <c r="AI796" s="430"/>
      <c r="AJ796" s="430"/>
      <c r="AK796" s="430"/>
      <c r="AL796" s="430"/>
      <c r="AM796" s="430"/>
      <c r="AN796" s="430"/>
      <c r="AO796" s="430"/>
      <c r="AP796" s="430"/>
      <c r="AQ796" s="430"/>
      <c r="AR796" s="430"/>
      <c r="AS796" s="430"/>
      <c r="AT796" s="430"/>
      <c r="AU796" s="430"/>
      <c r="AV796" s="430"/>
      <c r="AW796" s="430"/>
      <c r="AX796" s="430"/>
      <c r="AY796" s="430"/>
      <c r="AZ796" s="430"/>
      <c r="BA796" s="430"/>
      <c r="BB796" s="430"/>
      <c r="BC796" s="430"/>
      <c r="BD796" s="430"/>
      <c r="BE796" s="430"/>
    </row>
    <row r="797" spans="1:57" ht="15.75" customHeight="1">
      <c r="A797" s="430"/>
      <c r="B797" s="430"/>
      <c r="C797" s="430"/>
      <c r="D797" s="430"/>
      <c r="E797" s="430"/>
      <c r="F797" s="430"/>
      <c r="G797" s="430"/>
      <c r="H797" s="430"/>
      <c r="I797" s="430"/>
      <c r="J797" s="430"/>
      <c r="K797" s="430"/>
      <c r="L797" s="430"/>
      <c r="M797" s="430"/>
      <c r="N797" s="430"/>
      <c r="O797" s="430"/>
      <c r="P797" s="430"/>
      <c r="Q797" s="430"/>
      <c r="R797" s="430"/>
      <c r="S797" s="430"/>
      <c r="T797" s="430"/>
      <c r="U797" s="430"/>
      <c r="V797" s="430"/>
      <c r="W797" s="430"/>
      <c r="X797" s="430"/>
      <c r="Y797" s="430"/>
      <c r="Z797" s="430"/>
      <c r="AA797" s="430"/>
      <c r="AB797" s="430"/>
      <c r="AC797" s="430"/>
      <c r="AD797" s="430"/>
      <c r="AE797" s="430"/>
      <c r="AF797" s="430"/>
      <c r="AG797" s="430"/>
      <c r="AH797" s="430"/>
      <c r="AI797" s="430"/>
      <c r="AJ797" s="430"/>
      <c r="AK797" s="430"/>
      <c r="AL797" s="430"/>
      <c r="AM797" s="430"/>
      <c r="AN797" s="430"/>
      <c r="AO797" s="430"/>
      <c r="AP797" s="430"/>
      <c r="AQ797" s="430"/>
      <c r="AR797" s="430"/>
      <c r="AS797" s="430"/>
      <c r="AT797" s="430"/>
      <c r="AU797" s="430"/>
      <c r="AV797" s="430"/>
      <c r="AW797" s="430"/>
      <c r="AX797" s="430"/>
      <c r="AY797" s="430"/>
      <c r="AZ797" s="430"/>
      <c r="BA797" s="430"/>
      <c r="BB797" s="430"/>
      <c r="BC797" s="430"/>
      <c r="BD797" s="430"/>
      <c r="BE797" s="430"/>
    </row>
    <row r="798" spans="1:57" ht="15.75" customHeight="1">
      <c r="A798" s="430"/>
      <c r="B798" s="430"/>
      <c r="C798" s="430"/>
      <c r="D798" s="430"/>
      <c r="E798" s="430"/>
      <c r="F798" s="430"/>
      <c r="G798" s="430"/>
      <c r="H798" s="430"/>
      <c r="I798" s="430"/>
      <c r="J798" s="430"/>
      <c r="K798" s="430"/>
      <c r="L798" s="430"/>
      <c r="M798" s="430"/>
      <c r="N798" s="430"/>
      <c r="O798" s="430"/>
      <c r="P798" s="430"/>
      <c r="Q798" s="430"/>
      <c r="R798" s="430"/>
      <c r="S798" s="430"/>
      <c r="T798" s="430"/>
      <c r="U798" s="430"/>
      <c r="V798" s="430"/>
      <c r="W798" s="430"/>
      <c r="X798" s="430"/>
      <c r="Y798" s="430"/>
      <c r="Z798" s="430"/>
      <c r="AA798" s="430"/>
      <c r="AB798" s="430"/>
      <c r="AC798" s="430"/>
      <c r="AD798" s="430"/>
      <c r="AE798" s="430"/>
      <c r="AF798" s="430"/>
      <c r="AG798" s="430"/>
      <c r="AH798" s="430"/>
      <c r="AI798" s="430"/>
      <c r="AJ798" s="430"/>
      <c r="AK798" s="430"/>
      <c r="AL798" s="430"/>
      <c r="AM798" s="430"/>
      <c r="AN798" s="430"/>
      <c r="AO798" s="430"/>
      <c r="AP798" s="430"/>
      <c r="AQ798" s="430"/>
      <c r="AR798" s="430"/>
      <c r="AS798" s="430"/>
      <c r="AT798" s="430"/>
      <c r="AU798" s="430"/>
      <c r="AV798" s="430"/>
      <c r="AW798" s="430"/>
      <c r="AX798" s="430"/>
      <c r="AY798" s="430"/>
      <c r="AZ798" s="430"/>
      <c r="BA798" s="430"/>
      <c r="BB798" s="430"/>
      <c r="BC798" s="430"/>
      <c r="BD798" s="430"/>
      <c r="BE798" s="430"/>
    </row>
    <row r="799" spans="1:57" ht="15.75" customHeight="1">
      <c r="A799" s="430"/>
      <c r="B799" s="430"/>
      <c r="C799" s="430"/>
      <c r="D799" s="430"/>
      <c r="E799" s="430"/>
      <c r="F799" s="430"/>
      <c r="G799" s="430"/>
      <c r="H799" s="430"/>
      <c r="I799" s="430"/>
      <c r="J799" s="430"/>
      <c r="K799" s="430"/>
      <c r="L799" s="430"/>
      <c r="M799" s="430"/>
      <c r="N799" s="430"/>
      <c r="O799" s="430"/>
      <c r="P799" s="430"/>
      <c r="Q799" s="430"/>
      <c r="R799" s="430"/>
      <c r="S799" s="430"/>
      <c r="T799" s="430"/>
      <c r="U799" s="430"/>
      <c r="V799" s="430"/>
      <c r="W799" s="430"/>
      <c r="X799" s="430"/>
      <c r="Y799" s="430"/>
      <c r="Z799" s="430"/>
      <c r="AA799" s="430"/>
      <c r="AB799" s="430"/>
      <c r="AC799" s="430"/>
      <c r="AD799" s="430"/>
      <c r="AE799" s="430"/>
      <c r="AF799" s="430"/>
      <c r="AG799" s="430"/>
      <c r="AH799" s="430"/>
      <c r="AI799" s="430"/>
      <c r="AJ799" s="430"/>
      <c r="AK799" s="430"/>
      <c r="AL799" s="430"/>
      <c r="AM799" s="430"/>
      <c r="AN799" s="430"/>
      <c r="AO799" s="430"/>
      <c r="AP799" s="430"/>
      <c r="AQ799" s="430"/>
      <c r="AR799" s="430"/>
      <c r="AS799" s="430"/>
      <c r="AT799" s="430"/>
      <c r="AU799" s="430"/>
      <c r="AV799" s="430"/>
      <c r="AW799" s="430"/>
      <c r="AX799" s="430"/>
      <c r="AY799" s="430"/>
      <c r="AZ799" s="430"/>
      <c r="BA799" s="430"/>
      <c r="BB799" s="430"/>
      <c r="BC799" s="430"/>
      <c r="BD799" s="430"/>
      <c r="BE799" s="430"/>
    </row>
    <row r="800" spans="1:57" ht="15.75" customHeight="1">
      <c r="A800" s="430"/>
      <c r="B800" s="430"/>
      <c r="C800" s="430"/>
      <c r="D800" s="430"/>
      <c r="E800" s="430"/>
      <c r="F800" s="430"/>
      <c r="G800" s="430"/>
      <c r="H800" s="430"/>
      <c r="I800" s="430"/>
      <c r="J800" s="430"/>
      <c r="K800" s="430"/>
      <c r="L800" s="430"/>
      <c r="M800" s="430"/>
      <c r="N800" s="430"/>
      <c r="O800" s="430"/>
      <c r="P800" s="430"/>
      <c r="Q800" s="430"/>
      <c r="R800" s="430"/>
      <c r="S800" s="430"/>
      <c r="T800" s="430"/>
      <c r="U800" s="430"/>
      <c r="V800" s="430"/>
      <c r="W800" s="430"/>
      <c r="X800" s="430"/>
      <c r="Y800" s="430"/>
      <c r="Z800" s="430"/>
      <c r="AA800" s="430"/>
      <c r="AB800" s="430"/>
      <c r="AC800" s="430"/>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0"/>
      <c r="AY800" s="430"/>
      <c r="AZ800" s="430"/>
      <c r="BA800" s="430"/>
      <c r="BB800" s="430"/>
      <c r="BC800" s="430"/>
      <c r="BD800" s="430"/>
      <c r="BE800" s="430"/>
    </row>
    <row r="801" spans="1:57" ht="15.75" customHeight="1">
      <c r="A801" s="430"/>
      <c r="B801" s="430"/>
      <c r="C801" s="430"/>
      <c r="D801" s="430"/>
      <c r="E801" s="430"/>
      <c r="F801" s="430"/>
      <c r="G801" s="430"/>
      <c r="H801" s="430"/>
      <c r="I801" s="430"/>
      <c r="J801" s="430"/>
      <c r="K801" s="430"/>
      <c r="L801" s="430"/>
      <c r="M801" s="430"/>
      <c r="N801" s="430"/>
      <c r="O801" s="430"/>
      <c r="P801" s="430"/>
      <c r="Q801" s="430"/>
      <c r="R801" s="430"/>
      <c r="S801" s="430"/>
      <c r="T801" s="430"/>
      <c r="U801" s="430"/>
      <c r="V801" s="430"/>
      <c r="W801" s="430"/>
      <c r="X801" s="430"/>
      <c r="Y801" s="430"/>
      <c r="Z801" s="430"/>
      <c r="AA801" s="430"/>
      <c r="AB801" s="430"/>
      <c r="AC801" s="430"/>
      <c r="AD801" s="430"/>
      <c r="AE801" s="430"/>
      <c r="AF801" s="430"/>
      <c r="AG801" s="430"/>
      <c r="AH801" s="430"/>
      <c r="AI801" s="430"/>
      <c r="AJ801" s="430"/>
      <c r="AK801" s="430"/>
      <c r="AL801" s="430"/>
      <c r="AM801" s="430"/>
      <c r="AN801" s="430"/>
      <c r="AO801" s="430"/>
      <c r="AP801" s="430"/>
      <c r="AQ801" s="430"/>
      <c r="AR801" s="430"/>
      <c r="AS801" s="430"/>
      <c r="AT801" s="430"/>
      <c r="AU801" s="430"/>
      <c r="AV801" s="430"/>
      <c r="AW801" s="430"/>
      <c r="AX801" s="430"/>
      <c r="AY801" s="430"/>
      <c r="AZ801" s="430"/>
      <c r="BA801" s="430"/>
      <c r="BB801" s="430"/>
      <c r="BC801" s="430"/>
      <c r="BD801" s="430"/>
      <c r="BE801" s="430"/>
    </row>
    <row r="802" spans="1:57" ht="15.75" customHeight="1">
      <c r="A802" s="430"/>
      <c r="B802" s="430"/>
      <c r="C802" s="430"/>
      <c r="D802" s="430"/>
      <c r="E802" s="430"/>
      <c r="F802" s="430"/>
      <c r="G802" s="430"/>
      <c r="H802" s="430"/>
      <c r="I802" s="430"/>
      <c r="J802" s="430"/>
      <c r="K802" s="430"/>
      <c r="L802" s="430"/>
      <c r="M802" s="430"/>
      <c r="N802" s="430"/>
      <c r="O802" s="430"/>
      <c r="P802" s="430"/>
      <c r="Q802" s="430"/>
      <c r="R802" s="430"/>
      <c r="S802" s="430"/>
      <c r="T802" s="430"/>
      <c r="U802" s="430"/>
      <c r="V802" s="430"/>
      <c r="W802" s="430"/>
      <c r="X802" s="430"/>
      <c r="Y802" s="430"/>
      <c r="Z802" s="430"/>
      <c r="AA802" s="430"/>
      <c r="AB802" s="430"/>
      <c r="AC802" s="430"/>
      <c r="AD802" s="430"/>
      <c r="AE802" s="430"/>
      <c r="AF802" s="430"/>
      <c r="AG802" s="430"/>
      <c r="AH802" s="430"/>
      <c r="AI802" s="430"/>
      <c r="AJ802" s="430"/>
      <c r="AK802" s="430"/>
      <c r="AL802" s="430"/>
      <c r="AM802" s="430"/>
      <c r="AN802" s="430"/>
      <c r="AO802" s="430"/>
      <c r="AP802" s="430"/>
      <c r="AQ802" s="430"/>
      <c r="AR802" s="430"/>
      <c r="AS802" s="430"/>
      <c r="AT802" s="430"/>
      <c r="AU802" s="430"/>
      <c r="AV802" s="430"/>
      <c r="AW802" s="430"/>
      <c r="AX802" s="430"/>
      <c r="AY802" s="430"/>
      <c r="AZ802" s="430"/>
      <c r="BA802" s="430"/>
      <c r="BB802" s="430"/>
      <c r="BC802" s="430"/>
      <c r="BD802" s="430"/>
      <c r="BE802" s="430"/>
    </row>
    <row r="803" spans="1:57" ht="15.75" customHeight="1">
      <c r="A803" s="430"/>
      <c r="B803" s="430"/>
      <c r="C803" s="430"/>
      <c r="D803" s="430"/>
      <c r="E803" s="430"/>
      <c r="F803" s="430"/>
      <c r="G803" s="430"/>
      <c r="H803" s="430"/>
      <c r="I803" s="430"/>
      <c r="J803" s="430"/>
      <c r="K803" s="430"/>
      <c r="L803" s="430"/>
      <c r="M803" s="430"/>
      <c r="N803" s="430"/>
      <c r="O803" s="430"/>
      <c r="P803" s="430"/>
      <c r="Q803" s="430"/>
      <c r="R803" s="430"/>
      <c r="S803" s="430"/>
      <c r="T803" s="430"/>
      <c r="U803" s="430"/>
      <c r="V803" s="430"/>
      <c r="W803" s="430"/>
      <c r="X803" s="430"/>
      <c r="Y803" s="430"/>
      <c r="Z803" s="430"/>
      <c r="AA803" s="430"/>
      <c r="AB803" s="430"/>
      <c r="AC803" s="430"/>
      <c r="AD803" s="430"/>
      <c r="AE803" s="430"/>
      <c r="AF803" s="430"/>
      <c r="AG803" s="430"/>
      <c r="AH803" s="430"/>
      <c r="AI803" s="430"/>
      <c r="AJ803" s="430"/>
      <c r="AK803" s="430"/>
      <c r="AL803" s="430"/>
      <c r="AM803" s="430"/>
      <c r="AN803" s="430"/>
      <c r="AO803" s="430"/>
      <c r="AP803" s="430"/>
      <c r="AQ803" s="430"/>
      <c r="AR803" s="430"/>
      <c r="AS803" s="430"/>
      <c r="AT803" s="430"/>
      <c r="AU803" s="430"/>
      <c r="AV803" s="430"/>
      <c r="AW803" s="430"/>
      <c r="AX803" s="430"/>
      <c r="AY803" s="430"/>
      <c r="AZ803" s="430"/>
      <c r="BA803" s="430"/>
      <c r="BB803" s="430"/>
      <c r="BC803" s="430"/>
      <c r="BD803" s="430"/>
      <c r="BE803" s="430"/>
    </row>
    <row r="804" spans="1:57" ht="15.75" customHeight="1">
      <c r="A804" s="430"/>
      <c r="B804" s="430"/>
      <c r="C804" s="430"/>
      <c r="D804" s="430"/>
      <c r="E804" s="430"/>
      <c r="F804" s="430"/>
      <c r="G804" s="430"/>
      <c r="H804" s="430"/>
      <c r="I804" s="430"/>
      <c r="J804" s="430"/>
      <c r="K804" s="430"/>
      <c r="L804" s="430"/>
      <c r="M804" s="430"/>
      <c r="N804" s="430"/>
      <c r="O804" s="430"/>
      <c r="P804" s="430"/>
      <c r="Q804" s="430"/>
      <c r="R804" s="430"/>
      <c r="S804" s="430"/>
      <c r="T804" s="430"/>
      <c r="U804" s="430"/>
      <c r="V804" s="430"/>
      <c r="W804" s="430"/>
      <c r="X804" s="430"/>
      <c r="Y804" s="430"/>
      <c r="Z804" s="430"/>
      <c r="AA804" s="430"/>
      <c r="AB804" s="430"/>
      <c r="AC804" s="430"/>
      <c r="AD804" s="430"/>
      <c r="AE804" s="430"/>
      <c r="AF804" s="430"/>
      <c r="AG804" s="430"/>
      <c r="AH804" s="430"/>
      <c r="AI804" s="430"/>
      <c r="AJ804" s="430"/>
      <c r="AK804" s="430"/>
      <c r="AL804" s="430"/>
      <c r="AM804" s="430"/>
      <c r="AN804" s="430"/>
      <c r="AO804" s="430"/>
      <c r="AP804" s="430"/>
      <c r="AQ804" s="430"/>
      <c r="AR804" s="430"/>
      <c r="AS804" s="430"/>
      <c r="AT804" s="430"/>
      <c r="AU804" s="430"/>
      <c r="AV804" s="430"/>
      <c r="AW804" s="430"/>
      <c r="AX804" s="430"/>
      <c r="AY804" s="430"/>
      <c r="AZ804" s="430"/>
      <c r="BA804" s="430"/>
      <c r="BB804" s="430"/>
      <c r="BC804" s="430"/>
      <c r="BD804" s="430"/>
      <c r="BE804" s="430"/>
    </row>
    <row r="805" spans="1:57" ht="15.75" customHeight="1">
      <c r="A805" s="430"/>
      <c r="B805" s="430"/>
      <c r="C805" s="430"/>
      <c r="D805" s="430"/>
      <c r="E805" s="430"/>
      <c r="F805" s="430"/>
      <c r="G805" s="430"/>
      <c r="H805" s="430"/>
      <c r="I805" s="430"/>
      <c r="J805" s="430"/>
      <c r="K805" s="430"/>
      <c r="L805" s="430"/>
      <c r="M805" s="430"/>
      <c r="N805" s="430"/>
      <c r="O805" s="430"/>
      <c r="P805" s="430"/>
      <c r="Q805" s="430"/>
      <c r="R805" s="430"/>
      <c r="S805" s="430"/>
      <c r="T805" s="430"/>
      <c r="U805" s="430"/>
      <c r="V805" s="430"/>
      <c r="W805" s="430"/>
      <c r="X805" s="430"/>
      <c r="Y805" s="430"/>
      <c r="Z805" s="430"/>
      <c r="AA805" s="430"/>
      <c r="AB805" s="430"/>
      <c r="AC805" s="430"/>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0"/>
      <c r="AY805" s="430"/>
      <c r="AZ805" s="430"/>
      <c r="BA805" s="430"/>
      <c r="BB805" s="430"/>
      <c r="BC805" s="430"/>
      <c r="BD805" s="430"/>
      <c r="BE805" s="430"/>
    </row>
    <row r="806" spans="1:57" ht="15.75" customHeight="1">
      <c r="A806" s="430"/>
      <c r="B806" s="430"/>
      <c r="C806" s="430"/>
      <c r="D806" s="430"/>
      <c r="E806" s="430"/>
      <c r="F806" s="430"/>
      <c r="G806" s="430"/>
      <c r="H806" s="430"/>
      <c r="I806" s="430"/>
      <c r="J806" s="430"/>
      <c r="K806" s="430"/>
      <c r="L806" s="430"/>
      <c r="M806" s="430"/>
      <c r="N806" s="430"/>
      <c r="O806" s="430"/>
      <c r="P806" s="430"/>
      <c r="Q806" s="430"/>
      <c r="R806" s="430"/>
      <c r="S806" s="430"/>
      <c r="T806" s="430"/>
      <c r="U806" s="430"/>
      <c r="V806" s="430"/>
      <c r="W806" s="430"/>
      <c r="X806" s="430"/>
      <c r="Y806" s="430"/>
      <c r="Z806" s="430"/>
      <c r="AA806" s="430"/>
      <c r="AB806" s="430"/>
      <c r="AC806" s="430"/>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0"/>
      <c r="AY806" s="430"/>
      <c r="AZ806" s="430"/>
      <c r="BA806" s="430"/>
      <c r="BB806" s="430"/>
      <c r="BC806" s="430"/>
      <c r="BD806" s="430"/>
      <c r="BE806" s="430"/>
    </row>
    <row r="807" spans="1:57" ht="15.75" customHeight="1">
      <c r="A807" s="430"/>
      <c r="B807" s="430"/>
      <c r="C807" s="430"/>
      <c r="D807" s="430"/>
      <c r="E807" s="430"/>
      <c r="F807" s="430"/>
      <c r="G807" s="430"/>
      <c r="H807" s="430"/>
      <c r="I807" s="430"/>
      <c r="J807" s="430"/>
      <c r="K807" s="430"/>
      <c r="L807" s="430"/>
      <c r="M807" s="430"/>
      <c r="N807" s="430"/>
      <c r="O807" s="430"/>
      <c r="P807" s="430"/>
      <c r="Q807" s="430"/>
      <c r="R807" s="430"/>
      <c r="S807" s="430"/>
      <c r="T807" s="430"/>
      <c r="U807" s="430"/>
      <c r="V807" s="430"/>
      <c r="W807" s="430"/>
      <c r="X807" s="430"/>
      <c r="Y807" s="430"/>
      <c r="Z807" s="430"/>
      <c r="AA807" s="430"/>
      <c r="AB807" s="430"/>
      <c r="AC807" s="430"/>
      <c r="AD807" s="430"/>
      <c r="AE807" s="430"/>
      <c r="AF807" s="430"/>
      <c r="AG807" s="430"/>
      <c r="AH807" s="430"/>
      <c r="AI807" s="430"/>
      <c r="AJ807" s="430"/>
      <c r="AK807" s="430"/>
      <c r="AL807" s="430"/>
      <c r="AM807" s="430"/>
      <c r="AN807" s="430"/>
      <c r="AO807" s="430"/>
      <c r="AP807" s="430"/>
      <c r="AQ807" s="430"/>
      <c r="AR807" s="430"/>
      <c r="AS807" s="430"/>
      <c r="AT807" s="430"/>
      <c r="AU807" s="430"/>
      <c r="AV807" s="430"/>
      <c r="AW807" s="430"/>
      <c r="AX807" s="430"/>
      <c r="AY807" s="430"/>
      <c r="AZ807" s="430"/>
      <c r="BA807" s="430"/>
      <c r="BB807" s="430"/>
      <c r="BC807" s="430"/>
      <c r="BD807" s="430"/>
      <c r="BE807" s="430"/>
    </row>
    <row r="808" spans="1:57" ht="15.75" customHeight="1">
      <c r="A808" s="430"/>
      <c r="B808" s="430"/>
      <c r="C808" s="430"/>
      <c r="D808" s="430"/>
      <c r="E808" s="430"/>
      <c r="F808" s="430"/>
      <c r="G808" s="430"/>
      <c r="H808" s="430"/>
      <c r="I808" s="430"/>
      <c r="J808" s="430"/>
      <c r="K808" s="430"/>
      <c r="L808" s="430"/>
      <c r="M808" s="430"/>
      <c r="N808" s="430"/>
      <c r="O808" s="430"/>
      <c r="P808" s="430"/>
      <c r="Q808" s="430"/>
      <c r="R808" s="430"/>
      <c r="S808" s="430"/>
      <c r="T808" s="430"/>
      <c r="U808" s="430"/>
      <c r="V808" s="430"/>
      <c r="W808" s="430"/>
      <c r="X808" s="430"/>
      <c r="Y808" s="430"/>
      <c r="Z808" s="430"/>
      <c r="AA808" s="430"/>
      <c r="AB808" s="430"/>
      <c r="AC808" s="430"/>
      <c r="AD808" s="430"/>
      <c r="AE808" s="430"/>
      <c r="AF808" s="430"/>
      <c r="AG808" s="430"/>
      <c r="AH808" s="430"/>
      <c r="AI808" s="430"/>
      <c r="AJ808" s="430"/>
      <c r="AK808" s="430"/>
      <c r="AL808" s="430"/>
      <c r="AM808" s="430"/>
      <c r="AN808" s="430"/>
      <c r="AO808" s="430"/>
      <c r="AP808" s="430"/>
      <c r="AQ808" s="430"/>
      <c r="AR808" s="430"/>
      <c r="AS808" s="430"/>
      <c r="AT808" s="430"/>
      <c r="AU808" s="430"/>
      <c r="AV808" s="430"/>
      <c r="AW808" s="430"/>
      <c r="AX808" s="430"/>
      <c r="AY808" s="430"/>
      <c r="AZ808" s="430"/>
      <c r="BA808" s="430"/>
      <c r="BB808" s="430"/>
      <c r="BC808" s="430"/>
      <c r="BD808" s="430"/>
      <c r="BE808" s="430"/>
    </row>
    <row r="809" spans="1:57" ht="15.75" customHeight="1">
      <c r="A809" s="430"/>
      <c r="B809" s="430"/>
      <c r="C809" s="430"/>
      <c r="D809" s="430"/>
      <c r="E809" s="430"/>
      <c r="F809" s="430"/>
      <c r="G809" s="430"/>
      <c r="H809" s="430"/>
      <c r="I809" s="430"/>
      <c r="J809" s="430"/>
      <c r="K809" s="430"/>
      <c r="L809" s="430"/>
      <c r="M809" s="430"/>
      <c r="N809" s="430"/>
      <c r="O809" s="430"/>
      <c r="P809" s="430"/>
      <c r="Q809" s="430"/>
      <c r="R809" s="430"/>
      <c r="S809" s="430"/>
      <c r="T809" s="430"/>
      <c r="U809" s="430"/>
      <c r="V809" s="430"/>
      <c r="W809" s="430"/>
      <c r="X809" s="430"/>
      <c r="Y809" s="430"/>
      <c r="Z809" s="430"/>
      <c r="AA809" s="430"/>
      <c r="AB809" s="430"/>
      <c r="AC809" s="430"/>
      <c r="AD809" s="430"/>
      <c r="AE809" s="430"/>
      <c r="AF809" s="430"/>
      <c r="AG809" s="430"/>
      <c r="AH809" s="430"/>
      <c r="AI809" s="430"/>
      <c r="AJ809" s="430"/>
      <c r="AK809" s="430"/>
      <c r="AL809" s="430"/>
      <c r="AM809" s="430"/>
      <c r="AN809" s="430"/>
      <c r="AO809" s="430"/>
      <c r="AP809" s="430"/>
      <c r="AQ809" s="430"/>
      <c r="AR809" s="430"/>
      <c r="AS809" s="430"/>
      <c r="AT809" s="430"/>
      <c r="AU809" s="430"/>
      <c r="AV809" s="430"/>
      <c r="AW809" s="430"/>
      <c r="AX809" s="430"/>
      <c r="AY809" s="430"/>
      <c r="AZ809" s="430"/>
      <c r="BA809" s="430"/>
      <c r="BB809" s="430"/>
      <c r="BC809" s="430"/>
      <c r="BD809" s="430"/>
      <c r="BE809" s="430"/>
    </row>
    <row r="810" spans="1:57" ht="15.75" customHeight="1">
      <c r="A810" s="430"/>
      <c r="B810" s="430"/>
      <c r="C810" s="430"/>
      <c r="D810" s="430"/>
      <c r="E810" s="430"/>
      <c r="F810" s="430"/>
      <c r="G810" s="430"/>
      <c r="H810" s="430"/>
      <c r="I810" s="430"/>
      <c r="J810" s="430"/>
      <c r="K810" s="430"/>
      <c r="L810" s="430"/>
      <c r="M810" s="430"/>
      <c r="N810" s="430"/>
      <c r="O810" s="430"/>
      <c r="P810" s="430"/>
      <c r="Q810" s="430"/>
      <c r="R810" s="430"/>
      <c r="S810" s="430"/>
      <c r="T810" s="430"/>
      <c r="U810" s="430"/>
      <c r="V810" s="430"/>
      <c r="W810" s="430"/>
      <c r="X810" s="430"/>
      <c r="Y810" s="430"/>
      <c r="Z810" s="430"/>
      <c r="AA810" s="430"/>
      <c r="AB810" s="430"/>
      <c r="AC810" s="430"/>
      <c r="AD810" s="430"/>
      <c r="AE810" s="430"/>
      <c r="AF810" s="430"/>
      <c r="AG810" s="430"/>
      <c r="AH810" s="430"/>
      <c r="AI810" s="430"/>
      <c r="AJ810" s="430"/>
      <c r="AK810" s="430"/>
      <c r="AL810" s="430"/>
      <c r="AM810" s="430"/>
      <c r="AN810" s="430"/>
      <c r="AO810" s="430"/>
      <c r="AP810" s="430"/>
      <c r="AQ810" s="430"/>
      <c r="AR810" s="430"/>
      <c r="AS810" s="430"/>
      <c r="AT810" s="430"/>
      <c r="AU810" s="430"/>
      <c r="AV810" s="430"/>
      <c r="AW810" s="430"/>
      <c r="AX810" s="430"/>
      <c r="AY810" s="430"/>
      <c r="AZ810" s="430"/>
      <c r="BA810" s="430"/>
      <c r="BB810" s="430"/>
      <c r="BC810" s="430"/>
      <c r="BD810" s="430"/>
      <c r="BE810" s="430"/>
    </row>
    <row r="811" spans="1:57" ht="15.75" customHeight="1">
      <c r="A811" s="430"/>
      <c r="B811" s="430"/>
      <c r="C811" s="430"/>
      <c r="D811" s="430"/>
      <c r="E811" s="430"/>
      <c r="F811" s="430"/>
      <c r="G811" s="430"/>
      <c r="H811" s="430"/>
      <c r="I811" s="430"/>
      <c r="J811" s="430"/>
      <c r="K811" s="430"/>
      <c r="L811" s="430"/>
      <c r="M811" s="430"/>
      <c r="N811" s="430"/>
      <c r="O811" s="430"/>
      <c r="P811" s="430"/>
      <c r="Q811" s="430"/>
      <c r="R811" s="430"/>
      <c r="S811" s="430"/>
      <c r="T811" s="430"/>
      <c r="U811" s="430"/>
      <c r="V811" s="430"/>
      <c r="W811" s="430"/>
      <c r="X811" s="430"/>
      <c r="Y811" s="430"/>
      <c r="Z811" s="430"/>
      <c r="AA811" s="430"/>
      <c r="AB811" s="430"/>
      <c r="AC811" s="430"/>
      <c r="AD811" s="430"/>
      <c r="AE811" s="430"/>
      <c r="AF811" s="430"/>
      <c r="AG811" s="430"/>
      <c r="AH811" s="430"/>
      <c r="AI811" s="430"/>
      <c r="AJ811" s="430"/>
      <c r="AK811" s="430"/>
      <c r="AL811" s="430"/>
      <c r="AM811" s="430"/>
      <c r="AN811" s="430"/>
      <c r="AO811" s="430"/>
      <c r="AP811" s="430"/>
      <c r="AQ811" s="430"/>
      <c r="AR811" s="430"/>
      <c r="AS811" s="430"/>
      <c r="AT811" s="430"/>
      <c r="AU811" s="430"/>
      <c r="AV811" s="430"/>
      <c r="AW811" s="430"/>
      <c r="AX811" s="430"/>
      <c r="AY811" s="430"/>
      <c r="AZ811" s="430"/>
      <c r="BA811" s="430"/>
      <c r="BB811" s="430"/>
      <c r="BC811" s="430"/>
      <c r="BD811" s="430"/>
      <c r="BE811" s="430"/>
    </row>
    <row r="812" spans="1:57" ht="15.75" customHeight="1">
      <c r="A812" s="430"/>
      <c r="B812" s="430"/>
      <c r="C812" s="430"/>
      <c r="D812" s="430"/>
      <c r="E812" s="430"/>
      <c r="F812" s="430"/>
      <c r="G812" s="430"/>
      <c r="H812" s="430"/>
      <c r="I812" s="430"/>
      <c r="J812" s="430"/>
      <c r="K812" s="430"/>
      <c r="L812" s="430"/>
      <c r="M812" s="430"/>
      <c r="N812" s="430"/>
      <c r="O812" s="430"/>
      <c r="P812" s="430"/>
      <c r="Q812" s="430"/>
      <c r="R812" s="430"/>
      <c r="S812" s="430"/>
      <c r="T812" s="430"/>
      <c r="U812" s="430"/>
      <c r="V812" s="430"/>
      <c r="W812" s="430"/>
      <c r="X812" s="430"/>
      <c r="Y812" s="430"/>
      <c r="Z812" s="430"/>
      <c r="AA812" s="430"/>
      <c r="AB812" s="430"/>
      <c r="AC812" s="430"/>
      <c r="AD812" s="430"/>
      <c r="AE812" s="430"/>
      <c r="AF812" s="430"/>
      <c r="AG812" s="430"/>
      <c r="AH812" s="430"/>
      <c r="AI812" s="430"/>
      <c r="AJ812" s="430"/>
      <c r="AK812" s="430"/>
      <c r="AL812" s="430"/>
      <c r="AM812" s="430"/>
      <c r="AN812" s="430"/>
      <c r="AO812" s="430"/>
      <c r="AP812" s="430"/>
      <c r="AQ812" s="430"/>
      <c r="AR812" s="430"/>
      <c r="AS812" s="430"/>
      <c r="AT812" s="430"/>
      <c r="AU812" s="430"/>
      <c r="AV812" s="430"/>
      <c r="AW812" s="430"/>
      <c r="AX812" s="430"/>
      <c r="AY812" s="430"/>
      <c r="AZ812" s="430"/>
      <c r="BA812" s="430"/>
      <c r="BB812" s="430"/>
      <c r="BC812" s="430"/>
      <c r="BD812" s="430"/>
      <c r="BE812" s="430"/>
    </row>
    <row r="813" spans="1:57" ht="15.75" customHeight="1">
      <c r="A813" s="430"/>
      <c r="B813" s="430"/>
      <c r="C813" s="430"/>
      <c r="D813" s="430"/>
      <c r="E813" s="430"/>
      <c r="F813" s="430"/>
      <c r="G813" s="430"/>
      <c r="H813" s="430"/>
      <c r="I813" s="430"/>
      <c r="J813" s="430"/>
      <c r="K813" s="430"/>
      <c r="L813" s="430"/>
      <c r="M813" s="430"/>
      <c r="N813" s="430"/>
      <c r="O813" s="430"/>
      <c r="P813" s="430"/>
      <c r="Q813" s="430"/>
      <c r="R813" s="430"/>
      <c r="S813" s="430"/>
      <c r="T813" s="430"/>
      <c r="U813" s="430"/>
      <c r="V813" s="430"/>
      <c r="W813" s="430"/>
      <c r="X813" s="430"/>
      <c r="Y813" s="430"/>
      <c r="Z813" s="430"/>
      <c r="AA813" s="430"/>
      <c r="AB813" s="430"/>
      <c r="AC813" s="430"/>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0"/>
      <c r="AY813" s="430"/>
      <c r="AZ813" s="430"/>
      <c r="BA813" s="430"/>
      <c r="BB813" s="430"/>
      <c r="BC813" s="430"/>
      <c r="BD813" s="430"/>
      <c r="BE813" s="430"/>
    </row>
    <row r="814" spans="1:57" ht="15.75" customHeight="1">
      <c r="A814" s="430"/>
      <c r="B814" s="430"/>
      <c r="C814" s="430"/>
      <c r="D814" s="430"/>
      <c r="E814" s="430"/>
      <c r="F814" s="430"/>
      <c r="G814" s="430"/>
      <c r="H814" s="430"/>
      <c r="I814" s="430"/>
      <c r="J814" s="430"/>
      <c r="K814" s="430"/>
      <c r="L814" s="430"/>
      <c r="M814" s="430"/>
      <c r="N814" s="430"/>
      <c r="O814" s="430"/>
      <c r="P814" s="430"/>
      <c r="Q814" s="430"/>
      <c r="R814" s="430"/>
      <c r="S814" s="430"/>
      <c r="T814" s="430"/>
      <c r="U814" s="430"/>
      <c r="V814" s="430"/>
      <c r="W814" s="430"/>
      <c r="X814" s="430"/>
      <c r="Y814" s="430"/>
      <c r="Z814" s="430"/>
      <c r="AA814" s="430"/>
      <c r="AB814" s="430"/>
      <c r="AC814" s="430"/>
      <c r="AD814" s="430"/>
      <c r="AE814" s="430"/>
      <c r="AF814" s="430"/>
      <c r="AG814" s="430"/>
      <c r="AH814" s="430"/>
      <c r="AI814" s="430"/>
      <c r="AJ814" s="430"/>
      <c r="AK814" s="430"/>
      <c r="AL814" s="430"/>
      <c r="AM814" s="430"/>
      <c r="AN814" s="430"/>
      <c r="AO814" s="430"/>
      <c r="AP814" s="430"/>
      <c r="AQ814" s="430"/>
      <c r="AR814" s="430"/>
      <c r="AS814" s="430"/>
      <c r="AT814" s="430"/>
      <c r="AU814" s="430"/>
      <c r="AV814" s="430"/>
      <c r="AW814" s="430"/>
      <c r="AX814" s="430"/>
      <c r="AY814" s="430"/>
      <c r="AZ814" s="430"/>
      <c r="BA814" s="430"/>
      <c r="BB814" s="430"/>
      <c r="BC814" s="430"/>
      <c r="BD814" s="430"/>
      <c r="BE814" s="430"/>
    </row>
    <row r="815" spans="1:57" ht="15.75" customHeight="1">
      <c r="A815" s="430"/>
      <c r="B815" s="430"/>
      <c r="C815" s="430"/>
      <c r="D815" s="430"/>
      <c r="E815" s="430"/>
      <c r="F815" s="430"/>
      <c r="G815" s="430"/>
      <c r="H815" s="430"/>
      <c r="I815" s="430"/>
      <c r="J815" s="430"/>
      <c r="K815" s="430"/>
      <c r="L815" s="430"/>
      <c r="M815" s="430"/>
      <c r="N815" s="430"/>
      <c r="O815" s="430"/>
      <c r="P815" s="430"/>
      <c r="Q815" s="430"/>
      <c r="R815" s="430"/>
      <c r="S815" s="430"/>
      <c r="T815" s="430"/>
      <c r="U815" s="430"/>
      <c r="V815" s="430"/>
      <c r="W815" s="430"/>
      <c r="X815" s="430"/>
      <c r="Y815" s="430"/>
      <c r="Z815" s="430"/>
      <c r="AA815" s="430"/>
      <c r="AB815" s="430"/>
      <c r="AC815" s="430"/>
      <c r="AD815" s="430"/>
      <c r="AE815" s="430"/>
      <c r="AF815" s="430"/>
      <c r="AG815" s="430"/>
      <c r="AH815" s="430"/>
      <c r="AI815" s="430"/>
      <c r="AJ815" s="430"/>
      <c r="AK815" s="430"/>
      <c r="AL815" s="430"/>
      <c r="AM815" s="430"/>
      <c r="AN815" s="430"/>
      <c r="AO815" s="430"/>
      <c r="AP815" s="430"/>
      <c r="AQ815" s="430"/>
      <c r="AR815" s="430"/>
      <c r="AS815" s="430"/>
      <c r="AT815" s="430"/>
      <c r="AU815" s="430"/>
      <c r="AV815" s="430"/>
      <c r="AW815" s="430"/>
      <c r="AX815" s="430"/>
      <c r="AY815" s="430"/>
      <c r="AZ815" s="430"/>
      <c r="BA815" s="430"/>
      <c r="BB815" s="430"/>
      <c r="BC815" s="430"/>
      <c r="BD815" s="430"/>
      <c r="BE815" s="430"/>
    </row>
    <row r="816" spans="1:57" ht="15.75" customHeight="1">
      <c r="A816" s="430"/>
      <c r="B816" s="430"/>
      <c r="C816" s="430"/>
      <c r="D816" s="430"/>
      <c r="E816" s="430"/>
      <c r="F816" s="430"/>
      <c r="G816" s="430"/>
      <c r="H816" s="430"/>
      <c r="I816" s="430"/>
      <c r="J816" s="430"/>
      <c r="K816" s="430"/>
      <c r="L816" s="430"/>
      <c r="M816" s="430"/>
      <c r="N816" s="430"/>
      <c r="O816" s="430"/>
      <c r="P816" s="430"/>
      <c r="Q816" s="430"/>
      <c r="R816" s="430"/>
      <c r="S816" s="430"/>
      <c r="T816" s="430"/>
      <c r="U816" s="430"/>
      <c r="V816" s="430"/>
      <c r="W816" s="430"/>
      <c r="X816" s="430"/>
      <c r="Y816" s="430"/>
      <c r="Z816" s="430"/>
      <c r="AA816" s="430"/>
      <c r="AB816" s="430"/>
      <c r="AC816" s="430"/>
      <c r="AD816" s="430"/>
      <c r="AE816" s="430"/>
      <c r="AF816" s="430"/>
      <c r="AG816" s="430"/>
      <c r="AH816" s="430"/>
      <c r="AI816" s="430"/>
      <c r="AJ816" s="430"/>
      <c r="AK816" s="430"/>
      <c r="AL816" s="430"/>
      <c r="AM816" s="430"/>
      <c r="AN816" s="430"/>
      <c r="AO816" s="430"/>
      <c r="AP816" s="430"/>
      <c r="AQ816" s="430"/>
      <c r="AR816" s="430"/>
      <c r="AS816" s="430"/>
      <c r="AT816" s="430"/>
      <c r="AU816" s="430"/>
      <c r="AV816" s="430"/>
      <c r="AW816" s="430"/>
      <c r="AX816" s="430"/>
      <c r="AY816" s="430"/>
      <c r="AZ816" s="430"/>
      <c r="BA816" s="430"/>
      <c r="BB816" s="430"/>
      <c r="BC816" s="430"/>
      <c r="BD816" s="430"/>
      <c r="BE816" s="430"/>
    </row>
    <row r="817" spans="1:57" ht="15.75" customHeight="1">
      <c r="A817" s="430"/>
      <c r="B817" s="430"/>
      <c r="C817" s="430"/>
      <c r="D817" s="430"/>
      <c r="E817" s="430"/>
      <c r="F817" s="430"/>
      <c r="G817" s="430"/>
      <c r="H817" s="430"/>
      <c r="I817" s="430"/>
      <c r="J817" s="430"/>
      <c r="K817" s="430"/>
      <c r="L817" s="430"/>
      <c r="M817" s="430"/>
      <c r="N817" s="430"/>
      <c r="O817" s="430"/>
      <c r="P817" s="430"/>
      <c r="Q817" s="430"/>
      <c r="R817" s="430"/>
      <c r="S817" s="430"/>
      <c r="T817" s="430"/>
      <c r="U817" s="430"/>
      <c r="V817" s="430"/>
      <c r="W817" s="430"/>
      <c r="X817" s="430"/>
      <c r="Y817" s="430"/>
      <c r="Z817" s="430"/>
      <c r="AA817" s="430"/>
      <c r="AB817" s="430"/>
      <c r="AC817" s="430"/>
      <c r="AD817" s="430"/>
      <c r="AE817" s="430"/>
      <c r="AF817" s="430"/>
      <c r="AG817" s="430"/>
      <c r="AH817" s="430"/>
      <c r="AI817" s="430"/>
      <c r="AJ817" s="430"/>
      <c r="AK817" s="430"/>
      <c r="AL817" s="430"/>
      <c r="AM817" s="430"/>
      <c r="AN817" s="430"/>
      <c r="AO817" s="430"/>
      <c r="AP817" s="430"/>
      <c r="AQ817" s="430"/>
      <c r="AR817" s="430"/>
      <c r="AS817" s="430"/>
      <c r="AT817" s="430"/>
      <c r="AU817" s="430"/>
      <c r="AV817" s="430"/>
      <c r="AW817" s="430"/>
      <c r="AX817" s="430"/>
      <c r="AY817" s="430"/>
      <c r="AZ817" s="430"/>
      <c r="BA817" s="430"/>
      <c r="BB817" s="430"/>
      <c r="BC817" s="430"/>
      <c r="BD817" s="430"/>
      <c r="BE817" s="430"/>
    </row>
    <row r="818" spans="1:57" ht="15.75" customHeight="1">
      <c r="A818" s="430"/>
      <c r="B818" s="430"/>
      <c r="C818" s="430"/>
      <c r="D818" s="430"/>
      <c r="E818" s="430"/>
      <c r="F818" s="430"/>
      <c r="G818" s="430"/>
      <c r="H818" s="430"/>
      <c r="I818" s="430"/>
      <c r="J818" s="430"/>
      <c r="K818" s="430"/>
      <c r="L818" s="430"/>
      <c r="M818" s="430"/>
      <c r="N818" s="430"/>
      <c r="O818" s="430"/>
      <c r="P818" s="430"/>
      <c r="Q818" s="430"/>
      <c r="R818" s="430"/>
      <c r="S818" s="430"/>
      <c r="T818" s="430"/>
      <c r="U818" s="430"/>
      <c r="V818" s="430"/>
      <c r="W818" s="430"/>
      <c r="X818" s="430"/>
      <c r="Y818" s="430"/>
      <c r="Z818" s="430"/>
      <c r="AA818" s="430"/>
      <c r="AB818" s="430"/>
      <c r="AC818" s="430"/>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0"/>
      <c r="AY818" s="430"/>
      <c r="AZ818" s="430"/>
      <c r="BA818" s="430"/>
      <c r="BB818" s="430"/>
      <c r="BC818" s="430"/>
      <c r="BD818" s="430"/>
      <c r="BE818" s="430"/>
    </row>
    <row r="819" spans="1:57" ht="15.75" customHeight="1">
      <c r="A819" s="430"/>
      <c r="B819" s="430"/>
      <c r="C819" s="430"/>
      <c r="D819" s="430"/>
      <c r="E819" s="430"/>
      <c r="F819" s="430"/>
      <c r="G819" s="430"/>
      <c r="H819" s="430"/>
      <c r="I819" s="430"/>
      <c r="J819" s="430"/>
      <c r="K819" s="430"/>
      <c r="L819" s="430"/>
      <c r="M819" s="430"/>
      <c r="N819" s="430"/>
      <c r="O819" s="430"/>
      <c r="P819" s="430"/>
      <c r="Q819" s="430"/>
      <c r="R819" s="430"/>
      <c r="S819" s="430"/>
      <c r="T819" s="430"/>
      <c r="U819" s="430"/>
      <c r="V819" s="430"/>
      <c r="W819" s="430"/>
      <c r="X819" s="430"/>
      <c r="Y819" s="430"/>
      <c r="Z819" s="430"/>
      <c r="AA819" s="430"/>
      <c r="AB819" s="430"/>
      <c r="AC819" s="430"/>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0"/>
      <c r="AY819" s="430"/>
      <c r="AZ819" s="430"/>
      <c r="BA819" s="430"/>
      <c r="BB819" s="430"/>
      <c r="BC819" s="430"/>
      <c r="BD819" s="430"/>
      <c r="BE819" s="430"/>
    </row>
    <row r="820" spans="1:57" ht="15.75" customHeight="1">
      <c r="A820" s="430"/>
      <c r="B820" s="430"/>
      <c r="C820" s="430"/>
      <c r="D820" s="430"/>
      <c r="E820" s="430"/>
      <c r="F820" s="430"/>
      <c r="G820" s="430"/>
      <c r="H820" s="430"/>
      <c r="I820" s="430"/>
      <c r="J820" s="430"/>
      <c r="K820" s="430"/>
      <c r="L820" s="430"/>
      <c r="M820" s="430"/>
      <c r="N820" s="430"/>
      <c r="O820" s="430"/>
      <c r="P820" s="430"/>
      <c r="Q820" s="430"/>
      <c r="R820" s="430"/>
      <c r="S820" s="430"/>
      <c r="T820" s="430"/>
      <c r="U820" s="430"/>
      <c r="V820" s="430"/>
      <c r="W820" s="430"/>
      <c r="X820" s="430"/>
      <c r="Y820" s="430"/>
      <c r="Z820" s="430"/>
      <c r="AA820" s="430"/>
      <c r="AB820" s="430"/>
      <c r="AC820" s="430"/>
      <c r="AD820" s="430"/>
      <c r="AE820" s="430"/>
      <c r="AF820" s="430"/>
      <c r="AG820" s="430"/>
      <c r="AH820" s="430"/>
      <c r="AI820" s="430"/>
      <c r="AJ820" s="430"/>
      <c r="AK820" s="430"/>
      <c r="AL820" s="430"/>
      <c r="AM820" s="430"/>
      <c r="AN820" s="430"/>
      <c r="AO820" s="430"/>
      <c r="AP820" s="430"/>
      <c r="AQ820" s="430"/>
      <c r="AR820" s="430"/>
      <c r="AS820" s="430"/>
      <c r="AT820" s="430"/>
      <c r="AU820" s="430"/>
      <c r="AV820" s="430"/>
      <c r="AW820" s="430"/>
      <c r="AX820" s="430"/>
      <c r="AY820" s="430"/>
      <c r="AZ820" s="430"/>
      <c r="BA820" s="430"/>
      <c r="BB820" s="430"/>
      <c r="BC820" s="430"/>
      <c r="BD820" s="430"/>
      <c r="BE820" s="430"/>
    </row>
    <row r="821" spans="1:57" ht="15.75" customHeight="1">
      <c r="A821" s="430"/>
      <c r="B821" s="430"/>
      <c r="C821" s="430"/>
      <c r="D821" s="430"/>
      <c r="E821" s="430"/>
      <c r="F821" s="430"/>
      <c r="G821" s="430"/>
      <c r="H821" s="430"/>
      <c r="I821" s="430"/>
      <c r="J821" s="430"/>
      <c r="K821" s="430"/>
      <c r="L821" s="430"/>
      <c r="M821" s="430"/>
      <c r="N821" s="430"/>
      <c r="O821" s="430"/>
      <c r="P821" s="430"/>
      <c r="Q821" s="430"/>
      <c r="R821" s="430"/>
      <c r="S821" s="430"/>
      <c r="T821" s="430"/>
      <c r="U821" s="430"/>
      <c r="V821" s="430"/>
      <c r="W821" s="430"/>
      <c r="X821" s="430"/>
      <c r="Y821" s="430"/>
      <c r="Z821" s="430"/>
      <c r="AA821" s="430"/>
      <c r="AB821" s="430"/>
      <c r="AC821" s="430"/>
      <c r="AD821" s="430"/>
      <c r="AE821" s="430"/>
      <c r="AF821" s="430"/>
      <c r="AG821" s="430"/>
      <c r="AH821" s="430"/>
      <c r="AI821" s="430"/>
      <c r="AJ821" s="430"/>
      <c r="AK821" s="430"/>
      <c r="AL821" s="430"/>
      <c r="AM821" s="430"/>
      <c r="AN821" s="430"/>
      <c r="AO821" s="430"/>
      <c r="AP821" s="430"/>
      <c r="AQ821" s="430"/>
      <c r="AR821" s="430"/>
      <c r="AS821" s="430"/>
      <c r="AT821" s="430"/>
      <c r="AU821" s="430"/>
      <c r="AV821" s="430"/>
      <c r="AW821" s="430"/>
      <c r="AX821" s="430"/>
      <c r="AY821" s="430"/>
      <c r="AZ821" s="430"/>
      <c r="BA821" s="430"/>
      <c r="BB821" s="430"/>
      <c r="BC821" s="430"/>
      <c r="BD821" s="430"/>
      <c r="BE821" s="430"/>
    </row>
    <row r="822" spans="1:57" ht="15.75" customHeight="1">
      <c r="A822" s="430"/>
      <c r="B822" s="430"/>
      <c r="C822" s="430"/>
      <c r="D822" s="430"/>
      <c r="E822" s="430"/>
      <c r="F822" s="430"/>
      <c r="G822" s="430"/>
      <c r="H822" s="430"/>
      <c r="I822" s="430"/>
      <c r="J822" s="430"/>
      <c r="K822" s="430"/>
      <c r="L822" s="430"/>
      <c r="M822" s="430"/>
      <c r="N822" s="430"/>
      <c r="O822" s="430"/>
      <c r="P822" s="430"/>
      <c r="Q822" s="430"/>
      <c r="R822" s="430"/>
      <c r="S822" s="430"/>
      <c r="T822" s="430"/>
      <c r="U822" s="430"/>
      <c r="V822" s="430"/>
      <c r="W822" s="430"/>
      <c r="X822" s="430"/>
      <c r="Y822" s="430"/>
      <c r="Z822" s="430"/>
      <c r="AA822" s="430"/>
      <c r="AB822" s="430"/>
      <c r="AC822" s="430"/>
      <c r="AD822" s="430"/>
      <c r="AE822" s="430"/>
      <c r="AF822" s="430"/>
      <c r="AG822" s="430"/>
      <c r="AH822" s="430"/>
      <c r="AI822" s="430"/>
      <c r="AJ822" s="430"/>
      <c r="AK822" s="430"/>
      <c r="AL822" s="430"/>
      <c r="AM822" s="430"/>
      <c r="AN822" s="430"/>
      <c r="AO822" s="430"/>
      <c r="AP822" s="430"/>
      <c r="AQ822" s="430"/>
      <c r="AR822" s="430"/>
      <c r="AS822" s="430"/>
      <c r="AT822" s="430"/>
      <c r="AU822" s="430"/>
      <c r="AV822" s="430"/>
      <c r="AW822" s="430"/>
      <c r="AX822" s="430"/>
      <c r="AY822" s="430"/>
      <c r="AZ822" s="430"/>
      <c r="BA822" s="430"/>
      <c r="BB822" s="430"/>
      <c r="BC822" s="430"/>
      <c r="BD822" s="430"/>
      <c r="BE822" s="430"/>
    </row>
    <row r="823" spans="1:57" ht="15.75" customHeight="1">
      <c r="A823" s="430"/>
      <c r="B823" s="430"/>
      <c r="C823" s="430"/>
      <c r="D823" s="430"/>
      <c r="E823" s="430"/>
      <c r="F823" s="430"/>
      <c r="G823" s="430"/>
      <c r="H823" s="430"/>
      <c r="I823" s="430"/>
      <c r="J823" s="430"/>
      <c r="K823" s="430"/>
      <c r="L823" s="430"/>
      <c r="M823" s="430"/>
      <c r="N823" s="430"/>
      <c r="O823" s="430"/>
      <c r="P823" s="430"/>
      <c r="Q823" s="430"/>
      <c r="R823" s="430"/>
      <c r="S823" s="430"/>
      <c r="T823" s="430"/>
      <c r="U823" s="430"/>
      <c r="V823" s="430"/>
      <c r="W823" s="430"/>
      <c r="X823" s="430"/>
      <c r="Y823" s="430"/>
      <c r="Z823" s="430"/>
      <c r="AA823" s="430"/>
      <c r="AB823" s="430"/>
      <c r="AC823" s="430"/>
      <c r="AD823" s="430"/>
      <c r="AE823" s="430"/>
      <c r="AF823" s="430"/>
      <c r="AG823" s="430"/>
      <c r="AH823" s="430"/>
      <c r="AI823" s="430"/>
      <c r="AJ823" s="430"/>
      <c r="AK823" s="430"/>
      <c r="AL823" s="430"/>
      <c r="AM823" s="430"/>
      <c r="AN823" s="430"/>
      <c r="AO823" s="430"/>
      <c r="AP823" s="430"/>
      <c r="AQ823" s="430"/>
      <c r="AR823" s="430"/>
      <c r="AS823" s="430"/>
      <c r="AT823" s="430"/>
      <c r="AU823" s="430"/>
      <c r="AV823" s="430"/>
      <c r="AW823" s="430"/>
      <c r="AX823" s="430"/>
      <c r="AY823" s="430"/>
      <c r="AZ823" s="430"/>
      <c r="BA823" s="430"/>
      <c r="BB823" s="430"/>
      <c r="BC823" s="430"/>
      <c r="BD823" s="430"/>
      <c r="BE823" s="430"/>
    </row>
    <row r="824" spans="1:57" ht="15.75" customHeight="1">
      <c r="A824" s="430"/>
      <c r="B824" s="430"/>
      <c r="C824" s="430"/>
      <c r="D824" s="430"/>
      <c r="E824" s="430"/>
      <c r="F824" s="430"/>
      <c r="G824" s="430"/>
      <c r="H824" s="430"/>
      <c r="I824" s="430"/>
      <c r="J824" s="430"/>
      <c r="K824" s="430"/>
      <c r="L824" s="430"/>
      <c r="M824" s="430"/>
      <c r="N824" s="430"/>
      <c r="O824" s="430"/>
      <c r="P824" s="430"/>
      <c r="Q824" s="430"/>
      <c r="R824" s="430"/>
      <c r="S824" s="430"/>
      <c r="T824" s="430"/>
      <c r="U824" s="430"/>
      <c r="V824" s="430"/>
      <c r="W824" s="430"/>
      <c r="X824" s="430"/>
      <c r="Y824" s="430"/>
      <c r="Z824" s="430"/>
      <c r="AA824" s="430"/>
      <c r="AB824" s="430"/>
      <c r="AC824" s="430"/>
      <c r="AD824" s="430"/>
      <c r="AE824" s="430"/>
      <c r="AF824" s="430"/>
      <c r="AG824" s="430"/>
      <c r="AH824" s="430"/>
      <c r="AI824" s="430"/>
      <c r="AJ824" s="430"/>
      <c r="AK824" s="430"/>
      <c r="AL824" s="430"/>
      <c r="AM824" s="430"/>
      <c r="AN824" s="430"/>
      <c r="AO824" s="430"/>
      <c r="AP824" s="430"/>
      <c r="AQ824" s="430"/>
      <c r="AR824" s="430"/>
      <c r="AS824" s="430"/>
      <c r="AT824" s="430"/>
      <c r="AU824" s="430"/>
      <c r="AV824" s="430"/>
      <c r="AW824" s="430"/>
      <c r="AX824" s="430"/>
      <c r="AY824" s="430"/>
      <c r="AZ824" s="430"/>
      <c r="BA824" s="430"/>
      <c r="BB824" s="430"/>
      <c r="BC824" s="430"/>
      <c r="BD824" s="430"/>
      <c r="BE824" s="430"/>
    </row>
    <row r="825" spans="1:57" ht="15.75" customHeight="1">
      <c r="A825" s="430"/>
      <c r="B825" s="430"/>
      <c r="C825" s="430"/>
      <c r="D825" s="430"/>
      <c r="E825" s="430"/>
      <c r="F825" s="430"/>
      <c r="G825" s="430"/>
      <c r="H825" s="430"/>
      <c r="I825" s="430"/>
      <c r="J825" s="430"/>
      <c r="K825" s="430"/>
      <c r="L825" s="430"/>
      <c r="M825" s="430"/>
      <c r="N825" s="430"/>
      <c r="O825" s="430"/>
      <c r="P825" s="430"/>
      <c r="Q825" s="430"/>
      <c r="R825" s="430"/>
      <c r="S825" s="430"/>
      <c r="T825" s="430"/>
      <c r="U825" s="430"/>
      <c r="V825" s="430"/>
      <c r="W825" s="430"/>
      <c r="X825" s="430"/>
      <c r="Y825" s="430"/>
      <c r="Z825" s="430"/>
      <c r="AA825" s="430"/>
      <c r="AB825" s="430"/>
      <c r="AC825" s="430"/>
      <c r="AD825" s="430"/>
      <c r="AE825" s="430"/>
      <c r="AF825" s="430"/>
      <c r="AG825" s="430"/>
      <c r="AH825" s="430"/>
      <c r="AI825" s="430"/>
      <c r="AJ825" s="430"/>
      <c r="AK825" s="430"/>
      <c r="AL825" s="430"/>
      <c r="AM825" s="430"/>
      <c r="AN825" s="430"/>
      <c r="AO825" s="430"/>
      <c r="AP825" s="430"/>
      <c r="AQ825" s="430"/>
      <c r="AR825" s="430"/>
      <c r="AS825" s="430"/>
      <c r="AT825" s="430"/>
      <c r="AU825" s="430"/>
      <c r="AV825" s="430"/>
      <c r="AW825" s="430"/>
      <c r="AX825" s="430"/>
      <c r="AY825" s="430"/>
      <c r="AZ825" s="430"/>
      <c r="BA825" s="430"/>
      <c r="BB825" s="430"/>
      <c r="BC825" s="430"/>
      <c r="BD825" s="430"/>
      <c r="BE825" s="430"/>
    </row>
    <row r="826" spans="1:57" ht="15.75" customHeight="1">
      <c r="A826" s="430"/>
      <c r="B826" s="430"/>
      <c r="C826" s="430"/>
      <c r="D826" s="430"/>
      <c r="E826" s="430"/>
      <c r="F826" s="430"/>
      <c r="G826" s="430"/>
      <c r="H826" s="430"/>
      <c r="I826" s="430"/>
      <c r="J826" s="430"/>
      <c r="K826" s="430"/>
      <c r="L826" s="430"/>
      <c r="M826" s="430"/>
      <c r="N826" s="430"/>
      <c r="O826" s="430"/>
      <c r="P826" s="430"/>
      <c r="Q826" s="430"/>
      <c r="R826" s="430"/>
      <c r="S826" s="430"/>
      <c r="T826" s="430"/>
      <c r="U826" s="430"/>
      <c r="V826" s="430"/>
      <c r="W826" s="430"/>
      <c r="X826" s="430"/>
      <c r="Y826" s="430"/>
      <c r="Z826" s="430"/>
      <c r="AA826" s="430"/>
      <c r="AB826" s="430"/>
      <c r="AC826" s="430"/>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0"/>
      <c r="AY826" s="430"/>
      <c r="AZ826" s="430"/>
      <c r="BA826" s="430"/>
      <c r="BB826" s="430"/>
      <c r="BC826" s="430"/>
      <c r="BD826" s="430"/>
      <c r="BE826" s="430"/>
    </row>
    <row r="827" spans="1:57" ht="15.75" customHeight="1">
      <c r="A827" s="430"/>
      <c r="B827" s="430"/>
      <c r="C827" s="430"/>
      <c r="D827" s="430"/>
      <c r="E827" s="430"/>
      <c r="F827" s="430"/>
      <c r="G827" s="430"/>
      <c r="H827" s="430"/>
      <c r="I827" s="430"/>
      <c r="J827" s="430"/>
      <c r="K827" s="430"/>
      <c r="L827" s="430"/>
      <c r="M827" s="430"/>
      <c r="N827" s="430"/>
      <c r="O827" s="430"/>
      <c r="P827" s="430"/>
      <c r="Q827" s="430"/>
      <c r="R827" s="430"/>
      <c r="S827" s="430"/>
      <c r="T827" s="430"/>
      <c r="U827" s="430"/>
      <c r="V827" s="430"/>
      <c r="W827" s="430"/>
      <c r="X827" s="430"/>
      <c r="Y827" s="430"/>
      <c r="Z827" s="430"/>
      <c r="AA827" s="430"/>
      <c r="AB827" s="430"/>
      <c r="AC827" s="430"/>
      <c r="AD827" s="430"/>
      <c r="AE827" s="430"/>
      <c r="AF827" s="430"/>
      <c r="AG827" s="430"/>
      <c r="AH827" s="430"/>
      <c r="AI827" s="430"/>
      <c r="AJ827" s="430"/>
      <c r="AK827" s="430"/>
      <c r="AL827" s="430"/>
      <c r="AM827" s="430"/>
      <c r="AN827" s="430"/>
      <c r="AO827" s="430"/>
      <c r="AP827" s="430"/>
      <c r="AQ827" s="430"/>
      <c r="AR827" s="430"/>
      <c r="AS827" s="430"/>
      <c r="AT827" s="430"/>
      <c r="AU827" s="430"/>
      <c r="AV827" s="430"/>
      <c r="AW827" s="430"/>
      <c r="AX827" s="430"/>
      <c r="AY827" s="430"/>
      <c r="AZ827" s="430"/>
      <c r="BA827" s="430"/>
      <c r="BB827" s="430"/>
      <c r="BC827" s="430"/>
      <c r="BD827" s="430"/>
      <c r="BE827" s="430"/>
    </row>
    <row r="828" spans="1:57" ht="15.75" customHeight="1">
      <c r="A828" s="430"/>
      <c r="B828" s="430"/>
      <c r="C828" s="430"/>
      <c r="D828" s="430"/>
      <c r="E828" s="430"/>
      <c r="F828" s="430"/>
      <c r="G828" s="430"/>
      <c r="H828" s="430"/>
      <c r="I828" s="430"/>
      <c r="J828" s="430"/>
      <c r="K828" s="430"/>
      <c r="L828" s="430"/>
      <c r="M828" s="430"/>
      <c r="N828" s="430"/>
      <c r="O828" s="430"/>
      <c r="P828" s="430"/>
      <c r="Q828" s="430"/>
      <c r="R828" s="430"/>
      <c r="S828" s="430"/>
      <c r="T828" s="430"/>
      <c r="U828" s="430"/>
      <c r="V828" s="430"/>
      <c r="W828" s="430"/>
      <c r="X828" s="430"/>
      <c r="Y828" s="430"/>
      <c r="Z828" s="430"/>
      <c r="AA828" s="430"/>
      <c r="AB828" s="430"/>
      <c r="AC828" s="430"/>
      <c r="AD828" s="430"/>
      <c r="AE828" s="430"/>
      <c r="AF828" s="430"/>
      <c r="AG828" s="430"/>
      <c r="AH828" s="430"/>
      <c r="AI828" s="430"/>
      <c r="AJ828" s="430"/>
      <c r="AK828" s="430"/>
      <c r="AL828" s="430"/>
      <c r="AM828" s="430"/>
      <c r="AN828" s="430"/>
      <c r="AO828" s="430"/>
      <c r="AP828" s="430"/>
      <c r="AQ828" s="430"/>
      <c r="AR828" s="430"/>
      <c r="AS828" s="430"/>
      <c r="AT828" s="430"/>
      <c r="AU828" s="430"/>
      <c r="AV828" s="430"/>
      <c r="AW828" s="430"/>
      <c r="AX828" s="430"/>
      <c r="AY828" s="430"/>
      <c r="AZ828" s="430"/>
      <c r="BA828" s="430"/>
      <c r="BB828" s="430"/>
      <c r="BC828" s="430"/>
      <c r="BD828" s="430"/>
      <c r="BE828" s="430"/>
    </row>
    <row r="829" spans="1:57" ht="15.75" customHeight="1">
      <c r="A829" s="430"/>
      <c r="B829" s="430"/>
      <c r="C829" s="430"/>
      <c r="D829" s="430"/>
      <c r="E829" s="430"/>
      <c r="F829" s="430"/>
      <c r="G829" s="430"/>
      <c r="H829" s="430"/>
      <c r="I829" s="430"/>
      <c r="J829" s="430"/>
      <c r="K829" s="430"/>
      <c r="L829" s="430"/>
      <c r="M829" s="430"/>
      <c r="N829" s="430"/>
      <c r="O829" s="430"/>
      <c r="P829" s="430"/>
      <c r="Q829" s="430"/>
      <c r="R829" s="430"/>
      <c r="S829" s="430"/>
      <c r="T829" s="430"/>
      <c r="U829" s="430"/>
      <c r="V829" s="430"/>
      <c r="W829" s="430"/>
      <c r="X829" s="430"/>
      <c r="Y829" s="430"/>
      <c r="Z829" s="430"/>
      <c r="AA829" s="430"/>
      <c r="AB829" s="430"/>
      <c r="AC829" s="430"/>
      <c r="AD829" s="430"/>
      <c r="AE829" s="430"/>
      <c r="AF829" s="430"/>
      <c r="AG829" s="430"/>
      <c r="AH829" s="430"/>
      <c r="AI829" s="430"/>
      <c r="AJ829" s="430"/>
      <c r="AK829" s="430"/>
      <c r="AL829" s="430"/>
      <c r="AM829" s="430"/>
      <c r="AN829" s="430"/>
      <c r="AO829" s="430"/>
      <c r="AP829" s="430"/>
      <c r="AQ829" s="430"/>
      <c r="AR829" s="430"/>
      <c r="AS829" s="430"/>
      <c r="AT829" s="430"/>
      <c r="AU829" s="430"/>
      <c r="AV829" s="430"/>
      <c r="AW829" s="430"/>
      <c r="AX829" s="430"/>
      <c r="AY829" s="430"/>
      <c r="AZ829" s="430"/>
      <c r="BA829" s="430"/>
      <c r="BB829" s="430"/>
      <c r="BC829" s="430"/>
      <c r="BD829" s="430"/>
      <c r="BE829" s="430"/>
    </row>
    <row r="830" spans="1:57" ht="15.75" customHeight="1">
      <c r="A830" s="430"/>
      <c r="B830" s="430"/>
      <c r="C830" s="430"/>
      <c r="D830" s="430"/>
      <c r="E830" s="430"/>
      <c r="F830" s="430"/>
      <c r="G830" s="430"/>
      <c r="H830" s="430"/>
      <c r="I830" s="430"/>
      <c r="J830" s="430"/>
      <c r="K830" s="430"/>
      <c r="L830" s="430"/>
      <c r="M830" s="430"/>
      <c r="N830" s="430"/>
      <c r="O830" s="430"/>
      <c r="P830" s="430"/>
      <c r="Q830" s="430"/>
      <c r="R830" s="430"/>
      <c r="S830" s="430"/>
      <c r="T830" s="430"/>
      <c r="U830" s="430"/>
      <c r="V830" s="430"/>
      <c r="W830" s="430"/>
      <c r="X830" s="430"/>
      <c r="Y830" s="430"/>
      <c r="Z830" s="430"/>
      <c r="AA830" s="430"/>
      <c r="AB830" s="430"/>
      <c r="AC830" s="430"/>
      <c r="AD830" s="430"/>
      <c r="AE830" s="430"/>
      <c r="AF830" s="430"/>
      <c r="AG830" s="430"/>
      <c r="AH830" s="430"/>
      <c r="AI830" s="430"/>
      <c r="AJ830" s="430"/>
      <c r="AK830" s="430"/>
      <c r="AL830" s="430"/>
      <c r="AM830" s="430"/>
      <c r="AN830" s="430"/>
      <c r="AO830" s="430"/>
      <c r="AP830" s="430"/>
      <c r="AQ830" s="430"/>
      <c r="AR830" s="430"/>
      <c r="AS830" s="430"/>
      <c r="AT830" s="430"/>
      <c r="AU830" s="430"/>
      <c r="AV830" s="430"/>
      <c r="AW830" s="430"/>
      <c r="AX830" s="430"/>
      <c r="AY830" s="430"/>
      <c r="AZ830" s="430"/>
      <c r="BA830" s="430"/>
      <c r="BB830" s="430"/>
      <c r="BC830" s="430"/>
      <c r="BD830" s="430"/>
      <c r="BE830" s="430"/>
    </row>
    <row r="831" spans="1:57" ht="15.75" customHeight="1">
      <c r="A831" s="430"/>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0"/>
      <c r="AL831" s="430"/>
      <c r="AM831" s="430"/>
      <c r="AN831" s="430"/>
      <c r="AO831" s="430"/>
      <c r="AP831" s="430"/>
      <c r="AQ831" s="430"/>
      <c r="AR831" s="430"/>
      <c r="AS831" s="430"/>
      <c r="AT831" s="430"/>
      <c r="AU831" s="430"/>
      <c r="AV831" s="430"/>
      <c r="AW831" s="430"/>
      <c r="AX831" s="430"/>
      <c r="AY831" s="430"/>
      <c r="AZ831" s="430"/>
      <c r="BA831" s="430"/>
      <c r="BB831" s="430"/>
      <c r="BC831" s="430"/>
      <c r="BD831" s="430"/>
      <c r="BE831" s="430"/>
    </row>
    <row r="832" spans="1:57" ht="15.75" customHeight="1">
      <c r="A832" s="430"/>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0"/>
      <c r="AL832" s="430"/>
      <c r="AM832" s="430"/>
      <c r="AN832" s="430"/>
      <c r="AO832" s="430"/>
      <c r="AP832" s="430"/>
      <c r="AQ832" s="430"/>
      <c r="AR832" s="430"/>
      <c r="AS832" s="430"/>
      <c r="AT832" s="430"/>
      <c r="AU832" s="430"/>
      <c r="AV832" s="430"/>
      <c r="AW832" s="430"/>
      <c r="AX832" s="430"/>
      <c r="AY832" s="430"/>
      <c r="AZ832" s="430"/>
      <c r="BA832" s="430"/>
      <c r="BB832" s="430"/>
      <c r="BC832" s="430"/>
      <c r="BD832" s="430"/>
      <c r="BE832" s="430"/>
    </row>
    <row r="833" spans="1:57" ht="15.75" customHeight="1">
      <c r="A833" s="430"/>
      <c r="B833" s="430"/>
      <c r="C833" s="430"/>
      <c r="D833" s="430"/>
      <c r="E833" s="430"/>
      <c r="F833" s="430"/>
      <c r="G833" s="430"/>
      <c r="H833" s="430"/>
      <c r="I833" s="430"/>
      <c r="J833" s="430"/>
      <c r="K833" s="430"/>
      <c r="L833" s="430"/>
      <c r="M833" s="430"/>
      <c r="N833" s="430"/>
      <c r="O833" s="430"/>
      <c r="P833" s="430"/>
      <c r="Q833" s="430"/>
      <c r="R833" s="430"/>
      <c r="S833" s="430"/>
      <c r="T833" s="430"/>
      <c r="U833" s="430"/>
      <c r="V833" s="430"/>
      <c r="W833" s="430"/>
      <c r="X833" s="430"/>
      <c r="Y833" s="430"/>
      <c r="Z833" s="430"/>
      <c r="AA833" s="430"/>
      <c r="AB833" s="430"/>
      <c r="AC833" s="430"/>
      <c r="AD833" s="430"/>
      <c r="AE833" s="430"/>
      <c r="AF833" s="430"/>
      <c r="AG833" s="430"/>
      <c r="AH833" s="430"/>
      <c r="AI833" s="430"/>
      <c r="AJ833" s="430"/>
      <c r="AK833" s="430"/>
      <c r="AL833" s="430"/>
      <c r="AM833" s="430"/>
      <c r="AN833" s="430"/>
      <c r="AO833" s="430"/>
      <c r="AP833" s="430"/>
      <c r="AQ833" s="430"/>
      <c r="AR833" s="430"/>
      <c r="AS833" s="430"/>
      <c r="AT833" s="430"/>
      <c r="AU833" s="430"/>
      <c r="AV833" s="430"/>
      <c r="AW833" s="430"/>
      <c r="AX833" s="430"/>
      <c r="AY833" s="430"/>
      <c r="AZ833" s="430"/>
      <c r="BA833" s="430"/>
      <c r="BB833" s="430"/>
      <c r="BC833" s="430"/>
      <c r="BD833" s="430"/>
      <c r="BE833" s="430"/>
    </row>
    <row r="834" spans="1:57" ht="15.75" customHeight="1">
      <c r="A834" s="430"/>
      <c r="B834" s="430"/>
      <c r="C834" s="430"/>
      <c r="D834" s="430"/>
      <c r="E834" s="430"/>
      <c r="F834" s="430"/>
      <c r="G834" s="430"/>
      <c r="H834" s="430"/>
      <c r="I834" s="430"/>
      <c r="J834" s="430"/>
      <c r="K834" s="430"/>
      <c r="L834" s="430"/>
      <c r="M834" s="430"/>
      <c r="N834" s="430"/>
      <c r="O834" s="430"/>
      <c r="P834" s="430"/>
      <c r="Q834" s="430"/>
      <c r="R834" s="430"/>
      <c r="S834" s="430"/>
      <c r="T834" s="430"/>
      <c r="U834" s="430"/>
      <c r="V834" s="430"/>
      <c r="W834" s="430"/>
      <c r="X834" s="430"/>
      <c r="Y834" s="430"/>
      <c r="Z834" s="430"/>
      <c r="AA834" s="430"/>
      <c r="AB834" s="430"/>
      <c r="AC834" s="430"/>
      <c r="AD834" s="430"/>
      <c r="AE834" s="430"/>
      <c r="AF834" s="430"/>
      <c r="AG834" s="430"/>
      <c r="AH834" s="430"/>
      <c r="AI834" s="430"/>
      <c r="AJ834" s="430"/>
      <c r="AK834" s="430"/>
      <c r="AL834" s="430"/>
      <c r="AM834" s="430"/>
      <c r="AN834" s="430"/>
      <c r="AO834" s="430"/>
      <c r="AP834" s="430"/>
      <c r="AQ834" s="430"/>
      <c r="AR834" s="430"/>
      <c r="AS834" s="430"/>
      <c r="AT834" s="430"/>
      <c r="AU834" s="430"/>
      <c r="AV834" s="430"/>
      <c r="AW834" s="430"/>
      <c r="AX834" s="430"/>
      <c r="AY834" s="430"/>
      <c r="AZ834" s="430"/>
      <c r="BA834" s="430"/>
      <c r="BB834" s="430"/>
      <c r="BC834" s="430"/>
      <c r="BD834" s="430"/>
      <c r="BE834" s="430"/>
    </row>
    <row r="835" spans="1:57" ht="15.75" customHeight="1">
      <c r="A835" s="430"/>
      <c r="B835" s="430"/>
      <c r="C835" s="430"/>
      <c r="D835" s="430"/>
      <c r="E835" s="430"/>
      <c r="F835" s="430"/>
      <c r="G835" s="430"/>
      <c r="H835" s="430"/>
      <c r="I835" s="430"/>
      <c r="J835" s="430"/>
      <c r="K835" s="430"/>
      <c r="L835" s="430"/>
      <c r="M835" s="430"/>
      <c r="N835" s="430"/>
      <c r="O835" s="430"/>
      <c r="P835" s="430"/>
      <c r="Q835" s="430"/>
      <c r="R835" s="430"/>
      <c r="S835" s="430"/>
      <c r="T835" s="430"/>
      <c r="U835" s="430"/>
      <c r="V835" s="430"/>
      <c r="W835" s="430"/>
      <c r="X835" s="430"/>
      <c r="Y835" s="430"/>
      <c r="Z835" s="430"/>
      <c r="AA835" s="430"/>
      <c r="AB835" s="430"/>
      <c r="AC835" s="430"/>
      <c r="AD835" s="430"/>
      <c r="AE835" s="430"/>
      <c r="AF835" s="430"/>
      <c r="AG835" s="430"/>
      <c r="AH835" s="430"/>
      <c r="AI835" s="430"/>
      <c r="AJ835" s="430"/>
      <c r="AK835" s="430"/>
      <c r="AL835" s="430"/>
      <c r="AM835" s="430"/>
      <c r="AN835" s="430"/>
      <c r="AO835" s="430"/>
      <c r="AP835" s="430"/>
      <c r="AQ835" s="430"/>
      <c r="AR835" s="430"/>
      <c r="AS835" s="430"/>
      <c r="AT835" s="430"/>
      <c r="AU835" s="430"/>
      <c r="AV835" s="430"/>
      <c r="AW835" s="430"/>
      <c r="AX835" s="430"/>
      <c r="AY835" s="430"/>
      <c r="AZ835" s="430"/>
      <c r="BA835" s="430"/>
      <c r="BB835" s="430"/>
      <c r="BC835" s="430"/>
      <c r="BD835" s="430"/>
      <c r="BE835" s="430"/>
    </row>
    <row r="836" spans="1:57" ht="15.75" customHeight="1">
      <c r="A836" s="430"/>
      <c r="B836" s="430"/>
      <c r="C836" s="430"/>
      <c r="D836" s="430"/>
      <c r="E836" s="430"/>
      <c r="F836" s="430"/>
      <c r="G836" s="430"/>
      <c r="H836" s="430"/>
      <c r="I836" s="430"/>
      <c r="J836" s="430"/>
      <c r="K836" s="430"/>
      <c r="L836" s="430"/>
      <c r="M836" s="430"/>
      <c r="N836" s="430"/>
      <c r="O836" s="430"/>
      <c r="P836" s="430"/>
      <c r="Q836" s="430"/>
      <c r="R836" s="430"/>
      <c r="S836" s="430"/>
      <c r="T836" s="430"/>
      <c r="U836" s="430"/>
      <c r="V836" s="430"/>
      <c r="W836" s="430"/>
      <c r="X836" s="430"/>
      <c r="Y836" s="430"/>
      <c r="Z836" s="430"/>
      <c r="AA836" s="430"/>
      <c r="AB836" s="430"/>
      <c r="AC836" s="430"/>
      <c r="AD836" s="430"/>
      <c r="AE836" s="430"/>
      <c r="AF836" s="430"/>
      <c r="AG836" s="430"/>
      <c r="AH836" s="430"/>
      <c r="AI836" s="430"/>
      <c r="AJ836" s="430"/>
      <c r="AK836" s="430"/>
      <c r="AL836" s="430"/>
      <c r="AM836" s="430"/>
      <c r="AN836" s="430"/>
      <c r="AO836" s="430"/>
      <c r="AP836" s="430"/>
      <c r="AQ836" s="430"/>
      <c r="AR836" s="430"/>
      <c r="AS836" s="430"/>
      <c r="AT836" s="430"/>
      <c r="AU836" s="430"/>
      <c r="AV836" s="430"/>
      <c r="AW836" s="430"/>
      <c r="AX836" s="430"/>
      <c r="AY836" s="430"/>
      <c r="AZ836" s="430"/>
      <c r="BA836" s="430"/>
      <c r="BB836" s="430"/>
      <c r="BC836" s="430"/>
      <c r="BD836" s="430"/>
      <c r="BE836" s="430"/>
    </row>
    <row r="837" spans="1:57" ht="15.75" customHeight="1">
      <c r="A837" s="430"/>
      <c r="B837" s="430"/>
      <c r="C837" s="430"/>
      <c r="D837" s="430"/>
      <c r="E837" s="430"/>
      <c r="F837" s="430"/>
      <c r="G837" s="430"/>
      <c r="H837" s="430"/>
      <c r="I837" s="430"/>
      <c r="J837" s="430"/>
      <c r="K837" s="430"/>
      <c r="L837" s="430"/>
      <c r="M837" s="430"/>
      <c r="N837" s="430"/>
      <c r="O837" s="430"/>
      <c r="P837" s="430"/>
      <c r="Q837" s="430"/>
      <c r="R837" s="430"/>
      <c r="S837" s="430"/>
      <c r="T837" s="430"/>
      <c r="U837" s="430"/>
      <c r="V837" s="430"/>
      <c r="W837" s="430"/>
      <c r="X837" s="430"/>
      <c r="Y837" s="430"/>
      <c r="Z837" s="430"/>
      <c r="AA837" s="430"/>
      <c r="AB837" s="430"/>
      <c r="AC837" s="430"/>
      <c r="AD837" s="430"/>
      <c r="AE837" s="430"/>
      <c r="AF837" s="430"/>
      <c r="AG837" s="430"/>
      <c r="AH837" s="430"/>
      <c r="AI837" s="430"/>
      <c r="AJ837" s="430"/>
      <c r="AK837" s="430"/>
      <c r="AL837" s="430"/>
      <c r="AM837" s="430"/>
      <c r="AN837" s="430"/>
      <c r="AO837" s="430"/>
      <c r="AP837" s="430"/>
      <c r="AQ837" s="430"/>
      <c r="AR837" s="430"/>
      <c r="AS837" s="430"/>
      <c r="AT837" s="430"/>
      <c r="AU837" s="430"/>
      <c r="AV837" s="430"/>
      <c r="AW837" s="430"/>
      <c r="AX837" s="430"/>
      <c r="AY837" s="430"/>
      <c r="AZ837" s="430"/>
      <c r="BA837" s="430"/>
      <c r="BB837" s="430"/>
      <c r="BC837" s="430"/>
      <c r="BD837" s="430"/>
      <c r="BE837" s="430"/>
    </row>
    <row r="838" spans="1:57" ht="15.75" customHeight="1">
      <c r="A838" s="430"/>
      <c r="B838" s="430"/>
      <c r="C838" s="430"/>
      <c r="D838" s="430"/>
      <c r="E838" s="430"/>
      <c r="F838" s="430"/>
      <c r="G838" s="430"/>
      <c r="H838" s="430"/>
      <c r="I838" s="430"/>
      <c r="J838" s="430"/>
      <c r="K838" s="430"/>
      <c r="L838" s="430"/>
      <c r="M838" s="430"/>
      <c r="N838" s="430"/>
      <c r="O838" s="430"/>
      <c r="P838" s="430"/>
      <c r="Q838" s="430"/>
      <c r="R838" s="430"/>
      <c r="S838" s="430"/>
      <c r="T838" s="430"/>
      <c r="U838" s="430"/>
      <c r="V838" s="430"/>
      <c r="W838" s="430"/>
      <c r="X838" s="430"/>
      <c r="Y838" s="430"/>
      <c r="Z838" s="430"/>
      <c r="AA838" s="430"/>
      <c r="AB838" s="430"/>
      <c r="AC838" s="430"/>
      <c r="AD838" s="430"/>
      <c r="AE838" s="430"/>
      <c r="AF838" s="430"/>
      <c r="AG838" s="430"/>
      <c r="AH838" s="430"/>
      <c r="AI838" s="430"/>
      <c r="AJ838" s="430"/>
      <c r="AK838" s="430"/>
      <c r="AL838" s="430"/>
      <c r="AM838" s="430"/>
      <c r="AN838" s="430"/>
      <c r="AO838" s="430"/>
      <c r="AP838" s="430"/>
      <c r="AQ838" s="430"/>
      <c r="AR838" s="430"/>
      <c r="AS838" s="430"/>
      <c r="AT838" s="430"/>
      <c r="AU838" s="430"/>
      <c r="AV838" s="430"/>
      <c r="AW838" s="430"/>
      <c r="AX838" s="430"/>
      <c r="AY838" s="430"/>
      <c r="AZ838" s="430"/>
      <c r="BA838" s="430"/>
      <c r="BB838" s="430"/>
      <c r="BC838" s="430"/>
      <c r="BD838" s="430"/>
      <c r="BE838" s="430"/>
    </row>
    <row r="839" spans="1:57" ht="15.75" customHeight="1">
      <c r="A839" s="430"/>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0"/>
      <c r="AL839" s="430"/>
      <c r="AM839" s="430"/>
      <c r="AN839" s="430"/>
      <c r="AO839" s="430"/>
      <c r="AP839" s="430"/>
      <c r="AQ839" s="430"/>
      <c r="AR839" s="430"/>
      <c r="AS839" s="430"/>
      <c r="AT839" s="430"/>
      <c r="AU839" s="430"/>
      <c r="AV839" s="430"/>
      <c r="AW839" s="430"/>
      <c r="AX839" s="430"/>
      <c r="AY839" s="430"/>
      <c r="AZ839" s="430"/>
      <c r="BA839" s="430"/>
      <c r="BB839" s="430"/>
      <c r="BC839" s="430"/>
      <c r="BD839" s="430"/>
      <c r="BE839" s="430"/>
    </row>
    <row r="840" spans="1:57" ht="15.75" customHeight="1">
      <c r="A840" s="430"/>
      <c r="B840" s="430"/>
      <c r="C840" s="430"/>
      <c r="D840" s="430"/>
      <c r="E840" s="430"/>
      <c r="F840" s="430"/>
      <c r="G840" s="430"/>
      <c r="H840" s="430"/>
      <c r="I840" s="430"/>
      <c r="J840" s="430"/>
      <c r="K840" s="430"/>
      <c r="L840" s="430"/>
      <c r="M840" s="430"/>
      <c r="N840" s="430"/>
      <c r="O840" s="430"/>
      <c r="P840" s="430"/>
      <c r="Q840" s="430"/>
      <c r="R840" s="430"/>
      <c r="S840" s="430"/>
      <c r="T840" s="430"/>
      <c r="U840" s="430"/>
      <c r="V840" s="430"/>
      <c r="W840" s="430"/>
      <c r="X840" s="430"/>
      <c r="Y840" s="430"/>
      <c r="Z840" s="430"/>
      <c r="AA840" s="430"/>
      <c r="AB840" s="430"/>
      <c r="AC840" s="430"/>
      <c r="AD840" s="430"/>
      <c r="AE840" s="430"/>
      <c r="AF840" s="430"/>
      <c r="AG840" s="430"/>
      <c r="AH840" s="430"/>
      <c r="AI840" s="430"/>
      <c r="AJ840" s="430"/>
      <c r="AK840" s="430"/>
      <c r="AL840" s="430"/>
      <c r="AM840" s="430"/>
      <c r="AN840" s="430"/>
      <c r="AO840" s="430"/>
      <c r="AP840" s="430"/>
      <c r="AQ840" s="430"/>
      <c r="AR840" s="430"/>
      <c r="AS840" s="430"/>
      <c r="AT840" s="430"/>
      <c r="AU840" s="430"/>
      <c r="AV840" s="430"/>
      <c r="AW840" s="430"/>
      <c r="AX840" s="430"/>
      <c r="AY840" s="430"/>
      <c r="AZ840" s="430"/>
      <c r="BA840" s="430"/>
      <c r="BB840" s="430"/>
      <c r="BC840" s="430"/>
      <c r="BD840" s="430"/>
      <c r="BE840" s="430"/>
    </row>
    <row r="841" spans="1:57" ht="15.75" customHeight="1">
      <c r="A841" s="430"/>
      <c r="B841" s="430"/>
      <c r="C841" s="430"/>
      <c r="D841" s="430"/>
      <c r="E841" s="430"/>
      <c r="F841" s="430"/>
      <c r="G841" s="430"/>
      <c r="H841" s="430"/>
      <c r="I841" s="430"/>
      <c r="J841" s="430"/>
      <c r="K841" s="430"/>
      <c r="L841" s="430"/>
      <c r="M841" s="430"/>
      <c r="N841" s="430"/>
      <c r="O841" s="430"/>
      <c r="P841" s="430"/>
      <c r="Q841" s="430"/>
      <c r="R841" s="430"/>
      <c r="S841" s="430"/>
      <c r="T841" s="430"/>
      <c r="U841" s="430"/>
      <c r="V841" s="430"/>
      <c r="W841" s="430"/>
      <c r="X841" s="430"/>
      <c r="Y841" s="430"/>
      <c r="Z841" s="430"/>
      <c r="AA841" s="430"/>
      <c r="AB841" s="430"/>
      <c r="AC841" s="430"/>
      <c r="AD841" s="430"/>
      <c r="AE841" s="430"/>
      <c r="AF841" s="430"/>
      <c r="AG841" s="430"/>
      <c r="AH841" s="430"/>
      <c r="AI841" s="430"/>
      <c r="AJ841" s="430"/>
      <c r="AK841" s="430"/>
      <c r="AL841" s="430"/>
      <c r="AM841" s="430"/>
      <c r="AN841" s="430"/>
      <c r="AO841" s="430"/>
      <c r="AP841" s="430"/>
      <c r="AQ841" s="430"/>
      <c r="AR841" s="430"/>
      <c r="AS841" s="430"/>
      <c r="AT841" s="430"/>
      <c r="AU841" s="430"/>
      <c r="AV841" s="430"/>
      <c r="AW841" s="430"/>
      <c r="AX841" s="430"/>
      <c r="AY841" s="430"/>
      <c r="AZ841" s="430"/>
      <c r="BA841" s="430"/>
      <c r="BB841" s="430"/>
      <c r="BC841" s="430"/>
      <c r="BD841" s="430"/>
      <c r="BE841" s="430"/>
    </row>
    <row r="842" spans="1:57" ht="15.75" customHeight="1">
      <c r="A842" s="430"/>
      <c r="B842" s="430"/>
      <c r="C842" s="430"/>
      <c r="D842" s="430"/>
      <c r="E842" s="430"/>
      <c r="F842" s="430"/>
      <c r="G842" s="430"/>
      <c r="H842" s="430"/>
      <c r="I842" s="430"/>
      <c r="J842" s="430"/>
      <c r="K842" s="430"/>
      <c r="L842" s="430"/>
      <c r="M842" s="430"/>
      <c r="N842" s="430"/>
      <c r="O842" s="430"/>
      <c r="P842" s="430"/>
      <c r="Q842" s="430"/>
      <c r="R842" s="430"/>
      <c r="S842" s="430"/>
      <c r="T842" s="430"/>
      <c r="U842" s="430"/>
      <c r="V842" s="430"/>
      <c r="W842" s="430"/>
      <c r="X842" s="430"/>
      <c r="Y842" s="430"/>
      <c r="Z842" s="430"/>
      <c r="AA842" s="430"/>
      <c r="AB842" s="430"/>
      <c r="AC842" s="430"/>
      <c r="AD842" s="430"/>
      <c r="AE842" s="430"/>
      <c r="AF842" s="430"/>
      <c r="AG842" s="430"/>
      <c r="AH842" s="430"/>
      <c r="AI842" s="430"/>
      <c r="AJ842" s="430"/>
      <c r="AK842" s="430"/>
      <c r="AL842" s="430"/>
      <c r="AM842" s="430"/>
      <c r="AN842" s="430"/>
      <c r="AO842" s="430"/>
      <c r="AP842" s="430"/>
      <c r="AQ842" s="430"/>
      <c r="AR842" s="430"/>
      <c r="AS842" s="430"/>
      <c r="AT842" s="430"/>
      <c r="AU842" s="430"/>
      <c r="AV842" s="430"/>
      <c r="AW842" s="430"/>
      <c r="AX842" s="430"/>
      <c r="AY842" s="430"/>
      <c r="AZ842" s="430"/>
      <c r="BA842" s="430"/>
      <c r="BB842" s="430"/>
      <c r="BC842" s="430"/>
      <c r="BD842" s="430"/>
      <c r="BE842" s="430"/>
    </row>
    <row r="843" spans="1:57" ht="15.75" customHeight="1">
      <c r="A843" s="430"/>
      <c r="B843" s="430"/>
      <c r="C843" s="430"/>
      <c r="D843" s="430"/>
      <c r="E843" s="430"/>
      <c r="F843" s="430"/>
      <c r="G843" s="430"/>
      <c r="H843" s="430"/>
      <c r="I843" s="430"/>
      <c r="J843" s="430"/>
      <c r="K843" s="430"/>
      <c r="L843" s="430"/>
      <c r="M843" s="430"/>
      <c r="N843" s="430"/>
      <c r="O843" s="430"/>
      <c r="P843" s="430"/>
      <c r="Q843" s="430"/>
      <c r="R843" s="430"/>
      <c r="S843" s="430"/>
      <c r="T843" s="430"/>
      <c r="U843" s="430"/>
      <c r="V843" s="430"/>
      <c r="W843" s="430"/>
      <c r="X843" s="430"/>
      <c r="Y843" s="430"/>
      <c r="Z843" s="430"/>
      <c r="AA843" s="430"/>
      <c r="AB843" s="430"/>
      <c r="AC843" s="430"/>
      <c r="AD843" s="430"/>
      <c r="AE843" s="430"/>
      <c r="AF843" s="430"/>
      <c r="AG843" s="430"/>
      <c r="AH843" s="430"/>
      <c r="AI843" s="430"/>
      <c r="AJ843" s="430"/>
      <c r="AK843" s="430"/>
      <c r="AL843" s="430"/>
      <c r="AM843" s="430"/>
      <c r="AN843" s="430"/>
      <c r="AO843" s="430"/>
      <c r="AP843" s="430"/>
      <c r="AQ843" s="430"/>
      <c r="AR843" s="430"/>
      <c r="AS843" s="430"/>
      <c r="AT843" s="430"/>
      <c r="AU843" s="430"/>
      <c r="AV843" s="430"/>
      <c r="AW843" s="430"/>
      <c r="AX843" s="430"/>
      <c r="AY843" s="430"/>
      <c r="AZ843" s="430"/>
      <c r="BA843" s="430"/>
      <c r="BB843" s="430"/>
      <c r="BC843" s="430"/>
      <c r="BD843" s="430"/>
      <c r="BE843" s="430"/>
    </row>
    <row r="844" spans="1:57" ht="15.75" customHeight="1">
      <c r="A844" s="430"/>
      <c r="B844" s="430"/>
      <c r="C844" s="430"/>
      <c r="D844" s="430"/>
      <c r="E844" s="430"/>
      <c r="F844" s="430"/>
      <c r="G844" s="430"/>
      <c r="H844" s="430"/>
      <c r="I844" s="430"/>
      <c r="J844" s="430"/>
      <c r="K844" s="430"/>
      <c r="L844" s="430"/>
      <c r="M844" s="430"/>
      <c r="N844" s="430"/>
      <c r="O844" s="430"/>
      <c r="P844" s="430"/>
      <c r="Q844" s="430"/>
      <c r="R844" s="430"/>
      <c r="S844" s="430"/>
      <c r="T844" s="430"/>
      <c r="U844" s="430"/>
      <c r="V844" s="430"/>
      <c r="W844" s="430"/>
      <c r="X844" s="430"/>
      <c r="Y844" s="430"/>
      <c r="Z844" s="430"/>
      <c r="AA844" s="430"/>
      <c r="AB844" s="430"/>
      <c r="AC844" s="430"/>
      <c r="AD844" s="430"/>
      <c r="AE844" s="430"/>
      <c r="AF844" s="430"/>
      <c r="AG844" s="430"/>
      <c r="AH844" s="430"/>
      <c r="AI844" s="430"/>
      <c r="AJ844" s="430"/>
      <c r="AK844" s="430"/>
      <c r="AL844" s="430"/>
      <c r="AM844" s="430"/>
      <c r="AN844" s="430"/>
      <c r="AO844" s="430"/>
      <c r="AP844" s="430"/>
      <c r="AQ844" s="430"/>
      <c r="AR844" s="430"/>
      <c r="AS844" s="430"/>
      <c r="AT844" s="430"/>
      <c r="AU844" s="430"/>
      <c r="AV844" s="430"/>
      <c r="AW844" s="430"/>
      <c r="AX844" s="430"/>
      <c r="AY844" s="430"/>
      <c r="AZ844" s="430"/>
      <c r="BA844" s="430"/>
      <c r="BB844" s="430"/>
      <c r="BC844" s="430"/>
      <c r="BD844" s="430"/>
      <c r="BE844" s="430"/>
    </row>
    <row r="845" spans="1:57" ht="15.75" customHeight="1">
      <c r="A845" s="430"/>
      <c r="B845" s="430"/>
      <c r="C845" s="430"/>
      <c r="D845" s="430"/>
      <c r="E845" s="430"/>
      <c r="F845" s="430"/>
      <c r="G845" s="430"/>
      <c r="H845" s="430"/>
      <c r="I845" s="430"/>
      <c r="J845" s="430"/>
      <c r="K845" s="430"/>
      <c r="L845" s="430"/>
      <c r="M845" s="430"/>
      <c r="N845" s="430"/>
      <c r="O845" s="430"/>
      <c r="P845" s="430"/>
      <c r="Q845" s="430"/>
      <c r="R845" s="430"/>
      <c r="S845" s="430"/>
      <c r="T845" s="430"/>
      <c r="U845" s="430"/>
      <c r="V845" s="430"/>
      <c r="W845" s="430"/>
      <c r="X845" s="430"/>
      <c r="Y845" s="430"/>
      <c r="Z845" s="430"/>
      <c r="AA845" s="430"/>
      <c r="AB845" s="430"/>
      <c r="AC845" s="430"/>
      <c r="AD845" s="430"/>
      <c r="AE845" s="430"/>
      <c r="AF845" s="430"/>
      <c r="AG845" s="430"/>
      <c r="AH845" s="430"/>
      <c r="AI845" s="430"/>
      <c r="AJ845" s="430"/>
      <c r="AK845" s="430"/>
      <c r="AL845" s="430"/>
      <c r="AM845" s="430"/>
      <c r="AN845" s="430"/>
      <c r="AO845" s="430"/>
      <c r="AP845" s="430"/>
      <c r="AQ845" s="430"/>
      <c r="AR845" s="430"/>
      <c r="AS845" s="430"/>
      <c r="AT845" s="430"/>
      <c r="AU845" s="430"/>
      <c r="AV845" s="430"/>
      <c r="AW845" s="430"/>
      <c r="AX845" s="430"/>
      <c r="AY845" s="430"/>
      <c r="AZ845" s="430"/>
      <c r="BA845" s="430"/>
      <c r="BB845" s="430"/>
      <c r="BC845" s="430"/>
      <c r="BD845" s="430"/>
      <c r="BE845" s="430"/>
    </row>
    <row r="846" spans="1:57" ht="15.75" customHeight="1">
      <c r="A846" s="430"/>
      <c r="B846" s="430"/>
      <c r="C846" s="430"/>
      <c r="D846" s="430"/>
      <c r="E846" s="430"/>
      <c r="F846" s="430"/>
      <c r="G846" s="430"/>
      <c r="H846" s="430"/>
      <c r="I846" s="430"/>
      <c r="J846" s="430"/>
      <c r="K846" s="430"/>
      <c r="L846" s="430"/>
      <c r="M846" s="430"/>
      <c r="N846" s="430"/>
      <c r="O846" s="430"/>
      <c r="P846" s="430"/>
      <c r="Q846" s="430"/>
      <c r="R846" s="430"/>
      <c r="S846" s="430"/>
      <c r="T846" s="430"/>
      <c r="U846" s="430"/>
      <c r="V846" s="430"/>
      <c r="W846" s="430"/>
      <c r="X846" s="430"/>
      <c r="Y846" s="430"/>
      <c r="Z846" s="430"/>
      <c r="AA846" s="430"/>
      <c r="AB846" s="430"/>
      <c r="AC846" s="430"/>
      <c r="AD846" s="430"/>
      <c r="AE846" s="430"/>
      <c r="AF846" s="430"/>
      <c r="AG846" s="430"/>
      <c r="AH846" s="430"/>
      <c r="AI846" s="430"/>
      <c r="AJ846" s="430"/>
      <c r="AK846" s="430"/>
      <c r="AL846" s="430"/>
      <c r="AM846" s="430"/>
      <c r="AN846" s="430"/>
      <c r="AO846" s="430"/>
      <c r="AP846" s="430"/>
      <c r="AQ846" s="430"/>
      <c r="AR846" s="430"/>
      <c r="AS846" s="430"/>
      <c r="AT846" s="430"/>
      <c r="AU846" s="430"/>
      <c r="AV846" s="430"/>
      <c r="AW846" s="430"/>
      <c r="AX846" s="430"/>
      <c r="AY846" s="430"/>
      <c r="AZ846" s="430"/>
      <c r="BA846" s="430"/>
      <c r="BB846" s="430"/>
      <c r="BC846" s="430"/>
      <c r="BD846" s="430"/>
      <c r="BE846" s="430"/>
    </row>
    <row r="847" spans="1:57" ht="15.75" customHeight="1">
      <c r="A847" s="430"/>
      <c r="B847" s="430"/>
      <c r="C847" s="430"/>
      <c r="D847" s="430"/>
      <c r="E847" s="430"/>
      <c r="F847" s="430"/>
      <c r="G847" s="430"/>
      <c r="H847" s="430"/>
      <c r="I847" s="430"/>
      <c r="J847" s="430"/>
      <c r="K847" s="430"/>
      <c r="L847" s="430"/>
      <c r="M847" s="430"/>
      <c r="N847" s="430"/>
      <c r="O847" s="430"/>
      <c r="P847" s="430"/>
      <c r="Q847" s="430"/>
      <c r="R847" s="430"/>
      <c r="S847" s="430"/>
      <c r="T847" s="430"/>
      <c r="U847" s="430"/>
      <c r="V847" s="430"/>
      <c r="W847" s="430"/>
      <c r="X847" s="430"/>
      <c r="Y847" s="430"/>
      <c r="Z847" s="430"/>
      <c r="AA847" s="430"/>
      <c r="AB847" s="430"/>
      <c r="AC847" s="430"/>
      <c r="AD847" s="430"/>
      <c r="AE847" s="430"/>
      <c r="AF847" s="430"/>
      <c r="AG847" s="430"/>
      <c r="AH847" s="430"/>
      <c r="AI847" s="430"/>
      <c r="AJ847" s="430"/>
      <c r="AK847" s="430"/>
      <c r="AL847" s="430"/>
      <c r="AM847" s="430"/>
      <c r="AN847" s="430"/>
      <c r="AO847" s="430"/>
      <c r="AP847" s="430"/>
      <c r="AQ847" s="430"/>
      <c r="AR847" s="430"/>
      <c r="AS847" s="430"/>
      <c r="AT847" s="430"/>
      <c r="AU847" s="430"/>
      <c r="AV847" s="430"/>
      <c r="AW847" s="430"/>
      <c r="AX847" s="430"/>
      <c r="AY847" s="430"/>
      <c r="AZ847" s="430"/>
      <c r="BA847" s="430"/>
      <c r="BB847" s="430"/>
      <c r="BC847" s="430"/>
      <c r="BD847" s="430"/>
      <c r="BE847" s="430"/>
    </row>
    <row r="848" spans="1:57" ht="15.75" customHeight="1">
      <c r="A848" s="430"/>
      <c r="B848" s="430"/>
      <c r="C848" s="430"/>
      <c r="D848" s="430"/>
      <c r="E848" s="430"/>
      <c r="F848" s="430"/>
      <c r="G848" s="430"/>
      <c r="H848" s="430"/>
      <c r="I848" s="430"/>
      <c r="J848" s="430"/>
      <c r="K848" s="430"/>
      <c r="L848" s="430"/>
      <c r="M848" s="430"/>
      <c r="N848" s="430"/>
      <c r="O848" s="430"/>
      <c r="P848" s="430"/>
      <c r="Q848" s="430"/>
      <c r="R848" s="430"/>
      <c r="S848" s="430"/>
      <c r="T848" s="430"/>
      <c r="U848" s="430"/>
      <c r="V848" s="430"/>
      <c r="W848" s="430"/>
      <c r="X848" s="430"/>
      <c r="Y848" s="430"/>
      <c r="Z848" s="430"/>
      <c r="AA848" s="430"/>
      <c r="AB848" s="430"/>
      <c r="AC848" s="430"/>
      <c r="AD848" s="430"/>
      <c r="AE848" s="430"/>
      <c r="AF848" s="430"/>
      <c r="AG848" s="430"/>
      <c r="AH848" s="430"/>
      <c r="AI848" s="430"/>
      <c r="AJ848" s="430"/>
      <c r="AK848" s="430"/>
      <c r="AL848" s="430"/>
      <c r="AM848" s="430"/>
      <c r="AN848" s="430"/>
      <c r="AO848" s="430"/>
      <c r="AP848" s="430"/>
      <c r="AQ848" s="430"/>
      <c r="AR848" s="430"/>
      <c r="AS848" s="430"/>
      <c r="AT848" s="430"/>
      <c r="AU848" s="430"/>
      <c r="AV848" s="430"/>
      <c r="AW848" s="430"/>
      <c r="AX848" s="430"/>
      <c r="AY848" s="430"/>
      <c r="AZ848" s="430"/>
      <c r="BA848" s="430"/>
      <c r="BB848" s="430"/>
      <c r="BC848" s="430"/>
      <c r="BD848" s="430"/>
      <c r="BE848" s="430"/>
    </row>
    <row r="849" spans="1:57" ht="15.75" customHeight="1">
      <c r="A849" s="430"/>
      <c r="B849" s="430"/>
      <c r="C849" s="430"/>
      <c r="D849" s="430"/>
      <c r="E849" s="430"/>
      <c r="F849" s="430"/>
      <c r="G849" s="430"/>
      <c r="H849" s="430"/>
      <c r="I849" s="430"/>
      <c r="J849" s="430"/>
      <c r="K849" s="430"/>
      <c r="L849" s="430"/>
      <c r="M849" s="430"/>
      <c r="N849" s="430"/>
      <c r="O849" s="430"/>
      <c r="P849" s="430"/>
      <c r="Q849" s="430"/>
      <c r="R849" s="430"/>
      <c r="S849" s="430"/>
      <c r="T849" s="430"/>
      <c r="U849" s="430"/>
      <c r="V849" s="430"/>
      <c r="W849" s="430"/>
      <c r="X849" s="430"/>
      <c r="Y849" s="430"/>
      <c r="Z849" s="430"/>
      <c r="AA849" s="430"/>
      <c r="AB849" s="430"/>
      <c r="AC849" s="430"/>
      <c r="AD849" s="430"/>
      <c r="AE849" s="430"/>
      <c r="AF849" s="430"/>
      <c r="AG849" s="430"/>
      <c r="AH849" s="430"/>
      <c r="AI849" s="430"/>
      <c r="AJ849" s="430"/>
      <c r="AK849" s="430"/>
      <c r="AL849" s="430"/>
      <c r="AM849" s="430"/>
      <c r="AN849" s="430"/>
      <c r="AO849" s="430"/>
      <c r="AP849" s="430"/>
      <c r="AQ849" s="430"/>
      <c r="AR849" s="430"/>
      <c r="AS849" s="430"/>
      <c r="AT849" s="430"/>
      <c r="AU849" s="430"/>
      <c r="AV849" s="430"/>
      <c r="AW849" s="430"/>
      <c r="AX849" s="430"/>
      <c r="AY849" s="430"/>
      <c r="AZ849" s="430"/>
      <c r="BA849" s="430"/>
      <c r="BB849" s="430"/>
      <c r="BC849" s="430"/>
      <c r="BD849" s="430"/>
      <c r="BE849" s="430"/>
    </row>
    <row r="850" spans="1:57" ht="15.75" customHeight="1">
      <c r="A850" s="430"/>
      <c r="B850" s="430"/>
      <c r="C850" s="430"/>
      <c r="D850" s="430"/>
      <c r="E850" s="430"/>
      <c r="F850" s="430"/>
      <c r="G850" s="430"/>
      <c r="H850" s="430"/>
      <c r="I850" s="430"/>
      <c r="J850" s="430"/>
      <c r="K850" s="430"/>
      <c r="L850" s="430"/>
      <c r="M850" s="430"/>
      <c r="N850" s="430"/>
      <c r="O850" s="430"/>
      <c r="P850" s="430"/>
      <c r="Q850" s="430"/>
      <c r="R850" s="430"/>
      <c r="S850" s="430"/>
      <c r="T850" s="430"/>
      <c r="U850" s="430"/>
      <c r="V850" s="430"/>
      <c r="W850" s="430"/>
      <c r="X850" s="430"/>
      <c r="Y850" s="430"/>
      <c r="Z850" s="430"/>
      <c r="AA850" s="430"/>
      <c r="AB850" s="430"/>
      <c r="AC850" s="430"/>
      <c r="AD850" s="430"/>
      <c r="AE850" s="430"/>
      <c r="AF850" s="430"/>
      <c r="AG850" s="430"/>
      <c r="AH850" s="430"/>
      <c r="AI850" s="430"/>
      <c r="AJ850" s="430"/>
      <c r="AK850" s="430"/>
      <c r="AL850" s="430"/>
      <c r="AM850" s="430"/>
      <c r="AN850" s="430"/>
      <c r="AO850" s="430"/>
      <c r="AP850" s="430"/>
      <c r="AQ850" s="430"/>
      <c r="AR850" s="430"/>
      <c r="AS850" s="430"/>
      <c r="AT850" s="430"/>
      <c r="AU850" s="430"/>
      <c r="AV850" s="430"/>
      <c r="AW850" s="430"/>
      <c r="AX850" s="430"/>
      <c r="AY850" s="430"/>
      <c r="AZ850" s="430"/>
      <c r="BA850" s="430"/>
      <c r="BB850" s="430"/>
      <c r="BC850" s="430"/>
      <c r="BD850" s="430"/>
      <c r="BE850" s="430"/>
    </row>
    <row r="851" spans="1:57" ht="15.75" customHeight="1">
      <c r="A851" s="430"/>
      <c r="B851" s="430"/>
      <c r="C851" s="430"/>
      <c r="D851" s="430"/>
      <c r="E851" s="430"/>
      <c r="F851" s="430"/>
      <c r="G851" s="430"/>
      <c r="H851" s="430"/>
      <c r="I851" s="430"/>
      <c r="J851" s="430"/>
      <c r="K851" s="430"/>
      <c r="L851" s="430"/>
      <c r="M851" s="430"/>
      <c r="N851" s="430"/>
      <c r="O851" s="430"/>
      <c r="P851" s="430"/>
      <c r="Q851" s="430"/>
      <c r="R851" s="430"/>
      <c r="S851" s="430"/>
      <c r="T851" s="430"/>
      <c r="U851" s="430"/>
      <c r="V851" s="430"/>
      <c r="W851" s="430"/>
      <c r="X851" s="430"/>
      <c r="Y851" s="430"/>
      <c r="Z851" s="430"/>
      <c r="AA851" s="430"/>
      <c r="AB851" s="430"/>
      <c r="AC851" s="430"/>
      <c r="AD851" s="430"/>
      <c r="AE851" s="430"/>
      <c r="AF851" s="430"/>
      <c r="AG851" s="430"/>
      <c r="AH851" s="430"/>
      <c r="AI851" s="430"/>
      <c r="AJ851" s="430"/>
      <c r="AK851" s="430"/>
      <c r="AL851" s="430"/>
      <c r="AM851" s="430"/>
      <c r="AN851" s="430"/>
      <c r="AO851" s="430"/>
      <c r="AP851" s="430"/>
      <c r="AQ851" s="430"/>
      <c r="AR851" s="430"/>
      <c r="AS851" s="430"/>
      <c r="AT851" s="430"/>
      <c r="AU851" s="430"/>
      <c r="AV851" s="430"/>
      <c r="AW851" s="430"/>
      <c r="AX851" s="430"/>
      <c r="AY851" s="430"/>
      <c r="AZ851" s="430"/>
      <c r="BA851" s="430"/>
      <c r="BB851" s="430"/>
      <c r="BC851" s="430"/>
      <c r="BD851" s="430"/>
      <c r="BE851" s="430"/>
    </row>
    <row r="852" spans="1:57" ht="15.75" customHeight="1">
      <c r="A852" s="430"/>
      <c r="B852" s="430"/>
      <c r="C852" s="430"/>
      <c r="D852" s="430"/>
      <c r="E852" s="430"/>
      <c r="F852" s="430"/>
      <c r="G852" s="430"/>
      <c r="H852" s="430"/>
      <c r="I852" s="430"/>
      <c r="J852" s="430"/>
      <c r="K852" s="430"/>
      <c r="L852" s="430"/>
      <c r="M852" s="430"/>
      <c r="N852" s="430"/>
      <c r="O852" s="430"/>
      <c r="P852" s="430"/>
      <c r="Q852" s="430"/>
      <c r="R852" s="430"/>
      <c r="S852" s="430"/>
      <c r="T852" s="430"/>
      <c r="U852" s="430"/>
      <c r="V852" s="430"/>
      <c r="W852" s="430"/>
      <c r="X852" s="430"/>
      <c r="Y852" s="430"/>
      <c r="Z852" s="430"/>
      <c r="AA852" s="430"/>
      <c r="AB852" s="430"/>
      <c r="AC852" s="430"/>
      <c r="AD852" s="430"/>
      <c r="AE852" s="430"/>
      <c r="AF852" s="430"/>
      <c r="AG852" s="430"/>
      <c r="AH852" s="430"/>
      <c r="AI852" s="430"/>
      <c r="AJ852" s="430"/>
      <c r="AK852" s="430"/>
      <c r="AL852" s="430"/>
      <c r="AM852" s="430"/>
      <c r="AN852" s="430"/>
      <c r="AO852" s="430"/>
      <c r="AP852" s="430"/>
      <c r="AQ852" s="430"/>
      <c r="AR852" s="430"/>
      <c r="AS852" s="430"/>
      <c r="AT852" s="430"/>
      <c r="AU852" s="430"/>
      <c r="AV852" s="430"/>
      <c r="AW852" s="430"/>
      <c r="AX852" s="430"/>
      <c r="AY852" s="430"/>
      <c r="AZ852" s="430"/>
      <c r="BA852" s="430"/>
      <c r="BB852" s="430"/>
      <c r="BC852" s="430"/>
      <c r="BD852" s="430"/>
      <c r="BE852" s="430"/>
    </row>
    <row r="853" spans="1:57" ht="15.75" customHeight="1">
      <c r="A853" s="430"/>
      <c r="B853" s="430"/>
      <c r="C853" s="430"/>
      <c r="D853" s="430"/>
      <c r="E853" s="430"/>
      <c r="F853" s="430"/>
      <c r="G853" s="430"/>
      <c r="H853" s="430"/>
      <c r="I853" s="430"/>
      <c r="J853" s="430"/>
      <c r="K853" s="430"/>
      <c r="L853" s="430"/>
      <c r="M853" s="430"/>
      <c r="N853" s="430"/>
      <c r="O853" s="430"/>
      <c r="P853" s="430"/>
      <c r="Q853" s="430"/>
      <c r="R853" s="430"/>
      <c r="S853" s="430"/>
      <c r="T853" s="430"/>
      <c r="U853" s="430"/>
      <c r="V853" s="430"/>
      <c r="W853" s="430"/>
      <c r="X853" s="430"/>
      <c r="Y853" s="430"/>
      <c r="Z853" s="430"/>
      <c r="AA853" s="430"/>
      <c r="AB853" s="430"/>
      <c r="AC853" s="430"/>
      <c r="AD853" s="430"/>
      <c r="AE853" s="430"/>
      <c r="AF853" s="430"/>
      <c r="AG853" s="430"/>
      <c r="AH853" s="430"/>
      <c r="AI853" s="430"/>
      <c r="AJ853" s="430"/>
      <c r="AK853" s="430"/>
      <c r="AL853" s="430"/>
      <c r="AM853" s="430"/>
      <c r="AN853" s="430"/>
      <c r="AO853" s="430"/>
      <c r="AP853" s="430"/>
      <c r="AQ853" s="430"/>
      <c r="AR853" s="430"/>
      <c r="AS853" s="430"/>
      <c r="AT853" s="430"/>
      <c r="AU853" s="430"/>
      <c r="AV853" s="430"/>
      <c r="AW853" s="430"/>
      <c r="AX853" s="430"/>
      <c r="AY853" s="430"/>
      <c r="AZ853" s="430"/>
      <c r="BA853" s="430"/>
      <c r="BB853" s="430"/>
      <c r="BC853" s="430"/>
      <c r="BD853" s="430"/>
      <c r="BE853" s="430"/>
    </row>
    <row r="854" spans="1:57" ht="15.75" customHeight="1">
      <c r="A854" s="430"/>
      <c r="B854" s="430"/>
      <c r="C854" s="430"/>
      <c r="D854" s="430"/>
      <c r="E854" s="430"/>
      <c r="F854" s="430"/>
      <c r="G854" s="430"/>
      <c r="H854" s="430"/>
      <c r="I854" s="430"/>
      <c r="J854" s="430"/>
      <c r="K854" s="430"/>
      <c r="L854" s="430"/>
      <c r="M854" s="430"/>
      <c r="N854" s="430"/>
      <c r="O854" s="430"/>
      <c r="P854" s="430"/>
      <c r="Q854" s="430"/>
      <c r="R854" s="430"/>
      <c r="S854" s="430"/>
      <c r="T854" s="430"/>
      <c r="U854" s="430"/>
      <c r="V854" s="430"/>
      <c r="W854" s="430"/>
      <c r="X854" s="430"/>
      <c r="Y854" s="430"/>
      <c r="Z854" s="430"/>
      <c r="AA854" s="430"/>
      <c r="AB854" s="430"/>
      <c r="AC854" s="430"/>
      <c r="AD854" s="430"/>
      <c r="AE854" s="430"/>
      <c r="AF854" s="430"/>
      <c r="AG854" s="430"/>
      <c r="AH854" s="430"/>
      <c r="AI854" s="430"/>
      <c r="AJ854" s="430"/>
      <c r="AK854" s="430"/>
      <c r="AL854" s="430"/>
      <c r="AM854" s="430"/>
      <c r="AN854" s="430"/>
      <c r="AO854" s="430"/>
      <c r="AP854" s="430"/>
      <c r="AQ854" s="430"/>
      <c r="AR854" s="430"/>
      <c r="AS854" s="430"/>
      <c r="AT854" s="430"/>
      <c r="AU854" s="430"/>
      <c r="AV854" s="430"/>
      <c r="AW854" s="430"/>
      <c r="AX854" s="430"/>
      <c r="AY854" s="430"/>
      <c r="AZ854" s="430"/>
      <c r="BA854" s="430"/>
      <c r="BB854" s="430"/>
      <c r="BC854" s="430"/>
      <c r="BD854" s="430"/>
      <c r="BE854" s="430"/>
    </row>
    <row r="855" spans="1:57" ht="15.75" customHeight="1">
      <c r="A855" s="430"/>
      <c r="B855" s="430"/>
      <c r="C855" s="430"/>
      <c r="D855" s="430"/>
      <c r="E855" s="430"/>
      <c r="F855" s="430"/>
      <c r="G855" s="430"/>
      <c r="H855" s="430"/>
      <c r="I855" s="430"/>
      <c r="J855" s="430"/>
      <c r="K855" s="430"/>
      <c r="L855" s="430"/>
      <c r="M855" s="430"/>
      <c r="N855" s="430"/>
      <c r="O855" s="430"/>
      <c r="P855" s="430"/>
      <c r="Q855" s="430"/>
      <c r="R855" s="430"/>
      <c r="S855" s="430"/>
      <c r="T855" s="430"/>
      <c r="U855" s="430"/>
      <c r="V855" s="430"/>
      <c r="W855" s="430"/>
      <c r="X855" s="430"/>
      <c r="Y855" s="430"/>
      <c r="Z855" s="430"/>
      <c r="AA855" s="430"/>
      <c r="AB855" s="430"/>
      <c r="AC855" s="430"/>
      <c r="AD855" s="430"/>
      <c r="AE855" s="430"/>
      <c r="AF855" s="430"/>
      <c r="AG855" s="430"/>
      <c r="AH855" s="430"/>
      <c r="AI855" s="430"/>
      <c r="AJ855" s="430"/>
      <c r="AK855" s="430"/>
      <c r="AL855" s="430"/>
      <c r="AM855" s="430"/>
      <c r="AN855" s="430"/>
      <c r="AO855" s="430"/>
      <c r="AP855" s="430"/>
      <c r="AQ855" s="430"/>
      <c r="AR855" s="430"/>
      <c r="AS855" s="430"/>
      <c r="AT855" s="430"/>
      <c r="AU855" s="430"/>
      <c r="AV855" s="430"/>
      <c r="AW855" s="430"/>
      <c r="AX855" s="430"/>
      <c r="AY855" s="430"/>
      <c r="AZ855" s="430"/>
      <c r="BA855" s="430"/>
      <c r="BB855" s="430"/>
      <c r="BC855" s="430"/>
      <c r="BD855" s="430"/>
      <c r="BE855" s="430"/>
    </row>
    <row r="856" spans="1:57" ht="15.75" customHeight="1">
      <c r="A856" s="430"/>
      <c r="B856" s="430"/>
      <c r="C856" s="430"/>
      <c r="D856" s="430"/>
      <c r="E856" s="430"/>
      <c r="F856" s="430"/>
      <c r="G856" s="430"/>
      <c r="H856" s="430"/>
      <c r="I856" s="430"/>
      <c r="J856" s="430"/>
      <c r="K856" s="430"/>
      <c r="L856" s="430"/>
      <c r="M856" s="430"/>
      <c r="N856" s="430"/>
      <c r="O856" s="430"/>
      <c r="P856" s="430"/>
      <c r="Q856" s="430"/>
      <c r="R856" s="430"/>
      <c r="S856" s="430"/>
      <c r="T856" s="430"/>
      <c r="U856" s="430"/>
      <c r="V856" s="430"/>
      <c r="W856" s="430"/>
      <c r="X856" s="430"/>
      <c r="Y856" s="430"/>
      <c r="Z856" s="430"/>
      <c r="AA856" s="430"/>
      <c r="AB856" s="430"/>
      <c r="AC856" s="430"/>
      <c r="AD856" s="430"/>
      <c r="AE856" s="430"/>
      <c r="AF856" s="430"/>
      <c r="AG856" s="430"/>
      <c r="AH856" s="430"/>
      <c r="AI856" s="430"/>
      <c r="AJ856" s="430"/>
      <c r="AK856" s="430"/>
      <c r="AL856" s="430"/>
      <c r="AM856" s="430"/>
      <c r="AN856" s="430"/>
      <c r="AO856" s="430"/>
      <c r="AP856" s="430"/>
      <c r="AQ856" s="430"/>
      <c r="AR856" s="430"/>
      <c r="AS856" s="430"/>
      <c r="AT856" s="430"/>
      <c r="AU856" s="430"/>
      <c r="AV856" s="430"/>
      <c r="AW856" s="430"/>
      <c r="AX856" s="430"/>
      <c r="AY856" s="430"/>
      <c r="AZ856" s="430"/>
      <c r="BA856" s="430"/>
      <c r="BB856" s="430"/>
      <c r="BC856" s="430"/>
      <c r="BD856" s="430"/>
      <c r="BE856" s="430"/>
    </row>
    <row r="857" spans="1:57" ht="15.75" customHeight="1">
      <c r="A857" s="430"/>
      <c r="B857" s="430"/>
      <c r="C857" s="430"/>
      <c r="D857" s="430"/>
      <c r="E857" s="430"/>
      <c r="F857" s="430"/>
      <c r="G857" s="430"/>
      <c r="H857" s="430"/>
      <c r="I857" s="430"/>
      <c r="J857" s="430"/>
      <c r="K857" s="430"/>
      <c r="L857" s="430"/>
      <c r="M857" s="430"/>
      <c r="N857" s="430"/>
      <c r="O857" s="430"/>
      <c r="P857" s="430"/>
      <c r="Q857" s="430"/>
      <c r="R857" s="430"/>
      <c r="S857" s="430"/>
      <c r="T857" s="430"/>
      <c r="U857" s="430"/>
      <c r="V857" s="430"/>
      <c r="W857" s="430"/>
      <c r="X857" s="430"/>
      <c r="Y857" s="430"/>
      <c r="Z857" s="430"/>
      <c r="AA857" s="430"/>
      <c r="AB857" s="430"/>
      <c r="AC857" s="430"/>
      <c r="AD857" s="430"/>
      <c r="AE857" s="430"/>
      <c r="AF857" s="430"/>
      <c r="AG857" s="430"/>
      <c r="AH857" s="430"/>
      <c r="AI857" s="430"/>
      <c r="AJ857" s="430"/>
      <c r="AK857" s="430"/>
      <c r="AL857" s="430"/>
      <c r="AM857" s="430"/>
      <c r="AN857" s="430"/>
      <c r="AO857" s="430"/>
      <c r="AP857" s="430"/>
      <c r="AQ857" s="430"/>
      <c r="AR857" s="430"/>
      <c r="AS857" s="430"/>
      <c r="AT857" s="430"/>
      <c r="AU857" s="430"/>
      <c r="AV857" s="430"/>
      <c r="AW857" s="430"/>
      <c r="AX857" s="430"/>
      <c r="AY857" s="430"/>
      <c r="AZ857" s="430"/>
      <c r="BA857" s="430"/>
      <c r="BB857" s="430"/>
      <c r="BC857" s="430"/>
      <c r="BD857" s="430"/>
      <c r="BE857" s="430"/>
    </row>
    <row r="858" spans="1:57" ht="15.75" customHeight="1">
      <c r="A858" s="430"/>
      <c r="B858" s="430"/>
      <c r="C858" s="430"/>
      <c r="D858" s="430"/>
      <c r="E858" s="430"/>
      <c r="F858" s="430"/>
      <c r="G858" s="430"/>
      <c r="H858" s="430"/>
      <c r="I858" s="430"/>
      <c r="J858" s="430"/>
      <c r="K858" s="430"/>
      <c r="L858" s="430"/>
      <c r="M858" s="430"/>
      <c r="N858" s="430"/>
      <c r="O858" s="430"/>
      <c r="P858" s="430"/>
      <c r="Q858" s="430"/>
      <c r="R858" s="430"/>
      <c r="S858" s="430"/>
      <c r="T858" s="430"/>
      <c r="U858" s="430"/>
      <c r="V858" s="430"/>
      <c r="W858" s="430"/>
      <c r="X858" s="430"/>
      <c r="Y858" s="430"/>
      <c r="Z858" s="430"/>
      <c r="AA858" s="430"/>
      <c r="AB858" s="430"/>
      <c r="AC858" s="430"/>
      <c r="AD858" s="430"/>
      <c r="AE858" s="430"/>
      <c r="AF858" s="430"/>
      <c r="AG858" s="430"/>
      <c r="AH858" s="430"/>
      <c r="AI858" s="430"/>
      <c r="AJ858" s="430"/>
      <c r="AK858" s="430"/>
      <c r="AL858" s="430"/>
      <c r="AM858" s="430"/>
      <c r="AN858" s="430"/>
      <c r="AO858" s="430"/>
      <c r="AP858" s="430"/>
      <c r="AQ858" s="430"/>
      <c r="AR858" s="430"/>
      <c r="AS858" s="430"/>
      <c r="AT858" s="430"/>
      <c r="AU858" s="430"/>
      <c r="AV858" s="430"/>
      <c r="AW858" s="430"/>
      <c r="AX858" s="430"/>
      <c r="AY858" s="430"/>
      <c r="AZ858" s="430"/>
      <c r="BA858" s="430"/>
      <c r="BB858" s="430"/>
      <c r="BC858" s="430"/>
      <c r="BD858" s="430"/>
      <c r="BE858" s="430"/>
    </row>
    <row r="859" spans="1:57" ht="15.75" customHeight="1">
      <c r="A859" s="430"/>
      <c r="B859" s="430"/>
      <c r="C859" s="430"/>
      <c r="D859" s="430"/>
      <c r="E859" s="430"/>
      <c r="F859" s="430"/>
      <c r="G859" s="430"/>
      <c r="H859" s="430"/>
      <c r="I859" s="430"/>
      <c r="J859" s="430"/>
      <c r="K859" s="430"/>
      <c r="L859" s="430"/>
      <c r="M859" s="430"/>
      <c r="N859" s="430"/>
      <c r="O859" s="430"/>
      <c r="P859" s="430"/>
      <c r="Q859" s="430"/>
      <c r="R859" s="430"/>
      <c r="S859" s="430"/>
      <c r="T859" s="430"/>
      <c r="U859" s="430"/>
      <c r="V859" s="430"/>
      <c r="W859" s="430"/>
      <c r="X859" s="430"/>
      <c r="Y859" s="430"/>
      <c r="Z859" s="430"/>
      <c r="AA859" s="430"/>
      <c r="AB859" s="430"/>
      <c r="AC859" s="430"/>
      <c r="AD859" s="430"/>
      <c r="AE859" s="430"/>
      <c r="AF859" s="430"/>
      <c r="AG859" s="430"/>
      <c r="AH859" s="430"/>
      <c r="AI859" s="430"/>
      <c r="AJ859" s="430"/>
      <c r="AK859" s="430"/>
      <c r="AL859" s="430"/>
      <c r="AM859" s="430"/>
      <c r="AN859" s="430"/>
      <c r="AO859" s="430"/>
      <c r="AP859" s="430"/>
      <c r="AQ859" s="430"/>
      <c r="AR859" s="430"/>
      <c r="AS859" s="430"/>
      <c r="AT859" s="430"/>
      <c r="AU859" s="430"/>
      <c r="AV859" s="430"/>
      <c r="AW859" s="430"/>
      <c r="AX859" s="430"/>
      <c r="AY859" s="430"/>
      <c r="AZ859" s="430"/>
      <c r="BA859" s="430"/>
      <c r="BB859" s="430"/>
      <c r="BC859" s="430"/>
      <c r="BD859" s="430"/>
      <c r="BE859" s="430"/>
    </row>
    <row r="860" spans="1:57" ht="15.75" customHeight="1">
      <c r="A860" s="430"/>
      <c r="B860" s="430"/>
      <c r="C860" s="430"/>
      <c r="D860" s="430"/>
      <c r="E860" s="430"/>
      <c r="F860" s="430"/>
      <c r="G860" s="430"/>
      <c r="H860" s="430"/>
      <c r="I860" s="430"/>
      <c r="J860" s="430"/>
      <c r="K860" s="430"/>
      <c r="L860" s="430"/>
      <c r="M860" s="430"/>
      <c r="N860" s="430"/>
      <c r="O860" s="430"/>
      <c r="P860" s="430"/>
      <c r="Q860" s="430"/>
      <c r="R860" s="430"/>
      <c r="S860" s="430"/>
      <c r="T860" s="430"/>
      <c r="U860" s="430"/>
      <c r="V860" s="430"/>
      <c r="W860" s="430"/>
      <c r="X860" s="430"/>
      <c r="Y860" s="430"/>
      <c r="Z860" s="430"/>
      <c r="AA860" s="430"/>
      <c r="AB860" s="430"/>
      <c r="AC860" s="430"/>
      <c r="AD860" s="430"/>
      <c r="AE860" s="430"/>
      <c r="AF860" s="430"/>
      <c r="AG860" s="430"/>
      <c r="AH860" s="430"/>
      <c r="AI860" s="430"/>
      <c r="AJ860" s="430"/>
      <c r="AK860" s="430"/>
      <c r="AL860" s="430"/>
      <c r="AM860" s="430"/>
      <c r="AN860" s="430"/>
      <c r="AO860" s="430"/>
      <c r="AP860" s="430"/>
      <c r="AQ860" s="430"/>
      <c r="AR860" s="430"/>
      <c r="AS860" s="430"/>
      <c r="AT860" s="430"/>
      <c r="AU860" s="430"/>
      <c r="AV860" s="430"/>
      <c r="AW860" s="430"/>
      <c r="AX860" s="430"/>
      <c r="AY860" s="430"/>
      <c r="AZ860" s="430"/>
      <c r="BA860" s="430"/>
      <c r="BB860" s="430"/>
      <c r="BC860" s="430"/>
      <c r="BD860" s="430"/>
      <c r="BE860" s="430"/>
    </row>
    <row r="861" spans="1:57" ht="15.75" customHeight="1">
      <c r="A861" s="430"/>
      <c r="B861" s="430"/>
      <c r="C861" s="430"/>
      <c r="D861" s="430"/>
      <c r="E861" s="430"/>
      <c r="F861" s="430"/>
      <c r="G861" s="430"/>
      <c r="H861" s="430"/>
      <c r="I861" s="430"/>
      <c r="J861" s="430"/>
      <c r="K861" s="430"/>
      <c r="L861" s="430"/>
      <c r="M861" s="430"/>
      <c r="N861" s="430"/>
      <c r="O861" s="430"/>
      <c r="P861" s="430"/>
      <c r="Q861" s="430"/>
      <c r="R861" s="430"/>
      <c r="S861" s="430"/>
      <c r="T861" s="430"/>
      <c r="U861" s="430"/>
      <c r="V861" s="430"/>
      <c r="W861" s="430"/>
      <c r="X861" s="430"/>
      <c r="Y861" s="430"/>
      <c r="Z861" s="430"/>
      <c r="AA861" s="430"/>
      <c r="AB861" s="430"/>
      <c r="AC861" s="430"/>
      <c r="AD861" s="430"/>
      <c r="AE861" s="430"/>
      <c r="AF861" s="430"/>
      <c r="AG861" s="430"/>
      <c r="AH861" s="430"/>
      <c r="AI861" s="430"/>
      <c r="AJ861" s="430"/>
      <c r="AK861" s="430"/>
      <c r="AL861" s="430"/>
      <c r="AM861" s="430"/>
      <c r="AN861" s="430"/>
      <c r="AO861" s="430"/>
      <c r="AP861" s="430"/>
      <c r="AQ861" s="430"/>
      <c r="AR861" s="430"/>
      <c r="AS861" s="430"/>
      <c r="AT861" s="430"/>
      <c r="AU861" s="430"/>
      <c r="AV861" s="430"/>
      <c r="AW861" s="430"/>
      <c r="AX861" s="430"/>
      <c r="AY861" s="430"/>
      <c r="AZ861" s="430"/>
      <c r="BA861" s="430"/>
      <c r="BB861" s="430"/>
      <c r="BC861" s="430"/>
      <c r="BD861" s="430"/>
      <c r="BE861" s="430"/>
    </row>
    <row r="862" spans="1:57" ht="15.75" customHeight="1">
      <c r="A862" s="430"/>
      <c r="B862" s="430"/>
      <c r="C862" s="430"/>
      <c r="D862" s="430"/>
      <c r="E862" s="430"/>
      <c r="F862" s="430"/>
      <c r="G862" s="430"/>
      <c r="H862" s="430"/>
      <c r="I862" s="430"/>
      <c r="J862" s="430"/>
      <c r="K862" s="430"/>
      <c r="L862" s="430"/>
      <c r="M862" s="430"/>
      <c r="N862" s="430"/>
      <c r="O862" s="430"/>
      <c r="P862" s="430"/>
      <c r="Q862" s="430"/>
      <c r="R862" s="430"/>
      <c r="S862" s="430"/>
      <c r="T862" s="430"/>
      <c r="U862" s="430"/>
      <c r="V862" s="430"/>
      <c r="W862" s="430"/>
      <c r="X862" s="430"/>
      <c r="Y862" s="430"/>
      <c r="Z862" s="430"/>
      <c r="AA862" s="430"/>
      <c r="AB862" s="430"/>
      <c r="AC862" s="430"/>
      <c r="AD862" s="430"/>
      <c r="AE862" s="430"/>
      <c r="AF862" s="430"/>
      <c r="AG862" s="430"/>
      <c r="AH862" s="430"/>
      <c r="AI862" s="430"/>
      <c r="AJ862" s="430"/>
      <c r="AK862" s="430"/>
      <c r="AL862" s="430"/>
      <c r="AM862" s="430"/>
      <c r="AN862" s="430"/>
      <c r="AO862" s="430"/>
      <c r="AP862" s="430"/>
      <c r="AQ862" s="430"/>
      <c r="AR862" s="430"/>
      <c r="AS862" s="430"/>
      <c r="AT862" s="430"/>
      <c r="AU862" s="430"/>
      <c r="AV862" s="430"/>
      <c r="AW862" s="430"/>
      <c r="AX862" s="430"/>
      <c r="AY862" s="430"/>
      <c r="AZ862" s="430"/>
      <c r="BA862" s="430"/>
      <c r="BB862" s="430"/>
      <c r="BC862" s="430"/>
      <c r="BD862" s="430"/>
      <c r="BE862" s="430"/>
    </row>
    <row r="863" spans="1:57" ht="15.75" customHeight="1">
      <c r="A863" s="430"/>
      <c r="B863" s="430"/>
      <c r="C863" s="430"/>
      <c r="D863" s="430"/>
      <c r="E863" s="430"/>
      <c r="F863" s="430"/>
      <c r="G863" s="430"/>
      <c r="H863" s="430"/>
      <c r="I863" s="430"/>
      <c r="J863" s="430"/>
      <c r="K863" s="430"/>
      <c r="L863" s="430"/>
      <c r="M863" s="430"/>
      <c r="N863" s="430"/>
      <c r="O863" s="430"/>
      <c r="P863" s="430"/>
      <c r="Q863" s="430"/>
      <c r="R863" s="430"/>
      <c r="S863" s="430"/>
      <c r="T863" s="430"/>
      <c r="U863" s="430"/>
      <c r="V863" s="430"/>
      <c r="W863" s="430"/>
      <c r="X863" s="430"/>
      <c r="Y863" s="430"/>
      <c r="Z863" s="430"/>
      <c r="AA863" s="430"/>
      <c r="AB863" s="430"/>
      <c r="AC863" s="430"/>
      <c r="AD863" s="430"/>
      <c r="AE863" s="430"/>
      <c r="AF863" s="430"/>
      <c r="AG863" s="430"/>
      <c r="AH863" s="430"/>
      <c r="AI863" s="430"/>
      <c r="AJ863" s="430"/>
      <c r="AK863" s="430"/>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row>
    <row r="864" spans="1:57" ht="15.75" customHeight="1">
      <c r="A864" s="430"/>
      <c r="B864" s="430"/>
      <c r="C864" s="430"/>
      <c r="D864" s="430"/>
      <c r="E864" s="430"/>
      <c r="F864" s="430"/>
      <c r="G864" s="430"/>
      <c r="H864" s="430"/>
      <c r="I864" s="430"/>
      <c r="J864" s="430"/>
      <c r="K864" s="430"/>
      <c r="L864" s="430"/>
      <c r="M864" s="430"/>
      <c r="N864" s="430"/>
      <c r="O864" s="430"/>
      <c r="P864" s="430"/>
      <c r="Q864" s="430"/>
      <c r="R864" s="430"/>
      <c r="S864" s="430"/>
      <c r="T864" s="430"/>
      <c r="U864" s="430"/>
      <c r="V864" s="430"/>
      <c r="W864" s="430"/>
      <c r="X864" s="430"/>
      <c r="Y864" s="430"/>
      <c r="Z864" s="430"/>
      <c r="AA864" s="430"/>
      <c r="AB864" s="430"/>
      <c r="AC864" s="430"/>
      <c r="AD864" s="430"/>
      <c r="AE864" s="430"/>
      <c r="AF864" s="430"/>
      <c r="AG864" s="430"/>
      <c r="AH864" s="430"/>
      <c r="AI864" s="430"/>
      <c r="AJ864" s="430"/>
      <c r="AK864" s="430"/>
      <c r="AL864" s="430"/>
      <c r="AM864" s="430"/>
      <c r="AN864" s="430"/>
      <c r="AO864" s="430"/>
      <c r="AP864" s="430"/>
      <c r="AQ864" s="430"/>
      <c r="AR864" s="430"/>
      <c r="AS864" s="430"/>
      <c r="AT864" s="430"/>
      <c r="AU864" s="430"/>
      <c r="AV864" s="430"/>
      <c r="AW864" s="430"/>
      <c r="AX864" s="430"/>
      <c r="AY864" s="430"/>
      <c r="AZ864" s="430"/>
      <c r="BA864" s="430"/>
      <c r="BB864" s="430"/>
      <c r="BC864" s="430"/>
      <c r="BD864" s="430"/>
      <c r="BE864" s="430"/>
    </row>
    <row r="865" spans="1:57" ht="15.75" customHeight="1">
      <c r="A865" s="430"/>
      <c r="B865" s="430"/>
      <c r="C865" s="430"/>
      <c r="D865" s="430"/>
      <c r="E865" s="430"/>
      <c r="F865" s="430"/>
      <c r="G865" s="430"/>
      <c r="H865" s="430"/>
      <c r="I865" s="430"/>
      <c r="J865" s="430"/>
      <c r="K865" s="430"/>
      <c r="L865" s="430"/>
      <c r="M865" s="430"/>
      <c r="N865" s="430"/>
      <c r="O865" s="430"/>
      <c r="P865" s="430"/>
      <c r="Q865" s="430"/>
      <c r="R865" s="430"/>
      <c r="S865" s="430"/>
      <c r="T865" s="430"/>
      <c r="U865" s="430"/>
      <c r="V865" s="430"/>
      <c r="W865" s="430"/>
      <c r="X865" s="430"/>
      <c r="Y865" s="430"/>
      <c r="Z865" s="430"/>
      <c r="AA865" s="430"/>
      <c r="AB865" s="430"/>
      <c r="AC865" s="430"/>
      <c r="AD865" s="430"/>
      <c r="AE865" s="430"/>
      <c r="AF865" s="430"/>
      <c r="AG865" s="430"/>
      <c r="AH865" s="430"/>
      <c r="AI865" s="430"/>
      <c r="AJ865" s="430"/>
      <c r="AK865" s="430"/>
      <c r="AL865" s="430"/>
      <c r="AM865" s="430"/>
      <c r="AN865" s="430"/>
      <c r="AO865" s="430"/>
      <c r="AP865" s="430"/>
      <c r="AQ865" s="430"/>
      <c r="AR865" s="430"/>
      <c r="AS865" s="430"/>
      <c r="AT865" s="430"/>
      <c r="AU865" s="430"/>
      <c r="AV865" s="430"/>
      <c r="AW865" s="430"/>
      <c r="AX865" s="430"/>
      <c r="AY865" s="430"/>
      <c r="AZ865" s="430"/>
      <c r="BA865" s="430"/>
      <c r="BB865" s="430"/>
      <c r="BC865" s="430"/>
      <c r="BD865" s="430"/>
      <c r="BE865" s="430"/>
    </row>
    <row r="866" spans="1:57" ht="15.75" customHeight="1">
      <c r="A866" s="430"/>
      <c r="B866" s="430"/>
      <c r="C866" s="430"/>
      <c r="D866" s="430"/>
      <c r="E866" s="430"/>
      <c r="F866" s="430"/>
      <c r="G866" s="430"/>
      <c r="H866" s="430"/>
      <c r="I866" s="430"/>
      <c r="J866" s="430"/>
      <c r="K866" s="430"/>
      <c r="L866" s="430"/>
      <c r="M866" s="430"/>
      <c r="N866" s="430"/>
      <c r="O866" s="430"/>
      <c r="P866" s="430"/>
      <c r="Q866" s="430"/>
      <c r="R866" s="430"/>
      <c r="S866" s="430"/>
      <c r="T866" s="430"/>
      <c r="U866" s="430"/>
      <c r="V866" s="430"/>
      <c r="W866" s="430"/>
      <c r="X866" s="430"/>
      <c r="Y866" s="430"/>
      <c r="Z866" s="430"/>
      <c r="AA866" s="430"/>
      <c r="AB866" s="430"/>
      <c r="AC866" s="430"/>
      <c r="AD866" s="430"/>
      <c r="AE866" s="430"/>
      <c r="AF866" s="430"/>
      <c r="AG866" s="430"/>
      <c r="AH866" s="430"/>
      <c r="AI866" s="430"/>
      <c r="AJ866" s="430"/>
      <c r="AK866" s="430"/>
      <c r="AL866" s="430"/>
      <c r="AM866" s="430"/>
      <c r="AN866" s="430"/>
      <c r="AO866" s="430"/>
      <c r="AP866" s="430"/>
      <c r="AQ866" s="430"/>
      <c r="AR866" s="430"/>
      <c r="AS866" s="430"/>
      <c r="AT866" s="430"/>
      <c r="AU866" s="430"/>
      <c r="AV866" s="430"/>
      <c r="AW866" s="430"/>
      <c r="AX866" s="430"/>
      <c r="AY866" s="430"/>
      <c r="AZ866" s="430"/>
      <c r="BA866" s="430"/>
      <c r="BB866" s="430"/>
      <c r="BC866" s="430"/>
      <c r="BD866" s="430"/>
      <c r="BE866" s="430"/>
    </row>
    <row r="867" spans="1:57" ht="15.75" customHeight="1">
      <c r="A867" s="430"/>
      <c r="B867" s="430"/>
      <c r="C867" s="430"/>
      <c r="D867" s="430"/>
      <c r="E867" s="430"/>
      <c r="F867" s="430"/>
      <c r="G867" s="430"/>
      <c r="H867" s="430"/>
      <c r="I867" s="430"/>
      <c r="J867" s="430"/>
      <c r="K867" s="430"/>
      <c r="L867" s="430"/>
      <c r="M867" s="430"/>
      <c r="N867" s="430"/>
      <c r="O867" s="430"/>
      <c r="P867" s="430"/>
      <c r="Q867" s="430"/>
      <c r="R867" s="430"/>
      <c r="S867" s="430"/>
      <c r="T867" s="430"/>
      <c r="U867" s="430"/>
      <c r="V867" s="430"/>
      <c r="W867" s="430"/>
      <c r="X867" s="430"/>
      <c r="Y867" s="430"/>
      <c r="Z867" s="430"/>
      <c r="AA867" s="430"/>
      <c r="AB867" s="430"/>
      <c r="AC867" s="430"/>
      <c r="AD867" s="430"/>
      <c r="AE867" s="430"/>
      <c r="AF867" s="430"/>
      <c r="AG867" s="430"/>
      <c r="AH867" s="430"/>
      <c r="AI867" s="430"/>
      <c r="AJ867" s="430"/>
      <c r="AK867" s="430"/>
      <c r="AL867" s="430"/>
      <c r="AM867" s="430"/>
      <c r="AN867" s="430"/>
      <c r="AO867" s="430"/>
      <c r="AP867" s="430"/>
      <c r="AQ867" s="430"/>
      <c r="AR867" s="430"/>
      <c r="AS867" s="430"/>
      <c r="AT867" s="430"/>
      <c r="AU867" s="430"/>
      <c r="AV867" s="430"/>
      <c r="AW867" s="430"/>
      <c r="AX867" s="430"/>
      <c r="AY867" s="430"/>
      <c r="AZ867" s="430"/>
      <c r="BA867" s="430"/>
      <c r="BB867" s="430"/>
      <c r="BC867" s="430"/>
      <c r="BD867" s="430"/>
      <c r="BE867" s="430"/>
    </row>
    <row r="868" spans="1:57" ht="15.75" customHeight="1">
      <c r="A868" s="430"/>
      <c r="B868" s="430"/>
      <c r="C868" s="430"/>
      <c r="D868" s="430"/>
      <c r="E868" s="430"/>
      <c r="F868" s="430"/>
      <c r="G868" s="430"/>
      <c r="H868" s="430"/>
      <c r="I868" s="430"/>
      <c r="J868" s="430"/>
      <c r="K868" s="430"/>
      <c r="L868" s="430"/>
      <c r="M868" s="430"/>
      <c r="N868" s="430"/>
      <c r="O868" s="430"/>
      <c r="P868" s="430"/>
      <c r="Q868" s="430"/>
      <c r="R868" s="430"/>
      <c r="S868" s="430"/>
      <c r="T868" s="430"/>
      <c r="U868" s="430"/>
      <c r="V868" s="430"/>
      <c r="W868" s="430"/>
      <c r="X868" s="430"/>
      <c r="Y868" s="430"/>
      <c r="Z868" s="430"/>
      <c r="AA868" s="430"/>
      <c r="AB868" s="430"/>
      <c r="AC868" s="430"/>
      <c r="AD868" s="430"/>
      <c r="AE868" s="430"/>
      <c r="AF868" s="430"/>
      <c r="AG868" s="430"/>
      <c r="AH868" s="430"/>
      <c r="AI868" s="430"/>
      <c r="AJ868" s="430"/>
      <c r="AK868" s="430"/>
      <c r="AL868" s="430"/>
      <c r="AM868" s="430"/>
      <c r="AN868" s="430"/>
      <c r="AO868" s="430"/>
      <c r="AP868" s="430"/>
      <c r="AQ868" s="430"/>
      <c r="AR868" s="430"/>
      <c r="AS868" s="430"/>
      <c r="AT868" s="430"/>
      <c r="AU868" s="430"/>
      <c r="AV868" s="430"/>
      <c r="AW868" s="430"/>
      <c r="AX868" s="430"/>
      <c r="AY868" s="430"/>
      <c r="AZ868" s="430"/>
      <c r="BA868" s="430"/>
      <c r="BB868" s="430"/>
      <c r="BC868" s="430"/>
      <c r="BD868" s="430"/>
      <c r="BE868" s="430"/>
    </row>
    <row r="869" spans="1:57" ht="15.75" customHeight="1">
      <c r="A869" s="430"/>
      <c r="B869" s="430"/>
      <c r="C869" s="430"/>
      <c r="D869" s="430"/>
      <c r="E869" s="430"/>
      <c r="F869" s="430"/>
      <c r="G869" s="430"/>
      <c r="H869" s="430"/>
      <c r="I869" s="430"/>
      <c r="J869" s="430"/>
      <c r="K869" s="430"/>
      <c r="L869" s="430"/>
      <c r="M869" s="430"/>
      <c r="N869" s="430"/>
      <c r="O869" s="430"/>
      <c r="P869" s="430"/>
      <c r="Q869" s="430"/>
      <c r="R869" s="430"/>
      <c r="S869" s="430"/>
      <c r="T869" s="430"/>
      <c r="U869" s="430"/>
      <c r="V869" s="430"/>
      <c r="W869" s="430"/>
      <c r="X869" s="430"/>
      <c r="Y869" s="430"/>
      <c r="Z869" s="430"/>
      <c r="AA869" s="430"/>
      <c r="AB869" s="430"/>
      <c r="AC869" s="430"/>
      <c r="AD869" s="430"/>
      <c r="AE869" s="430"/>
      <c r="AF869" s="430"/>
      <c r="AG869" s="430"/>
      <c r="AH869" s="430"/>
      <c r="AI869" s="430"/>
      <c r="AJ869" s="430"/>
      <c r="AK869" s="430"/>
      <c r="AL869" s="430"/>
      <c r="AM869" s="430"/>
      <c r="AN869" s="430"/>
      <c r="AO869" s="430"/>
      <c r="AP869" s="430"/>
      <c r="AQ869" s="430"/>
      <c r="AR869" s="430"/>
      <c r="AS869" s="430"/>
      <c r="AT869" s="430"/>
      <c r="AU869" s="430"/>
      <c r="AV869" s="430"/>
      <c r="AW869" s="430"/>
      <c r="AX869" s="430"/>
      <c r="AY869" s="430"/>
      <c r="AZ869" s="430"/>
      <c r="BA869" s="430"/>
      <c r="BB869" s="430"/>
      <c r="BC869" s="430"/>
      <c r="BD869" s="430"/>
      <c r="BE869" s="430"/>
    </row>
    <row r="870" spans="1:57" ht="15.75" customHeight="1">
      <c r="A870" s="430"/>
      <c r="B870" s="430"/>
      <c r="C870" s="430"/>
      <c r="D870" s="430"/>
      <c r="E870" s="430"/>
      <c r="F870" s="430"/>
      <c r="G870" s="430"/>
      <c r="H870" s="430"/>
      <c r="I870" s="430"/>
      <c r="J870" s="430"/>
      <c r="K870" s="430"/>
      <c r="L870" s="430"/>
      <c r="M870" s="430"/>
      <c r="N870" s="430"/>
      <c r="O870" s="430"/>
      <c r="P870" s="430"/>
      <c r="Q870" s="430"/>
      <c r="R870" s="430"/>
      <c r="S870" s="430"/>
      <c r="T870" s="430"/>
      <c r="U870" s="430"/>
      <c r="V870" s="430"/>
      <c r="W870" s="430"/>
      <c r="X870" s="430"/>
      <c r="Y870" s="430"/>
      <c r="Z870" s="430"/>
      <c r="AA870" s="430"/>
      <c r="AB870" s="430"/>
      <c r="AC870" s="430"/>
      <c r="AD870" s="430"/>
      <c r="AE870" s="430"/>
      <c r="AF870" s="430"/>
      <c r="AG870" s="430"/>
      <c r="AH870" s="430"/>
      <c r="AI870" s="430"/>
      <c r="AJ870" s="430"/>
      <c r="AK870" s="430"/>
      <c r="AL870" s="430"/>
      <c r="AM870" s="430"/>
      <c r="AN870" s="430"/>
      <c r="AO870" s="430"/>
      <c r="AP870" s="430"/>
      <c r="AQ870" s="430"/>
      <c r="AR870" s="430"/>
      <c r="AS870" s="430"/>
      <c r="AT870" s="430"/>
      <c r="AU870" s="430"/>
      <c r="AV870" s="430"/>
      <c r="AW870" s="430"/>
      <c r="AX870" s="430"/>
      <c r="AY870" s="430"/>
      <c r="AZ870" s="430"/>
      <c r="BA870" s="430"/>
      <c r="BB870" s="430"/>
      <c r="BC870" s="430"/>
      <c r="BD870" s="430"/>
      <c r="BE870" s="430"/>
    </row>
    <row r="871" spans="1:57" ht="15.75" customHeight="1">
      <c r="A871" s="430"/>
      <c r="B871" s="430"/>
      <c r="C871" s="430"/>
      <c r="D871" s="430"/>
      <c r="E871" s="430"/>
      <c r="F871" s="430"/>
      <c r="G871" s="430"/>
      <c r="H871" s="430"/>
      <c r="I871" s="430"/>
      <c r="J871" s="430"/>
      <c r="K871" s="430"/>
      <c r="L871" s="430"/>
      <c r="M871" s="430"/>
      <c r="N871" s="430"/>
      <c r="O871" s="430"/>
      <c r="P871" s="430"/>
      <c r="Q871" s="430"/>
      <c r="R871" s="430"/>
      <c r="S871" s="430"/>
      <c r="T871" s="430"/>
      <c r="U871" s="430"/>
      <c r="V871" s="430"/>
      <c r="W871" s="430"/>
      <c r="X871" s="430"/>
      <c r="Y871" s="430"/>
      <c r="Z871" s="430"/>
      <c r="AA871" s="430"/>
      <c r="AB871" s="430"/>
      <c r="AC871" s="430"/>
      <c r="AD871" s="430"/>
      <c r="AE871" s="430"/>
      <c r="AF871" s="430"/>
      <c r="AG871" s="430"/>
      <c r="AH871" s="430"/>
      <c r="AI871" s="430"/>
      <c r="AJ871" s="430"/>
      <c r="AK871" s="430"/>
      <c r="AL871" s="430"/>
      <c r="AM871" s="430"/>
      <c r="AN871" s="430"/>
      <c r="AO871" s="430"/>
      <c r="AP871" s="430"/>
      <c r="AQ871" s="430"/>
      <c r="AR871" s="430"/>
      <c r="AS871" s="430"/>
      <c r="AT871" s="430"/>
      <c r="AU871" s="430"/>
      <c r="AV871" s="430"/>
      <c r="AW871" s="430"/>
      <c r="AX871" s="430"/>
      <c r="AY871" s="430"/>
      <c r="AZ871" s="430"/>
      <c r="BA871" s="430"/>
      <c r="BB871" s="430"/>
      <c r="BC871" s="430"/>
      <c r="BD871" s="430"/>
      <c r="BE871" s="430"/>
    </row>
    <row r="872" spans="1:57" ht="15.75" customHeight="1">
      <c r="A872" s="430"/>
      <c r="B872" s="430"/>
      <c r="C872" s="430"/>
      <c r="D872" s="430"/>
      <c r="E872" s="430"/>
      <c r="F872" s="430"/>
      <c r="G872" s="430"/>
      <c r="H872" s="430"/>
      <c r="I872" s="430"/>
      <c r="J872" s="430"/>
      <c r="K872" s="430"/>
      <c r="L872" s="430"/>
      <c r="M872" s="430"/>
      <c r="N872" s="430"/>
      <c r="O872" s="430"/>
      <c r="P872" s="430"/>
      <c r="Q872" s="430"/>
      <c r="R872" s="430"/>
      <c r="S872" s="430"/>
      <c r="T872" s="430"/>
      <c r="U872" s="430"/>
      <c r="V872" s="430"/>
      <c r="W872" s="430"/>
      <c r="X872" s="430"/>
      <c r="Y872" s="430"/>
      <c r="Z872" s="430"/>
      <c r="AA872" s="430"/>
      <c r="AB872" s="430"/>
      <c r="AC872" s="430"/>
      <c r="AD872" s="430"/>
      <c r="AE872" s="430"/>
      <c r="AF872" s="430"/>
      <c r="AG872" s="430"/>
      <c r="AH872" s="430"/>
      <c r="AI872" s="430"/>
      <c r="AJ872" s="430"/>
      <c r="AK872" s="430"/>
      <c r="AL872" s="430"/>
      <c r="AM872" s="430"/>
      <c r="AN872" s="430"/>
      <c r="AO872" s="430"/>
      <c r="AP872" s="430"/>
      <c r="AQ872" s="430"/>
      <c r="AR872" s="430"/>
      <c r="AS872" s="430"/>
      <c r="AT872" s="430"/>
      <c r="AU872" s="430"/>
      <c r="AV872" s="430"/>
      <c r="AW872" s="430"/>
      <c r="AX872" s="430"/>
      <c r="AY872" s="430"/>
      <c r="AZ872" s="430"/>
      <c r="BA872" s="430"/>
      <c r="BB872" s="430"/>
      <c r="BC872" s="430"/>
      <c r="BD872" s="430"/>
      <c r="BE872" s="430"/>
    </row>
    <row r="873" spans="1:57" ht="15.75" customHeight="1">
      <c r="A873" s="430"/>
      <c r="B873" s="430"/>
      <c r="C873" s="430"/>
      <c r="D873" s="430"/>
      <c r="E873" s="430"/>
      <c r="F873" s="430"/>
      <c r="G873" s="430"/>
      <c r="H873" s="430"/>
      <c r="I873" s="430"/>
      <c r="J873" s="430"/>
      <c r="K873" s="430"/>
      <c r="L873" s="430"/>
      <c r="M873" s="430"/>
      <c r="N873" s="430"/>
      <c r="O873" s="430"/>
      <c r="P873" s="430"/>
      <c r="Q873" s="430"/>
      <c r="R873" s="430"/>
      <c r="S873" s="430"/>
      <c r="T873" s="430"/>
      <c r="U873" s="430"/>
      <c r="V873" s="430"/>
      <c r="W873" s="430"/>
      <c r="X873" s="430"/>
      <c r="Y873" s="430"/>
      <c r="Z873" s="430"/>
      <c r="AA873" s="430"/>
      <c r="AB873" s="430"/>
      <c r="AC873" s="430"/>
      <c r="AD873" s="430"/>
      <c r="AE873" s="430"/>
      <c r="AF873" s="430"/>
      <c r="AG873" s="430"/>
      <c r="AH873" s="430"/>
      <c r="AI873" s="430"/>
      <c r="AJ873" s="430"/>
      <c r="AK873" s="430"/>
      <c r="AL873" s="430"/>
      <c r="AM873" s="430"/>
      <c r="AN873" s="430"/>
      <c r="AO873" s="430"/>
      <c r="AP873" s="430"/>
      <c r="AQ873" s="430"/>
      <c r="AR873" s="430"/>
      <c r="AS873" s="430"/>
      <c r="AT873" s="430"/>
      <c r="AU873" s="430"/>
      <c r="AV873" s="430"/>
      <c r="AW873" s="430"/>
      <c r="AX873" s="430"/>
      <c r="AY873" s="430"/>
      <c r="AZ873" s="430"/>
      <c r="BA873" s="430"/>
      <c r="BB873" s="430"/>
      <c r="BC873" s="430"/>
      <c r="BD873" s="430"/>
      <c r="BE873" s="430"/>
    </row>
    <row r="874" spans="1:57" ht="15.75" customHeight="1">
      <c r="A874" s="430"/>
      <c r="B874" s="430"/>
      <c r="C874" s="430"/>
      <c r="D874" s="430"/>
      <c r="E874" s="430"/>
      <c r="F874" s="430"/>
      <c r="G874" s="430"/>
      <c r="H874" s="430"/>
      <c r="I874" s="430"/>
      <c r="J874" s="430"/>
      <c r="K874" s="430"/>
      <c r="L874" s="430"/>
      <c r="M874" s="430"/>
      <c r="N874" s="430"/>
      <c r="O874" s="430"/>
      <c r="P874" s="430"/>
      <c r="Q874" s="430"/>
      <c r="R874" s="430"/>
      <c r="S874" s="430"/>
      <c r="T874" s="430"/>
      <c r="U874" s="430"/>
      <c r="V874" s="430"/>
      <c r="W874" s="430"/>
      <c r="X874" s="430"/>
      <c r="Y874" s="430"/>
      <c r="Z874" s="430"/>
      <c r="AA874" s="430"/>
      <c r="AB874" s="430"/>
      <c r="AC874" s="430"/>
      <c r="AD874" s="430"/>
      <c r="AE874" s="430"/>
      <c r="AF874" s="430"/>
      <c r="AG874" s="430"/>
      <c r="AH874" s="430"/>
      <c r="AI874" s="430"/>
      <c r="AJ874" s="430"/>
      <c r="AK874" s="430"/>
      <c r="AL874" s="430"/>
      <c r="AM874" s="430"/>
      <c r="AN874" s="430"/>
      <c r="AO874" s="430"/>
      <c r="AP874" s="430"/>
      <c r="AQ874" s="430"/>
      <c r="AR874" s="430"/>
      <c r="AS874" s="430"/>
      <c r="AT874" s="430"/>
      <c r="AU874" s="430"/>
      <c r="AV874" s="430"/>
      <c r="AW874" s="430"/>
      <c r="AX874" s="430"/>
      <c r="AY874" s="430"/>
      <c r="AZ874" s="430"/>
      <c r="BA874" s="430"/>
      <c r="BB874" s="430"/>
      <c r="BC874" s="430"/>
      <c r="BD874" s="430"/>
      <c r="BE874" s="430"/>
    </row>
    <row r="875" spans="1:57" ht="15.75" customHeight="1">
      <c r="A875" s="430"/>
      <c r="B875" s="430"/>
      <c r="C875" s="430"/>
      <c r="D875" s="430"/>
      <c r="E875" s="430"/>
      <c r="F875" s="430"/>
      <c r="G875" s="430"/>
      <c r="H875" s="430"/>
      <c r="I875" s="430"/>
      <c r="J875" s="430"/>
      <c r="K875" s="430"/>
      <c r="L875" s="430"/>
      <c r="M875" s="430"/>
      <c r="N875" s="430"/>
      <c r="O875" s="430"/>
      <c r="P875" s="430"/>
      <c r="Q875" s="430"/>
      <c r="R875" s="430"/>
      <c r="S875" s="430"/>
      <c r="T875" s="430"/>
      <c r="U875" s="430"/>
      <c r="V875" s="430"/>
      <c r="W875" s="430"/>
      <c r="X875" s="430"/>
      <c r="Y875" s="430"/>
      <c r="Z875" s="430"/>
      <c r="AA875" s="430"/>
      <c r="AB875" s="430"/>
      <c r="AC875" s="430"/>
      <c r="AD875" s="430"/>
      <c r="AE875" s="430"/>
      <c r="AF875" s="430"/>
      <c r="AG875" s="430"/>
      <c r="AH875" s="430"/>
      <c r="AI875" s="430"/>
      <c r="AJ875" s="430"/>
      <c r="AK875" s="430"/>
      <c r="AL875" s="430"/>
      <c r="AM875" s="430"/>
      <c r="AN875" s="430"/>
      <c r="AO875" s="430"/>
      <c r="AP875" s="430"/>
      <c r="AQ875" s="430"/>
      <c r="AR875" s="430"/>
      <c r="AS875" s="430"/>
      <c r="AT875" s="430"/>
      <c r="AU875" s="430"/>
      <c r="AV875" s="430"/>
      <c r="AW875" s="430"/>
      <c r="AX875" s="430"/>
      <c r="AY875" s="430"/>
      <c r="AZ875" s="430"/>
      <c r="BA875" s="430"/>
      <c r="BB875" s="430"/>
      <c r="BC875" s="430"/>
      <c r="BD875" s="430"/>
      <c r="BE875" s="430"/>
    </row>
    <row r="876" spans="1:57" ht="15.75" customHeight="1">
      <c r="A876" s="430"/>
      <c r="B876" s="430"/>
      <c r="C876" s="430"/>
      <c r="D876" s="430"/>
      <c r="E876" s="430"/>
      <c r="F876" s="430"/>
      <c r="G876" s="430"/>
      <c r="H876" s="430"/>
      <c r="I876" s="430"/>
      <c r="J876" s="430"/>
      <c r="K876" s="430"/>
      <c r="L876" s="430"/>
      <c r="M876" s="430"/>
      <c r="N876" s="430"/>
      <c r="O876" s="430"/>
      <c r="P876" s="430"/>
      <c r="Q876" s="430"/>
      <c r="R876" s="430"/>
      <c r="S876" s="430"/>
      <c r="T876" s="430"/>
      <c r="U876" s="430"/>
      <c r="V876" s="430"/>
      <c r="W876" s="430"/>
      <c r="X876" s="430"/>
      <c r="Y876" s="430"/>
      <c r="Z876" s="430"/>
      <c r="AA876" s="430"/>
      <c r="AB876" s="430"/>
      <c r="AC876" s="430"/>
      <c r="AD876" s="430"/>
      <c r="AE876" s="430"/>
      <c r="AF876" s="430"/>
      <c r="AG876" s="430"/>
      <c r="AH876" s="430"/>
      <c r="AI876" s="430"/>
      <c r="AJ876" s="430"/>
      <c r="AK876" s="430"/>
      <c r="AL876" s="430"/>
      <c r="AM876" s="430"/>
      <c r="AN876" s="430"/>
      <c r="AO876" s="430"/>
      <c r="AP876" s="430"/>
      <c r="AQ876" s="430"/>
      <c r="AR876" s="430"/>
      <c r="AS876" s="430"/>
      <c r="AT876" s="430"/>
      <c r="AU876" s="430"/>
      <c r="AV876" s="430"/>
      <c r="AW876" s="430"/>
      <c r="AX876" s="430"/>
      <c r="AY876" s="430"/>
      <c r="AZ876" s="430"/>
      <c r="BA876" s="430"/>
      <c r="BB876" s="430"/>
      <c r="BC876" s="430"/>
      <c r="BD876" s="430"/>
      <c r="BE876" s="430"/>
    </row>
    <row r="877" spans="1:57" ht="15.75" customHeight="1">
      <c r="A877" s="430"/>
      <c r="B877" s="430"/>
      <c r="C877" s="430"/>
      <c r="D877" s="430"/>
      <c r="E877" s="430"/>
      <c r="F877" s="430"/>
      <c r="G877" s="430"/>
      <c r="H877" s="430"/>
      <c r="I877" s="430"/>
      <c r="J877" s="430"/>
      <c r="K877" s="430"/>
      <c r="L877" s="430"/>
      <c r="M877" s="430"/>
      <c r="N877" s="430"/>
      <c r="O877" s="430"/>
      <c r="P877" s="430"/>
      <c r="Q877" s="430"/>
      <c r="R877" s="430"/>
      <c r="S877" s="430"/>
      <c r="T877" s="430"/>
      <c r="U877" s="430"/>
      <c r="V877" s="430"/>
      <c r="W877" s="430"/>
      <c r="X877" s="430"/>
      <c r="Y877" s="430"/>
      <c r="Z877" s="430"/>
      <c r="AA877" s="430"/>
      <c r="AB877" s="430"/>
      <c r="AC877" s="430"/>
      <c r="AD877" s="430"/>
      <c r="AE877" s="430"/>
      <c r="AF877" s="430"/>
      <c r="AG877" s="430"/>
      <c r="AH877" s="430"/>
      <c r="AI877" s="430"/>
      <c r="AJ877" s="430"/>
      <c r="AK877" s="430"/>
      <c r="AL877" s="430"/>
      <c r="AM877" s="430"/>
      <c r="AN877" s="430"/>
      <c r="AO877" s="430"/>
      <c r="AP877" s="430"/>
      <c r="AQ877" s="430"/>
      <c r="AR877" s="430"/>
      <c r="AS877" s="430"/>
      <c r="AT877" s="430"/>
      <c r="AU877" s="430"/>
      <c r="AV877" s="430"/>
      <c r="AW877" s="430"/>
      <c r="AX877" s="430"/>
      <c r="AY877" s="430"/>
      <c r="AZ877" s="430"/>
      <c r="BA877" s="430"/>
      <c r="BB877" s="430"/>
      <c r="BC877" s="430"/>
      <c r="BD877" s="430"/>
      <c r="BE877" s="430"/>
    </row>
    <row r="878" spans="1:57" ht="15.75" customHeight="1">
      <c r="A878" s="430"/>
      <c r="B878" s="430"/>
      <c r="C878" s="430"/>
      <c r="D878" s="430"/>
      <c r="E878" s="430"/>
      <c r="F878" s="430"/>
      <c r="G878" s="430"/>
      <c r="H878" s="430"/>
      <c r="I878" s="430"/>
      <c r="J878" s="430"/>
      <c r="K878" s="430"/>
      <c r="L878" s="430"/>
      <c r="M878" s="430"/>
      <c r="N878" s="430"/>
      <c r="O878" s="430"/>
      <c r="P878" s="430"/>
      <c r="Q878" s="430"/>
      <c r="R878" s="430"/>
      <c r="S878" s="430"/>
      <c r="T878" s="430"/>
      <c r="U878" s="430"/>
      <c r="V878" s="430"/>
      <c r="W878" s="430"/>
      <c r="X878" s="430"/>
      <c r="Y878" s="430"/>
      <c r="Z878" s="430"/>
      <c r="AA878" s="430"/>
      <c r="AB878" s="430"/>
      <c r="AC878" s="430"/>
      <c r="AD878" s="430"/>
      <c r="AE878" s="430"/>
      <c r="AF878" s="430"/>
      <c r="AG878" s="430"/>
      <c r="AH878" s="430"/>
      <c r="AI878" s="430"/>
      <c r="AJ878" s="430"/>
      <c r="AK878" s="430"/>
      <c r="AL878" s="430"/>
      <c r="AM878" s="430"/>
      <c r="AN878" s="430"/>
      <c r="AO878" s="430"/>
      <c r="AP878" s="430"/>
      <c r="AQ878" s="430"/>
      <c r="AR878" s="430"/>
      <c r="AS878" s="430"/>
      <c r="AT878" s="430"/>
      <c r="AU878" s="430"/>
      <c r="AV878" s="430"/>
      <c r="AW878" s="430"/>
      <c r="AX878" s="430"/>
      <c r="AY878" s="430"/>
      <c r="AZ878" s="430"/>
      <c r="BA878" s="430"/>
      <c r="BB878" s="430"/>
      <c r="BC878" s="430"/>
      <c r="BD878" s="430"/>
      <c r="BE878" s="430"/>
    </row>
    <row r="879" spans="1:57" ht="15.75" customHeight="1">
      <c r="A879" s="430"/>
      <c r="B879" s="430"/>
      <c r="C879" s="430"/>
      <c r="D879" s="430"/>
      <c r="E879" s="430"/>
      <c r="F879" s="430"/>
      <c r="G879" s="430"/>
      <c r="H879" s="430"/>
      <c r="I879" s="430"/>
      <c r="J879" s="430"/>
      <c r="K879" s="430"/>
      <c r="L879" s="430"/>
      <c r="M879" s="430"/>
      <c r="N879" s="430"/>
      <c r="O879" s="430"/>
      <c r="P879" s="430"/>
      <c r="Q879" s="430"/>
      <c r="R879" s="430"/>
      <c r="S879" s="430"/>
      <c r="T879" s="430"/>
      <c r="U879" s="430"/>
      <c r="V879" s="430"/>
      <c r="W879" s="430"/>
      <c r="X879" s="430"/>
      <c r="Y879" s="430"/>
      <c r="Z879" s="430"/>
      <c r="AA879" s="430"/>
      <c r="AB879" s="430"/>
      <c r="AC879" s="430"/>
      <c r="AD879" s="430"/>
      <c r="AE879" s="430"/>
      <c r="AF879" s="430"/>
      <c r="AG879" s="430"/>
      <c r="AH879" s="430"/>
      <c r="AI879" s="430"/>
      <c r="AJ879" s="430"/>
      <c r="AK879" s="430"/>
      <c r="AL879" s="430"/>
      <c r="AM879" s="430"/>
      <c r="AN879" s="430"/>
      <c r="AO879" s="430"/>
      <c r="AP879" s="430"/>
      <c r="AQ879" s="430"/>
      <c r="AR879" s="430"/>
      <c r="AS879" s="430"/>
      <c r="AT879" s="430"/>
      <c r="AU879" s="430"/>
      <c r="AV879" s="430"/>
      <c r="AW879" s="430"/>
      <c r="AX879" s="430"/>
      <c r="AY879" s="430"/>
      <c r="AZ879" s="430"/>
      <c r="BA879" s="430"/>
      <c r="BB879" s="430"/>
      <c r="BC879" s="430"/>
      <c r="BD879" s="430"/>
      <c r="BE879" s="430"/>
    </row>
    <row r="880" spans="1:57" ht="15.75" customHeight="1">
      <c r="A880" s="430"/>
      <c r="B880" s="430"/>
      <c r="C880" s="430"/>
      <c r="D880" s="430"/>
      <c r="E880" s="430"/>
      <c r="F880" s="430"/>
      <c r="G880" s="430"/>
      <c r="H880" s="430"/>
      <c r="I880" s="430"/>
      <c r="J880" s="430"/>
      <c r="K880" s="430"/>
      <c r="L880" s="430"/>
      <c r="M880" s="430"/>
      <c r="N880" s="430"/>
      <c r="O880" s="430"/>
      <c r="P880" s="430"/>
      <c r="Q880" s="430"/>
      <c r="R880" s="430"/>
      <c r="S880" s="430"/>
      <c r="T880" s="430"/>
      <c r="U880" s="430"/>
      <c r="V880" s="430"/>
      <c r="W880" s="430"/>
      <c r="X880" s="430"/>
      <c r="Y880" s="430"/>
      <c r="Z880" s="430"/>
      <c r="AA880" s="430"/>
      <c r="AB880" s="430"/>
      <c r="AC880" s="430"/>
      <c r="AD880" s="430"/>
      <c r="AE880" s="430"/>
      <c r="AF880" s="430"/>
      <c r="AG880" s="430"/>
      <c r="AH880" s="430"/>
      <c r="AI880" s="430"/>
      <c r="AJ880" s="430"/>
      <c r="AK880" s="430"/>
      <c r="AL880" s="430"/>
      <c r="AM880" s="430"/>
      <c r="AN880" s="430"/>
      <c r="AO880" s="430"/>
      <c r="AP880" s="430"/>
      <c r="AQ880" s="430"/>
      <c r="AR880" s="430"/>
      <c r="AS880" s="430"/>
      <c r="AT880" s="430"/>
      <c r="AU880" s="430"/>
      <c r="AV880" s="430"/>
      <c r="AW880" s="430"/>
      <c r="AX880" s="430"/>
      <c r="AY880" s="430"/>
      <c r="AZ880" s="430"/>
      <c r="BA880" s="430"/>
      <c r="BB880" s="430"/>
      <c r="BC880" s="430"/>
      <c r="BD880" s="430"/>
      <c r="BE880" s="430"/>
    </row>
    <row r="881" spans="1:57" ht="15.75" customHeight="1">
      <c r="A881" s="430"/>
      <c r="B881" s="430"/>
      <c r="C881" s="430"/>
      <c r="D881" s="430"/>
      <c r="E881" s="430"/>
      <c r="F881" s="430"/>
      <c r="G881" s="430"/>
      <c r="H881" s="430"/>
      <c r="I881" s="430"/>
      <c r="J881" s="430"/>
      <c r="K881" s="430"/>
      <c r="L881" s="430"/>
      <c r="M881" s="430"/>
      <c r="N881" s="430"/>
      <c r="O881" s="430"/>
      <c r="P881" s="430"/>
      <c r="Q881" s="430"/>
      <c r="R881" s="430"/>
      <c r="S881" s="430"/>
      <c r="T881" s="430"/>
      <c r="U881" s="430"/>
      <c r="V881" s="430"/>
      <c r="W881" s="430"/>
      <c r="X881" s="430"/>
      <c r="Y881" s="430"/>
      <c r="Z881" s="430"/>
      <c r="AA881" s="430"/>
      <c r="AB881" s="430"/>
      <c r="AC881" s="430"/>
      <c r="AD881" s="430"/>
      <c r="AE881" s="430"/>
      <c r="AF881" s="430"/>
      <c r="AG881" s="430"/>
      <c r="AH881" s="430"/>
      <c r="AI881" s="430"/>
      <c r="AJ881" s="430"/>
      <c r="AK881" s="430"/>
      <c r="AL881" s="430"/>
      <c r="AM881" s="430"/>
      <c r="AN881" s="430"/>
      <c r="AO881" s="430"/>
      <c r="AP881" s="430"/>
      <c r="AQ881" s="430"/>
      <c r="AR881" s="430"/>
      <c r="AS881" s="430"/>
      <c r="AT881" s="430"/>
      <c r="AU881" s="430"/>
      <c r="AV881" s="430"/>
      <c r="AW881" s="430"/>
      <c r="AX881" s="430"/>
      <c r="AY881" s="430"/>
      <c r="AZ881" s="430"/>
      <c r="BA881" s="430"/>
      <c r="BB881" s="430"/>
      <c r="BC881" s="430"/>
      <c r="BD881" s="430"/>
      <c r="BE881" s="430"/>
    </row>
    <row r="882" spans="1:57" ht="15.75" customHeight="1">
      <c r="A882" s="430"/>
      <c r="B882" s="430"/>
      <c r="C882" s="430"/>
      <c r="D882" s="430"/>
      <c r="E882" s="430"/>
      <c r="F882" s="430"/>
      <c r="G882" s="430"/>
      <c r="H882" s="430"/>
      <c r="I882" s="430"/>
      <c r="J882" s="430"/>
      <c r="K882" s="430"/>
      <c r="L882" s="430"/>
      <c r="M882" s="430"/>
      <c r="N882" s="430"/>
      <c r="O882" s="430"/>
      <c r="P882" s="430"/>
      <c r="Q882" s="430"/>
      <c r="R882" s="430"/>
      <c r="S882" s="430"/>
      <c r="T882" s="430"/>
      <c r="U882" s="430"/>
      <c r="V882" s="430"/>
      <c r="W882" s="430"/>
      <c r="X882" s="430"/>
      <c r="Y882" s="430"/>
      <c r="Z882" s="430"/>
      <c r="AA882" s="430"/>
      <c r="AB882" s="430"/>
      <c r="AC882" s="430"/>
      <c r="AD882" s="430"/>
      <c r="AE882" s="430"/>
      <c r="AF882" s="430"/>
      <c r="AG882" s="430"/>
      <c r="AH882" s="430"/>
      <c r="AI882" s="430"/>
      <c r="AJ882" s="430"/>
      <c r="AK882" s="430"/>
      <c r="AL882" s="430"/>
      <c r="AM882" s="430"/>
      <c r="AN882" s="430"/>
      <c r="AO882" s="430"/>
      <c r="AP882" s="430"/>
      <c r="AQ882" s="430"/>
      <c r="AR882" s="430"/>
      <c r="AS882" s="430"/>
      <c r="AT882" s="430"/>
      <c r="AU882" s="430"/>
      <c r="AV882" s="430"/>
      <c r="AW882" s="430"/>
      <c r="AX882" s="430"/>
      <c r="AY882" s="430"/>
      <c r="AZ882" s="430"/>
      <c r="BA882" s="430"/>
      <c r="BB882" s="430"/>
      <c r="BC882" s="430"/>
      <c r="BD882" s="430"/>
      <c r="BE882" s="430"/>
    </row>
    <row r="883" spans="1:57" ht="15.75" customHeight="1">
      <c r="A883" s="430"/>
      <c r="B883" s="430"/>
      <c r="C883" s="430"/>
      <c r="D883" s="430"/>
      <c r="E883" s="430"/>
      <c r="F883" s="430"/>
      <c r="G883" s="430"/>
      <c r="H883" s="430"/>
      <c r="I883" s="430"/>
      <c r="J883" s="430"/>
      <c r="K883" s="430"/>
      <c r="L883" s="430"/>
      <c r="M883" s="430"/>
      <c r="N883" s="430"/>
      <c r="O883" s="430"/>
      <c r="P883" s="430"/>
      <c r="Q883" s="430"/>
      <c r="R883" s="430"/>
      <c r="S883" s="430"/>
      <c r="T883" s="430"/>
      <c r="U883" s="430"/>
      <c r="V883" s="430"/>
      <c r="W883" s="430"/>
      <c r="X883" s="430"/>
      <c r="Y883" s="430"/>
      <c r="Z883" s="430"/>
      <c r="AA883" s="430"/>
      <c r="AB883" s="430"/>
      <c r="AC883" s="430"/>
      <c r="AD883" s="430"/>
      <c r="AE883" s="430"/>
      <c r="AF883" s="430"/>
      <c r="AG883" s="430"/>
      <c r="AH883" s="430"/>
      <c r="AI883" s="430"/>
      <c r="AJ883" s="430"/>
      <c r="AK883" s="430"/>
      <c r="AL883" s="430"/>
      <c r="AM883" s="430"/>
      <c r="AN883" s="430"/>
      <c r="AO883" s="430"/>
      <c r="AP883" s="430"/>
      <c r="AQ883" s="430"/>
      <c r="AR883" s="430"/>
      <c r="AS883" s="430"/>
      <c r="AT883" s="430"/>
      <c r="AU883" s="430"/>
      <c r="AV883" s="430"/>
      <c r="AW883" s="430"/>
      <c r="AX883" s="430"/>
      <c r="AY883" s="430"/>
      <c r="AZ883" s="430"/>
      <c r="BA883" s="430"/>
      <c r="BB883" s="430"/>
      <c r="BC883" s="430"/>
      <c r="BD883" s="430"/>
      <c r="BE883" s="430"/>
    </row>
    <row r="884" spans="1:57" ht="15.75" customHeight="1">
      <c r="A884" s="430"/>
      <c r="B884" s="430"/>
      <c r="C884" s="430"/>
      <c r="D884" s="430"/>
      <c r="E884" s="430"/>
      <c r="F884" s="430"/>
      <c r="G884" s="430"/>
      <c r="H884" s="430"/>
      <c r="I884" s="430"/>
      <c r="J884" s="430"/>
      <c r="K884" s="430"/>
      <c r="L884" s="430"/>
      <c r="M884" s="430"/>
      <c r="N884" s="430"/>
      <c r="O884" s="430"/>
      <c r="P884" s="430"/>
      <c r="Q884" s="430"/>
      <c r="R884" s="430"/>
      <c r="S884" s="430"/>
      <c r="T884" s="430"/>
      <c r="U884" s="430"/>
      <c r="V884" s="430"/>
      <c r="W884" s="430"/>
      <c r="X884" s="430"/>
      <c r="Y884" s="430"/>
      <c r="Z884" s="430"/>
      <c r="AA884" s="430"/>
      <c r="AB884" s="430"/>
      <c r="AC884" s="430"/>
      <c r="AD884" s="430"/>
      <c r="AE884" s="430"/>
      <c r="AF884" s="430"/>
      <c r="AG884" s="430"/>
      <c r="AH884" s="430"/>
      <c r="AI884" s="430"/>
      <c r="AJ884" s="430"/>
      <c r="AK884" s="430"/>
      <c r="AL884" s="430"/>
      <c r="AM884" s="430"/>
      <c r="AN884" s="430"/>
      <c r="AO884" s="430"/>
      <c r="AP884" s="430"/>
      <c r="AQ884" s="430"/>
      <c r="AR884" s="430"/>
      <c r="AS884" s="430"/>
      <c r="AT884" s="430"/>
      <c r="AU884" s="430"/>
      <c r="AV884" s="430"/>
      <c r="AW884" s="430"/>
      <c r="AX884" s="430"/>
      <c r="AY884" s="430"/>
      <c r="AZ884" s="430"/>
      <c r="BA884" s="430"/>
      <c r="BB884" s="430"/>
      <c r="BC884" s="430"/>
      <c r="BD884" s="430"/>
      <c r="BE884" s="430"/>
    </row>
    <row r="885" spans="1:57" ht="15.75" customHeight="1">
      <c r="A885" s="430"/>
      <c r="B885" s="430"/>
      <c r="C885" s="430"/>
      <c r="D885" s="430"/>
      <c r="E885" s="430"/>
      <c r="F885" s="430"/>
      <c r="G885" s="430"/>
      <c r="H885" s="430"/>
      <c r="I885" s="430"/>
      <c r="J885" s="430"/>
      <c r="K885" s="430"/>
      <c r="L885" s="430"/>
      <c r="M885" s="430"/>
      <c r="N885" s="430"/>
      <c r="O885" s="430"/>
      <c r="P885" s="430"/>
      <c r="Q885" s="430"/>
      <c r="R885" s="430"/>
      <c r="S885" s="430"/>
      <c r="T885" s="430"/>
      <c r="U885" s="430"/>
      <c r="V885" s="430"/>
      <c r="W885" s="430"/>
      <c r="X885" s="430"/>
      <c r="Y885" s="430"/>
      <c r="Z885" s="430"/>
      <c r="AA885" s="430"/>
      <c r="AB885" s="430"/>
      <c r="AC885" s="430"/>
      <c r="AD885" s="430"/>
      <c r="AE885" s="430"/>
      <c r="AF885" s="430"/>
      <c r="AG885" s="430"/>
      <c r="AH885" s="430"/>
      <c r="AI885" s="430"/>
      <c r="AJ885" s="430"/>
      <c r="AK885" s="430"/>
      <c r="AL885" s="430"/>
      <c r="AM885" s="430"/>
      <c r="AN885" s="430"/>
      <c r="AO885" s="430"/>
      <c r="AP885" s="430"/>
      <c r="AQ885" s="430"/>
      <c r="AR885" s="430"/>
      <c r="AS885" s="430"/>
      <c r="AT885" s="430"/>
      <c r="AU885" s="430"/>
      <c r="AV885" s="430"/>
      <c r="AW885" s="430"/>
      <c r="AX885" s="430"/>
      <c r="AY885" s="430"/>
      <c r="AZ885" s="430"/>
      <c r="BA885" s="430"/>
      <c r="BB885" s="430"/>
      <c r="BC885" s="430"/>
      <c r="BD885" s="430"/>
      <c r="BE885" s="430"/>
    </row>
    <row r="886" spans="1:57" ht="15.75" customHeight="1">
      <c r="A886" s="430"/>
      <c r="B886" s="430"/>
      <c r="C886" s="430"/>
      <c r="D886" s="430"/>
      <c r="E886" s="430"/>
      <c r="F886" s="430"/>
      <c r="G886" s="430"/>
      <c r="H886" s="430"/>
      <c r="I886" s="430"/>
      <c r="J886" s="430"/>
      <c r="K886" s="430"/>
      <c r="L886" s="430"/>
      <c r="M886" s="430"/>
      <c r="N886" s="430"/>
      <c r="O886" s="430"/>
      <c r="P886" s="430"/>
      <c r="Q886" s="430"/>
      <c r="R886" s="430"/>
      <c r="S886" s="430"/>
      <c r="T886" s="430"/>
      <c r="U886" s="430"/>
      <c r="V886" s="430"/>
      <c r="W886" s="430"/>
      <c r="X886" s="430"/>
      <c r="Y886" s="430"/>
      <c r="Z886" s="430"/>
      <c r="AA886" s="430"/>
      <c r="AB886" s="430"/>
      <c r="AC886" s="430"/>
      <c r="AD886" s="430"/>
      <c r="AE886" s="430"/>
      <c r="AF886" s="430"/>
      <c r="AG886" s="430"/>
      <c r="AH886" s="430"/>
      <c r="AI886" s="430"/>
      <c r="AJ886" s="430"/>
      <c r="AK886" s="430"/>
      <c r="AL886" s="430"/>
      <c r="AM886" s="430"/>
      <c r="AN886" s="430"/>
      <c r="AO886" s="430"/>
      <c r="AP886" s="430"/>
      <c r="AQ886" s="430"/>
      <c r="AR886" s="430"/>
      <c r="AS886" s="430"/>
      <c r="AT886" s="430"/>
      <c r="AU886" s="430"/>
      <c r="AV886" s="430"/>
      <c r="AW886" s="430"/>
      <c r="AX886" s="430"/>
      <c r="AY886" s="430"/>
      <c r="AZ886" s="430"/>
      <c r="BA886" s="430"/>
      <c r="BB886" s="430"/>
      <c r="BC886" s="430"/>
      <c r="BD886" s="430"/>
      <c r="BE886" s="430"/>
    </row>
    <row r="887" spans="1:57" ht="15.75" customHeight="1">
      <c r="A887" s="430"/>
      <c r="B887" s="430"/>
      <c r="C887" s="430"/>
      <c r="D887" s="430"/>
      <c r="E887" s="430"/>
      <c r="F887" s="430"/>
      <c r="G887" s="430"/>
      <c r="H887" s="430"/>
      <c r="I887" s="430"/>
      <c r="J887" s="430"/>
      <c r="K887" s="430"/>
      <c r="L887" s="430"/>
      <c r="M887" s="430"/>
      <c r="N887" s="430"/>
      <c r="O887" s="430"/>
      <c r="P887" s="430"/>
      <c r="Q887" s="430"/>
      <c r="R887" s="430"/>
      <c r="S887" s="430"/>
      <c r="T887" s="430"/>
      <c r="U887" s="430"/>
      <c r="V887" s="430"/>
      <c r="W887" s="430"/>
      <c r="X887" s="430"/>
      <c r="Y887" s="430"/>
      <c r="Z887" s="430"/>
      <c r="AA887" s="430"/>
      <c r="AB887" s="430"/>
      <c r="AC887" s="430"/>
      <c r="AD887" s="430"/>
      <c r="AE887" s="430"/>
      <c r="AF887" s="430"/>
      <c r="AG887" s="430"/>
      <c r="AH887" s="430"/>
      <c r="AI887" s="430"/>
      <c r="AJ887" s="430"/>
      <c r="AK887" s="430"/>
      <c r="AL887" s="430"/>
      <c r="AM887" s="430"/>
      <c r="AN887" s="430"/>
      <c r="AO887" s="430"/>
      <c r="AP887" s="430"/>
      <c r="AQ887" s="430"/>
      <c r="AR887" s="430"/>
      <c r="AS887" s="430"/>
      <c r="AT887" s="430"/>
      <c r="AU887" s="430"/>
      <c r="AV887" s="430"/>
      <c r="AW887" s="430"/>
      <c r="AX887" s="430"/>
      <c r="AY887" s="430"/>
      <c r="AZ887" s="430"/>
      <c r="BA887" s="430"/>
      <c r="BB887" s="430"/>
      <c r="BC887" s="430"/>
      <c r="BD887" s="430"/>
      <c r="BE887" s="430"/>
    </row>
    <row r="888" spans="1:57" ht="15.75" customHeight="1">
      <c r="A888" s="430"/>
      <c r="B888" s="430"/>
      <c r="C888" s="430"/>
      <c r="D888" s="430"/>
      <c r="E888" s="430"/>
      <c r="F888" s="430"/>
      <c r="G888" s="430"/>
      <c r="H888" s="430"/>
      <c r="I888" s="430"/>
      <c r="J888" s="430"/>
      <c r="K888" s="430"/>
      <c r="L888" s="430"/>
      <c r="M888" s="430"/>
      <c r="N888" s="430"/>
      <c r="O888" s="430"/>
      <c r="P888" s="430"/>
      <c r="Q888" s="430"/>
      <c r="R888" s="430"/>
      <c r="S888" s="430"/>
      <c r="T888" s="430"/>
      <c r="U888" s="430"/>
      <c r="V888" s="430"/>
      <c r="W888" s="430"/>
      <c r="X888" s="430"/>
      <c r="Y888" s="430"/>
      <c r="Z888" s="430"/>
      <c r="AA888" s="430"/>
      <c r="AB888" s="430"/>
      <c r="AC888" s="430"/>
      <c r="AD888" s="430"/>
      <c r="AE888" s="430"/>
      <c r="AF888" s="430"/>
      <c r="AG888" s="430"/>
      <c r="AH888" s="430"/>
      <c r="AI888" s="430"/>
      <c r="AJ888" s="430"/>
      <c r="AK888" s="430"/>
      <c r="AL888" s="430"/>
      <c r="AM888" s="430"/>
      <c r="AN888" s="430"/>
      <c r="AO888" s="430"/>
      <c r="AP888" s="430"/>
      <c r="AQ888" s="430"/>
      <c r="AR888" s="430"/>
      <c r="AS888" s="430"/>
      <c r="AT888" s="430"/>
      <c r="AU888" s="430"/>
      <c r="AV888" s="430"/>
      <c r="AW888" s="430"/>
      <c r="AX888" s="430"/>
      <c r="AY888" s="430"/>
      <c r="AZ888" s="430"/>
      <c r="BA888" s="430"/>
      <c r="BB888" s="430"/>
      <c r="BC888" s="430"/>
      <c r="BD888" s="430"/>
      <c r="BE888" s="430"/>
    </row>
    <row r="889" spans="1:57" ht="15.75" customHeight="1">
      <c r="A889" s="430"/>
      <c r="B889" s="430"/>
      <c r="C889" s="430"/>
      <c r="D889" s="430"/>
      <c r="E889" s="430"/>
      <c r="F889" s="430"/>
      <c r="G889" s="430"/>
      <c r="H889" s="430"/>
      <c r="I889" s="430"/>
      <c r="J889" s="430"/>
      <c r="K889" s="430"/>
      <c r="L889" s="430"/>
      <c r="M889" s="430"/>
      <c r="N889" s="430"/>
      <c r="O889" s="430"/>
      <c r="P889" s="430"/>
      <c r="Q889" s="430"/>
      <c r="R889" s="430"/>
      <c r="S889" s="430"/>
      <c r="T889" s="430"/>
      <c r="U889" s="430"/>
      <c r="V889" s="430"/>
      <c r="W889" s="430"/>
      <c r="X889" s="430"/>
      <c r="Y889" s="430"/>
      <c r="Z889" s="430"/>
      <c r="AA889" s="430"/>
      <c r="AB889" s="430"/>
      <c r="AC889" s="430"/>
      <c r="AD889" s="430"/>
      <c r="AE889" s="430"/>
      <c r="AF889" s="430"/>
      <c r="AG889" s="430"/>
      <c r="AH889" s="430"/>
      <c r="AI889" s="430"/>
      <c r="AJ889" s="430"/>
      <c r="AK889" s="430"/>
      <c r="AL889" s="430"/>
      <c r="AM889" s="430"/>
      <c r="AN889" s="430"/>
      <c r="AO889" s="430"/>
      <c r="AP889" s="430"/>
      <c r="AQ889" s="430"/>
      <c r="AR889" s="430"/>
      <c r="AS889" s="430"/>
      <c r="AT889" s="430"/>
      <c r="AU889" s="430"/>
      <c r="AV889" s="430"/>
      <c r="AW889" s="430"/>
      <c r="AX889" s="430"/>
      <c r="AY889" s="430"/>
      <c r="AZ889" s="430"/>
      <c r="BA889" s="430"/>
      <c r="BB889" s="430"/>
      <c r="BC889" s="430"/>
      <c r="BD889" s="430"/>
      <c r="BE889" s="430"/>
    </row>
    <row r="890" spans="1:57" ht="15.75" customHeight="1">
      <c r="A890" s="430"/>
      <c r="B890" s="430"/>
      <c r="C890" s="430"/>
      <c r="D890" s="430"/>
      <c r="E890" s="430"/>
      <c r="F890" s="430"/>
      <c r="G890" s="430"/>
      <c r="H890" s="430"/>
      <c r="I890" s="430"/>
      <c r="J890" s="430"/>
      <c r="K890" s="430"/>
      <c r="L890" s="430"/>
      <c r="M890" s="430"/>
      <c r="N890" s="430"/>
      <c r="O890" s="430"/>
      <c r="P890" s="430"/>
      <c r="Q890" s="430"/>
      <c r="R890" s="430"/>
      <c r="S890" s="430"/>
      <c r="T890" s="430"/>
      <c r="U890" s="430"/>
      <c r="V890" s="430"/>
      <c r="W890" s="430"/>
      <c r="X890" s="430"/>
      <c r="Y890" s="430"/>
      <c r="Z890" s="430"/>
      <c r="AA890" s="430"/>
      <c r="AB890" s="430"/>
      <c r="AC890" s="430"/>
      <c r="AD890" s="430"/>
      <c r="AE890" s="430"/>
      <c r="AF890" s="430"/>
      <c r="AG890" s="430"/>
      <c r="AH890" s="430"/>
      <c r="AI890" s="430"/>
      <c r="AJ890" s="430"/>
      <c r="AK890" s="430"/>
      <c r="AL890" s="430"/>
      <c r="AM890" s="430"/>
      <c r="AN890" s="430"/>
      <c r="AO890" s="430"/>
      <c r="AP890" s="430"/>
      <c r="AQ890" s="430"/>
      <c r="AR890" s="430"/>
      <c r="AS890" s="430"/>
      <c r="AT890" s="430"/>
      <c r="AU890" s="430"/>
      <c r="AV890" s="430"/>
      <c r="AW890" s="430"/>
      <c r="AX890" s="430"/>
      <c r="AY890" s="430"/>
      <c r="AZ890" s="430"/>
      <c r="BA890" s="430"/>
      <c r="BB890" s="430"/>
      <c r="BC890" s="430"/>
      <c r="BD890" s="430"/>
      <c r="BE890" s="430"/>
    </row>
    <row r="891" spans="1:57" ht="15.75" customHeight="1">
      <c r="A891" s="430"/>
      <c r="B891" s="430"/>
      <c r="C891" s="430"/>
      <c r="D891" s="430"/>
      <c r="E891" s="430"/>
      <c r="F891" s="430"/>
      <c r="G891" s="430"/>
      <c r="H891" s="430"/>
      <c r="I891" s="430"/>
      <c r="J891" s="430"/>
      <c r="K891" s="430"/>
      <c r="L891" s="430"/>
      <c r="M891" s="430"/>
      <c r="N891" s="430"/>
      <c r="O891" s="430"/>
      <c r="P891" s="430"/>
      <c r="Q891" s="430"/>
      <c r="R891" s="430"/>
      <c r="S891" s="430"/>
      <c r="T891" s="430"/>
      <c r="U891" s="430"/>
      <c r="V891" s="430"/>
      <c r="W891" s="430"/>
      <c r="X891" s="430"/>
      <c r="Y891" s="430"/>
      <c r="Z891" s="430"/>
      <c r="AA891" s="430"/>
      <c r="AB891" s="430"/>
      <c r="AC891" s="430"/>
      <c r="AD891" s="430"/>
      <c r="AE891" s="430"/>
      <c r="AF891" s="430"/>
      <c r="AG891" s="430"/>
      <c r="AH891" s="430"/>
      <c r="AI891" s="430"/>
      <c r="AJ891" s="430"/>
      <c r="AK891" s="430"/>
      <c r="AL891" s="430"/>
      <c r="AM891" s="430"/>
      <c r="AN891" s="430"/>
      <c r="AO891" s="430"/>
      <c r="AP891" s="430"/>
      <c r="AQ891" s="430"/>
      <c r="AR891" s="430"/>
      <c r="AS891" s="430"/>
      <c r="AT891" s="430"/>
      <c r="AU891" s="430"/>
      <c r="AV891" s="430"/>
      <c r="AW891" s="430"/>
      <c r="AX891" s="430"/>
      <c r="AY891" s="430"/>
      <c r="AZ891" s="430"/>
      <c r="BA891" s="430"/>
      <c r="BB891" s="430"/>
      <c r="BC891" s="430"/>
      <c r="BD891" s="430"/>
      <c r="BE891" s="430"/>
    </row>
    <row r="892" spans="1:57" ht="15.75" customHeight="1">
      <c r="A892" s="430"/>
      <c r="B892" s="430"/>
      <c r="C892" s="430"/>
      <c r="D892" s="430"/>
      <c r="E892" s="430"/>
      <c r="F892" s="430"/>
      <c r="G892" s="430"/>
      <c r="H892" s="430"/>
      <c r="I892" s="430"/>
      <c r="J892" s="430"/>
      <c r="K892" s="430"/>
      <c r="L892" s="430"/>
      <c r="M892" s="430"/>
      <c r="N892" s="430"/>
      <c r="O892" s="430"/>
      <c r="P892" s="430"/>
      <c r="Q892" s="430"/>
      <c r="R892" s="430"/>
      <c r="S892" s="430"/>
      <c r="T892" s="430"/>
      <c r="U892" s="430"/>
      <c r="V892" s="430"/>
      <c r="W892" s="430"/>
      <c r="X892" s="430"/>
      <c r="Y892" s="430"/>
      <c r="Z892" s="430"/>
      <c r="AA892" s="430"/>
      <c r="AB892" s="430"/>
      <c r="AC892" s="430"/>
      <c r="AD892" s="430"/>
      <c r="AE892" s="430"/>
      <c r="AF892" s="430"/>
      <c r="AG892" s="430"/>
      <c r="AH892" s="430"/>
      <c r="AI892" s="430"/>
      <c r="AJ892" s="430"/>
      <c r="AK892" s="430"/>
      <c r="AL892" s="430"/>
      <c r="AM892" s="430"/>
      <c r="AN892" s="430"/>
      <c r="AO892" s="430"/>
      <c r="AP892" s="430"/>
      <c r="AQ892" s="430"/>
      <c r="AR892" s="430"/>
      <c r="AS892" s="430"/>
      <c r="AT892" s="430"/>
      <c r="AU892" s="430"/>
      <c r="AV892" s="430"/>
      <c r="AW892" s="430"/>
      <c r="AX892" s="430"/>
      <c r="AY892" s="430"/>
      <c r="AZ892" s="430"/>
      <c r="BA892" s="430"/>
      <c r="BB892" s="430"/>
      <c r="BC892" s="430"/>
      <c r="BD892" s="430"/>
      <c r="BE892" s="430"/>
    </row>
    <row r="893" spans="1:57" ht="15.75" customHeight="1">
      <c r="A893" s="430"/>
      <c r="B893" s="430"/>
      <c r="C893" s="430"/>
      <c r="D893" s="430"/>
      <c r="E893" s="430"/>
      <c r="F893" s="430"/>
      <c r="G893" s="430"/>
      <c r="H893" s="430"/>
      <c r="I893" s="430"/>
      <c r="J893" s="430"/>
      <c r="K893" s="430"/>
      <c r="L893" s="430"/>
      <c r="M893" s="430"/>
      <c r="N893" s="430"/>
      <c r="O893" s="430"/>
      <c r="P893" s="430"/>
      <c r="Q893" s="430"/>
      <c r="R893" s="430"/>
      <c r="S893" s="430"/>
      <c r="T893" s="430"/>
      <c r="U893" s="430"/>
      <c r="V893" s="430"/>
      <c r="W893" s="430"/>
      <c r="X893" s="430"/>
      <c r="Y893" s="430"/>
      <c r="Z893" s="430"/>
      <c r="AA893" s="430"/>
      <c r="AB893" s="430"/>
      <c r="AC893" s="430"/>
      <c r="AD893" s="430"/>
      <c r="AE893" s="430"/>
      <c r="AF893" s="430"/>
      <c r="AG893" s="430"/>
      <c r="AH893" s="430"/>
      <c r="AI893" s="430"/>
      <c r="AJ893" s="430"/>
      <c r="AK893" s="430"/>
      <c r="AL893" s="430"/>
      <c r="AM893" s="430"/>
      <c r="AN893" s="430"/>
      <c r="AO893" s="430"/>
      <c r="AP893" s="430"/>
      <c r="AQ893" s="430"/>
      <c r="AR893" s="430"/>
      <c r="AS893" s="430"/>
      <c r="AT893" s="430"/>
      <c r="AU893" s="430"/>
      <c r="AV893" s="430"/>
      <c r="AW893" s="430"/>
      <c r="AX893" s="430"/>
      <c r="AY893" s="430"/>
      <c r="AZ893" s="430"/>
      <c r="BA893" s="430"/>
      <c r="BB893" s="430"/>
      <c r="BC893" s="430"/>
      <c r="BD893" s="430"/>
      <c r="BE893" s="430"/>
    </row>
    <row r="894" spans="1:57" ht="15.75" customHeight="1">
      <c r="A894" s="430"/>
      <c r="B894" s="430"/>
      <c r="C894" s="430"/>
      <c r="D894" s="430"/>
      <c r="E894" s="430"/>
      <c r="F894" s="430"/>
      <c r="G894" s="430"/>
      <c r="H894" s="430"/>
      <c r="I894" s="430"/>
      <c r="J894" s="430"/>
      <c r="K894" s="430"/>
      <c r="L894" s="430"/>
      <c r="M894" s="430"/>
      <c r="N894" s="430"/>
      <c r="O894" s="430"/>
      <c r="P894" s="430"/>
      <c r="Q894" s="430"/>
      <c r="R894" s="430"/>
      <c r="S894" s="430"/>
      <c r="T894" s="430"/>
      <c r="U894" s="430"/>
      <c r="V894" s="430"/>
      <c r="W894" s="430"/>
      <c r="X894" s="430"/>
      <c r="Y894" s="430"/>
      <c r="Z894" s="430"/>
      <c r="AA894" s="430"/>
      <c r="AB894" s="430"/>
      <c r="AC894" s="430"/>
      <c r="AD894" s="430"/>
      <c r="AE894" s="430"/>
      <c r="AF894" s="430"/>
      <c r="AG894" s="430"/>
      <c r="AH894" s="430"/>
      <c r="AI894" s="430"/>
      <c r="AJ894" s="430"/>
      <c r="AK894" s="430"/>
      <c r="AL894" s="430"/>
      <c r="AM894" s="430"/>
      <c r="AN894" s="430"/>
      <c r="AO894" s="430"/>
      <c r="AP894" s="430"/>
      <c r="AQ894" s="430"/>
      <c r="AR894" s="430"/>
      <c r="AS894" s="430"/>
      <c r="AT894" s="430"/>
      <c r="AU894" s="430"/>
      <c r="AV894" s="430"/>
      <c r="AW894" s="430"/>
      <c r="AX894" s="430"/>
      <c r="AY894" s="430"/>
      <c r="AZ894" s="430"/>
      <c r="BA894" s="430"/>
      <c r="BB894" s="430"/>
      <c r="BC894" s="430"/>
      <c r="BD894" s="430"/>
      <c r="BE894" s="430"/>
    </row>
    <row r="895" spans="1:57" ht="15.75" customHeight="1">
      <c r="A895" s="430"/>
      <c r="B895" s="430"/>
      <c r="C895" s="430"/>
      <c r="D895" s="430"/>
      <c r="E895" s="430"/>
      <c r="F895" s="430"/>
      <c r="G895" s="430"/>
      <c r="H895" s="430"/>
      <c r="I895" s="430"/>
      <c r="J895" s="430"/>
      <c r="K895" s="430"/>
      <c r="L895" s="430"/>
      <c r="M895" s="430"/>
      <c r="N895" s="430"/>
      <c r="O895" s="430"/>
      <c r="P895" s="430"/>
      <c r="Q895" s="430"/>
      <c r="R895" s="430"/>
      <c r="S895" s="430"/>
      <c r="T895" s="430"/>
      <c r="U895" s="430"/>
      <c r="V895" s="430"/>
      <c r="W895" s="430"/>
      <c r="X895" s="430"/>
      <c r="Y895" s="430"/>
      <c r="Z895" s="430"/>
      <c r="AA895" s="430"/>
      <c r="AB895" s="430"/>
      <c r="AC895" s="430"/>
      <c r="AD895" s="430"/>
      <c r="AE895" s="430"/>
      <c r="AF895" s="430"/>
      <c r="AG895" s="430"/>
      <c r="AH895" s="430"/>
      <c r="AI895" s="430"/>
      <c r="AJ895" s="430"/>
      <c r="AK895" s="430"/>
      <c r="AL895" s="430"/>
      <c r="AM895" s="430"/>
      <c r="AN895" s="430"/>
      <c r="AO895" s="430"/>
      <c r="AP895" s="430"/>
      <c r="AQ895" s="430"/>
      <c r="AR895" s="430"/>
      <c r="AS895" s="430"/>
      <c r="AT895" s="430"/>
      <c r="AU895" s="430"/>
      <c r="AV895" s="430"/>
      <c r="AW895" s="430"/>
      <c r="AX895" s="430"/>
      <c r="AY895" s="430"/>
      <c r="AZ895" s="430"/>
      <c r="BA895" s="430"/>
      <c r="BB895" s="430"/>
      <c r="BC895" s="430"/>
      <c r="BD895" s="430"/>
      <c r="BE895" s="430"/>
    </row>
    <row r="896" spans="1:57" ht="15.75" customHeight="1">
      <c r="A896" s="430"/>
      <c r="B896" s="430"/>
      <c r="C896" s="430"/>
      <c r="D896" s="430"/>
      <c r="E896" s="430"/>
      <c r="F896" s="430"/>
      <c r="G896" s="430"/>
      <c r="H896" s="430"/>
      <c r="I896" s="430"/>
      <c r="J896" s="430"/>
      <c r="K896" s="430"/>
      <c r="L896" s="430"/>
      <c r="M896" s="430"/>
      <c r="N896" s="430"/>
      <c r="O896" s="430"/>
      <c r="P896" s="430"/>
      <c r="Q896" s="430"/>
      <c r="R896" s="430"/>
      <c r="S896" s="430"/>
      <c r="T896" s="430"/>
      <c r="U896" s="430"/>
      <c r="V896" s="430"/>
      <c r="W896" s="430"/>
      <c r="X896" s="430"/>
      <c r="Y896" s="430"/>
      <c r="Z896" s="430"/>
      <c r="AA896" s="430"/>
      <c r="AB896" s="430"/>
      <c r="AC896" s="430"/>
      <c r="AD896" s="430"/>
      <c r="AE896" s="430"/>
      <c r="AF896" s="430"/>
      <c r="AG896" s="430"/>
      <c r="AH896" s="430"/>
      <c r="AI896" s="430"/>
      <c r="AJ896" s="430"/>
      <c r="AK896" s="430"/>
      <c r="AL896" s="430"/>
      <c r="AM896" s="430"/>
      <c r="AN896" s="430"/>
      <c r="AO896" s="430"/>
      <c r="AP896" s="430"/>
      <c r="AQ896" s="430"/>
      <c r="AR896" s="430"/>
      <c r="AS896" s="430"/>
      <c r="AT896" s="430"/>
      <c r="AU896" s="430"/>
      <c r="AV896" s="430"/>
      <c r="AW896" s="430"/>
      <c r="AX896" s="430"/>
      <c r="AY896" s="430"/>
      <c r="AZ896" s="430"/>
      <c r="BA896" s="430"/>
      <c r="BB896" s="430"/>
      <c r="BC896" s="430"/>
      <c r="BD896" s="430"/>
      <c r="BE896" s="430"/>
    </row>
    <row r="897" spans="1:57" ht="15.75" customHeight="1">
      <c r="A897" s="430"/>
      <c r="B897" s="430"/>
      <c r="C897" s="430"/>
      <c r="D897" s="430"/>
      <c r="E897" s="430"/>
      <c r="F897" s="430"/>
      <c r="G897" s="430"/>
      <c r="H897" s="430"/>
      <c r="I897" s="430"/>
      <c r="J897" s="430"/>
      <c r="K897" s="430"/>
      <c r="L897" s="430"/>
      <c r="M897" s="430"/>
      <c r="N897" s="430"/>
      <c r="O897" s="430"/>
      <c r="P897" s="430"/>
      <c r="Q897" s="430"/>
      <c r="R897" s="430"/>
      <c r="S897" s="430"/>
      <c r="T897" s="430"/>
      <c r="U897" s="430"/>
      <c r="V897" s="430"/>
      <c r="W897" s="430"/>
      <c r="X897" s="430"/>
      <c r="Y897" s="430"/>
      <c r="Z897" s="430"/>
      <c r="AA897" s="430"/>
      <c r="AB897" s="430"/>
      <c r="AC897" s="430"/>
      <c r="AD897" s="430"/>
      <c r="AE897" s="430"/>
      <c r="AF897" s="430"/>
      <c r="AG897" s="430"/>
      <c r="AH897" s="430"/>
      <c r="AI897" s="430"/>
      <c r="AJ897" s="430"/>
      <c r="AK897" s="430"/>
      <c r="AL897" s="430"/>
      <c r="AM897" s="430"/>
      <c r="AN897" s="430"/>
      <c r="AO897" s="430"/>
      <c r="AP897" s="430"/>
      <c r="AQ897" s="430"/>
      <c r="AR897" s="430"/>
      <c r="AS897" s="430"/>
      <c r="AT897" s="430"/>
      <c r="AU897" s="430"/>
      <c r="AV897" s="430"/>
      <c r="AW897" s="430"/>
      <c r="AX897" s="430"/>
      <c r="AY897" s="430"/>
      <c r="AZ897" s="430"/>
      <c r="BA897" s="430"/>
      <c r="BB897" s="430"/>
      <c r="BC897" s="430"/>
      <c r="BD897" s="430"/>
      <c r="BE897" s="430"/>
    </row>
    <row r="898" spans="1:57" ht="15.75" customHeight="1">
      <c r="A898" s="430"/>
      <c r="B898" s="430"/>
      <c r="C898" s="430"/>
      <c r="D898" s="430"/>
      <c r="E898" s="430"/>
      <c r="F898" s="430"/>
      <c r="G898" s="430"/>
      <c r="H898" s="430"/>
      <c r="I898" s="430"/>
      <c r="J898" s="430"/>
      <c r="K898" s="430"/>
      <c r="L898" s="430"/>
      <c r="M898" s="430"/>
      <c r="N898" s="430"/>
      <c r="O898" s="430"/>
      <c r="P898" s="430"/>
      <c r="Q898" s="430"/>
      <c r="R898" s="430"/>
      <c r="S898" s="430"/>
      <c r="T898" s="430"/>
      <c r="U898" s="430"/>
      <c r="V898" s="430"/>
      <c r="W898" s="430"/>
      <c r="X898" s="430"/>
      <c r="Y898" s="430"/>
      <c r="Z898" s="430"/>
      <c r="AA898" s="430"/>
      <c r="AB898" s="430"/>
      <c r="AC898" s="430"/>
      <c r="AD898" s="430"/>
      <c r="AE898" s="430"/>
      <c r="AF898" s="430"/>
      <c r="AG898" s="430"/>
      <c r="AH898" s="430"/>
      <c r="AI898" s="430"/>
      <c r="AJ898" s="430"/>
      <c r="AK898" s="430"/>
      <c r="AL898" s="430"/>
      <c r="AM898" s="430"/>
      <c r="AN898" s="430"/>
      <c r="AO898" s="430"/>
      <c r="AP898" s="430"/>
      <c r="AQ898" s="430"/>
      <c r="AR898" s="430"/>
      <c r="AS898" s="430"/>
      <c r="AT898" s="430"/>
      <c r="AU898" s="430"/>
      <c r="AV898" s="430"/>
      <c r="AW898" s="430"/>
      <c r="AX898" s="430"/>
      <c r="AY898" s="430"/>
      <c r="AZ898" s="430"/>
      <c r="BA898" s="430"/>
      <c r="BB898" s="430"/>
      <c r="BC898" s="430"/>
      <c r="BD898" s="430"/>
      <c r="BE898" s="430"/>
    </row>
    <row r="899" spans="1:57" ht="15.75" customHeight="1">
      <c r="A899" s="430"/>
      <c r="B899" s="430"/>
      <c r="C899" s="430"/>
      <c r="D899" s="430"/>
      <c r="E899" s="430"/>
      <c r="F899" s="430"/>
      <c r="G899" s="430"/>
      <c r="H899" s="430"/>
      <c r="I899" s="430"/>
      <c r="J899" s="430"/>
      <c r="K899" s="430"/>
      <c r="L899" s="430"/>
      <c r="M899" s="430"/>
      <c r="N899" s="430"/>
      <c r="O899" s="430"/>
      <c r="P899" s="430"/>
      <c r="Q899" s="430"/>
      <c r="R899" s="430"/>
      <c r="S899" s="430"/>
      <c r="T899" s="430"/>
      <c r="U899" s="430"/>
      <c r="V899" s="430"/>
      <c r="W899" s="430"/>
      <c r="X899" s="430"/>
      <c r="Y899" s="430"/>
      <c r="Z899" s="430"/>
      <c r="AA899" s="430"/>
      <c r="AB899" s="430"/>
      <c r="AC899" s="430"/>
      <c r="AD899" s="430"/>
      <c r="AE899" s="430"/>
      <c r="AF899" s="430"/>
      <c r="AG899" s="430"/>
      <c r="AH899" s="430"/>
      <c r="AI899" s="430"/>
      <c r="AJ899" s="430"/>
      <c r="AK899" s="430"/>
      <c r="AL899" s="430"/>
      <c r="AM899" s="430"/>
      <c r="AN899" s="430"/>
      <c r="AO899" s="430"/>
      <c r="AP899" s="430"/>
      <c r="AQ899" s="430"/>
      <c r="AR899" s="430"/>
      <c r="AS899" s="430"/>
      <c r="AT899" s="430"/>
      <c r="AU899" s="430"/>
      <c r="AV899" s="430"/>
      <c r="AW899" s="430"/>
      <c r="AX899" s="430"/>
      <c r="AY899" s="430"/>
      <c r="AZ899" s="430"/>
      <c r="BA899" s="430"/>
      <c r="BB899" s="430"/>
      <c r="BC899" s="430"/>
      <c r="BD899" s="430"/>
      <c r="BE899" s="430"/>
    </row>
    <row r="900" spans="1:57" ht="15.75" customHeight="1">
      <c r="A900" s="430"/>
      <c r="B900" s="430"/>
      <c r="C900" s="430"/>
      <c r="D900" s="430"/>
      <c r="E900" s="430"/>
      <c r="F900" s="430"/>
      <c r="G900" s="430"/>
      <c r="H900" s="430"/>
      <c r="I900" s="430"/>
      <c r="J900" s="430"/>
      <c r="K900" s="430"/>
      <c r="L900" s="430"/>
      <c r="M900" s="430"/>
      <c r="N900" s="430"/>
      <c r="O900" s="430"/>
      <c r="P900" s="430"/>
      <c r="Q900" s="430"/>
      <c r="R900" s="430"/>
      <c r="S900" s="430"/>
      <c r="T900" s="430"/>
      <c r="U900" s="430"/>
      <c r="V900" s="430"/>
      <c r="W900" s="430"/>
      <c r="X900" s="430"/>
      <c r="Y900" s="430"/>
      <c r="Z900" s="430"/>
      <c r="AA900" s="430"/>
      <c r="AB900" s="430"/>
      <c r="AC900" s="430"/>
      <c r="AD900" s="430"/>
      <c r="AE900" s="430"/>
      <c r="AF900" s="430"/>
      <c r="AG900" s="430"/>
      <c r="AH900" s="430"/>
      <c r="AI900" s="430"/>
      <c r="AJ900" s="430"/>
      <c r="AK900" s="430"/>
      <c r="AL900" s="430"/>
      <c r="AM900" s="430"/>
      <c r="AN900" s="430"/>
      <c r="AO900" s="430"/>
      <c r="AP900" s="430"/>
      <c r="AQ900" s="430"/>
      <c r="AR900" s="430"/>
      <c r="AS900" s="430"/>
      <c r="AT900" s="430"/>
      <c r="AU900" s="430"/>
      <c r="AV900" s="430"/>
      <c r="AW900" s="430"/>
      <c r="AX900" s="430"/>
      <c r="AY900" s="430"/>
      <c r="AZ900" s="430"/>
      <c r="BA900" s="430"/>
      <c r="BB900" s="430"/>
      <c r="BC900" s="430"/>
      <c r="BD900" s="430"/>
      <c r="BE900" s="430"/>
    </row>
    <row r="901" spans="1:57" ht="15.75" customHeight="1">
      <c r="A901" s="430"/>
      <c r="B901" s="430"/>
      <c r="C901" s="430"/>
      <c r="D901" s="430"/>
      <c r="E901" s="430"/>
      <c r="F901" s="430"/>
      <c r="G901" s="430"/>
      <c r="H901" s="430"/>
      <c r="I901" s="430"/>
      <c r="J901" s="430"/>
      <c r="K901" s="430"/>
      <c r="L901" s="430"/>
      <c r="M901" s="430"/>
      <c r="N901" s="430"/>
      <c r="O901" s="430"/>
      <c r="P901" s="430"/>
      <c r="Q901" s="430"/>
      <c r="R901" s="430"/>
      <c r="S901" s="430"/>
      <c r="T901" s="430"/>
      <c r="U901" s="430"/>
      <c r="V901" s="430"/>
      <c r="W901" s="430"/>
      <c r="X901" s="430"/>
      <c r="Y901" s="430"/>
      <c r="Z901" s="430"/>
      <c r="AA901" s="430"/>
      <c r="AB901" s="430"/>
      <c r="AC901" s="430"/>
      <c r="AD901" s="430"/>
      <c r="AE901" s="430"/>
      <c r="AF901" s="430"/>
      <c r="AG901" s="430"/>
      <c r="AH901" s="430"/>
      <c r="AI901" s="430"/>
      <c r="AJ901" s="430"/>
      <c r="AK901" s="430"/>
      <c r="AL901" s="430"/>
      <c r="AM901" s="430"/>
      <c r="AN901" s="430"/>
      <c r="AO901" s="430"/>
      <c r="AP901" s="430"/>
      <c r="AQ901" s="430"/>
      <c r="AR901" s="430"/>
      <c r="AS901" s="430"/>
      <c r="AT901" s="430"/>
      <c r="AU901" s="430"/>
      <c r="AV901" s="430"/>
      <c r="AW901" s="430"/>
      <c r="AX901" s="430"/>
      <c r="AY901" s="430"/>
      <c r="AZ901" s="430"/>
      <c r="BA901" s="430"/>
      <c r="BB901" s="430"/>
      <c r="BC901" s="430"/>
      <c r="BD901" s="430"/>
      <c r="BE901" s="430"/>
    </row>
    <row r="902" spans="1:57" ht="15.75" customHeight="1">
      <c r="A902" s="430"/>
      <c r="B902" s="430"/>
      <c r="C902" s="430"/>
      <c r="D902" s="430"/>
      <c r="E902" s="430"/>
      <c r="F902" s="430"/>
      <c r="G902" s="430"/>
      <c r="H902" s="430"/>
      <c r="I902" s="430"/>
      <c r="J902" s="430"/>
      <c r="K902" s="430"/>
      <c r="L902" s="430"/>
      <c r="M902" s="430"/>
      <c r="N902" s="430"/>
      <c r="O902" s="430"/>
      <c r="P902" s="430"/>
      <c r="Q902" s="430"/>
      <c r="R902" s="430"/>
      <c r="S902" s="430"/>
      <c r="T902" s="430"/>
      <c r="U902" s="430"/>
      <c r="V902" s="430"/>
      <c r="W902" s="430"/>
      <c r="X902" s="430"/>
      <c r="Y902" s="430"/>
      <c r="Z902" s="430"/>
      <c r="AA902" s="430"/>
      <c r="AB902" s="430"/>
      <c r="AC902" s="430"/>
      <c r="AD902" s="430"/>
      <c r="AE902" s="430"/>
      <c r="AF902" s="430"/>
      <c r="AG902" s="430"/>
      <c r="AH902" s="430"/>
      <c r="AI902" s="430"/>
      <c r="AJ902" s="430"/>
      <c r="AK902" s="430"/>
      <c r="AL902" s="430"/>
      <c r="AM902" s="430"/>
      <c r="AN902" s="430"/>
      <c r="AO902" s="430"/>
      <c r="AP902" s="430"/>
      <c r="AQ902" s="430"/>
      <c r="AR902" s="430"/>
      <c r="AS902" s="430"/>
      <c r="AT902" s="430"/>
      <c r="AU902" s="430"/>
      <c r="AV902" s="430"/>
      <c r="AW902" s="430"/>
      <c r="AX902" s="430"/>
      <c r="AY902" s="430"/>
      <c r="AZ902" s="430"/>
      <c r="BA902" s="430"/>
      <c r="BB902" s="430"/>
      <c r="BC902" s="430"/>
      <c r="BD902" s="430"/>
      <c r="BE902" s="430"/>
    </row>
    <row r="903" spans="1:57" ht="15.75" customHeight="1">
      <c r="A903" s="430"/>
      <c r="B903" s="430"/>
      <c r="C903" s="430"/>
      <c r="D903" s="430"/>
      <c r="E903" s="430"/>
      <c r="F903" s="430"/>
      <c r="G903" s="430"/>
      <c r="H903" s="430"/>
      <c r="I903" s="430"/>
      <c r="J903" s="430"/>
      <c r="K903" s="430"/>
      <c r="L903" s="430"/>
      <c r="M903" s="430"/>
      <c r="N903" s="430"/>
      <c r="O903" s="430"/>
      <c r="P903" s="430"/>
      <c r="Q903" s="430"/>
      <c r="R903" s="430"/>
      <c r="S903" s="430"/>
      <c r="T903" s="430"/>
      <c r="U903" s="430"/>
      <c r="V903" s="430"/>
      <c r="W903" s="430"/>
      <c r="X903" s="430"/>
      <c r="Y903" s="430"/>
      <c r="Z903" s="430"/>
      <c r="AA903" s="430"/>
      <c r="AB903" s="430"/>
      <c r="AC903" s="430"/>
      <c r="AD903" s="430"/>
      <c r="AE903" s="430"/>
      <c r="AF903" s="430"/>
      <c r="AG903" s="430"/>
      <c r="AH903" s="430"/>
      <c r="AI903" s="430"/>
      <c r="AJ903" s="430"/>
      <c r="AK903" s="430"/>
      <c r="AL903" s="430"/>
      <c r="AM903" s="430"/>
      <c r="AN903" s="430"/>
      <c r="AO903" s="430"/>
      <c r="AP903" s="430"/>
      <c r="AQ903" s="430"/>
      <c r="AR903" s="430"/>
      <c r="AS903" s="430"/>
      <c r="AT903" s="430"/>
      <c r="AU903" s="430"/>
      <c r="AV903" s="430"/>
      <c r="AW903" s="430"/>
      <c r="AX903" s="430"/>
      <c r="AY903" s="430"/>
      <c r="AZ903" s="430"/>
      <c r="BA903" s="430"/>
      <c r="BB903" s="430"/>
      <c r="BC903" s="430"/>
      <c r="BD903" s="430"/>
      <c r="BE903" s="430"/>
    </row>
    <row r="904" spans="1:57" ht="15.75" customHeight="1">
      <c r="A904" s="430"/>
      <c r="B904" s="430"/>
      <c r="C904" s="430"/>
      <c r="D904" s="430"/>
      <c r="E904" s="430"/>
      <c r="F904" s="430"/>
      <c r="G904" s="430"/>
      <c r="H904" s="430"/>
      <c r="I904" s="430"/>
      <c r="J904" s="430"/>
      <c r="K904" s="430"/>
      <c r="L904" s="430"/>
      <c r="M904" s="430"/>
      <c r="N904" s="430"/>
      <c r="O904" s="430"/>
      <c r="P904" s="430"/>
      <c r="Q904" s="430"/>
      <c r="R904" s="430"/>
      <c r="S904" s="430"/>
      <c r="T904" s="430"/>
      <c r="U904" s="430"/>
      <c r="V904" s="430"/>
      <c r="W904" s="430"/>
      <c r="X904" s="430"/>
      <c r="Y904" s="430"/>
      <c r="Z904" s="430"/>
      <c r="AA904" s="430"/>
      <c r="AB904" s="430"/>
      <c r="AC904" s="430"/>
      <c r="AD904" s="430"/>
      <c r="AE904" s="430"/>
      <c r="AF904" s="430"/>
      <c r="AG904" s="430"/>
      <c r="AH904" s="430"/>
      <c r="AI904" s="430"/>
      <c r="AJ904" s="430"/>
      <c r="AK904" s="430"/>
      <c r="AL904" s="430"/>
      <c r="AM904" s="430"/>
      <c r="AN904" s="430"/>
      <c r="AO904" s="430"/>
      <c r="AP904" s="430"/>
      <c r="AQ904" s="430"/>
      <c r="AR904" s="430"/>
      <c r="AS904" s="430"/>
      <c r="AT904" s="430"/>
      <c r="AU904" s="430"/>
      <c r="AV904" s="430"/>
      <c r="AW904" s="430"/>
      <c r="AX904" s="430"/>
      <c r="AY904" s="430"/>
      <c r="AZ904" s="430"/>
      <c r="BA904" s="430"/>
      <c r="BB904" s="430"/>
      <c r="BC904" s="430"/>
      <c r="BD904" s="430"/>
      <c r="BE904" s="430"/>
    </row>
    <row r="905" spans="1:57" ht="15.75" customHeight="1">
      <c r="A905" s="430"/>
      <c r="B905" s="430"/>
      <c r="C905" s="430"/>
      <c r="D905" s="430"/>
      <c r="E905" s="430"/>
      <c r="F905" s="430"/>
      <c r="G905" s="430"/>
      <c r="H905" s="430"/>
      <c r="I905" s="430"/>
      <c r="J905" s="430"/>
      <c r="K905" s="430"/>
      <c r="L905" s="430"/>
      <c r="M905" s="430"/>
      <c r="N905" s="430"/>
      <c r="O905" s="430"/>
      <c r="P905" s="430"/>
      <c r="Q905" s="430"/>
      <c r="R905" s="430"/>
      <c r="S905" s="430"/>
      <c r="T905" s="430"/>
      <c r="U905" s="430"/>
      <c r="V905" s="430"/>
      <c r="W905" s="430"/>
      <c r="X905" s="430"/>
      <c r="Y905" s="430"/>
      <c r="Z905" s="430"/>
      <c r="AA905" s="430"/>
      <c r="AB905" s="430"/>
      <c r="AC905" s="430"/>
      <c r="AD905" s="430"/>
      <c r="AE905" s="430"/>
      <c r="AF905" s="430"/>
      <c r="AG905" s="430"/>
      <c r="AH905" s="430"/>
      <c r="AI905" s="430"/>
      <c r="AJ905" s="430"/>
      <c r="AK905" s="430"/>
      <c r="AL905" s="430"/>
      <c r="AM905" s="430"/>
      <c r="AN905" s="430"/>
      <c r="AO905" s="430"/>
      <c r="AP905" s="430"/>
      <c r="AQ905" s="430"/>
      <c r="AR905" s="430"/>
      <c r="AS905" s="430"/>
      <c r="AT905" s="430"/>
      <c r="AU905" s="430"/>
      <c r="AV905" s="430"/>
      <c r="AW905" s="430"/>
      <c r="AX905" s="430"/>
      <c r="AY905" s="430"/>
      <c r="AZ905" s="430"/>
      <c r="BA905" s="430"/>
      <c r="BB905" s="430"/>
      <c r="BC905" s="430"/>
      <c r="BD905" s="430"/>
      <c r="BE905" s="430"/>
    </row>
    <row r="906" spans="1:57" ht="15.75" customHeight="1">
      <c r="A906" s="430"/>
      <c r="B906" s="430"/>
      <c r="C906" s="430"/>
      <c r="D906" s="430"/>
      <c r="E906" s="430"/>
      <c r="F906" s="430"/>
      <c r="G906" s="430"/>
      <c r="H906" s="430"/>
      <c r="I906" s="430"/>
      <c r="J906" s="430"/>
      <c r="K906" s="430"/>
      <c r="L906" s="430"/>
      <c r="M906" s="430"/>
      <c r="N906" s="430"/>
      <c r="O906" s="430"/>
      <c r="P906" s="430"/>
      <c r="Q906" s="430"/>
      <c r="R906" s="430"/>
      <c r="S906" s="430"/>
      <c r="T906" s="430"/>
      <c r="U906" s="430"/>
      <c r="V906" s="430"/>
      <c r="W906" s="430"/>
      <c r="X906" s="430"/>
      <c r="Y906" s="430"/>
      <c r="Z906" s="430"/>
      <c r="AA906" s="430"/>
      <c r="AB906" s="430"/>
      <c r="AC906" s="430"/>
      <c r="AD906" s="430"/>
      <c r="AE906" s="430"/>
      <c r="AF906" s="430"/>
      <c r="AG906" s="430"/>
      <c r="AH906" s="430"/>
      <c r="AI906" s="430"/>
      <c r="AJ906" s="430"/>
      <c r="AK906" s="430"/>
      <c r="AL906" s="430"/>
      <c r="AM906" s="430"/>
      <c r="AN906" s="430"/>
      <c r="AO906" s="430"/>
      <c r="AP906" s="430"/>
      <c r="AQ906" s="430"/>
      <c r="AR906" s="430"/>
      <c r="AS906" s="430"/>
      <c r="AT906" s="430"/>
      <c r="AU906" s="430"/>
      <c r="AV906" s="430"/>
      <c r="AW906" s="430"/>
      <c r="AX906" s="430"/>
      <c r="AY906" s="430"/>
      <c r="AZ906" s="430"/>
      <c r="BA906" s="430"/>
      <c r="BB906" s="430"/>
      <c r="BC906" s="430"/>
      <c r="BD906" s="430"/>
      <c r="BE906" s="430"/>
    </row>
    <row r="907" spans="1:57" ht="15.75" customHeight="1">
      <c r="A907" s="430"/>
      <c r="B907" s="430"/>
      <c r="C907" s="430"/>
      <c r="D907" s="430"/>
      <c r="E907" s="430"/>
      <c r="F907" s="430"/>
      <c r="G907" s="430"/>
      <c r="H907" s="430"/>
      <c r="I907" s="430"/>
      <c r="J907" s="430"/>
      <c r="K907" s="430"/>
      <c r="L907" s="430"/>
      <c r="M907" s="430"/>
      <c r="N907" s="430"/>
      <c r="O907" s="430"/>
      <c r="P907" s="430"/>
      <c r="Q907" s="430"/>
      <c r="R907" s="430"/>
      <c r="S907" s="430"/>
      <c r="T907" s="430"/>
      <c r="U907" s="430"/>
      <c r="V907" s="430"/>
      <c r="W907" s="430"/>
      <c r="X907" s="430"/>
      <c r="Y907" s="430"/>
      <c r="Z907" s="430"/>
      <c r="AA907" s="430"/>
      <c r="AB907" s="430"/>
      <c r="AC907" s="430"/>
      <c r="AD907" s="430"/>
      <c r="AE907" s="430"/>
      <c r="AF907" s="430"/>
      <c r="AG907" s="430"/>
      <c r="AH907" s="430"/>
      <c r="AI907" s="430"/>
      <c r="AJ907" s="430"/>
      <c r="AK907" s="430"/>
      <c r="AL907" s="430"/>
      <c r="AM907" s="430"/>
      <c r="AN907" s="430"/>
      <c r="AO907" s="430"/>
      <c r="AP907" s="430"/>
      <c r="AQ907" s="430"/>
      <c r="AR907" s="430"/>
      <c r="AS907" s="430"/>
      <c r="AT907" s="430"/>
      <c r="AU907" s="430"/>
      <c r="AV907" s="430"/>
      <c r="AW907" s="430"/>
      <c r="AX907" s="430"/>
      <c r="AY907" s="430"/>
      <c r="AZ907" s="430"/>
      <c r="BA907" s="430"/>
      <c r="BB907" s="430"/>
      <c r="BC907" s="430"/>
      <c r="BD907" s="430"/>
      <c r="BE907" s="430"/>
    </row>
    <row r="908" spans="1:57" ht="15.75" customHeight="1">
      <c r="A908" s="430"/>
      <c r="B908" s="430"/>
      <c r="C908" s="430"/>
      <c r="D908" s="430"/>
      <c r="E908" s="430"/>
      <c r="F908" s="430"/>
      <c r="G908" s="430"/>
      <c r="H908" s="430"/>
      <c r="I908" s="430"/>
      <c r="J908" s="430"/>
      <c r="K908" s="430"/>
      <c r="L908" s="430"/>
      <c r="M908" s="430"/>
      <c r="N908" s="430"/>
      <c r="O908" s="430"/>
      <c r="P908" s="430"/>
      <c r="Q908" s="430"/>
      <c r="R908" s="430"/>
      <c r="S908" s="430"/>
      <c r="T908" s="430"/>
      <c r="U908" s="430"/>
      <c r="V908" s="430"/>
      <c r="W908" s="430"/>
      <c r="X908" s="430"/>
      <c r="Y908" s="430"/>
      <c r="Z908" s="430"/>
      <c r="AA908" s="430"/>
      <c r="AB908" s="430"/>
      <c r="AC908" s="430"/>
      <c r="AD908" s="430"/>
      <c r="AE908" s="430"/>
      <c r="AF908" s="430"/>
      <c r="AG908" s="430"/>
      <c r="AH908" s="430"/>
      <c r="AI908" s="430"/>
      <c r="AJ908" s="430"/>
      <c r="AK908" s="430"/>
      <c r="AL908" s="430"/>
      <c r="AM908" s="430"/>
      <c r="AN908" s="430"/>
      <c r="AO908" s="430"/>
      <c r="AP908" s="430"/>
      <c r="AQ908" s="430"/>
      <c r="AR908" s="430"/>
      <c r="AS908" s="430"/>
      <c r="AT908" s="430"/>
      <c r="AU908" s="430"/>
      <c r="AV908" s="430"/>
      <c r="AW908" s="430"/>
      <c r="AX908" s="430"/>
      <c r="AY908" s="430"/>
      <c r="AZ908" s="430"/>
      <c r="BA908" s="430"/>
      <c r="BB908" s="430"/>
      <c r="BC908" s="430"/>
      <c r="BD908" s="430"/>
      <c r="BE908" s="430"/>
    </row>
    <row r="909" spans="1:57" ht="15.75" customHeight="1">
      <c r="A909" s="430"/>
      <c r="B909" s="430"/>
      <c r="C909" s="430"/>
      <c r="D909" s="430"/>
      <c r="E909" s="430"/>
      <c r="F909" s="430"/>
      <c r="G909" s="430"/>
      <c r="H909" s="430"/>
      <c r="I909" s="430"/>
      <c r="J909" s="430"/>
      <c r="K909" s="430"/>
      <c r="L909" s="430"/>
      <c r="M909" s="430"/>
      <c r="N909" s="430"/>
      <c r="O909" s="430"/>
      <c r="P909" s="430"/>
      <c r="Q909" s="430"/>
      <c r="R909" s="430"/>
      <c r="S909" s="430"/>
      <c r="T909" s="430"/>
      <c r="U909" s="430"/>
      <c r="V909" s="430"/>
      <c r="W909" s="430"/>
      <c r="X909" s="430"/>
      <c r="Y909" s="430"/>
      <c r="Z909" s="430"/>
      <c r="AA909" s="430"/>
      <c r="AB909" s="430"/>
      <c r="AC909" s="430"/>
      <c r="AD909" s="430"/>
      <c r="AE909" s="430"/>
      <c r="AF909" s="430"/>
      <c r="AG909" s="430"/>
      <c r="AH909" s="430"/>
      <c r="AI909" s="430"/>
      <c r="AJ909" s="430"/>
      <c r="AK909" s="430"/>
      <c r="AL909" s="430"/>
      <c r="AM909" s="430"/>
      <c r="AN909" s="430"/>
      <c r="AO909" s="430"/>
      <c r="AP909" s="430"/>
      <c r="AQ909" s="430"/>
      <c r="AR909" s="430"/>
      <c r="AS909" s="430"/>
      <c r="AT909" s="430"/>
      <c r="AU909" s="430"/>
      <c r="AV909" s="430"/>
      <c r="AW909" s="430"/>
      <c r="AX909" s="430"/>
      <c r="AY909" s="430"/>
      <c r="AZ909" s="430"/>
      <c r="BA909" s="430"/>
      <c r="BB909" s="430"/>
      <c r="BC909" s="430"/>
      <c r="BD909" s="430"/>
      <c r="BE909" s="430"/>
    </row>
    <row r="910" spans="1:57" ht="15.75" customHeight="1">
      <c r="A910" s="430"/>
      <c r="B910" s="430"/>
      <c r="C910" s="430"/>
      <c r="D910" s="430"/>
      <c r="E910" s="430"/>
      <c r="F910" s="430"/>
      <c r="G910" s="430"/>
      <c r="H910" s="430"/>
      <c r="I910" s="430"/>
      <c r="J910" s="430"/>
      <c r="K910" s="430"/>
      <c r="L910" s="430"/>
      <c r="M910" s="430"/>
      <c r="N910" s="430"/>
      <c r="O910" s="430"/>
      <c r="P910" s="430"/>
      <c r="Q910" s="430"/>
      <c r="R910" s="430"/>
      <c r="S910" s="430"/>
      <c r="T910" s="430"/>
      <c r="U910" s="430"/>
      <c r="V910" s="430"/>
      <c r="W910" s="430"/>
      <c r="X910" s="430"/>
      <c r="Y910" s="430"/>
      <c r="Z910" s="430"/>
      <c r="AA910" s="430"/>
      <c r="AB910" s="430"/>
      <c r="AC910" s="430"/>
      <c r="AD910" s="430"/>
      <c r="AE910" s="430"/>
      <c r="AF910" s="430"/>
      <c r="AG910" s="430"/>
      <c r="AH910" s="430"/>
      <c r="AI910" s="430"/>
      <c r="AJ910" s="430"/>
      <c r="AK910" s="430"/>
      <c r="AL910" s="430"/>
      <c r="AM910" s="430"/>
      <c r="AN910" s="430"/>
      <c r="AO910" s="430"/>
      <c r="AP910" s="430"/>
      <c r="AQ910" s="430"/>
      <c r="AR910" s="430"/>
      <c r="AS910" s="430"/>
      <c r="AT910" s="430"/>
      <c r="AU910" s="430"/>
      <c r="AV910" s="430"/>
      <c r="AW910" s="430"/>
      <c r="AX910" s="430"/>
      <c r="AY910" s="430"/>
      <c r="AZ910" s="430"/>
      <c r="BA910" s="430"/>
      <c r="BB910" s="430"/>
      <c r="BC910" s="430"/>
      <c r="BD910" s="430"/>
      <c r="BE910" s="430"/>
    </row>
    <row r="911" spans="1:57" ht="15.75" customHeight="1">
      <c r="A911" s="430"/>
      <c r="B911" s="430"/>
      <c r="C911" s="430"/>
      <c r="D911" s="430"/>
      <c r="E911" s="430"/>
      <c r="F911" s="430"/>
      <c r="G911" s="430"/>
      <c r="H911" s="430"/>
      <c r="I911" s="430"/>
      <c r="J911" s="430"/>
      <c r="K911" s="430"/>
      <c r="L911" s="430"/>
      <c r="M911" s="430"/>
      <c r="N911" s="430"/>
      <c r="O911" s="430"/>
      <c r="P911" s="430"/>
      <c r="Q911" s="430"/>
      <c r="R911" s="430"/>
      <c r="S911" s="430"/>
      <c r="T911" s="430"/>
      <c r="U911" s="430"/>
      <c r="V911" s="430"/>
      <c r="W911" s="430"/>
      <c r="X911" s="430"/>
      <c r="Y911" s="430"/>
      <c r="Z911" s="430"/>
      <c r="AA911" s="430"/>
      <c r="AB911" s="430"/>
      <c r="AC911" s="430"/>
      <c r="AD911" s="430"/>
      <c r="AE911" s="430"/>
      <c r="AF911" s="430"/>
      <c r="AG911" s="430"/>
      <c r="AH911" s="430"/>
      <c r="AI911" s="430"/>
      <c r="AJ911" s="430"/>
      <c r="AK911" s="430"/>
      <c r="AL911" s="430"/>
      <c r="AM911" s="430"/>
      <c r="AN911" s="430"/>
      <c r="AO911" s="430"/>
      <c r="AP911" s="430"/>
      <c r="AQ911" s="430"/>
      <c r="AR911" s="430"/>
      <c r="AS911" s="430"/>
      <c r="AT911" s="430"/>
      <c r="AU911" s="430"/>
      <c r="AV911" s="430"/>
      <c r="AW911" s="430"/>
      <c r="AX911" s="430"/>
      <c r="AY911" s="430"/>
      <c r="AZ911" s="430"/>
      <c r="BA911" s="430"/>
      <c r="BB911" s="430"/>
      <c r="BC911" s="430"/>
      <c r="BD911" s="430"/>
      <c r="BE911" s="430"/>
    </row>
    <row r="912" spans="1:57" ht="15.75" customHeight="1">
      <c r="A912" s="430"/>
      <c r="B912" s="430"/>
      <c r="C912" s="430"/>
      <c r="D912" s="430"/>
      <c r="E912" s="430"/>
      <c r="F912" s="430"/>
      <c r="G912" s="430"/>
      <c r="H912" s="430"/>
      <c r="I912" s="430"/>
      <c r="J912" s="430"/>
      <c r="K912" s="430"/>
      <c r="L912" s="430"/>
      <c r="M912" s="430"/>
      <c r="N912" s="430"/>
      <c r="O912" s="430"/>
      <c r="P912" s="430"/>
      <c r="Q912" s="430"/>
      <c r="R912" s="430"/>
      <c r="S912" s="430"/>
      <c r="T912" s="430"/>
      <c r="U912" s="430"/>
      <c r="V912" s="430"/>
      <c r="W912" s="430"/>
      <c r="X912" s="430"/>
      <c r="Y912" s="430"/>
      <c r="Z912" s="430"/>
      <c r="AA912" s="430"/>
      <c r="AB912" s="430"/>
      <c r="AC912" s="430"/>
      <c r="AD912" s="430"/>
      <c r="AE912" s="430"/>
      <c r="AF912" s="430"/>
      <c r="AG912" s="430"/>
      <c r="AH912" s="430"/>
      <c r="AI912" s="430"/>
      <c r="AJ912" s="430"/>
      <c r="AK912" s="430"/>
      <c r="AL912" s="430"/>
      <c r="AM912" s="430"/>
      <c r="AN912" s="430"/>
      <c r="AO912" s="430"/>
      <c r="AP912" s="430"/>
      <c r="AQ912" s="430"/>
      <c r="AR912" s="430"/>
      <c r="AS912" s="430"/>
      <c r="AT912" s="430"/>
      <c r="AU912" s="430"/>
      <c r="AV912" s="430"/>
      <c r="AW912" s="430"/>
      <c r="AX912" s="430"/>
      <c r="AY912" s="430"/>
      <c r="AZ912" s="430"/>
      <c r="BA912" s="430"/>
      <c r="BB912" s="430"/>
      <c r="BC912" s="430"/>
      <c r="BD912" s="430"/>
      <c r="BE912" s="430"/>
    </row>
    <row r="913" spans="1:57" ht="15.75" customHeight="1">
      <c r="A913" s="430"/>
      <c r="B913" s="430"/>
      <c r="C913" s="430"/>
      <c r="D913" s="430"/>
      <c r="E913" s="430"/>
      <c r="F913" s="430"/>
      <c r="G913" s="430"/>
      <c r="H913" s="430"/>
      <c r="I913" s="430"/>
      <c r="J913" s="430"/>
      <c r="K913" s="430"/>
      <c r="L913" s="430"/>
      <c r="M913" s="430"/>
      <c r="N913" s="430"/>
      <c r="O913" s="430"/>
      <c r="P913" s="430"/>
      <c r="Q913" s="430"/>
      <c r="R913" s="430"/>
      <c r="S913" s="430"/>
      <c r="T913" s="430"/>
      <c r="U913" s="430"/>
      <c r="V913" s="430"/>
      <c r="W913" s="430"/>
      <c r="X913" s="430"/>
      <c r="Y913" s="430"/>
      <c r="Z913" s="430"/>
      <c r="AA913" s="430"/>
      <c r="AB913" s="430"/>
      <c r="AC913" s="430"/>
      <c r="AD913" s="430"/>
      <c r="AE913" s="430"/>
      <c r="AF913" s="430"/>
      <c r="AG913" s="430"/>
      <c r="AH913" s="430"/>
      <c r="AI913" s="430"/>
      <c r="AJ913" s="430"/>
      <c r="AK913" s="430"/>
      <c r="AL913" s="430"/>
      <c r="AM913" s="430"/>
      <c r="AN913" s="430"/>
      <c r="AO913" s="430"/>
      <c r="AP913" s="430"/>
      <c r="AQ913" s="430"/>
      <c r="AR913" s="430"/>
      <c r="AS913" s="430"/>
      <c r="AT913" s="430"/>
      <c r="AU913" s="430"/>
      <c r="AV913" s="430"/>
      <c r="AW913" s="430"/>
      <c r="AX913" s="430"/>
      <c r="AY913" s="430"/>
      <c r="AZ913" s="430"/>
      <c r="BA913" s="430"/>
      <c r="BB913" s="430"/>
      <c r="BC913" s="430"/>
      <c r="BD913" s="430"/>
      <c r="BE913" s="430"/>
    </row>
    <row r="914" spans="1:57" ht="15.75" customHeight="1">
      <c r="A914" s="430"/>
      <c r="B914" s="430"/>
      <c r="C914" s="430"/>
      <c r="D914" s="430"/>
      <c r="E914" s="430"/>
      <c r="F914" s="430"/>
      <c r="G914" s="430"/>
      <c r="H914" s="430"/>
      <c r="I914" s="430"/>
      <c r="J914" s="430"/>
      <c r="K914" s="430"/>
      <c r="L914" s="430"/>
      <c r="M914" s="430"/>
      <c r="N914" s="430"/>
      <c r="O914" s="430"/>
      <c r="P914" s="430"/>
      <c r="Q914" s="430"/>
      <c r="R914" s="430"/>
      <c r="S914" s="430"/>
      <c r="T914" s="430"/>
      <c r="U914" s="430"/>
      <c r="V914" s="430"/>
      <c r="W914" s="430"/>
      <c r="X914" s="430"/>
      <c r="Y914" s="430"/>
      <c r="Z914" s="430"/>
      <c r="AA914" s="430"/>
      <c r="AB914" s="430"/>
      <c r="AC914" s="430"/>
      <c r="AD914" s="430"/>
      <c r="AE914" s="430"/>
      <c r="AF914" s="430"/>
      <c r="AG914" s="430"/>
      <c r="AH914" s="430"/>
      <c r="AI914" s="430"/>
      <c r="AJ914" s="430"/>
      <c r="AK914" s="430"/>
      <c r="AL914" s="430"/>
      <c r="AM914" s="430"/>
      <c r="AN914" s="430"/>
      <c r="AO914" s="430"/>
      <c r="AP914" s="430"/>
      <c r="AQ914" s="430"/>
      <c r="AR914" s="430"/>
      <c r="AS914" s="430"/>
      <c r="AT914" s="430"/>
      <c r="AU914" s="430"/>
      <c r="AV914" s="430"/>
      <c r="AW914" s="430"/>
      <c r="AX914" s="430"/>
      <c r="AY914" s="430"/>
      <c r="AZ914" s="430"/>
      <c r="BA914" s="430"/>
      <c r="BB914" s="430"/>
      <c r="BC914" s="430"/>
      <c r="BD914" s="430"/>
      <c r="BE914" s="430"/>
    </row>
    <row r="915" spans="1:57" ht="15.75" customHeight="1">
      <c r="A915" s="430"/>
      <c r="B915" s="430"/>
      <c r="C915" s="430"/>
      <c r="D915" s="430"/>
      <c r="E915" s="430"/>
      <c r="F915" s="430"/>
      <c r="G915" s="430"/>
      <c r="H915" s="430"/>
      <c r="I915" s="430"/>
      <c r="J915" s="430"/>
      <c r="K915" s="430"/>
      <c r="L915" s="430"/>
      <c r="M915" s="430"/>
      <c r="N915" s="430"/>
      <c r="O915" s="430"/>
      <c r="P915" s="430"/>
      <c r="Q915" s="430"/>
      <c r="R915" s="430"/>
      <c r="S915" s="430"/>
      <c r="T915" s="430"/>
      <c r="U915" s="430"/>
      <c r="V915" s="430"/>
      <c r="W915" s="430"/>
      <c r="X915" s="430"/>
      <c r="Y915" s="430"/>
      <c r="Z915" s="430"/>
      <c r="AA915" s="430"/>
      <c r="AB915" s="430"/>
      <c r="AC915" s="430"/>
      <c r="AD915" s="430"/>
      <c r="AE915" s="430"/>
      <c r="AF915" s="430"/>
      <c r="AG915" s="430"/>
      <c r="AH915" s="430"/>
      <c r="AI915" s="430"/>
      <c r="AJ915" s="430"/>
      <c r="AK915" s="430"/>
      <c r="AL915" s="430"/>
      <c r="AM915" s="430"/>
      <c r="AN915" s="430"/>
      <c r="AO915" s="430"/>
      <c r="AP915" s="430"/>
      <c r="AQ915" s="430"/>
      <c r="AR915" s="430"/>
      <c r="AS915" s="430"/>
      <c r="AT915" s="430"/>
      <c r="AU915" s="430"/>
      <c r="AV915" s="430"/>
      <c r="AW915" s="430"/>
      <c r="AX915" s="430"/>
      <c r="AY915" s="430"/>
      <c r="AZ915" s="430"/>
      <c r="BA915" s="430"/>
      <c r="BB915" s="430"/>
      <c r="BC915" s="430"/>
      <c r="BD915" s="430"/>
      <c r="BE915" s="430"/>
    </row>
    <row r="916" spans="1:57" ht="15.75" customHeight="1">
      <c r="A916" s="430"/>
      <c r="B916" s="430"/>
      <c r="C916" s="430"/>
      <c r="D916" s="430"/>
      <c r="E916" s="430"/>
      <c r="F916" s="430"/>
      <c r="G916" s="430"/>
      <c r="H916" s="430"/>
      <c r="I916" s="430"/>
      <c r="J916" s="430"/>
      <c r="K916" s="430"/>
      <c r="L916" s="430"/>
      <c r="M916" s="430"/>
      <c r="N916" s="430"/>
      <c r="O916" s="430"/>
      <c r="P916" s="430"/>
      <c r="Q916" s="430"/>
      <c r="R916" s="430"/>
      <c r="S916" s="430"/>
      <c r="T916" s="430"/>
      <c r="U916" s="430"/>
      <c r="V916" s="430"/>
      <c r="W916" s="430"/>
      <c r="X916" s="430"/>
      <c r="Y916" s="430"/>
      <c r="Z916" s="430"/>
      <c r="AA916" s="430"/>
      <c r="AB916" s="430"/>
      <c r="AC916" s="430"/>
      <c r="AD916" s="430"/>
      <c r="AE916" s="430"/>
      <c r="AF916" s="430"/>
      <c r="AG916" s="430"/>
      <c r="AH916" s="430"/>
      <c r="AI916" s="430"/>
      <c r="AJ916" s="430"/>
      <c r="AK916" s="430"/>
      <c r="AL916" s="430"/>
      <c r="AM916" s="430"/>
      <c r="AN916" s="430"/>
      <c r="AO916" s="430"/>
      <c r="AP916" s="430"/>
      <c r="AQ916" s="430"/>
      <c r="AR916" s="430"/>
      <c r="AS916" s="430"/>
      <c r="AT916" s="430"/>
      <c r="AU916" s="430"/>
      <c r="AV916" s="430"/>
      <c r="AW916" s="430"/>
      <c r="AX916" s="430"/>
      <c r="AY916" s="430"/>
      <c r="AZ916" s="430"/>
      <c r="BA916" s="430"/>
      <c r="BB916" s="430"/>
      <c r="BC916" s="430"/>
      <c r="BD916" s="430"/>
      <c r="BE916" s="430"/>
    </row>
    <row r="917" spans="1:57" ht="15.75" customHeight="1">
      <c r="A917" s="430"/>
      <c r="B917" s="430"/>
      <c r="C917" s="430"/>
      <c r="D917" s="430"/>
      <c r="E917" s="430"/>
      <c r="F917" s="430"/>
      <c r="G917" s="430"/>
      <c r="H917" s="430"/>
      <c r="I917" s="430"/>
      <c r="J917" s="430"/>
      <c r="K917" s="430"/>
      <c r="L917" s="430"/>
      <c r="M917" s="430"/>
      <c r="N917" s="430"/>
      <c r="O917" s="430"/>
      <c r="P917" s="430"/>
      <c r="Q917" s="430"/>
      <c r="R917" s="430"/>
      <c r="S917" s="430"/>
      <c r="T917" s="430"/>
      <c r="U917" s="430"/>
      <c r="V917" s="430"/>
      <c r="W917" s="430"/>
      <c r="X917" s="430"/>
      <c r="Y917" s="430"/>
      <c r="Z917" s="430"/>
      <c r="AA917" s="430"/>
      <c r="AB917" s="430"/>
      <c r="AC917" s="430"/>
      <c r="AD917" s="430"/>
      <c r="AE917" s="430"/>
      <c r="AF917" s="430"/>
      <c r="AG917" s="430"/>
      <c r="AH917" s="430"/>
      <c r="AI917" s="430"/>
      <c r="AJ917" s="430"/>
      <c r="AK917" s="430"/>
      <c r="AL917" s="430"/>
      <c r="AM917" s="430"/>
      <c r="AN917" s="430"/>
      <c r="AO917" s="430"/>
      <c r="AP917" s="430"/>
      <c r="AQ917" s="430"/>
      <c r="AR917" s="430"/>
      <c r="AS917" s="430"/>
      <c r="AT917" s="430"/>
      <c r="AU917" s="430"/>
      <c r="AV917" s="430"/>
      <c r="AW917" s="430"/>
      <c r="AX917" s="430"/>
      <c r="AY917" s="430"/>
      <c r="AZ917" s="430"/>
      <c r="BA917" s="430"/>
      <c r="BB917" s="430"/>
      <c r="BC917" s="430"/>
      <c r="BD917" s="430"/>
      <c r="BE917" s="430"/>
    </row>
    <row r="918" spans="1:57" ht="15.75" customHeight="1">
      <c r="A918" s="430"/>
      <c r="B918" s="430"/>
      <c r="C918" s="430"/>
      <c r="D918" s="430"/>
      <c r="E918" s="430"/>
      <c r="F918" s="430"/>
      <c r="G918" s="430"/>
      <c r="H918" s="430"/>
      <c r="I918" s="430"/>
      <c r="J918" s="430"/>
      <c r="K918" s="430"/>
      <c r="L918" s="430"/>
      <c r="M918" s="430"/>
      <c r="N918" s="430"/>
      <c r="O918" s="430"/>
      <c r="P918" s="430"/>
      <c r="Q918" s="430"/>
      <c r="R918" s="430"/>
      <c r="S918" s="430"/>
      <c r="T918" s="430"/>
      <c r="U918" s="430"/>
      <c r="V918" s="430"/>
      <c r="W918" s="430"/>
      <c r="X918" s="430"/>
      <c r="Y918" s="430"/>
      <c r="Z918" s="430"/>
      <c r="AA918" s="430"/>
      <c r="AB918" s="430"/>
      <c r="AC918" s="430"/>
      <c r="AD918" s="430"/>
      <c r="AE918" s="430"/>
      <c r="AF918" s="430"/>
      <c r="AG918" s="430"/>
      <c r="AH918" s="430"/>
      <c r="AI918" s="430"/>
      <c r="AJ918" s="430"/>
      <c r="AK918" s="430"/>
      <c r="AL918" s="430"/>
      <c r="AM918" s="430"/>
      <c r="AN918" s="430"/>
      <c r="AO918" s="430"/>
      <c r="AP918" s="430"/>
      <c r="AQ918" s="430"/>
      <c r="AR918" s="430"/>
      <c r="AS918" s="430"/>
      <c r="AT918" s="430"/>
      <c r="AU918" s="430"/>
      <c r="AV918" s="430"/>
      <c r="AW918" s="430"/>
      <c r="AX918" s="430"/>
      <c r="AY918" s="430"/>
      <c r="AZ918" s="430"/>
      <c r="BA918" s="430"/>
      <c r="BB918" s="430"/>
      <c r="BC918" s="430"/>
      <c r="BD918" s="430"/>
      <c r="BE918" s="430"/>
    </row>
    <row r="919" spans="1:57" ht="15.75" customHeight="1">
      <c r="A919" s="430"/>
      <c r="B919" s="430"/>
      <c r="C919" s="430"/>
      <c r="D919" s="430"/>
      <c r="E919" s="430"/>
      <c r="F919" s="430"/>
      <c r="G919" s="430"/>
      <c r="H919" s="430"/>
      <c r="I919" s="430"/>
      <c r="J919" s="430"/>
      <c r="K919" s="430"/>
      <c r="L919" s="430"/>
      <c r="M919" s="430"/>
      <c r="N919" s="430"/>
      <c r="O919" s="430"/>
      <c r="P919" s="430"/>
      <c r="Q919" s="430"/>
      <c r="R919" s="430"/>
      <c r="S919" s="430"/>
      <c r="T919" s="430"/>
      <c r="U919" s="430"/>
      <c r="V919" s="430"/>
      <c r="W919" s="430"/>
      <c r="X919" s="430"/>
      <c r="Y919" s="430"/>
      <c r="Z919" s="430"/>
      <c r="AA919" s="430"/>
      <c r="AB919" s="430"/>
      <c r="AC919" s="430"/>
      <c r="AD919" s="430"/>
      <c r="AE919" s="430"/>
      <c r="AF919" s="430"/>
      <c r="AG919" s="430"/>
      <c r="AH919" s="430"/>
      <c r="AI919" s="430"/>
      <c r="AJ919" s="430"/>
      <c r="AK919" s="430"/>
      <c r="AL919" s="430"/>
      <c r="AM919" s="430"/>
      <c r="AN919" s="430"/>
      <c r="AO919" s="430"/>
      <c r="AP919" s="430"/>
      <c r="AQ919" s="430"/>
      <c r="AR919" s="430"/>
      <c r="AS919" s="430"/>
      <c r="AT919" s="430"/>
      <c r="AU919" s="430"/>
      <c r="AV919" s="430"/>
      <c r="AW919" s="430"/>
      <c r="AX919" s="430"/>
      <c r="AY919" s="430"/>
      <c r="AZ919" s="430"/>
      <c r="BA919" s="430"/>
      <c r="BB919" s="430"/>
      <c r="BC919" s="430"/>
      <c r="BD919" s="430"/>
      <c r="BE919" s="430"/>
    </row>
    <row r="920" spans="1:57" ht="15.75" customHeight="1">
      <c r="A920" s="430"/>
      <c r="B920" s="430"/>
      <c r="C920" s="430"/>
      <c r="D920" s="430"/>
      <c r="E920" s="430"/>
      <c r="F920" s="430"/>
      <c r="G920" s="430"/>
      <c r="H920" s="430"/>
      <c r="I920" s="430"/>
      <c r="J920" s="430"/>
      <c r="K920" s="430"/>
      <c r="L920" s="430"/>
      <c r="M920" s="430"/>
      <c r="N920" s="430"/>
      <c r="O920" s="430"/>
      <c r="P920" s="430"/>
      <c r="Q920" s="430"/>
      <c r="R920" s="430"/>
      <c r="S920" s="430"/>
      <c r="T920" s="430"/>
      <c r="U920" s="430"/>
      <c r="V920" s="430"/>
      <c r="W920" s="430"/>
      <c r="X920" s="430"/>
      <c r="Y920" s="430"/>
      <c r="Z920" s="430"/>
      <c r="AA920" s="430"/>
      <c r="AB920" s="430"/>
      <c r="AC920" s="430"/>
      <c r="AD920" s="430"/>
      <c r="AE920" s="430"/>
      <c r="AF920" s="430"/>
      <c r="AG920" s="430"/>
      <c r="AH920" s="430"/>
      <c r="AI920" s="430"/>
      <c r="AJ920" s="430"/>
      <c r="AK920" s="430"/>
      <c r="AL920" s="430"/>
      <c r="AM920" s="430"/>
      <c r="AN920" s="430"/>
      <c r="AO920" s="430"/>
      <c r="AP920" s="430"/>
      <c r="AQ920" s="430"/>
      <c r="AR920" s="430"/>
      <c r="AS920" s="430"/>
      <c r="AT920" s="430"/>
      <c r="AU920" s="430"/>
      <c r="AV920" s="430"/>
      <c r="AW920" s="430"/>
      <c r="AX920" s="430"/>
      <c r="AY920" s="430"/>
      <c r="AZ920" s="430"/>
      <c r="BA920" s="430"/>
      <c r="BB920" s="430"/>
      <c r="BC920" s="430"/>
      <c r="BD920" s="430"/>
      <c r="BE920" s="430"/>
    </row>
    <row r="921" spans="1:57" ht="15.75" customHeight="1">
      <c r="A921" s="430"/>
      <c r="B921" s="430"/>
      <c r="C921" s="430"/>
      <c r="D921" s="430"/>
      <c r="E921" s="430"/>
      <c r="F921" s="430"/>
      <c r="G921" s="430"/>
      <c r="H921" s="430"/>
      <c r="I921" s="430"/>
      <c r="J921" s="430"/>
      <c r="K921" s="430"/>
      <c r="L921" s="430"/>
      <c r="M921" s="430"/>
      <c r="N921" s="430"/>
      <c r="O921" s="430"/>
      <c r="P921" s="430"/>
      <c r="Q921" s="430"/>
      <c r="R921" s="430"/>
      <c r="S921" s="430"/>
      <c r="T921" s="430"/>
      <c r="U921" s="430"/>
      <c r="V921" s="430"/>
      <c r="W921" s="430"/>
      <c r="X921" s="430"/>
      <c r="Y921" s="430"/>
      <c r="Z921" s="430"/>
      <c r="AA921" s="430"/>
      <c r="AB921" s="430"/>
      <c r="AC921" s="430"/>
      <c r="AD921" s="430"/>
      <c r="AE921" s="430"/>
      <c r="AF921" s="430"/>
      <c r="AG921" s="430"/>
      <c r="AH921" s="430"/>
      <c r="AI921" s="430"/>
      <c r="AJ921" s="430"/>
      <c r="AK921" s="430"/>
      <c r="AL921" s="430"/>
      <c r="AM921" s="430"/>
      <c r="AN921" s="430"/>
      <c r="AO921" s="430"/>
      <c r="AP921" s="430"/>
      <c r="AQ921" s="430"/>
      <c r="AR921" s="430"/>
      <c r="AS921" s="430"/>
      <c r="AT921" s="430"/>
      <c r="AU921" s="430"/>
      <c r="AV921" s="430"/>
      <c r="AW921" s="430"/>
      <c r="AX921" s="430"/>
      <c r="AY921" s="430"/>
      <c r="AZ921" s="430"/>
      <c r="BA921" s="430"/>
      <c r="BB921" s="430"/>
      <c r="BC921" s="430"/>
      <c r="BD921" s="430"/>
      <c r="BE921" s="430"/>
    </row>
    <row r="922" spans="1:57" ht="15.75" customHeight="1">
      <c r="A922" s="430"/>
      <c r="B922" s="430"/>
      <c r="C922" s="430"/>
      <c r="D922" s="430"/>
      <c r="E922" s="430"/>
      <c r="F922" s="430"/>
      <c r="G922" s="430"/>
      <c r="H922" s="430"/>
      <c r="I922" s="430"/>
      <c r="J922" s="430"/>
      <c r="K922" s="430"/>
      <c r="L922" s="430"/>
      <c r="M922" s="430"/>
      <c r="N922" s="430"/>
      <c r="O922" s="430"/>
      <c r="P922" s="430"/>
      <c r="Q922" s="430"/>
      <c r="R922" s="430"/>
      <c r="S922" s="430"/>
      <c r="T922" s="430"/>
      <c r="U922" s="430"/>
      <c r="V922" s="430"/>
      <c r="W922" s="430"/>
      <c r="X922" s="430"/>
      <c r="Y922" s="430"/>
      <c r="Z922" s="430"/>
      <c r="AA922" s="430"/>
      <c r="AB922" s="430"/>
      <c r="AC922" s="430"/>
      <c r="AD922" s="430"/>
      <c r="AE922" s="430"/>
      <c r="AF922" s="430"/>
      <c r="AG922" s="430"/>
      <c r="AH922" s="430"/>
      <c r="AI922" s="430"/>
      <c r="AJ922" s="430"/>
      <c r="AK922" s="430"/>
      <c r="AL922" s="430"/>
      <c r="AM922" s="430"/>
      <c r="AN922" s="430"/>
      <c r="AO922" s="430"/>
      <c r="AP922" s="430"/>
      <c r="AQ922" s="430"/>
      <c r="AR922" s="430"/>
      <c r="AS922" s="430"/>
      <c r="AT922" s="430"/>
      <c r="AU922" s="430"/>
      <c r="AV922" s="430"/>
      <c r="AW922" s="430"/>
      <c r="AX922" s="430"/>
      <c r="AY922" s="430"/>
      <c r="AZ922" s="430"/>
      <c r="BA922" s="430"/>
      <c r="BB922" s="430"/>
      <c r="BC922" s="430"/>
      <c r="BD922" s="430"/>
      <c r="BE922" s="430"/>
    </row>
    <row r="923" spans="1:57" ht="15.75" customHeight="1">
      <c r="A923" s="430"/>
      <c r="B923" s="430"/>
      <c r="C923" s="430"/>
      <c r="D923" s="430"/>
      <c r="E923" s="430"/>
      <c r="F923" s="430"/>
      <c r="G923" s="430"/>
      <c r="H923" s="430"/>
      <c r="I923" s="430"/>
      <c r="J923" s="430"/>
      <c r="K923" s="430"/>
      <c r="L923" s="430"/>
      <c r="M923" s="430"/>
      <c r="N923" s="430"/>
      <c r="O923" s="430"/>
      <c r="P923" s="430"/>
      <c r="Q923" s="430"/>
      <c r="R923" s="430"/>
      <c r="S923" s="430"/>
      <c r="T923" s="430"/>
      <c r="U923" s="430"/>
      <c r="V923" s="430"/>
      <c r="W923" s="430"/>
      <c r="X923" s="430"/>
      <c r="Y923" s="430"/>
      <c r="Z923" s="430"/>
      <c r="AA923" s="430"/>
      <c r="AB923" s="430"/>
      <c r="AC923" s="430"/>
      <c r="AD923" s="430"/>
      <c r="AE923" s="430"/>
      <c r="AF923" s="430"/>
      <c r="AG923" s="430"/>
      <c r="AH923" s="430"/>
      <c r="AI923" s="430"/>
      <c r="AJ923" s="430"/>
      <c r="AK923" s="430"/>
      <c r="AL923" s="430"/>
      <c r="AM923" s="430"/>
      <c r="AN923" s="430"/>
      <c r="AO923" s="430"/>
      <c r="AP923" s="430"/>
      <c r="AQ923" s="430"/>
      <c r="AR923" s="430"/>
      <c r="AS923" s="430"/>
      <c r="AT923" s="430"/>
      <c r="AU923" s="430"/>
      <c r="AV923" s="430"/>
      <c r="AW923" s="430"/>
      <c r="AX923" s="430"/>
      <c r="AY923" s="430"/>
      <c r="AZ923" s="430"/>
      <c r="BA923" s="430"/>
      <c r="BB923" s="430"/>
      <c r="BC923" s="430"/>
      <c r="BD923" s="430"/>
      <c r="BE923" s="430"/>
    </row>
    <row r="924" spans="1:57" ht="15.75" customHeight="1">
      <c r="A924" s="430"/>
      <c r="B924" s="430"/>
      <c r="C924" s="430"/>
      <c r="D924" s="430"/>
      <c r="E924" s="430"/>
      <c r="F924" s="430"/>
      <c r="G924" s="430"/>
      <c r="H924" s="430"/>
      <c r="I924" s="430"/>
      <c r="J924" s="430"/>
      <c r="K924" s="430"/>
      <c r="L924" s="430"/>
      <c r="M924" s="430"/>
      <c r="N924" s="430"/>
      <c r="O924" s="430"/>
      <c r="P924" s="430"/>
      <c r="Q924" s="430"/>
      <c r="R924" s="430"/>
      <c r="S924" s="430"/>
      <c r="T924" s="430"/>
      <c r="U924" s="430"/>
      <c r="V924" s="430"/>
      <c r="W924" s="430"/>
      <c r="X924" s="430"/>
      <c r="Y924" s="430"/>
      <c r="Z924" s="430"/>
      <c r="AA924" s="430"/>
      <c r="AB924" s="430"/>
      <c r="AC924" s="430"/>
      <c r="AD924" s="430"/>
      <c r="AE924" s="430"/>
      <c r="AF924" s="430"/>
      <c r="AG924" s="430"/>
      <c r="AH924" s="430"/>
      <c r="AI924" s="430"/>
      <c r="AJ924" s="430"/>
      <c r="AK924" s="430"/>
      <c r="AL924" s="430"/>
      <c r="AM924" s="430"/>
      <c r="AN924" s="430"/>
      <c r="AO924" s="430"/>
      <c r="AP924" s="430"/>
      <c r="AQ924" s="430"/>
      <c r="AR924" s="430"/>
      <c r="AS924" s="430"/>
      <c r="AT924" s="430"/>
      <c r="AU924" s="430"/>
      <c r="AV924" s="430"/>
      <c r="AW924" s="430"/>
      <c r="AX924" s="430"/>
      <c r="AY924" s="430"/>
      <c r="AZ924" s="430"/>
      <c r="BA924" s="430"/>
      <c r="BB924" s="430"/>
      <c r="BC924" s="430"/>
      <c r="BD924" s="430"/>
      <c r="BE924" s="430"/>
    </row>
    <row r="925" spans="1:57" ht="15.75" customHeight="1">
      <c r="A925" s="430"/>
      <c r="B925" s="430"/>
      <c r="C925" s="430"/>
      <c r="D925" s="430"/>
      <c r="E925" s="430"/>
      <c r="F925" s="430"/>
      <c r="G925" s="430"/>
      <c r="H925" s="430"/>
      <c r="I925" s="430"/>
      <c r="J925" s="430"/>
      <c r="K925" s="430"/>
      <c r="L925" s="430"/>
      <c r="M925" s="430"/>
      <c r="N925" s="430"/>
      <c r="O925" s="430"/>
      <c r="P925" s="430"/>
      <c r="Q925" s="430"/>
      <c r="R925" s="430"/>
      <c r="S925" s="430"/>
      <c r="T925" s="430"/>
      <c r="U925" s="430"/>
      <c r="V925" s="430"/>
      <c r="W925" s="430"/>
      <c r="X925" s="430"/>
      <c r="Y925" s="430"/>
      <c r="Z925" s="430"/>
      <c r="AA925" s="430"/>
      <c r="AB925" s="430"/>
      <c r="AC925" s="430"/>
      <c r="AD925" s="430"/>
      <c r="AE925" s="430"/>
      <c r="AF925" s="430"/>
      <c r="AG925" s="430"/>
      <c r="AH925" s="430"/>
      <c r="AI925" s="430"/>
      <c r="AJ925" s="430"/>
      <c r="AK925" s="430"/>
      <c r="AL925" s="430"/>
      <c r="AM925" s="430"/>
      <c r="AN925" s="430"/>
      <c r="AO925" s="430"/>
      <c r="AP925" s="430"/>
      <c r="AQ925" s="430"/>
      <c r="AR925" s="430"/>
      <c r="AS925" s="430"/>
      <c r="AT925" s="430"/>
      <c r="AU925" s="430"/>
      <c r="AV925" s="430"/>
      <c r="AW925" s="430"/>
      <c r="AX925" s="430"/>
      <c r="AY925" s="430"/>
      <c r="AZ925" s="430"/>
      <c r="BA925" s="430"/>
      <c r="BB925" s="430"/>
      <c r="BC925" s="430"/>
      <c r="BD925" s="430"/>
      <c r="BE925" s="430"/>
    </row>
    <row r="926" spans="1:57" ht="15.75" customHeight="1">
      <c r="A926" s="430"/>
      <c r="B926" s="430"/>
      <c r="C926" s="430"/>
      <c r="D926" s="430"/>
      <c r="E926" s="430"/>
      <c r="F926" s="430"/>
      <c r="G926" s="430"/>
      <c r="H926" s="430"/>
      <c r="I926" s="430"/>
      <c r="J926" s="430"/>
      <c r="K926" s="430"/>
      <c r="L926" s="430"/>
      <c r="M926" s="430"/>
      <c r="N926" s="430"/>
      <c r="O926" s="430"/>
      <c r="P926" s="430"/>
      <c r="Q926" s="430"/>
      <c r="R926" s="430"/>
      <c r="S926" s="430"/>
      <c r="T926" s="430"/>
      <c r="U926" s="430"/>
      <c r="V926" s="430"/>
      <c r="W926" s="430"/>
      <c r="X926" s="430"/>
      <c r="Y926" s="430"/>
      <c r="Z926" s="430"/>
      <c r="AA926" s="430"/>
      <c r="AB926" s="430"/>
      <c r="AC926" s="430"/>
      <c r="AD926" s="430"/>
      <c r="AE926" s="430"/>
      <c r="AF926" s="430"/>
      <c r="AG926" s="430"/>
      <c r="AH926" s="430"/>
      <c r="AI926" s="430"/>
      <c r="AJ926" s="430"/>
      <c r="AK926" s="430"/>
      <c r="AL926" s="430"/>
      <c r="AM926" s="430"/>
      <c r="AN926" s="430"/>
      <c r="AO926" s="430"/>
      <c r="AP926" s="430"/>
      <c r="AQ926" s="430"/>
      <c r="AR926" s="430"/>
      <c r="AS926" s="430"/>
      <c r="AT926" s="430"/>
      <c r="AU926" s="430"/>
      <c r="AV926" s="430"/>
      <c r="AW926" s="430"/>
      <c r="AX926" s="430"/>
      <c r="AY926" s="430"/>
      <c r="AZ926" s="430"/>
      <c r="BA926" s="430"/>
      <c r="BB926" s="430"/>
      <c r="BC926" s="430"/>
      <c r="BD926" s="430"/>
      <c r="BE926" s="430"/>
    </row>
    <row r="927" spans="1:57" ht="15.75" customHeight="1">
      <c r="A927" s="430"/>
      <c r="B927" s="430"/>
      <c r="C927" s="430"/>
      <c r="D927" s="430"/>
      <c r="E927" s="430"/>
      <c r="F927" s="430"/>
      <c r="G927" s="430"/>
      <c r="H927" s="430"/>
      <c r="I927" s="430"/>
      <c r="J927" s="430"/>
      <c r="K927" s="430"/>
      <c r="L927" s="430"/>
      <c r="M927" s="430"/>
      <c r="N927" s="430"/>
      <c r="O927" s="430"/>
      <c r="P927" s="430"/>
      <c r="Q927" s="430"/>
      <c r="R927" s="430"/>
      <c r="S927" s="430"/>
      <c r="T927" s="430"/>
      <c r="U927" s="430"/>
      <c r="V927" s="430"/>
      <c r="W927" s="430"/>
      <c r="X927" s="430"/>
      <c r="Y927" s="430"/>
      <c r="Z927" s="430"/>
      <c r="AA927" s="430"/>
      <c r="AB927" s="430"/>
      <c r="AC927" s="430"/>
      <c r="AD927" s="430"/>
      <c r="AE927" s="430"/>
      <c r="AF927" s="430"/>
      <c r="AG927" s="430"/>
      <c r="AH927" s="430"/>
      <c r="AI927" s="430"/>
      <c r="AJ927" s="430"/>
      <c r="AK927" s="430"/>
      <c r="AL927" s="430"/>
      <c r="AM927" s="430"/>
      <c r="AN927" s="430"/>
      <c r="AO927" s="430"/>
      <c r="AP927" s="430"/>
      <c r="AQ927" s="430"/>
      <c r="AR927" s="430"/>
      <c r="AS927" s="430"/>
      <c r="AT927" s="430"/>
      <c r="AU927" s="430"/>
      <c r="AV927" s="430"/>
      <c r="AW927" s="430"/>
      <c r="AX927" s="430"/>
      <c r="AY927" s="430"/>
      <c r="AZ927" s="430"/>
      <c r="BA927" s="430"/>
      <c r="BB927" s="430"/>
      <c r="BC927" s="430"/>
      <c r="BD927" s="430"/>
      <c r="BE927" s="430"/>
    </row>
    <row r="928" spans="1:57" ht="15.75" customHeight="1">
      <c r="A928" s="430"/>
      <c r="B928" s="430"/>
      <c r="C928" s="430"/>
      <c r="D928" s="430"/>
      <c r="E928" s="430"/>
      <c r="F928" s="430"/>
      <c r="G928" s="430"/>
      <c r="H928" s="430"/>
      <c r="I928" s="430"/>
      <c r="J928" s="430"/>
      <c r="K928" s="430"/>
      <c r="L928" s="430"/>
      <c r="M928" s="430"/>
      <c r="N928" s="430"/>
      <c r="O928" s="430"/>
      <c r="P928" s="430"/>
      <c r="Q928" s="430"/>
      <c r="R928" s="430"/>
      <c r="S928" s="430"/>
      <c r="T928" s="430"/>
      <c r="U928" s="430"/>
      <c r="V928" s="430"/>
      <c r="W928" s="430"/>
      <c r="X928" s="430"/>
      <c r="Y928" s="430"/>
      <c r="Z928" s="430"/>
      <c r="AA928" s="430"/>
      <c r="AB928" s="430"/>
      <c r="AC928" s="430"/>
      <c r="AD928" s="430"/>
      <c r="AE928" s="430"/>
      <c r="AF928" s="430"/>
      <c r="AG928" s="430"/>
      <c r="AH928" s="430"/>
      <c r="AI928" s="430"/>
      <c r="AJ928" s="430"/>
      <c r="AK928" s="430"/>
      <c r="AL928" s="430"/>
      <c r="AM928" s="430"/>
      <c r="AN928" s="430"/>
      <c r="AO928" s="430"/>
      <c r="AP928" s="430"/>
      <c r="AQ928" s="430"/>
      <c r="AR928" s="430"/>
      <c r="AS928" s="430"/>
      <c r="AT928" s="430"/>
      <c r="AU928" s="430"/>
      <c r="AV928" s="430"/>
      <c r="AW928" s="430"/>
      <c r="AX928" s="430"/>
      <c r="AY928" s="430"/>
      <c r="AZ928" s="430"/>
      <c r="BA928" s="430"/>
      <c r="BB928" s="430"/>
      <c r="BC928" s="430"/>
      <c r="BD928" s="430"/>
      <c r="BE928" s="430"/>
    </row>
    <row r="929" spans="1:57" ht="15.75" customHeight="1">
      <c r="A929" s="430"/>
      <c r="B929" s="430"/>
      <c r="C929" s="430"/>
      <c r="D929" s="430"/>
      <c r="E929" s="430"/>
      <c r="F929" s="430"/>
      <c r="G929" s="430"/>
      <c r="H929" s="430"/>
      <c r="I929" s="430"/>
      <c r="J929" s="430"/>
      <c r="K929" s="430"/>
      <c r="L929" s="430"/>
      <c r="M929" s="430"/>
      <c r="N929" s="430"/>
      <c r="O929" s="430"/>
      <c r="P929" s="430"/>
      <c r="Q929" s="430"/>
      <c r="R929" s="430"/>
      <c r="S929" s="430"/>
      <c r="T929" s="430"/>
      <c r="U929" s="430"/>
      <c r="V929" s="430"/>
      <c r="W929" s="430"/>
      <c r="X929" s="430"/>
      <c r="Y929" s="430"/>
      <c r="Z929" s="430"/>
      <c r="AA929" s="430"/>
      <c r="AB929" s="430"/>
      <c r="AC929" s="430"/>
      <c r="AD929" s="430"/>
      <c r="AE929" s="430"/>
      <c r="AF929" s="430"/>
      <c r="AG929" s="430"/>
      <c r="AH929" s="430"/>
      <c r="AI929" s="430"/>
      <c r="AJ929" s="430"/>
      <c r="AK929" s="430"/>
      <c r="AL929" s="430"/>
      <c r="AM929" s="430"/>
      <c r="AN929" s="430"/>
      <c r="AO929" s="430"/>
      <c r="AP929" s="430"/>
      <c r="AQ929" s="430"/>
      <c r="AR929" s="430"/>
      <c r="AS929" s="430"/>
      <c r="AT929" s="430"/>
      <c r="AU929" s="430"/>
      <c r="AV929" s="430"/>
      <c r="AW929" s="430"/>
      <c r="AX929" s="430"/>
      <c r="AY929" s="430"/>
      <c r="AZ929" s="430"/>
      <c r="BA929" s="430"/>
      <c r="BB929" s="430"/>
      <c r="BC929" s="430"/>
      <c r="BD929" s="430"/>
      <c r="BE929" s="430"/>
    </row>
    <row r="930" spans="1:57" ht="15.75" customHeight="1">
      <c r="A930" s="430"/>
      <c r="B930" s="430"/>
      <c r="C930" s="430"/>
      <c r="D930" s="430"/>
      <c r="E930" s="430"/>
      <c r="F930" s="430"/>
      <c r="G930" s="430"/>
      <c r="H930" s="430"/>
      <c r="I930" s="430"/>
      <c r="J930" s="430"/>
      <c r="K930" s="430"/>
      <c r="L930" s="430"/>
      <c r="M930" s="430"/>
      <c r="N930" s="430"/>
      <c r="O930" s="430"/>
      <c r="P930" s="430"/>
      <c r="Q930" s="430"/>
      <c r="R930" s="430"/>
      <c r="S930" s="430"/>
      <c r="T930" s="430"/>
      <c r="U930" s="430"/>
      <c r="V930" s="430"/>
      <c r="W930" s="430"/>
      <c r="X930" s="430"/>
      <c r="Y930" s="430"/>
      <c r="Z930" s="430"/>
      <c r="AA930" s="430"/>
      <c r="AB930" s="430"/>
      <c r="AC930" s="430"/>
      <c r="AD930" s="430"/>
      <c r="AE930" s="430"/>
      <c r="AF930" s="430"/>
      <c r="AG930" s="430"/>
      <c r="AH930" s="430"/>
      <c r="AI930" s="430"/>
      <c r="AJ930" s="430"/>
      <c r="AK930" s="430"/>
      <c r="AL930" s="430"/>
      <c r="AM930" s="430"/>
      <c r="AN930" s="430"/>
      <c r="AO930" s="430"/>
      <c r="AP930" s="430"/>
      <c r="AQ930" s="430"/>
      <c r="AR930" s="430"/>
      <c r="AS930" s="430"/>
      <c r="AT930" s="430"/>
      <c r="AU930" s="430"/>
      <c r="AV930" s="430"/>
      <c r="AW930" s="430"/>
      <c r="AX930" s="430"/>
      <c r="AY930" s="430"/>
      <c r="AZ930" s="430"/>
      <c r="BA930" s="430"/>
      <c r="BB930" s="430"/>
      <c r="BC930" s="430"/>
      <c r="BD930" s="430"/>
      <c r="BE930" s="430"/>
    </row>
    <row r="931" spans="1:57" ht="15.75" customHeight="1">
      <c r="A931" s="430"/>
      <c r="B931" s="430"/>
      <c r="C931" s="430"/>
      <c r="D931" s="430"/>
      <c r="E931" s="430"/>
      <c r="F931" s="430"/>
      <c r="G931" s="430"/>
      <c r="H931" s="430"/>
      <c r="I931" s="430"/>
      <c r="J931" s="430"/>
      <c r="K931" s="430"/>
      <c r="L931" s="430"/>
      <c r="M931" s="430"/>
      <c r="N931" s="430"/>
      <c r="O931" s="430"/>
      <c r="P931" s="430"/>
      <c r="Q931" s="430"/>
      <c r="R931" s="430"/>
      <c r="S931" s="430"/>
      <c r="T931" s="430"/>
      <c r="U931" s="430"/>
      <c r="V931" s="430"/>
      <c r="W931" s="430"/>
      <c r="X931" s="430"/>
      <c r="Y931" s="430"/>
      <c r="Z931" s="430"/>
      <c r="AA931" s="430"/>
      <c r="AB931" s="430"/>
      <c r="AC931" s="430"/>
      <c r="AD931" s="430"/>
      <c r="AE931" s="430"/>
      <c r="AF931" s="430"/>
      <c r="AG931" s="430"/>
      <c r="AH931" s="430"/>
      <c r="AI931" s="430"/>
      <c r="AJ931" s="430"/>
      <c r="AK931" s="430"/>
      <c r="AL931" s="430"/>
      <c r="AM931" s="430"/>
      <c r="AN931" s="430"/>
      <c r="AO931" s="430"/>
      <c r="AP931" s="430"/>
      <c r="AQ931" s="430"/>
      <c r="AR931" s="430"/>
      <c r="AS931" s="430"/>
      <c r="AT931" s="430"/>
      <c r="AU931" s="430"/>
      <c r="AV931" s="430"/>
      <c r="AW931" s="430"/>
      <c r="AX931" s="430"/>
      <c r="AY931" s="430"/>
      <c r="AZ931" s="430"/>
      <c r="BA931" s="430"/>
      <c r="BB931" s="430"/>
      <c r="BC931" s="430"/>
      <c r="BD931" s="430"/>
      <c r="BE931" s="430"/>
    </row>
    <row r="932" spans="1:57" ht="15.75" customHeight="1">
      <c r="A932" s="430"/>
      <c r="B932" s="430"/>
      <c r="C932" s="430"/>
      <c r="D932" s="430"/>
      <c r="E932" s="430"/>
      <c r="F932" s="430"/>
      <c r="G932" s="430"/>
      <c r="H932" s="430"/>
      <c r="I932" s="430"/>
      <c r="J932" s="430"/>
      <c r="K932" s="430"/>
      <c r="L932" s="430"/>
      <c r="M932" s="430"/>
      <c r="N932" s="430"/>
      <c r="O932" s="430"/>
      <c r="P932" s="430"/>
      <c r="Q932" s="430"/>
      <c r="R932" s="430"/>
      <c r="S932" s="430"/>
      <c r="T932" s="430"/>
      <c r="U932" s="430"/>
      <c r="V932" s="430"/>
      <c r="W932" s="430"/>
      <c r="X932" s="430"/>
      <c r="Y932" s="430"/>
      <c r="Z932" s="430"/>
      <c r="AA932" s="430"/>
      <c r="AB932" s="430"/>
      <c r="AC932" s="430"/>
      <c r="AD932" s="430"/>
      <c r="AE932" s="430"/>
      <c r="AF932" s="430"/>
      <c r="AG932" s="430"/>
      <c r="AH932" s="430"/>
      <c r="AI932" s="430"/>
      <c r="AJ932" s="430"/>
      <c r="AK932" s="430"/>
      <c r="AL932" s="430"/>
      <c r="AM932" s="430"/>
      <c r="AN932" s="430"/>
      <c r="AO932" s="430"/>
      <c r="AP932" s="430"/>
      <c r="AQ932" s="430"/>
      <c r="AR932" s="430"/>
      <c r="AS932" s="430"/>
      <c r="AT932" s="430"/>
      <c r="AU932" s="430"/>
      <c r="AV932" s="430"/>
      <c r="AW932" s="430"/>
      <c r="AX932" s="430"/>
      <c r="AY932" s="430"/>
      <c r="AZ932" s="430"/>
      <c r="BA932" s="430"/>
      <c r="BB932" s="430"/>
      <c r="BC932" s="430"/>
      <c r="BD932" s="430"/>
      <c r="BE932" s="430"/>
    </row>
    <row r="933" spans="1:57" ht="15.75" customHeight="1">
      <c r="A933" s="430"/>
      <c r="B933" s="430"/>
      <c r="C933" s="430"/>
      <c r="D933" s="430"/>
      <c r="E933" s="430"/>
      <c r="F933" s="430"/>
      <c r="G933" s="430"/>
      <c r="H933" s="430"/>
      <c r="I933" s="430"/>
      <c r="J933" s="430"/>
      <c r="K933" s="430"/>
      <c r="L933" s="430"/>
      <c r="M933" s="430"/>
      <c r="N933" s="430"/>
      <c r="O933" s="430"/>
      <c r="P933" s="430"/>
      <c r="Q933" s="430"/>
      <c r="R933" s="430"/>
      <c r="S933" s="430"/>
      <c r="T933" s="430"/>
      <c r="U933" s="430"/>
      <c r="V933" s="430"/>
      <c r="W933" s="430"/>
      <c r="X933" s="430"/>
      <c r="Y933" s="430"/>
      <c r="Z933" s="430"/>
      <c r="AA933" s="430"/>
      <c r="AB933" s="430"/>
      <c r="AC933" s="430"/>
      <c r="AD933" s="430"/>
      <c r="AE933" s="430"/>
      <c r="AF933" s="430"/>
      <c r="AG933" s="430"/>
      <c r="AH933" s="430"/>
      <c r="AI933" s="430"/>
      <c r="AJ933" s="430"/>
      <c r="AK933" s="430"/>
      <c r="AL933" s="430"/>
      <c r="AM933" s="430"/>
      <c r="AN933" s="430"/>
      <c r="AO933" s="430"/>
      <c r="AP933" s="430"/>
      <c r="AQ933" s="430"/>
      <c r="AR933" s="430"/>
      <c r="AS933" s="430"/>
      <c r="AT933" s="430"/>
      <c r="AU933" s="430"/>
      <c r="AV933" s="430"/>
      <c r="AW933" s="430"/>
      <c r="AX933" s="430"/>
      <c r="AY933" s="430"/>
      <c r="AZ933" s="430"/>
      <c r="BA933" s="430"/>
      <c r="BB933" s="430"/>
      <c r="BC933" s="430"/>
      <c r="BD933" s="430"/>
      <c r="BE933" s="430"/>
    </row>
    <row r="934" spans="1:57" ht="15.75" customHeight="1">
      <c r="A934" s="430"/>
      <c r="B934" s="430"/>
      <c r="C934" s="430"/>
      <c r="D934" s="430"/>
      <c r="E934" s="430"/>
      <c r="F934" s="430"/>
      <c r="G934" s="430"/>
      <c r="H934" s="430"/>
      <c r="I934" s="430"/>
      <c r="J934" s="430"/>
      <c r="K934" s="430"/>
      <c r="L934" s="430"/>
      <c r="M934" s="430"/>
      <c r="N934" s="430"/>
      <c r="O934" s="430"/>
      <c r="P934" s="430"/>
      <c r="Q934" s="430"/>
      <c r="R934" s="430"/>
      <c r="S934" s="430"/>
      <c r="T934" s="430"/>
      <c r="U934" s="430"/>
      <c r="V934" s="430"/>
      <c r="W934" s="430"/>
      <c r="X934" s="430"/>
      <c r="Y934" s="430"/>
      <c r="Z934" s="430"/>
      <c r="AA934" s="430"/>
      <c r="AB934" s="430"/>
      <c r="AC934" s="430"/>
      <c r="AD934" s="430"/>
      <c r="AE934" s="430"/>
      <c r="AF934" s="430"/>
      <c r="AG934" s="430"/>
      <c r="AH934" s="430"/>
      <c r="AI934" s="430"/>
      <c r="AJ934" s="430"/>
      <c r="AK934" s="430"/>
      <c r="AL934" s="430"/>
      <c r="AM934" s="430"/>
      <c r="AN934" s="430"/>
      <c r="AO934" s="430"/>
      <c r="AP934" s="430"/>
      <c r="AQ934" s="430"/>
      <c r="AR934" s="430"/>
      <c r="AS934" s="430"/>
      <c r="AT934" s="430"/>
      <c r="AU934" s="430"/>
      <c r="AV934" s="430"/>
      <c r="AW934" s="430"/>
      <c r="AX934" s="430"/>
      <c r="AY934" s="430"/>
      <c r="AZ934" s="430"/>
      <c r="BA934" s="430"/>
      <c r="BB934" s="430"/>
      <c r="BC934" s="430"/>
      <c r="BD934" s="430"/>
      <c r="BE934" s="430"/>
    </row>
    <row r="935" spans="1:57" ht="15.75" customHeight="1">
      <c r="A935" s="430"/>
      <c r="B935" s="430"/>
      <c r="C935" s="430"/>
      <c r="D935" s="430"/>
      <c r="E935" s="430"/>
      <c r="F935" s="430"/>
      <c r="G935" s="430"/>
      <c r="H935" s="430"/>
      <c r="I935" s="430"/>
      <c r="J935" s="430"/>
      <c r="K935" s="430"/>
      <c r="L935" s="430"/>
      <c r="M935" s="430"/>
      <c r="N935" s="430"/>
      <c r="O935" s="430"/>
      <c r="P935" s="430"/>
      <c r="Q935" s="430"/>
      <c r="R935" s="430"/>
      <c r="S935" s="430"/>
      <c r="T935" s="430"/>
      <c r="U935" s="430"/>
      <c r="V935" s="430"/>
      <c r="W935" s="430"/>
      <c r="X935" s="430"/>
      <c r="Y935" s="430"/>
      <c r="Z935" s="430"/>
      <c r="AA935" s="430"/>
      <c r="AB935" s="430"/>
      <c r="AC935" s="430"/>
      <c r="AD935" s="430"/>
      <c r="AE935" s="430"/>
      <c r="AF935" s="430"/>
      <c r="AG935" s="430"/>
      <c r="AH935" s="430"/>
      <c r="AI935" s="430"/>
      <c r="AJ935" s="430"/>
      <c r="AK935" s="430"/>
      <c r="AL935" s="430"/>
      <c r="AM935" s="430"/>
      <c r="AN935" s="430"/>
      <c r="AO935" s="430"/>
      <c r="AP935" s="430"/>
      <c r="AQ935" s="430"/>
      <c r="AR935" s="430"/>
      <c r="AS935" s="430"/>
      <c r="AT935" s="430"/>
      <c r="AU935" s="430"/>
      <c r="AV935" s="430"/>
      <c r="AW935" s="430"/>
      <c r="AX935" s="430"/>
      <c r="AY935" s="430"/>
      <c r="AZ935" s="430"/>
      <c r="BA935" s="430"/>
      <c r="BB935" s="430"/>
      <c r="BC935" s="430"/>
      <c r="BD935" s="430"/>
      <c r="BE935" s="430"/>
    </row>
    <row r="936" spans="1:57" ht="15.75" customHeight="1">
      <c r="A936" s="430"/>
      <c r="B936" s="430"/>
      <c r="C936" s="430"/>
      <c r="D936" s="430"/>
      <c r="E936" s="430"/>
      <c r="F936" s="430"/>
      <c r="G936" s="430"/>
      <c r="H936" s="430"/>
      <c r="I936" s="430"/>
      <c r="J936" s="430"/>
      <c r="K936" s="430"/>
      <c r="L936" s="430"/>
      <c r="M936" s="430"/>
      <c r="N936" s="430"/>
      <c r="O936" s="430"/>
      <c r="P936" s="430"/>
      <c r="Q936" s="430"/>
      <c r="R936" s="430"/>
      <c r="S936" s="430"/>
      <c r="T936" s="430"/>
      <c r="U936" s="430"/>
      <c r="V936" s="430"/>
      <c r="W936" s="430"/>
      <c r="X936" s="430"/>
      <c r="Y936" s="430"/>
      <c r="Z936" s="430"/>
      <c r="AA936" s="430"/>
      <c r="AB936" s="430"/>
      <c r="AC936" s="430"/>
      <c r="AD936" s="430"/>
      <c r="AE936" s="430"/>
      <c r="AF936" s="430"/>
      <c r="AG936" s="430"/>
      <c r="AH936" s="430"/>
      <c r="AI936" s="430"/>
      <c r="AJ936" s="430"/>
      <c r="AK936" s="430"/>
      <c r="AL936" s="430"/>
      <c r="AM936" s="430"/>
      <c r="AN936" s="430"/>
      <c r="AO936" s="430"/>
      <c r="AP936" s="430"/>
      <c r="AQ936" s="430"/>
      <c r="AR936" s="430"/>
      <c r="AS936" s="430"/>
      <c r="AT936" s="430"/>
      <c r="AU936" s="430"/>
      <c r="AV936" s="430"/>
      <c r="AW936" s="430"/>
      <c r="AX936" s="430"/>
      <c r="AY936" s="430"/>
      <c r="AZ936" s="430"/>
      <c r="BA936" s="430"/>
      <c r="BB936" s="430"/>
      <c r="BC936" s="430"/>
      <c r="BD936" s="430"/>
      <c r="BE936" s="430"/>
    </row>
    <row r="937" spans="1:57" ht="15.75" customHeight="1">
      <c r="A937" s="430"/>
      <c r="B937" s="430"/>
      <c r="C937" s="430"/>
      <c r="D937" s="430"/>
      <c r="E937" s="430"/>
      <c r="F937" s="430"/>
      <c r="G937" s="430"/>
      <c r="H937" s="430"/>
      <c r="I937" s="430"/>
      <c r="J937" s="430"/>
      <c r="K937" s="430"/>
      <c r="L937" s="430"/>
      <c r="M937" s="430"/>
      <c r="N937" s="430"/>
      <c r="O937" s="430"/>
      <c r="P937" s="430"/>
      <c r="Q937" s="430"/>
      <c r="R937" s="430"/>
      <c r="S937" s="430"/>
      <c r="T937" s="430"/>
      <c r="U937" s="430"/>
      <c r="V937" s="430"/>
      <c r="W937" s="430"/>
      <c r="X937" s="430"/>
      <c r="Y937" s="430"/>
      <c r="Z937" s="430"/>
      <c r="AA937" s="430"/>
      <c r="AB937" s="430"/>
      <c r="AC937" s="430"/>
      <c r="AD937" s="430"/>
      <c r="AE937" s="430"/>
      <c r="AF937" s="430"/>
      <c r="AG937" s="430"/>
      <c r="AH937" s="430"/>
      <c r="AI937" s="430"/>
      <c r="AJ937" s="430"/>
      <c r="AK937" s="430"/>
      <c r="AL937" s="430"/>
      <c r="AM937" s="430"/>
      <c r="AN937" s="430"/>
      <c r="AO937" s="430"/>
      <c r="AP937" s="430"/>
      <c r="AQ937" s="430"/>
      <c r="AR937" s="430"/>
      <c r="AS937" s="430"/>
      <c r="AT937" s="430"/>
      <c r="AU937" s="430"/>
      <c r="AV937" s="430"/>
      <c r="AW937" s="430"/>
      <c r="AX937" s="430"/>
      <c r="AY937" s="430"/>
      <c r="AZ937" s="430"/>
      <c r="BA937" s="430"/>
      <c r="BB937" s="430"/>
      <c r="BC937" s="430"/>
      <c r="BD937" s="430"/>
      <c r="BE937" s="430"/>
    </row>
    <row r="938" spans="1:57" ht="15.75" customHeight="1">
      <c r="A938" s="430"/>
      <c r="B938" s="430"/>
      <c r="C938" s="430"/>
      <c r="D938" s="430"/>
      <c r="E938" s="430"/>
      <c r="F938" s="430"/>
      <c r="G938" s="430"/>
      <c r="H938" s="430"/>
      <c r="I938" s="430"/>
      <c r="J938" s="430"/>
      <c r="K938" s="430"/>
      <c r="L938" s="430"/>
      <c r="M938" s="430"/>
      <c r="N938" s="430"/>
      <c r="O938" s="430"/>
      <c r="P938" s="430"/>
      <c r="Q938" s="430"/>
      <c r="R938" s="430"/>
      <c r="S938" s="430"/>
      <c r="T938" s="430"/>
      <c r="U938" s="430"/>
      <c r="V938" s="430"/>
      <c r="W938" s="430"/>
      <c r="X938" s="430"/>
      <c r="Y938" s="430"/>
      <c r="Z938" s="430"/>
      <c r="AA938" s="430"/>
      <c r="AB938" s="430"/>
      <c r="AC938" s="430"/>
      <c r="AD938" s="430"/>
      <c r="AE938" s="430"/>
      <c r="AF938" s="430"/>
      <c r="AG938" s="430"/>
      <c r="AH938" s="430"/>
      <c r="AI938" s="430"/>
      <c r="AJ938" s="430"/>
      <c r="AK938" s="430"/>
      <c r="AL938" s="430"/>
      <c r="AM938" s="430"/>
      <c r="AN938" s="430"/>
      <c r="AO938" s="430"/>
      <c r="AP938" s="430"/>
      <c r="AQ938" s="430"/>
      <c r="AR938" s="430"/>
      <c r="AS938" s="430"/>
      <c r="AT938" s="430"/>
      <c r="AU938" s="430"/>
      <c r="AV938" s="430"/>
      <c r="AW938" s="430"/>
      <c r="AX938" s="430"/>
      <c r="AY938" s="430"/>
      <c r="AZ938" s="430"/>
      <c r="BA938" s="430"/>
      <c r="BB938" s="430"/>
      <c r="BC938" s="430"/>
      <c r="BD938" s="430"/>
      <c r="BE938" s="430"/>
    </row>
    <row r="939" spans="1:57" ht="15.75" customHeight="1">
      <c r="A939" s="430"/>
      <c r="B939" s="430"/>
      <c r="C939" s="430"/>
      <c r="D939" s="430"/>
      <c r="E939" s="430"/>
      <c r="F939" s="430"/>
      <c r="G939" s="430"/>
      <c r="H939" s="430"/>
      <c r="I939" s="430"/>
      <c r="J939" s="430"/>
      <c r="K939" s="430"/>
      <c r="L939" s="430"/>
      <c r="M939" s="430"/>
      <c r="N939" s="430"/>
      <c r="O939" s="430"/>
      <c r="P939" s="430"/>
      <c r="Q939" s="430"/>
      <c r="R939" s="430"/>
      <c r="S939" s="430"/>
      <c r="T939" s="430"/>
      <c r="U939" s="430"/>
      <c r="V939" s="430"/>
      <c r="W939" s="430"/>
      <c r="X939" s="430"/>
      <c r="Y939" s="430"/>
      <c r="Z939" s="430"/>
      <c r="AA939" s="430"/>
      <c r="AB939" s="430"/>
      <c r="AC939" s="430"/>
      <c r="AD939" s="430"/>
      <c r="AE939" s="430"/>
      <c r="AF939" s="430"/>
      <c r="AG939" s="430"/>
      <c r="AH939" s="430"/>
      <c r="AI939" s="430"/>
      <c r="AJ939" s="430"/>
      <c r="AK939" s="430"/>
      <c r="AL939" s="430"/>
      <c r="AM939" s="430"/>
      <c r="AN939" s="430"/>
      <c r="AO939" s="430"/>
      <c r="AP939" s="430"/>
      <c r="AQ939" s="430"/>
      <c r="AR939" s="430"/>
      <c r="AS939" s="430"/>
      <c r="AT939" s="430"/>
      <c r="AU939" s="430"/>
      <c r="AV939" s="430"/>
      <c r="AW939" s="430"/>
      <c r="AX939" s="430"/>
      <c r="AY939" s="430"/>
      <c r="AZ939" s="430"/>
      <c r="BA939" s="430"/>
      <c r="BB939" s="430"/>
      <c r="BC939" s="430"/>
      <c r="BD939" s="430"/>
      <c r="BE939" s="430"/>
    </row>
    <row r="940" spans="1:57" ht="15.75" customHeight="1">
      <c r="A940" s="430"/>
      <c r="B940" s="430"/>
      <c r="C940" s="430"/>
      <c r="D940" s="430"/>
      <c r="E940" s="430"/>
      <c r="F940" s="430"/>
      <c r="G940" s="430"/>
      <c r="H940" s="430"/>
      <c r="I940" s="430"/>
      <c r="J940" s="430"/>
      <c r="K940" s="430"/>
      <c r="L940" s="430"/>
      <c r="M940" s="430"/>
      <c r="N940" s="430"/>
      <c r="O940" s="430"/>
      <c r="P940" s="430"/>
      <c r="Q940" s="430"/>
      <c r="R940" s="430"/>
      <c r="S940" s="430"/>
      <c r="T940" s="430"/>
      <c r="U940" s="430"/>
      <c r="V940" s="430"/>
      <c r="W940" s="430"/>
      <c r="X940" s="430"/>
      <c r="Y940" s="430"/>
      <c r="Z940" s="430"/>
      <c r="AA940" s="430"/>
      <c r="AB940" s="430"/>
      <c r="AC940" s="430"/>
      <c r="AD940" s="430"/>
      <c r="AE940" s="430"/>
      <c r="AF940" s="430"/>
      <c r="AG940" s="430"/>
      <c r="AH940" s="430"/>
      <c r="AI940" s="430"/>
      <c r="AJ940" s="430"/>
      <c r="AK940" s="430"/>
      <c r="AL940" s="430"/>
      <c r="AM940" s="430"/>
      <c r="AN940" s="430"/>
      <c r="AO940" s="430"/>
      <c r="AP940" s="430"/>
      <c r="AQ940" s="430"/>
      <c r="AR940" s="430"/>
      <c r="AS940" s="430"/>
      <c r="AT940" s="430"/>
      <c r="AU940" s="430"/>
      <c r="AV940" s="430"/>
      <c r="AW940" s="430"/>
      <c r="AX940" s="430"/>
      <c r="AY940" s="430"/>
      <c r="AZ940" s="430"/>
      <c r="BA940" s="430"/>
      <c r="BB940" s="430"/>
      <c r="BC940" s="430"/>
      <c r="BD940" s="430"/>
      <c r="BE940" s="430"/>
    </row>
    <row r="941" spans="1:57" ht="15.75" customHeight="1">
      <c r="A941" s="430"/>
      <c r="B941" s="430"/>
      <c r="C941" s="430"/>
      <c r="D941" s="430"/>
      <c r="E941" s="430"/>
      <c r="F941" s="430"/>
      <c r="G941" s="430"/>
      <c r="H941" s="430"/>
      <c r="I941" s="430"/>
      <c r="J941" s="430"/>
      <c r="K941" s="430"/>
      <c r="L941" s="430"/>
      <c r="M941" s="430"/>
      <c r="N941" s="430"/>
      <c r="O941" s="430"/>
      <c r="P941" s="430"/>
      <c r="Q941" s="430"/>
      <c r="R941" s="430"/>
      <c r="S941" s="430"/>
      <c r="T941" s="430"/>
      <c r="U941" s="430"/>
      <c r="V941" s="430"/>
      <c r="W941" s="430"/>
      <c r="X941" s="430"/>
      <c r="Y941" s="430"/>
      <c r="Z941" s="430"/>
      <c r="AA941" s="430"/>
      <c r="AB941" s="430"/>
      <c r="AC941" s="430"/>
      <c r="AD941" s="430"/>
      <c r="AE941" s="430"/>
      <c r="AF941" s="430"/>
      <c r="AG941" s="430"/>
      <c r="AH941" s="430"/>
      <c r="AI941" s="430"/>
      <c r="AJ941" s="430"/>
      <c r="AK941" s="430"/>
      <c r="AL941" s="430"/>
      <c r="AM941" s="430"/>
      <c r="AN941" s="430"/>
      <c r="AO941" s="430"/>
      <c r="AP941" s="430"/>
      <c r="AQ941" s="430"/>
      <c r="AR941" s="430"/>
      <c r="AS941" s="430"/>
      <c r="AT941" s="430"/>
      <c r="AU941" s="430"/>
      <c r="AV941" s="430"/>
      <c r="AW941" s="430"/>
      <c r="AX941" s="430"/>
      <c r="AY941" s="430"/>
      <c r="AZ941" s="430"/>
      <c r="BA941" s="430"/>
      <c r="BB941" s="430"/>
      <c r="BC941" s="430"/>
      <c r="BD941" s="430"/>
      <c r="BE941" s="430"/>
    </row>
    <row r="942" spans="1:57" ht="15.75" customHeight="1">
      <c r="A942" s="430"/>
      <c r="B942" s="430"/>
      <c r="C942" s="430"/>
      <c r="D942" s="430"/>
      <c r="E942" s="430"/>
      <c r="F942" s="430"/>
      <c r="G942" s="430"/>
      <c r="H942" s="430"/>
      <c r="I942" s="430"/>
      <c r="J942" s="430"/>
      <c r="K942" s="430"/>
      <c r="L942" s="430"/>
      <c r="M942" s="430"/>
      <c r="N942" s="430"/>
      <c r="O942" s="430"/>
      <c r="P942" s="430"/>
      <c r="Q942" s="430"/>
      <c r="R942" s="430"/>
      <c r="S942" s="430"/>
      <c r="T942" s="430"/>
      <c r="U942" s="430"/>
      <c r="V942" s="430"/>
      <c r="W942" s="430"/>
      <c r="X942" s="430"/>
      <c r="Y942" s="430"/>
      <c r="Z942" s="430"/>
      <c r="AA942" s="430"/>
      <c r="AB942" s="430"/>
      <c r="AC942" s="430"/>
      <c r="AD942" s="430"/>
      <c r="AE942" s="430"/>
      <c r="AF942" s="430"/>
      <c r="AG942" s="430"/>
      <c r="AH942" s="430"/>
      <c r="AI942" s="430"/>
      <c r="AJ942" s="430"/>
      <c r="AK942" s="430"/>
      <c r="AL942" s="430"/>
      <c r="AM942" s="430"/>
      <c r="AN942" s="430"/>
      <c r="AO942" s="430"/>
      <c r="AP942" s="430"/>
      <c r="AQ942" s="430"/>
      <c r="AR942" s="430"/>
      <c r="AS942" s="430"/>
      <c r="AT942" s="430"/>
      <c r="AU942" s="430"/>
      <c r="AV942" s="430"/>
      <c r="AW942" s="430"/>
      <c r="AX942" s="430"/>
      <c r="AY942" s="430"/>
      <c r="AZ942" s="430"/>
      <c r="BA942" s="430"/>
      <c r="BB942" s="430"/>
      <c r="BC942" s="430"/>
      <c r="BD942" s="430"/>
      <c r="BE942" s="430"/>
    </row>
    <row r="943" spans="1:57" ht="15.75" customHeight="1">
      <c r="A943" s="430"/>
      <c r="B943" s="430"/>
      <c r="C943" s="430"/>
      <c r="D943" s="430"/>
      <c r="E943" s="430"/>
      <c r="F943" s="430"/>
      <c r="G943" s="430"/>
      <c r="H943" s="430"/>
      <c r="I943" s="430"/>
      <c r="J943" s="430"/>
      <c r="K943" s="430"/>
      <c r="L943" s="430"/>
      <c r="M943" s="430"/>
      <c r="N943" s="430"/>
      <c r="O943" s="430"/>
      <c r="P943" s="430"/>
      <c r="Q943" s="430"/>
      <c r="R943" s="430"/>
      <c r="S943" s="430"/>
      <c r="T943" s="430"/>
      <c r="U943" s="430"/>
      <c r="V943" s="430"/>
      <c r="W943" s="430"/>
      <c r="X943" s="430"/>
      <c r="Y943" s="430"/>
      <c r="Z943" s="430"/>
      <c r="AA943" s="430"/>
      <c r="AB943" s="430"/>
      <c r="AC943" s="430"/>
      <c r="AD943" s="430"/>
      <c r="AE943" s="430"/>
      <c r="AF943" s="430"/>
      <c r="AG943" s="430"/>
      <c r="AH943" s="430"/>
      <c r="AI943" s="430"/>
      <c r="AJ943" s="430"/>
      <c r="AK943" s="430"/>
      <c r="AL943" s="430"/>
      <c r="AM943" s="430"/>
      <c r="AN943" s="430"/>
      <c r="AO943" s="430"/>
      <c r="AP943" s="430"/>
      <c r="AQ943" s="430"/>
      <c r="AR943" s="430"/>
      <c r="AS943" s="430"/>
      <c r="AT943" s="430"/>
      <c r="AU943" s="430"/>
      <c r="AV943" s="430"/>
      <c r="AW943" s="430"/>
      <c r="AX943" s="430"/>
      <c r="AY943" s="430"/>
      <c r="AZ943" s="430"/>
      <c r="BA943" s="430"/>
      <c r="BB943" s="430"/>
      <c r="BC943" s="430"/>
      <c r="BD943" s="430"/>
      <c r="BE943" s="430"/>
    </row>
    <row r="944" spans="1:57" ht="15.75" customHeight="1">
      <c r="A944" s="430"/>
      <c r="B944" s="430"/>
      <c r="C944" s="430"/>
      <c r="D944" s="430"/>
      <c r="E944" s="430"/>
      <c r="F944" s="430"/>
      <c r="G944" s="430"/>
      <c r="H944" s="430"/>
      <c r="I944" s="430"/>
      <c r="J944" s="430"/>
      <c r="K944" s="430"/>
      <c r="L944" s="430"/>
      <c r="M944" s="430"/>
      <c r="N944" s="430"/>
      <c r="O944" s="430"/>
      <c r="P944" s="430"/>
      <c r="Q944" s="430"/>
      <c r="R944" s="430"/>
      <c r="S944" s="430"/>
      <c r="T944" s="430"/>
      <c r="U944" s="430"/>
      <c r="V944" s="430"/>
      <c r="W944" s="430"/>
      <c r="X944" s="430"/>
      <c r="Y944" s="430"/>
      <c r="Z944" s="430"/>
      <c r="AA944" s="430"/>
      <c r="AB944" s="430"/>
      <c r="AC944" s="430"/>
      <c r="AD944" s="430"/>
      <c r="AE944" s="430"/>
      <c r="AF944" s="430"/>
      <c r="AG944" s="430"/>
      <c r="AH944" s="430"/>
      <c r="AI944" s="430"/>
      <c r="AJ944" s="430"/>
      <c r="AK944" s="430"/>
      <c r="AL944" s="430"/>
      <c r="AM944" s="430"/>
      <c r="AN944" s="430"/>
      <c r="AO944" s="430"/>
      <c r="AP944" s="430"/>
      <c r="AQ944" s="430"/>
      <c r="AR944" s="430"/>
      <c r="AS944" s="430"/>
      <c r="AT944" s="430"/>
      <c r="AU944" s="430"/>
      <c r="AV944" s="430"/>
      <c r="AW944" s="430"/>
      <c r="AX944" s="430"/>
      <c r="AY944" s="430"/>
      <c r="AZ944" s="430"/>
      <c r="BA944" s="430"/>
      <c r="BB944" s="430"/>
      <c r="BC944" s="430"/>
      <c r="BD944" s="430"/>
      <c r="BE944" s="430"/>
    </row>
    <row r="945" spans="1:57" ht="15.75" customHeight="1">
      <c r="A945" s="430"/>
      <c r="B945" s="430"/>
      <c r="C945" s="430"/>
      <c r="D945" s="430"/>
      <c r="E945" s="430"/>
      <c r="F945" s="430"/>
      <c r="G945" s="430"/>
      <c r="H945" s="430"/>
      <c r="I945" s="430"/>
      <c r="J945" s="430"/>
      <c r="K945" s="430"/>
      <c r="L945" s="430"/>
      <c r="M945" s="430"/>
      <c r="N945" s="430"/>
      <c r="O945" s="430"/>
      <c r="P945" s="430"/>
      <c r="Q945" s="430"/>
      <c r="R945" s="430"/>
      <c r="S945" s="430"/>
      <c r="T945" s="430"/>
      <c r="U945" s="430"/>
      <c r="V945" s="430"/>
      <c r="W945" s="430"/>
      <c r="X945" s="430"/>
      <c r="Y945" s="430"/>
      <c r="Z945" s="430"/>
      <c r="AA945" s="430"/>
      <c r="AB945" s="430"/>
      <c r="AC945" s="430"/>
      <c r="AD945" s="430"/>
      <c r="AE945" s="430"/>
      <c r="AF945" s="430"/>
      <c r="AG945" s="430"/>
      <c r="AH945" s="430"/>
      <c r="AI945" s="430"/>
      <c r="AJ945" s="430"/>
      <c r="AK945" s="430"/>
      <c r="AL945" s="430"/>
      <c r="AM945" s="430"/>
      <c r="AN945" s="430"/>
      <c r="AO945" s="430"/>
      <c r="AP945" s="430"/>
      <c r="AQ945" s="430"/>
      <c r="AR945" s="430"/>
      <c r="AS945" s="430"/>
      <c r="AT945" s="430"/>
      <c r="AU945" s="430"/>
      <c r="AV945" s="430"/>
      <c r="AW945" s="430"/>
      <c r="AX945" s="430"/>
      <c r="AY945" s="430"/>
      <c r="AZ945" s="430"/>
      <c r="BA945" s="430"/>
      <c r="BB945" s="430"/>
      <c r="BC945" s="430"/>
      <c r="BD945" s="430"/>
      <c r="BE945" s="430"/>
    </row>
    <row r="946" spans="1:57" ht="15.75" customHeight="1">
      <c r="A946" s="430"/>
      <c r="B946" s="430"/>
      <c r="C946" s="430"/>
      <c r="D946" s="430"/>
      <c r="E946" s="430"/>
      <c r="F946" s="430"/>
      <c r="G946" s="430"/>
      <c r="H946" s="430"/>
      <c r="I946" s="430"/>
      <c r="J946" s="430"/>
      <c r="K946" s="430"/>
      <c r="L946" s="430"/>
      <c r="M946" s="430"/>
      <c r="N946" s="430"/>
      <c r="O946" s="430"/>
      <c r="P946" s="430"/>
      <c r="Q946" s="430"/>
      <c r="R946" s="430"/>
      <c r="S946" s="430"/>
      <c r="T946" s="430"/>
      <c r="U946" s="430"/>
      <c r="V946" s="430"/>
      <c r="W946" s="430"/>
      <c r="X946" s="430"/>
      <c r="Y946" s="430"/>
      <c r="Z946" s="430"/>
      <c r="AA946" s="430"/>
      <c r="AB946" s="430"/>
      <c r="AC946" s="430"/>
      <c r="AD946" s="430"/>
      <c r="AE946" s="430"/>
      <c r="AF946" s="430"/>
      <c r="AG946" s="430"/>
      <c r="AH946" s="430"/>
      <c r="AI946" s="430"/>
      <c r="AJ946" s="430"/>
      <c r="AK946" s="430"/>
      <c r="AL946" s="430"/>
      <c r="AM946" s="430"/>
      <c r="AN946" s="430"/>
      <c r="AO946" s="430"/>
      <c r="AP946" s="430"/>
      <c r="AQ946" s="430"/>
      <c r="AR946" s="430"/>
      <c r="AS946" s="430"/>
      <c r="AT946" s="430"/>
      <c r="AU946" s="430"/>
      <c r="AV946" s="430"/>
      <c r="AW946" s="430"/>
      <c r="AX946" s="430"/>
      <c r="AY946" s="430"/>
      <c r="AZ946" s="430"/>
      <c r="BA946" s="430"/>
      <c r="BB946" s="430"/>
      <c r="BC946" s="430"/>
      <c r="BD946" s="430"/>
      <c r="BE946" s="430"/>
    </row>
    <row r="947" spans="1:57" ht="15.75" customHeight="1">
      <c r="A947" s="430"/>
      <c r="B947" s="430"/>
      <c r="C947" s="430"/>
      <c r="D947" s="430"/>
      <c r="E947" s="430"/>
      <c r="F947" s="430"/>
      <c r="G947" s="430"/>
      <c r="H947" s="430"/>
      <c r="I947" s="430"/>
      <c r="J947" s="430"/>
      <c r="K947" s="430"/>
      <c r="L947" s="430"/>
      <c r="M947" s="430"/>
      <c r="N947" s="430"/>
      <c r="O947" s="430"/>
      <c r="P947" s="430"/>
      <c r="Q947" s="430"/>
      <c r="R947" s="430"/>
      <c r="S947" s="430"/>
      <c r="T947" s="430"/>
      <c r="U947" s="430"/>
      <c r="V947" s="430"/>
      <c r="W947" s="430"/>
      <c r="X947" s="430"/>
      <c r="Y947" s="430"/>
      <c r="Z947" s="430"/>
      <c r="AA947" s="430"/>
      <c r="AB947" s="430"/>
      <c r="AC947" s="430"/>
      <c r="AD947" s="430"/>
      <c r="AE947" s="430"/>
      <c r="AF947" s="430"/>
      <c r="AG947" s="430"/>
      <c r="AH947" s="430"/>
      <c r="AI947" s="430"/>
      <c r="AJ947" s="430"/>
      <c r="AK947" s="430"/>
      <c r="AL947" s="430"/>
      <c r="AM947" s="430"/>
      <c r="AN947" s="430"/>
      <c r="AO947" s="430"/>
      <c r="AP947" s="430"/>
      <c r="AQ947" s="430"/>
      <c r="AR947" s="430"/>
      <c r="AS947" s="430"/>
      <c r="AT947" s="430"/>
      <c r="AU947" s="430"/>
      <c r="AV947" s="430"/>
      <c r="AW947" s="430"/>
      <c r="AX947" s="430"/>
      <c r="AY947" s="430"/>
      <c r="AZ947" s="430"/>
      <c r="BA947" s="430"/>
      <c r="BB947" s="430"/>
      <c r="BC947" s="430"/>
      <c r="BD947" s="430"/>
      <c r="BE947" s="430"/>
    </row>
    <row r="948" spans="1:57" ht="15.75" customHeight="1">
      <c r="A948" s="430"/>
      <c r="B948" s="430"/>
      <c r="C948" s="430"/>
      <c r="D948" s="430"/>
      <c r="E948" s="430"/>
      <c r="F948" s="430"/>
      <c r="G948" s="430"/>
      <c r="H948" s="430"/>
      <c r="I948" s="430"/>
      <c r="J948" s="430"/>
      <c r="K948" s="430"/>
      <c r="L948" s="430"/>
      <c r="M948" s="430"/>
      <c r="N948" s="430"/>
      <c r="O948" s="430"/>
      <c r="P948" s="430"/>
      <c r="Q948" s="430"/>
      <c r="R948" s="430"/>
      <c r="S948" s="430"/>
      <c r="T948" s="430"/>
      <c r="U948" s="430"/>
      <c r="V948" s="430"/>
      <c r="W948" s="430"/>
      <c r="X948" s="430"/>
      <c r="Y948" s="430"/>
      <c r="Z948" s="430"/>
      <c r="AA948" s="430"/>
      <c r="AB948" s="430"/>
      <c r="AC948" s="430"/>
      <c r="AD948" s="430"/>
      <c r="AE948" s="430"/>
      <c r="AF948" s="430"/>
      <c r="AG948" s="430"/>
      <c r="AH948" s="430"/>
      <c r="AI948" s="430"/>
      <c r="AJ948" s="430"/>
      <c r="AK948" s="430"/>
      <c r="AL948" s="430"/>
      <c r="AM948" s="430"/>
      <c r="AN948" s="430"/>
      <c r="AO948" s="430"/>
      <c r="AP948" s="430"/>
      <c r="AQ948" s="430"/>
      <c r="AR948" s="430"/>
      <c r="AS948" s="430"/>
      <c r="AT948" s="430"/>
      <c r="AU948" s="430"/>
      <c r="AV948" s="430"/>
      <c r="AW948" s="430"/>
      <c r="AX948" s="430"/>
      <c r="AY948" s="430"/>
      <c r="AZ948" s="430"/>
      <c r="BA948" s="430"/>
      <c r="BB948" s="430"/>
      <c r="BC948" s="430"/>
      <c r="BD948" s="430"/>
      <c r="BE948" s="430"/>
    </row>
    <row r="949" spans="1:57" ht="15.75" customHeight="1">
      <c r="A949" s="430"/>
      <c r="B949" s="430"/>
      <c r="C949" s="430"/>
      <c r="D949" s="430"/>
      <c r="E949" s="430"/>
      <c r="F949" s="430"/>
      <c r="G949" s="430"/>
      <c r="H949" s="430"/>
      <c r="I949" s="430"/>
      <c r="J949" s="430"/>
      <c r="K949" s="430"/>
      <c r="L949" s="430"/>
      <c r="M949" s="430"/>
      <c r="N949" s="430"/>
      <c r="O949" s="430"/>
      <c r="P949" s="430"/>
      <c r="Q949" s="430"/>
      <c r="R949" s="430"/>
      <c r="S949" s="430"/>
      <c r="T949" s="430"/>
      <c r="U949" s="430"/>
      <c r="V949" s="430"/>
      <c r="W949" s="430"/>
      <c r="X949" s="430"/>
      <c r="Y949" s="430"/>
      <c r="Z949" s="430"/>
      <c r="AA949" s="430"/>
      <c r="AB949" s="430"/>
      <c r="AC949" s="430"/>
      <c r="AD949" s="430"/>
      <c r="AE949" s="430"/>
      <c r="AF949" s="430"/>
      <c r="AG949" s="430"/>
      <c r="AH949" s="430"/>
      <c r="AI949" s="430"/>
      <c r="AJ949" s="430"/>
      <c r="AK949" s="430"/>
      <c r="AL949" s="430"/>
      <c r="AM949" s="430"/>
      <c r="AN949" s="430"/>
      <c r="AO949" s="430"/>
      <c r="AP949" s="430"/>
      <c r="AQ949" s="430"/>
      <c r="AR949" s="430"/>
      <c r="AS949" s="430"/>
      <c r="AT949" s="430"/>
      <c r="AU949" s="430"/>
      <c r="AV949" s="430"/>
      <c r="AW949" s="430"/>
      <c r="AX949" s="430"/>
      <c r="AY949" s="430"/>
      <c r="AZ949" s="430"/>
      <c r="BA949" s="430"/>
      <c r="BB949" s="430"/>
      <c r="BC949" s="430"/>
      <c r="BD949" s="430"/>
      <c r="BE949" s="430"/>
    </row>
    <row r="950" spans="1:57" ht="15.75" customHeight="1">
      <c r="A950" s="430"/>
      <c r="B950" s="430"/>
      <c r="C950" s="430"/>
      <c r="D950" s="430"/>
      <c r="E950" s="430"/>
      <c r="F950" s="430"/>
      <c r="G950" s="430"/>
      <c r="H950" s="430"/>
      <c r="I950" s="430"/>
      <c r="J950" s="430"/>
      <c r="K950" s="430"/>
      <c r="L950" s="430"/>
      <c r="M950" s="430"/>
      <c r="N950" s="430"/>
      <c r="O950" s="430"/>
      <c r="P950" s="430"/>
      <c r="Q950" s="430"/>
      <c r="R950" s="430"/>
      <c r="S950" s="430"/>
      <c r="T950" s="430"/>
      <c r="U950" s="430"/>
      <c r="V950" s="430"/>
      <c r="W950" s="430"/>
      <c r="X950" s="430"/>
      <c r="Y950" s="430"/>
      <c r="Z950" s="430"/>
      <c r="AA950" s="430"/>
      <c r="AB950" s="430"/>
      <c r="AC950" s="430"/>
      <c r="AD950" s="430"/>
      <c r="AE950" s="430"/>
      <c r="AF950" s="430"/>
      <c r="AG950" s="430"/>
      <c r="AH950" s="430"/>
      <c r="AI950" s="430"/>
      <c r="AJ950" s="430"/>
      <c r="AK950" s="430"/>
      <c r="AL950" s="430"/>
      <c r="AM950" s="430"/>
      <c r="AN950" s="430"/>
      <c r="AO950" s="430"/>
      <c r="AP950" s="430"/>
      <c r="AQ950" s="430"/>
      <c r="AR950" s="430"/>
      <c r="AS950" s="430"/>
      <c r="AT950" s="430"/>
      <c r="AU950" s="430"/>
      <c r="AV950" s="430"/>
      <c r="AW950" s="430"/>
      <c r="AX950" s="430"/>
      <c r="AY950" s="430"/>
      <c r="AZ950" s="430"/>
      <c r="BA950" s="430"/>
      <c r="BB950" s="430"/>
      <c r="BC950" s="430"/>
      <c r="BD950" s="430"/>
      <c r="BE950" s="430"/>
    </row>
    <row r="951" spans="1:57" ht="15.75" customHeight="1">
      <c r="A951" s="430"/>
      <c r="B951" s="430"/>
      <c r="C951" s="430"/>
      <c r="D951" s="430"/>
      <c r="E951" s="430"/>
      <c r="F951" s="430"/>
      <c r="G951" s="430"/>
      <c r="H951" s="430"/>
      <c r="I951" s="430"/>
      <c r="J951" s="430"/>
      <c r="K951" s="430"/>
      <c r="L951" s="430"/>
      <c r="M951" s="430"/>
      <c r="N951" s="430"/>
      <c r="O951" s="430"/>
      <c r="P951" s="430"/>
      <c r="Q951" s="430"/>
      <c r="R951" s="430"/>
      <c r="S951" s="430"/>
      <c r="T951" s="430"/>
      <c r="U951" s="430"/>
      <c r="V951" s="430"/>
      <c r="W951" s="430"/>
      <c r="X951" s="430"/>
      <c r="Y951" s="430"/>
      <c r="Z951" s="430"/>
      <c r="AA951" s="430"/>
      <c r="AB951" s="430"/>
      <c r="AC951" s="430"/>
      <c r="AD951" s="430"/>
      <c r="AE951" s="430"/>
      <c r="AF951" s="430"/>
      <c r="AG951" s="430"/>
      <c r="AH951" s="430"/>
      <c r="AI951" s="430"/>
      <c r="AJ951" s="430"/>
      <c r="AK951" s="430"/>
      <c r="AL951" s="430"/>
      <c r="AM951" s="430"/>
      <c r="AN951" s="430"/>
      <c r="AO951" s="430"/>
      <c r="AP951" s="430"/>
      <c r="AQ951" s="430"/>
      <c r="AR951" s="430"/>
      <c r="AS951" s="430"/>
      <c r="AT951" s="430"/>
      <c r="AU951" s="430"/>
      <c r="AV951" s="430"/>
      <c r="AW951" s="430"/>
      <c r="AX951" s="430"/>
      <c r="AY951" s="430"/>
      <c r="AZ951" s="430"/>
      <c r="BA951" s="430"/>
      <c r="BB951" s="430"/>
      <c r="BC951" s="430"/>
      <c r="BD951" s="430"/>
      <c r="BE951" s="430"/>
    </row>
    <row r="952" spans="1:57" ht="15.75" customHeight="1">
      <c r="A952" s="430"/>
      <c r="B952" s="430"/>
      <c r="C952" s="430"/>
      <c r="D952" s="430"/>
      <c r="E952" s="430"/>
      <c r="F952" s="430"/>
      <c r="G952" s="430"/>
      <c r="H952" s="430"/>
      <c r="I952" s="430"/>
      <c r="J952" s="430"/>
      <c r="K952" s="430"/>
      <c r="L952" s="430"/>
      <c r="M952" s="430"/>
      <c r="N952" s="430"/>
      <c r="O952" s="430"/>
      <c r="P952" s="430"/>
      <c r="Q952" s="430"/>
      <c r="R952" s="430"/>
      <c r="S952" s="430"/>
      <c r="T952" s="430"/>
      <c r="U952" s="430"/>
      <c r="V952" s="430"/>
      <c r="W952" s="430"/>
      <c r="X952" s="430"/>
      <c r="Y952" s="430"/>
      <c r="Z952" s="430"/>
      <c r="AA952" s="430"/>
      <c r="AB952" s="430"/>
      <c r="AC952" s="430"/>
      <c r="AD952" s="430"/>
      <c r="AE952" s="430"/>
      <c r="AF952" s="430"/>
      <c r="AG952" s="430"/>
      <c r="AH952" s="430"/>
      <c r="AI952" s="430"/>
      <c r="AJ952" s="430"/>
      <c r="AK952" s="430"/>
      <c r="AL952" s="430"/>
      <c r="AM952" s="430"/>
      <c r="AN952" s="430"/>
      <c r="AO952" s="430"/>
      <c r="AP952" s="430"/>
      <c r="AQ952" s="430"/>
      <c r="AR952" s="430"/>
      <c r="AS952" s="430"/>
      <c r="AT952" s="430"/>
      <c r="AU952" s="430"/>
      <c r="AV952" s="430"/>
      <c r="AW952" s="430"/>
      <c r="AX952" s="430"/>
      <c r="AY952" s="430"/>
      <c r="AZ952" s="430"/>
      <c r="BA952" s="430"/>
      <c r="BB952" s="430"/>
      <c r="BC952" s="430"/>
      <c r="BD952" s="430"/>
      <c r="BE952" s="430"/>
    </row>
    <row r="953" spans="1:57" ht="15.75" customHeight="1">
      <c r="A953" s="430"/>
      <c r="B953" s="430"/>
      <c r="C953" s="430"/>
      <c r="D953" s="430"/>
      <c r="E953" s="430"/>
      <c r="F953" s="430"/>
      <c r="G953" s="430"/>
      <c r="H953" s="430"/>
      <c r="I953" s="430"/>
      <c r="J953" s="430"/>
      <c r="K953" s="430"/>
      <c r="L953" s="430"/>
      <c r="M953" s="430"/>
      <c r="N953" s="430"/>
      <c r="O953" s="430"/>
      <c r="P953" s="430"/>
      <c r="Q953" s="430"/>
      <c r="R953" s="430"/>
      <c r="S953" s="430"/>
      <c r="T953" s="430"/>
      <c r="U953" s="430"/>
      <c r="V953" s="430"/>
      <c r="W953" s="430"/>
      <c r="X953" s="430"/>
      <c r="Y953" s="430"/>
      <c r="Z953" s="430"/>
      <c r="AA953" s="430"/>
      <c r="AB953" s="430"/>
      <c r="AC953" s="430"/>
      <c r="AD953" s="430"/>
      <c r="AE953" s="430"/>
      <c r="AF953" s="430"/>
      <c r="AG953" s="430"/>
      <c r="AH953" s="430"/>
      <c r="AI953" s="430"/>
      <c r="AJ953" s="430"/>
      <c r="AK953" s="430"/>
      <c r="AL953" s="430"/>
      <c r="AM953" s="430"/>
      <c r="AN953" s="430"/>
      <c r="AO953" s="430"/>
      <c r="AP953" s="430"/>
      <c r="AQ953" s="430"/>
      <c r="AR953" s="430"/>
      <c r="AS953" s="430"/>
      <c r="AT953" s="430"/>
      <c r="AU953" s="430"/>
      <c r="AV953" s="430"/>
      <c r="AW953" s="430"/>
      <c r="AX953" s="430"/>
      <c r="AY953" s="430"/>
      <c r="AZ953" s="430"/>
      <c r="BA953" s="430"/>
      <c r="BB953" s="430"/>
      <c r="BC953" s="430"/>
      <c r="BD953" s="430"/>
      <c r="BE953" s="430"/>
    </row>
    <row r="954" spans="1:57" ht="15.75" customHeight="1">
      <c r="A954" s="430"/>
      <c r="B954" s="430"/>
      <c r="C954" s="430"/>
      <c r="D954" s="430"/>
      <c r="E954" s="430"/>
      <c r="F954" s="430"/>
      <c r="G954" s="430"/>
      <c r="H954" s="430"/>
      <c r="I954" s="430"/>
      <c r="J954" s="430"/>
      <c r="K954" s="430"/>
      <c r="L954" s="430"/>
      <c r="M954" s="430"/>
      <c r="N954" s="430"/>
      <c r="O954" s="430"/>
      <c r="P954" s="430"/>
      <c r="Q954" s="430"/>
      <c r="R954" s="430"/>
      <c r="S954" s="430"/>
      <c r="T954" s="430"/>
      <c r="U954" s="430"/>
      <c r="V954" s="430"/>
      <c r="W954" s="430"/>
      <c r="X954" s="430"/>
      <c r="Y954" s="430"/>
      <c r="Z954" s="430"/>
      <c r="AA954" s="430"/>
      <c r="AB954" s="430"/>
      <c r="AC954" s="430"/>
      <c r="AD954" s="430"/>
      <c r="AE954" s="430"/>
      <c r="AF954" s="430"/>
      <c r="AG954" s="430"/>
      <c r="AH954" s="430"/>
      <c r="AI954" s="430"/>
      <c r="AJ954" s="430"/>
      <c r="AK954" s="430"/>
      <c r="AL954" s="430"/>
      <c r="AM954" s="430"/>
      <c r="AN954" s="430"/>
      <c r="AO954" s="430"/>
      <c r="AP954" s="430"/>
      <c r="AQ954" s="430"/>
      <c r="AR954" s="430"/>
      <c r="AS954" s="430"/>
      <c r="AT954" s="430"/>
      <c r="AU954" s="430"/>
      <c r="AV954" s="430"/>
      <c r="AW954" s="430"/>
      <c r="AX954" s="430"/>
      <c r="AY954" s="430"/>
      <c r="AZ954" s="430"/>
      <c r="BA954" s="430"/>
      <c r="BB954" s="430"/>
      <c r="BC954" s="430"/>
      <c r="BD954" s="430"/>
      <c r="BE954" s="430"/>
    </row>
    <row r="955" spans="1:57" ht="15.75" customHeight="1">
      <c r="A955" s="430"/>
      <c r="B955" s="430"/>
      <c r="C955" s="430"/>
      <c r="D955" s="430"/>
      <c r="E955" s="430"/>
      <c r="F955" s="430"/>
      <c r="G955" s="430"/>
      <c r="H955" s="430"/>
      <c r="I955" s="430"/>
      <c r="J955" s="430"/>
      <c r="K955" s="430"/>
      <c r="L955" s="430"/>
      <c r="M955" s="430"/>
      <c r="N955" s="430"/>
      <c r="O955" s="430"/>
      <c r="P955" s="430"/>
      <c r="Q955" s="430"/>
      <c r="R955" s="430"/>
      <c r="S955" s="430"/>
      <c r="T955" s="430"/>
      <c r="U955" s="430"/>
      <c r="V955" s="430"/>
      <c r="W955" s="430"/>
      <c r="X955" s="430"/>
      <c r="Y955" s="430"/>
      <c r="Z955" s="430"/>
      <c r="AA955" s="430"/>
      <c r="AB955" s="430"/>
      <c r="AC955" s="430"/>
      <c r="AD955" s="430"/>
      <c r="AE955" s="430"/>
      <c r="AF955" s="430"/>
      <c r="AG955" s="430"/>
      <c r="AH955" s="430"/>
      <c r="AI955" s="430"/>
      <c r="AJ955" s="430"/>
      <c r="AK955" s="430"/>
      <c r="AL955" s="430"/>
      <c r="AM955" s="430"/>
      <c r="AN955" s="430"/>
      <c r="AO955" s="430"/>
      <c r="AP955" s="430"/>
      <c r="AQ955" s="430"/>
      <c r="AR955" s="430"/>
      <c r="AS955" s="430"/>
      <c r="AT955" s="430"/>
      <c r="AU955" s="430"/>
      <c r="AV955" s="430"/>
      <c r="AW955" s="430"/>
      <c r="AX955" s="430"/>
      <c r="AY955" s="430"/>
      <c r="AZ955" s="430"/>
      <c r="BA955" s="430"/>
      <c r="BB955" s="430"/>
      <c r="BC955" s="430"/>
      <c r="BD955" s="430"/>
      <c r="BE955" s="430"/>
    </row>
    <row r="956" spans="1:57" ht="15.75" customHeight="1">
      <c r="A956" s="430"/>
      <c r="B956" s="430"/>
      <c r="C956" s="430"/>
      <c r="D956" s="430"/>
      <c r="E956" s="430"/>
      <c r="F956" s="430"/>
      <c r="G956" s="430"/>
      <c r="H956" s="430"/>
      <c r="I956" s="430"/>
      <c r="J956" s="430"/>
      <c r="K956" s="430"/>
      <c r="L956" s="430"/>
      <c r="M956" s="430"/>
      <c r="N956" s="430"/>
      <c r="O956" s="430"/>
      <c r="P956" s="430"/>
      <c r="Q956" s="430"/>
      <c r="R956" s="430"/>
      <c r="S956" s="430"/>
      <c r="T956" s="430"/>
      <c r="U956" s="430"/>
      <c r="V956" s="430"/>
      <c r="W956" s="430"/>
      <c r="X956" s="430"/>
      <c r="Y956" s="430"/>
      <c r="Z956" s="430"/>
      <c r="AA956" s="430"/>
      <c r="AB956" s="430"/>
      <c r="AC956" s="430"/>
      <c r="AD956" s="430"/>
      <c r="AE956" s="430"/>
      <c r="AF956" s="430"/>
      <c r="AG956" s="430"/>
      <c r="AH956" s="430"/>
      <c r="AI956" s="430"/>
      <c r="AJ956" s="430"/>
      <c r="AK956" s="430"/>
      <c r="AL956" s="430"/>
      <c r="AM956" s="430"/>
      <c r="AN956" s="430"/>
      <c r="AO956" s="430"/>
      <c r="AP956" s="430"/>
      <c r="AQ956" s="430"/>
      <c r="AR956" s="430"/>
      <c r="AS956" s="430"/>
      <c r="AT956" s="430"/>
      <c r="AU956" s="430"/>
      <c r="AV956" s="430"/>
      <c r="AW956" s="430"/>
      <c r="AX956" s="430"/>
      <c r="AY956" s="430"/>
      <c r="AZ956" s="430"/>
      <c r="BA956" s="430"/>
      <c r="BB956" s="430"/>
      <c r="BC956" s="430"/>
      <c r="BD956" s="430"/>
      <c r="BE956" s="430"/>
    </row>
    <row r="957" spans="1:57" ht="15.75" customHeight="1">
      <c r="A957" s="430"/>
      <c r="B957" s="430"/>
      <c r="C957" s="430"/>
      <c r="D957" s="430"/>
      <c r="E957" s="430"/>
      <c r="F957" s="430"/>
      <c r="G957" s="430"/>
      <c r="H957" s="430"/>
      <c r="I957" s="430"/>
      <c r="J957" s="430"/>
      <c r="K957" s="430"/>
      <c r="L957" s="430"/>
      <c r="M957" s="430"/>
      <c r="N957" s="430"/>
      <c r="O957" s="430"/>
      <c r="P957" s="430"/>
      <c r="Q957" s="430"/>
      <c r="R957" s="430"/>
      <c r="S957" s="430"/>
      <c r="T957" s="430"/>
      <c r="U957" s="430"/>
      <c r="V957" s="430"/>
      <c r="W957" s="430"/>
      <c r="X957" s="430"/>
      <c r="Y957" s="430"/>
      <c r="Z957" s="430"/>
      <c r="AA957" s="430"/>
      <c r="AB957" s="430"/>
      <c r="AC957" s="430"/>
      <c r="AD957" s="430"/>
      <c r="AE957" s="430"/>
      <c r="AF957" s="430"/>
      <c r="AG957" s="430"/>
      <c r="AH957" s="430"/>
      <c r="AI957" s="430"/>
      <c r="AJ957" s="430"/>
      <c r="AK957" s="430"/>
      <c r="AL957" s="430"/>
      <c r="AM957" s="430"/>
      <c r="AN957" s="430"/>
      <c r="AO957" s="430"/>
      <c r="AP957" s="430"/>
      <c r="AQ957" s="430"/>
      <c r="AR957" s="430"/>
      <c r="AS957" s="430"/>
      <c r="AT957" s="430"/>
      <c r="AU957" s="430"/>
      <c r="AV957" s="430"/>
      <c r="AW957" s="430"/>
      <c r="AX957" s="430"/>
      <c r="AY957" s="430"/>
      <c r="AZ957" s="430"/>
      <c r="BA957" s="430"/>
      <c r="BB957" s="430"/>
      <c r="BC957" s="430"/>
      <c r="BD957" s="430"/>
      <c r="BE957" s="430"/>
    </row>
    <row r="958" spans="1:57" ht="15.75" customHeight="1">
      <c r="A958" s="430"/>
      <c r="B958" s="430"/>
      <c r="C958" s="430"/>
      <c r="D958" s="430"/>
      <c r="E958" s="430"/>
      <c r="F958" s="430"/>
      <c r="G958" s="430"/>
      <c r="H958" s="430"/>
      <c r="I958" s="430"/>
      <c r="J958" s="430"/>
      <c r="K958" s="430"/>
      <c r="L958" s="430"/>
      <c r="M958" s="430"/>
      <c r="N958" s="430"/>
      <c r="O958" s="430"/>
      <c r="P958" s="430"/>
      <c r="Q958" s="430"/>
      <c r="R958" s="430"/>
      <c r="S958" s="430"/>
      <c r="T958" s="430"/>
      <c r="U958" s="430"/>
      <c r="V958" s="430"/>
      <c r="W958" s="430"/>
      <c r="X958" s="430"/>
      <c r="Y958" s="430"/>
      <c r="Z958" s="430"/>
      <c r="AA958" s="430"/>
      <c r="AB958" s="430"/>
      <c r="AC958" s="430"/>
      <c r="AD958" s="430"/>
      <c r="AE958" s="430"/>
      <c r="AF958" s="430"/>
      <c r="AG958" s="430"/>
      <c r="AH958" s="430"/>
      <c r="AI958" s="430"/>
      <c r="AJ958" s="430"/>
      <c r="AK958" s="430"/>
      <c r="AL958" s="430"/>
      <c r="AM958" s="430"/>
      <c r="AN958" s="430"/>
      <c r="AO958" s="430"/>
      <c r="AP958" s="430"/>
      <c r="AQ958" s="430"/>
      <c r="AR958" s="430"/>
      <c r="AS958" s="430"/>
      <c r="AT958" s="430"/>
      <c r="AU958" s="430"/>
      <c r="AV958" s="430"/>
      <c r="AW958" s="430"/>
      <c r="AX958" s="430"/>
      <c r="AY958" s="430"/>
      <c r="AZ958" s="430"/>
      <c r="BA958" s="430"/>
      <c r="BB958" s="430"/>
      <c r="BC958" s="430"/>
      <c r="BD958" s="430"/>
      <c r="BE958" s="430"/>
    </row>
    <row r="959" spans="1:57" ht="15.75" customHeight="1">
      <c r="A959" s="430"/>
      <c r="B959" s="430"/>
      <c r="C959" s="430"/>
      <c r="D959" s="430"/>
      <c r="E959" s="430"/>
      <c r="F959" s="430"/>
      <c r="G959" s="430"/>
      <c r="H959" s="430"/>
      <c r="I959" s="430"/>
      <c r="J959" s="430"/>
      <c r="K959" s="430"/>
      <c r="L959" s="430"/>
      <c r="M959" s="430"/>
      <c r="N959" s="430"/>
      <c r="O959" s="430"/>
      <c r="P959" s="430"/>
      <c r="Q959" s="430"/>
      <c r="R959" s="430"/>
      <c r="S959" s="430"/>
      <c r="T959" s="430"/>
      <c r="U959" s="430"/>
      <c r="V959" s="430"/>
      <c r="W959" s="430"/>
      <c r="X959" s="430"/>
      <c r="Y959" s="430"/>
      <c r="Z959" s="430"/>
      <c r="AA959" s="430"/>
      <c r="AB959" s="430"/>
      <c r="AC959" s="430"/>
      <c r="AD959" s="430"/>
      <c r="AE959" s="430"/>
      <c r="AF959" s="430"/>
      <c r="AG959" s="430"/>
      <c r="AH959" s="430"/>
      <c r="AI959" s="430"/>
      <c r="AJ959" s="430"/>
      <c r="AK959" s="430"/>
      <c r="AL959" s="430"/>
      <c r="AM959" s="430"/>
      <c r="AN959" s="430"/>
      <c r="AO959" s="430"/>
      <c r="AP959" s="430"/>
      <c r="AQ959" s="430"/>
      <c r="AR959" s="430"/>
      <c r="AS959" s="430"/>
      <c r="AT959" s="430"/>
      <c r="AU959" s="430"/>
      <c r="AV959" s="430"/>
      <c r="AW959" s="430"/>
      <c r="AX959" s="430"/>
      <c r="AY959" s="430"/>
      <c r="AZ959" s="430"/>
      <c r="BA959" s="430"/>
      <c r="BB959" s="430"/>
      <c r="BC959" s="430"/>
      <c r="BD959" s="430"/>
      <c r="BE959" s="430"/>
    </row>
    <row r="960" spans="1:57" ht="15.75" customHeight="1">
      <c r="A960" s="430"/>
      <c r="B960" s="430"/>
      <c r="C960" s="430"/>
      <c r="D960" s="430"/>
      <c r="E960" s="430"/>
      <c r="F960" s="430"/>
      <c r="G960" s="430"/>
      <c r="H960" s="430"/>
      <c r="I960" s="430"/>
      <c r="J960" s="430"/>
      <c r="K960" s="430"/>
      <c r="L960" s="430"/>
      <c r="M960" s="430"/>
      <c r="N960" s="430"/>
      <c r="O960" s="430"/>
      <c r="P960" s="430"/>
      <c r="Q960" s="430"/>
      <c r="R960" s="430"/>
      <c r="S960" s="430"/>
      <c r="T960" s="430"/>
      <c r="U960" s="430"/>
      <c r="V960" s="430"/>
      <c r="W960" s="430"/>
      <c r="X960" s="430"/>
      <c r="Y960" s="430"/>
      <c r="Z960" s="430"/>
      <c r="AA960" s="430"/>
      <c r="AB960" s="430"/>
      <c r="AC960" s="430"/>
      <c r="AD960" s="430"/>
      <c r="AE960" s="430"/>
      <c r="AF960" s="430"/>
      <c r="AG960" s="430"/>
      <c r="AH960" s="430"/>
      <c r="AI960" s="430"/>
      <c r="AJ960" s="430"/>
      <c r="AK960" s="430"/>
      <c r="AL960" s="430"/>
      <c r="AM960" s="430"/>
      <c r="AN960" s="430"/>
      <c r="AO960" s="430"/>
      <c r="AP960" s="430"/>
      <c r="AQ960" s="430"/>
      <c r="AR960" s="430"/>
      <c r="AS960" s="430"/>
      <c r="AT960" s="430"/>
      <c r="AU960" s="430"/>
      <c r="AV960" s="430"/>
      <c r="AW960" s="430"/>
      <c r="AX960" s="430"/>
      <c r="AY960" s="430"/>
      <c r="AZ960" s="430"/>
      <c r="BA960" s="430"/>
      <c r="BB960" s="430"/>
      <c r="BC960" s="430"/>
      <c r="BD960" s="430"/>
      <c r="BE960" s="430"/>
    </row>
    <row r="961" spans="1:57" ht="15.75" customHeight="1">
      <c r="A961" s="430"/>
      <c r="B961" s="430"/>
      <c r="C961" s="430"/>
      <c r="D961" s="430"/>
      <c r="E961" s="430"/>
      <c r="F961" s="430"/>
      <c r="G961" s="430"/>
      <c r="H961" s="430"/>
      <c r="I961" s="430"/>
      <c r="J961" s="430"/>
      <c r="K961" s="430"/>
      <c r="L961" s="430"/>
      <c r="M961" s="430"/>
      <c r="N961" s="430"/>
      <c r="O961" s="430"/>
      <c r="P961" s="430"/>
      <c r="Q961" s="430"/>
      <c r="R961" s="430"/>
      <c r="S961" s="430"/>
      <c r="T961" s="430"/>
      <c r="U961" s="430"/>
      <c r="V961" s="430"/>
      <c r="W961" s="430"/>
      <c r="X961" s="430"/>
      <c r="Y961" s="430"/>
      <c r="Z961" s="430"/>
      <c r="AA961" s="430"/>
      <c r="AB961" s="430"/>
      <c r="AC961" s="430"/>
      <c r="AD961" s="430"/>
      <c r="AE961" s="430"/>
      <c r="AF961" s="430"/>
      <c r="AG961" s="430"/>
      <c r="AH961" s="430"/>
      <c r="AI961" s="430"/>
      <c r="AJ961" s="430"/>
      <c r="AK961" s="430"/>
      <c r="AL961" s="430"/>
      <c r="AM961" s="430"/>
      <c r="AN961" s="430"/>
      <c r="AO961" s="430"/>
      <c r="AP961" s="430"/>
      <c r="AQ961" s="430"/>
      <c r="AR961" s="430"/>
      <c r="AS961" s="430"/>
      <c r="AT961" s="430"/>
      <c r="AU961" s="430"/>
      <c r="AV961" s="430"/>
      <c r="AW961" s="430"/>
      <c r="AX961" s="430"/>
      <c r="AY961" s="430"/>
      <c r="AZ961" s="430"/>
      <c r="BA961" s="430"/>
      <c r="BB961" s="430"/>
      <c r="BC961" s="430"/>
      <c r="BD961" s="430"/>
      <c r="BE961" s="430"/>
    </row>
    <row r="962" spans="1:57" ht="15.75" customHeight="1">
      <c r="A962" s="430"/>
      <c r="B962" s="430"/>
      <c r="C962" s="430"/>
      <c r="D962" s="430"/>
      <c r="E962" s="430"/>
      <c r="F962" s="430"/>
      <c r="G962" s="430"/>
      <c r="H962" s="430"/>
      <c r="I962" s="430"/>
      <c r="J962" s="430"/>
      <c r="K962" s="430"/>
      <c r="L962" s="430"/>
      <c r="M962" s="430"/>
      <c r="N962" s="430"/>
      <c r="O962" s="430"/>
      <c r="P962" s="430"/>
      <c r="Q962" s="430"/>
      <c r="R962" s="430"/>
      <c r="S962" s="430"/>
      <c r="T962" s="430"/>
      <c r="U962" s="430"/>
      <c r="V962" s="430"/>
      <c r="W962" s="430"/>
      <c r="X962" s="430"/>
      <c r="Y962" s="430"/>
      <c r="Z962" s="430"/>
      <c r="AA962" s="430"/>
      <c r="AB962" s="430"/>
      <c r="AC962" s="430"/>
      <c r="AD962" s="430"/>
      <c r="AE962" s="430"/>
      <c r="AF962" s="430"/>
      <c r="AG962" s="430"/>
      <c r="AH962" s="430"/>
      <c r="AI962" s="430"/>
      <c r="AJ962" s="430"/>
      <c r="AK962" s="430"/>
      <c r="AL962" s="430"/>
      <c r="AM962" s="430"/>
      <c r="AN962" s="430"/>
      <c r="AO962" s="430"/>
      <c r="AP962" s="430"/>
      <c r="AQ962" s="430"/>
      <c r="AR962" s="430"/>
      <c r="AS962" s="430"/>
      <c r="AT962" s="430"/>
      <c r="AU962" s="430"/>
      <c r="AV962" s="430"/>
      <c r="AW962" s="430"/>
      <c r="AX962" s="430"/>
      <c r="AY962" s="430"/>
      <c r="AZ962" s="430"/>
      <c r="BA962" s="430"/>
      <c r="BB962" s="430"/>
      <c r="BC962" s="430"/>
      <c r="BD962" s="430"/>
      <c r="BE962" s="430"/>
    </row>
    <row r="963" spans="1:57" ht="15.75" customHeight="1">
      <c r="A963" s="430"/>
      <c r="B963" s="430"/>
      <c r="C963" s="430"/>
      <c r="D963" s="430"/>
      <c r="E963" s="430"/>
      <c r="F963" s="430"/>
      <c r="G963" s="430"/>
      <c r="H963" s="430"/>
      <c r="I963" s="430"/>
      <c r="J963" s="430"/>
      <c r="K963" s="430"/>
      <c r="L963" s="430"/>
      <c r="M963" s="430"/>
      <c r="N963" s="430"/>
      <c r="O963" s="430"/>
      <c r="P963" s="430"/>
      <c r="Q963" s="430"/>
      <c r="R963" s="430"/>
      <c r="S963" s="430"/>
      <c r="T963" s="430"/>
      <c r="U963" s="430"/>
      <c r="V963" s="430"/>
      <c r="W963" s="430"/>
      <c r="X963" s="430"/>
      <c r="Y963" s="430"/>
      <c r="Z963" s="430"/>
      <c r="AA963" s="430"/>
      <c r="AB963" s="430"/>
      <c r="AC963" s="430"/>
      <c r="AD963" s="430"/>
      <c r="AE963" s="430"/>
      <c r="AF963" s="430"/>
      <c r="AG963" s="430"/>
      <c r="AH963" s="430"/>
      <c r="AI963" s="430"/>
      <c r="AJ963" s="430"/>
      <c r="AK963" s="430"/>
      <c r="AL963" s="430"/>
      <c r="AM963" s="430"/>
      <c r="AN963" s="430"/>
      <c r="AO963" s="430"/>
      <c r="AP963" s="430"/>
      <c r="AQ963" s="430"/>
      <c r="AR963" s="430"/>
      <c r="AS963" s="430"/>
      <c r="AT963" s="430"/>
      <c r="AU963" s="430"/>
      <c r="AV963" s="430"/>
      <c r="AW963" s="430"/>
      <c r="AX963" s="430"/>
      <c r="AY963" s="430"/>
      <c r="AZ963" s="430"/>
      <c r="BA963" s="430"/>
      <c r="BB963" s="430"/>
      <c r="BC963" s="430"/>
      <c r="BD963" s="430"/>
      <c r="BE963" s="430"/>
    </row>
    <row r="964" spans="1:57" ht="15.75" customHeight="1">
      <c r="A964" s="430"/>
      <c r="B964" s="430"/>
      <c r="C964" s="430"/>
      <c r="D964" s="430"/>
      <c r="E964" s="430"/>
      <c r="F964" s="430"/>
      <c r="G964" s="430"/>
      <c r="H964" s="430"/>
      <c r="I964" s="430"/>
      <c r="J964" s="430"/>
      <c r="K964" s="430"/>
      <c r="L964" s="430"/>
      <c r="M964" s="430"/>
      <c r="N964" s="430"/>
      <c r="O964" s="430"/>
      <c r="P964" s="430"/>
      <c r="Q964" s="430"/>
      <c r="R964" s="430"/>
      <c r="S964" s="430"/>
      <c r="T964" s="430"/>
      <c r="U964" s="430"/>
      <c r="V964" s="430"/>
      <c r="W964" s="430"/>
      <c r="X964" s="430"/>
      <c r="Y964" s="430"/>
      <c r="Z964" s="430"/>
      <c r="AA964" s="430"/>
      <c r="AB964" s="430"/>
      <c r="AC964" s="430"/>
      <c r="AD964" s="430"/>
      <c r="AE964" s="430"/>
      <c r="AF964" s="430"/>
      <c r="AG964" s="430"/>
      <c r="AH964" s="430"/>
      <c r="AI964" s="430"/>
      <c r="AJ964" s="430"/>
      <c r="AK964" s="430"/>
      <c r="AL964" s="430"/>
      <c r="AM964" s="430"/>
      <c r="AN964" s="430"/>
      <c r="AO964" s="430"/>
      <c r="AP964" s="430"/>
      <c r="AQ964" s="430"/>
      <c r="AR964" s="430"/>
      <c r="AS964" s="430"/>
      <c r="AT964" s="430"/>
      <c r="AU964" s="430"/>
      <c r="AV964" s="430"/>
      <c r="AW964" s="430"/>
      <c r="AX964" s="430"/>
      <c r="AY964" s="430"/>
      <c r="AZ964" s="430"/>
      <c r="BA964" s="430"/>
      <c r="BB964" s="430"/>
      <c r="BC964" s="430"/>
      <c r="BD964" s="430"/>
      <c r="BE964" s="430"/>
    </row>
    <row r="965" spans="1:57" ht="15.75" customHeight="1">
      <c r="A965" s="430"/>
      <c r="B965" s="430"/>
      <c r="C965" s="430"/>
      <c r="D965" s="430"/>
      <c r="E965" s="430"/>
      <c r="F965" s="430"/>
      <c r="G965" s="430"/>
      <c r="H965" s="430"/>
      <c r="I965" s="430"/>
      <c r="J965" s="430"/>
      <c r="K965" s="430"/>
      <c r="L965" s="430"/>
      <c r="M965" s="430"/>
      <c r="N965" s="430"/>
      <c r="O965" s="430"/>
      <c r="P965" s="430"/>
      <c r="Q965" s="430"/>
      <c r="R965" s="430"/>
      <c r="S965" s="430"/>
      <c r="T965" s="430"/>
      <c r="U965" s="430"/>
      <c r="V965" s="430"/>
      <c r="W965" s="430"/>
      <c r="X965" s="430"/>
      <c r="Y965" s="430"/>
      <c r="Z965" s="430"/>
      <c r="AA965" s="430"/>
      <c r="AB965" s="430"/>
      <c r="AC965" s="430"/>
      <c r="AD965" s="430"/>
      <c r="AE965" s="430"/>
      <c r="AF965" s="430"/>
      <c r="AG965" s="430"/>
      <c r="AH965" s="430"/>
      <c r="AI965" s="430"/>
      <c r="AJ965" s="430"/>
      <c r="AK965" s="430"/>
      <c r="AL965" s="430"/>
      <c r="AM965" s="430"/>
      <c r="AN965" s="430"/>
      <c r="AO965" s="430"/>
      <c r="AP965" s="430"/>
      <c r="AQ965" s="430"/>
      <c r="AR965" s="430"/>
      <c r="AS965" s="430"/>
      <c r="AT965" s="430"/>
      <c r="AU965" s="430"/>
      <c r="AV965" s="430"/>
      <c r="AW965" s="430"/>
      <c r="AX965" s="430"/>
      <c r="AY965" s="430"/>
      <c r="AZ965" s="430"/>
      <c r="BA965" s="430"/>
      <c r="BB965" s="430"/>
      <c r="BC965" s="430"/>
      <c r="BD965" s="430"/>
      <c r="BE965" s="430"/>
    </row>
    <row r="966" spans="1:57" ht="15.75" customHeight="1">
      <c r="A966" s="430"/>
      <c r="B966" s="430"/>
      <c r="C966" s="430"/>
      <c r="D966" s="430"/>
      <c r="E966" s="430"/>
      <c r="F966" s="430"/>
      <c r="G966" s="430"/>
      <c r="H966" s="430"/>
      <c r="I966" s="430"/>
      <c r="J966" s="430"/>
      <c r="K966" s="430"/>
      <c r="L966" s="430"/>
      <c r="M966" s="430"/>
      <c r="N966" s="430"/>
      <c r="O966" s="430"/>
      <c r="P966" s="430"/>
      <c r="Q966" s="430"/>
      <c r="R966" s="430"/>
      <c r="S966" s="430"/>
      <c r="T966" s="430"/>
      <c r="U966" s="430"/>
      <c r="V966" s="430"/>
      <c r="W966" s="430"/>
      <c r="X966" s="430"/>
      <c r="Y966" s="430"/>
      <c r="Z966" s="430"/>
      <c r="AA966" s="430"/>
      <c r="AB966" s="430"/>
      <c r="AC966" s="430"/>
      <c r="AD966" s="430"/>
      <c r="AE966" s="430"/>
      <c r="AF966" s="430"/>
      <c r="AG966" s="430"/>
      <c r="AH966" s="430"/>
      <c r="AI966" s="430"/>
      <c r="AJ966" s="430"/>
      <c r="AK966" s="430"/>
      <c r="AL966" s="430"/>
      <c r="AM966" s="430"/>
      <c r="AN966" s="430"/>
      <c r="AO966" s="430"/>
      <c r="AP966" s="430"/>
      <c r="AQ966" s="430"/>
      <c r="AR966" s="430"/>
      <c r="AS966" s="430"/>
      <c r="AT966" s="430"/>
      <c r="AU966" s="430"/>
      <c r="AV966" s="430"/>
      <c r="AW966" s="430"/>
      <c r="AX966" s="430"/>
      <c r="AY966" s="430"/>
      <c r="AZ966" s="430"/>
      <c r="BA966" s="430"/>
      <c r="BB966" s="430"/>
      <c r="BC966" s="430"/>
      <c r="BD966" s="430"/>
      <c r="BE966" s="430"/>
    </row>
    <row r="967" spans="1:57" ht="15.75" customHeight="1">
      <c r="A967" s="430"/>
      <c r="B967" s="430"/>
      <c r="C967" s="430"/>
      <c r="D967" s="430"/>
      <c r="E967" s="430"/>
      <c r="F967" s="430"/>
      <c r="G967" s="430"/>
      <c r="H967" s="430"/>
      <c r="I967" s="430"/>
      <c r="J967" s="430"/>
      <c r="K967" s="430"/>
      <c r="L967" s="430"/>
      <c r="M967" s="430"/>
      <c r="N967" s="430"/>
      <c r="O967" s="430"/>
      <c r="P967" s="430"/>
      <c r="Q967" s="430"/>
      <c r="R967" s="430"/>
      <c r="S967" s="430"/>
      <c r="T967" s="430"/>
      <c r="U967" s="430"/>
      <c r="V967" s="430"/>
      <c r="W967" s="430"/>
      <c r="X967" s="430"/>
      <c r="Y967" s="430"/>
      <c r="Z967" s="430"/>
      <c r="AA967" s="430"/>
      <c r="AB967" s="430"/>
      <c r="AC967" s="430"/>
      <c r="AD967" s="430"/>
      <c r="AE967" s="430"/>
      <c r="AF967" s="430"/>
      <c r="AG967" s="430"/>
      <c r="AH967" s="430"/>
      <c r="AI967" s="430"/>
      <c r="AJ967" s="430"/>
      <c r="AK967" s="430"/>
      <c r="AL967" s="430"/>
      <c r="AM967" s="430"/>
      <c r="AN967" s="430"/>
      <c r="AO967" s="430"/>
      <c r="AP967" s="430"/>
      <c r="AQ967" s="430"/>
      <c r="AR967" s="430"/>
      <c r="AS967" s="430"/>
      <c r="AT967" s="430"/>
      <c r="AU967" s="430"/>
      <c r="AV967" s="430"/>
      <c r="AW967" s="430"/>
      <c r="AX967" s="430"/>
      <c r="AY967" s="430"/>
      <c r="AZ967" s="430"/>
      <c r="BA967" s="430"/>
      <c r="BB967" s="430"/>
      <c r="BC967" s="430"/>
      <c r="BD967" s="430"/>
      <c r="BE967" s="430"/>
    </row>
    <row r="968" spans="1:57" ht="15.75" customHeight="1">
      <c r="A968" s="430"/>
      <c r="B968" s="430"/>
      <c r="C968" s="430"/>
      <c r="D968" s="430"/>
      <c r="E968" s="430"/>
      <c r="F968" s="430"/>
      <c r="G968" s="430"/>
      <c r="H968" s="430"/>
      <c r="I968" s="430"/>
      <c r="J968" s="430"/>
      <c r="K968" s="430"/>
      <c r="L968" s="430"/>
      <c r="M968" s="430"/>
      <c r="N968" s="430"/>
      <c r="O968" s="430"/>
      <c r="P968" s="430"/>
      <c r="Q968" s="430"/>
      <c r="R968" s="430"/>
      <c r="S968" s="430"/>
      <c r="T968" s="430"/>
      <c r="U968" s="430"/>
      <c r="V968" s="430"/>
      <c r="W968" s="430"/>
      <c r="X968" s="430"/>
      <c r="Y968" s="430"/>
      <c r="Z968" s="430"/>
      <c r="AA968" s="430"/>
      <c r="AB968" s="430"/>
      <c r="AC968" s="430"/>
      <c r="AD968" s="430"/>
      <c r="AE968" s="430"/>
      <c r="AF968" s="430"/>
      <c r="AG968" s="430"/>
      <c r="AH968" s="430"/>
      <c r="AI968" s="430"/>
      <c r="AJ968" s="430"/>
      <c r="AK968" s="430"/>
      <c r="AL968" s="430"/>
      <c r="AM968" s="430"/>
      <c r="AN968" s="430"/>
      <c r="AO968" s="430"/>
      <c r="AP968" s="430"/>
      <c r="AQ968" s="430"/>
      <c r="AR968" s="430"/>
      <c r="AS968" s="430"/>
      <c r="AT968" s="430"/>
      <c r="AU968" s="430"/>
      <c r="AV968" s="430"/>
      <c r="AW968" s="430"/>
      <c r="AX968" s="430"/>
      <c r="AY968" s="430"/>
      <c r="AZ968" s="430"/>
      <c r="BA968" s="430"/>
      <c r="BB968" s="430"/>
      <c r="BC968" s="430"/>
      <c r="BD968" s="430"/>
      <c r="BE968" s="430"/>
    </row>
    <row r="969" spans="1:57" ht="15.75" customHeight="1">
      <c r="A969" s="430"/>
      <c r="B969" s="430"/>
      <c r="C969" s="430"/>
      <c r="D969" s="430"/>
      <c r="E969" s="430"/>
      <c r="F969" s="430"/>
      <c r="G969" s="430"/>
      <c r="H969" s="430"/>
      <c r="I969" s="430"/>
      <c r="J969" s="430"/>
      <c r="K969" s="430"/>
      <c r="L969" s="430"/>
      <c r="M969" s="430"/>
      <c r="N969" s="430"/>
      <c r="O969" s="430"/>
      <c r="P969" s="430"/>
      <c r="Q969" s="430"/>
      <c r="R969" s="430"/>
      <c r="S969" s="430"/>
      <c r="T969" s="430"/>
      <c r="U969" s="430"/>
      <c r="V969" s="430"/>
      <c r="W969" s="430"/>
      <c r="X969" s="430"/>
      <c r="Y969" s="430"/>
      <c r="Z969" s="430"/>
      <c r="AA969" s="430"/>
      <c r="AB969" s="430"/>
      <c r="AC969" s="430"/>
      <c r="AD969" s="430"/>
      <c r="AE969" s="430"/>
      <c r="AF969" s="430"/>
      <c r="AG969" s="430"/>
      <c r="AH969" s="430"/>
      <c r="AI969" s="430"/>
      <c r="AJ969" s="430"/>
      <c r="AK969" s="430"/>
      <c r="AL969" s="430"/>
      <c r="AM969" s="430"/>
      <c r="AN969" s="430"/>
      <c r="AO969" s="430"/>
      <c r="AP969" s="430"/>
      <c r="AQ969" s="430"/>
      <c r="AR969" s="430"/>
      <c r="AS969" s="430"/>
      <c r="AT969" s="430"/>
      <c r="AU969" s="430"/>
      <c r="AV969" s="430"/>
      <c r="AW969" s="430"/>
      <c r="AX969" s="430"/>
      <c r="AY969" s="430"/>
      <c r="AZ969" s="430"/>
      <c r="BA969" s="430"/>
      <c r="BB969" s="430"/>
      <c r="BC969" s="430"/>
      <c r="BD969" s="430"/>
      <c r="BE969" s="430"/>
    </row>
    <row r="970" spans="1:57" ht="15.75" customHeight="1">
      <c r="A970" s="430"/>
      <c r="B970" s="430"/>
      <c r="C970" s="430"/>
      <c r="D970" s="430"/>
      <c r="E970" s="430"/>
      <c r="F970" s="430"/>
      <c r="G970" s="430"/>
      <c r="H970" s="430"/>
      <c r="I970" s="430"/>
      <c r="J970" s="430"/>
      <c r="K970" s="430"/>
      <c r="L970" s="430"/>
      <c r="M970" s="430"/>
      <c r="N970" s="430"/>
      <c r="O970" s="430"/>
      <c r="P970" s="430"/>
      <c r="Q970" s="430"/>
      <c r="R970" s="430"/>
      <c r="S970" s="430"/>
      <c r="T970" s="430"/>
      <c r="U970" s="430"/>
      <c r="V970" s="430"/>
      <c r="W970" s="430"/>
      <c r="X970" s="430"/>
      <c r="Y970" s="430"/>
      <c r="Z970" s="430"/>
      <c r="AA970" s="430"/>
      <c r="AB970" s="430"/>
      <c r="AC970" s="430"/>
      <c r="AD970" s="430"/>
      <c r="AE970" s="430"/>
      <c r="AF970" s="430"/>
      <c r="AG970" s="430"/>
      <c r="AH970" s="430"/>
      <c r="AI970" s="430"/>
      <c r="AJ970" s="430"/>
      <c r="AK970" s="430"/>
      <c r="AL970" s="430"/>
      <c r="AM970" s="430"/>
      <c r="AN970" s="430"/>
      <c r="AO970" s="430"/>
      <c r="AP970" s="430"/>
      <c r="AQ970" s="430"/>
      <c r="AR970" s="430"/>
      <c r="AS970" s="430"/>
      <c r="AT970" s="430"/>
      <c r="AU970" s="430"/>
      <c r="AV970" s="430"/>
      <c r="AW970" s="430"/>
      <c r="AX970" s="430"/>
      <c r="AY970" s="430"/>
      <c r="AZ970" s="430"/>
      <c r="BA970" s="430"/>
      <c r="BB970" s="430"/>
      <c r="BC970" s="430"/>
      <c r="BD970" s="430"/>
      <c r="BE970" s="430"/>
    </row>
    <row r="971" spans="1:57" ht="15.75" customHeight="1">
      <c r="A971" s="430"/>
      <c r="B971" s="430"/>
      <c r="C971" s="430"/>
      <c r="D971" s="430"/>
      <c r="E971" s="430"/>
      <c r="F971" s="430"/>
      <c r="G971" s="430"/>
      <c r="H971" s="430"/>
      <c r="I971" s="430"/>
      <c r="J971" s="430"/>
      <c r="K971" s="430"/>
      <c r="L971" s="430"/>
      <c r="M971" s="430"/>
      <c r="N971" s="430"/>
      <c r="O971" s="430"/>
      <c r="P971" s="430"/>
      <c r="Q971" s="430"/>
      <c r="R971" s="430"/>
      <c r="S971" s="430"/>
      <c r="T971" s="430"/>
      <c r="U971" s="430"/>
      <c r="V971" s="430"/>
      <c r="W971" s="430"/>
      <c r="X971" s="430"/>
      <c r="Y971" s="430"/>
      <c r="Z971" s="430"/>
      <c r="AA971" s="430"/>
      <c r="AB971" s="430"/>
      <c r="AC971" s="430"/>
      <c r="AD971" s="430"/>
      <c r="AE971" s="430"/>
      <c r="AF971" s="430"/>
      <c r="AG971" s="430"/>
      <c r="AH971" s="430"/>
      <c r="AI971" s="430"/>
      <c r="AJ971" s="430"/>
      <c r="AK971" s="430"/>
      <c r="AL971" s="430"/>
      <c r="AM971" s="430"/>
      <c r="AN971" s="430"/>
      <c r="AO971" s="430"/>
      <c r="AP971" s="430"/>
      <c r="AQ971" s="430"/>
      <c r="AR971" s="430"/>
      <c r="AS971" s="430"/>
      <c r="AT971" s="430"/>
      <c r="AU971" s="430"/>
      <c r="AV971" s="430"/>
      <c r="AW971" s="430"/>
      <c r="AX971" s="430"/>
      <c r="AY971" s="430"/>
      <c r="AZ971" s="430"/>
      <c r="BA971" s="430"/>
      <c r="BB971" s="430"/>
      <c r="BC971" s="430"/>
      <c r="BD971" s="430"/>
      <c r="BE971" s="430"/>
    </row>
    <row r="972" spans="1:57" ht="15.75" customHeight="1">
      <c r="A972" s="430"/>
      <c r="B972" s="430"/>
      <c r="C972" s="430"/>
      <c r="D972" s="430"/>
      <c r="E972" s="430"/>
      <c r="F972" s="430"/>
      <c r="G972" s="430"/>
      <c r="H972" s="430"/>
      <c r="I972" s="430"/>
      <c r="J972" s="430"/>
      <c r="K972" s="430"/>
      <c r="L972" s="430"/>
      <c r="M972" s="430"/>
      <c r="N972" s="430"/>
      <c r="O972" s="430"/>
      <c r="P972" s="430"/>
      <c r="Q972" s="430"/>
      <c r="R972" s="430"/>
      <c r="S972" s="430"/>
      <c r="T972" s="430"/>
      <c r="U972" s="430"/>
      <c r="V972" s="430"/>
      <c r="W972" s="430"/>
      <c r="X972" s="430"/>
      <c r="Y972" s="430"/>
      <c r="Z972" s="430"/>
      <c r="AA972" s="430"/>
      <c r="AB972" s="430"/>
      <c r="AC972" s="430"/>
      <c r="AD972" s="430"/>
      <c r="AE972" s="430"/>
      <c r="AF972" s="430"/>
      <c r="AG972" s="430"/>
      <c r="AH972" s="430"/>
      <c r="AI972" s="430"/>
      <c r="AJ972" s="430"/>
      <c r="AK972" s="430"/>
      <c r="AL972" s="430"/>
      <c r="AM972" s="430"/>
      <c r="AN972" s="430"/>
      <c r="AO972" s="430"/>
      <c r="AP972" s="430"/>
      <c r="AQ972" s="430"/>
      <c r="AR972" s="430"/>
      <c r="AS972" s="430"/>
      <c r="AT972" s="430"/>
      <c r="AU972" s="430"/>
      <c r="AV972" s="430"/>
      <c r="AW972" s="430"/>
      <c r="AX972" s="430"/>
      <c r="AY972" s="430"/>
      <c r="AZ972" s="430"/>
      <c r="BA972" s="430"/>
      <c r="BB972" s="430"/>
      <c r="BC972" s="430"/>
      <c r="BD972" s="430"/>
      <c r="BE972" s="430"/>
    </row>
    <row r="973" spans="1:57" ht="15.75" customHeight="1">
      <c r="A973" s="430"/>
      <c r="B973" s="430"/>
      <c r="C973" s="430"/>
      <c r="D973" s="430"/>
      <c r="E973" s="430"/>
      <c r="F973" s="430"/>
      <c r="G973" s="430"/>
      <c r="H973" s="430"/>
      <c r="I973" s="430"/>
      <c r="J973" s="430"/>
      <c r="K973" s="430"/>
      <c r="L973" s="430"/>
      <c r="M973" s="430"/>
      <c r="N973" s="430"/>
      <c r="O973" s="430"/>
      <c r="P973" s="430"/>
      <c r="Q973" s="430"/>
      <c r="R973" s="430"/>
      <c r="S973" s="430"/>
      <c r="T973" s="430"/>
      <c r="U973" s="430"/>
      <c r="V973" s="430"/>
      <c r="W973" s="430"/>
      <c r="X973" s="430"/>
      <c r="Y973" s="430"/>
      <c r="Z973" s="430"/>
      <c r="AA973" s="430"/>
      <c r="AB973" s="430"/>
      <c r="AC973" s="430"/>
      <c r="AD973" s="430"/>
      <c r="AE973" s="430"/>
      <c r="AF973" s="430"/>
      <c r="AG973" s="430"/>
      <c r="AH973" s="430"/>
      <c r="AI973" s="430"/>
      <c r="AJ973" s="430"/>
      <c r="AK973" s="430"/>
      <c r="AL973" s="430"/>
      <c r="AM973" s="430"/>
      <c r="AN973" s="430"/>
      <c r="AO973" s="430"/>
      <c r="AP973" s="430"/>
      <c r="AQ973" s="430"/>
      <c r="AR973" s="430"/>
      <c r="AS973" s="430"/>
      <c r="AT973" s="430"/>
      <c r="AU973" s="430"/>
      <c r="AV973" s="430"/>
      <c r="AW973" s="430"/>
      <c r="AX973" s="430"/>
      <c r="AY973" s="430"/>
      <c r="AZ973" s="430"/>
      <c r="BA973" s="430"/>
      <c r="BB973" s="430"/>
      <c r="BC973" s="430"/>
      <c r="BD973" s="430"/>
      <c r="BE973" s="430"/>
    </row>
    <row r="974" spans="1:57" ht="15.75" customHeight="1">
      <c r="A974" s="430"/>
      <c r="B974" s="430"/>
      <c r="C974" s="430"/>
      <c r="D974" s="430"/>
      <c r="E974" s="430"/>
      <c r="F974" s="430"/>
      <c r="G974" s="430"/>
      <c r="H974" s="430"/>
      <c r="I974" s="430"/>
      <c r="J974" s="430"/>
      <c r="K974" s="430"/>
      <c r="L974" s="430"/>
      <c r="M974" s="430"/>
      <c r="N974" s="430"/>
      <c r="O974" s="430"/>
      <c r="P974" s="430"/>
      <c r="Q974" s="430"/>
      <c r="R974" s="430"/>
      <c r="S974" s="430"/>
      <c r="T974" s="430"/>
      <c r="U974" s="430"/>
      <c r="V974" s="430"/>
      <c r="W974" s="430"/>
      <c r="X974" s="430"/>
      <c r="Y974" s="430"/>
      <c r="Z974" s="430"/>
      <c r="AA974" s="430"/>
      <c r="AB974" s="430"/>
      <c r="AC974" s="430"/>
      <c r="AD974" s="430"/>
      <c r="AE974" s="430"/>
      <c r="AF974" s="430"/>
      <c r="AG974" s="430"/>
      <c r="AH974" s="430"/>
      <c r="AI974" s="430"/>
      <c r="AJ974" s="430"/>
      <c r="AK974" s="430"/>
      <c r="AL974" s="430"/>
      <c r="AM974" s="430"/>
      <c r="AN974" s="430"/>
      <c r="AO974" s="430"/>
      <c r="AP974" s="430"/>
      <c r="AQ974" s="430"/>
      <c r="AR974" s="430"/>
      <c r="AS974" s="430"/>
      <c r="AT974" s="430"/>
      <c r="AU974" s="430"/>
      <c r="AV974" s="430"/>
      <c r="AW974" s="430"/>
      <c r="AX974" s="430"/>
      <c r="AY974" s="430"/>
      <c r="AZ974" s="430"/>
      <c r="BA974" s="430"/>
      <c r="BB974" s="430"/>
      <c r="BC974" s="430"/>
      <c r="BD974" s="430"/>
      <c r="BE974" s="430"/>
    </row>
    <row r="975" spans="1:57" ht="15.75" customHeight="1">
      <c r="A975" s="430"/>
      <c r="B975" s="430"/>
      <c r="C975" s="430"/>
      <c r="D975" s="430"/>
      <c r="E975" s="430"/>
      <c r="F975" s="430"/>
      <c r="G975" s="430"/>
      <c r="H975" s="430"/>
      <c r="I975" s="430"/>
      <c r="J975" s="430"/>
      <c r="K975" s="430"/>
      <c r="L975" s="430"/>
      <c r="M975" s="430"/>
      <c r="N975" s="430"/>
      <c r="O975" s="430"/>
      <c r="P975" s="430"/>
      <c r="Q975" s="430"/>
      <c r="R975" s="430"/>
      <c r="S975" s="430"/>
      <c r="T975" s="430"/>
      <c r="U975" s="430"/>
      <c r="V975" s="430"/>
      <c r="W975" s="430"/>
      <c r="X975" s="430"/>
      <c r="Y975" s="430"/>
      <c r="Z975" s="430"/>
      <c r="AA975" s="430"/>
      <c r="AB975" s="430"/>
      <c r="AC975" s="430"/>
      <c r="AD975" s="430"/>
      <c r="AE975" s="430"/>
      <c r="AF975" s="430"/>
      <c r="AG975" s="430"/>
      <c r="AH975" s="430"/>
      <c r="AI975" s="430"/>
      <c r="AJ975" s="430"/>
      <c r="AK975" s="430"/>
      <c r="AL975" s="430"/>
      <c r="AM975" s="430"/>
      <c r="AN975" s="430"/>
      <c r="AO975" s="430"/>
      <c r="AP975" s="430"/>
      <c r="AQ975" s="430"/>
      <c r="AR975" s="430"/>
      <c r="AS975" s="430"/>
      <c r="AT975" s="430"/>
      <c r="AU975" s="430"/>
      <c r="AV975" s="430"/>
      <c r="AW975" s="430"/>
      <c r="AX975" s="430"/>
      <c r="AY975" s="430"/>
      <c r="AZ975" s="430"/>
      <c r="BA975" s="430"/>
      <c r="BB975" s="430"/>
      <c r="BC975" s="430"/>
      <c r="BD975" s="430"/>
      <c r="BE975" s="430"/>
    </row>
    <row r="976" spans="1:57" ht="15.75" customHeight="1">
      <c r="A976" s="430"/>
      <c r="B976" s="430"/>
      <c r="C976" s="430"/>
      <c r="D976" s="430"/>
      <c r="E976" s="430"/>
      <c r="F976" s="430"/>
      <c r="G976" s="430"/>
      <c r="H976" s="430"/>
      <c r="I976" s="430"/>
      <c r="J976" s="430"/>
      <c r="K976" s="430"/>
      <c r="L976" s="430"/>
      <c r="M976" s="430"/>
      <c r="N976" s="430"/>
      <c r="O976" s="430"/>
      <c r="P976" s="430"/>
      <c r="Q976" s="430"/>
      <c r="R976" s="430"/>
      <c r="S976" s="430"/>
      <c r="T976" s="430"/>
      <c r="U976" s="430"/>
      <c r="V976" s="430"/>
      <c r="W976" s="430"/>
      <c r="X976" s="430"/>
      <c r="Y976" s="430"/>
      <c r="Z976" s="430"/>
      <c r="AA976" s="430"/>
      <c r="AB976" s="430"/>
      <c r="AC976" s="430"/>
      <c r="AD976" s="430"/>
      <c r="AE976" s="430"/>
      <c r="AF976" s="430"/>
      <c r="AG976" s="430"/>
      <c r="AH976" s="430"/>
      <c r="AI976" s="430"/>
      <c r="AJ976" s="430"/>
      <c r="AK976" s="430"/>
      <c r="AL976" s="430"/>
      <c r="AM976" s="430"/>
      <c r="AN976" s="430"/>
      <c r="AO976" s="430"/>
      <c r="AP976" s="430"/>
      <c r="AQ976" s="430"/>
      <c r="AR976" s="430"/>
      <c r="AS976" s="430"/>
      <c r="AT976" s="430"/>
      <c r="AU976" s="430"/>
      <c r="AV976" s="430"/>
      <c r="AW976" s="430"/>
      <c r="AX976" s="430"/>
      <c r="AY976" s="430"/>
      <c r="AZ976" s="430"/>
      <c r="BA976" s="430"/>
      <c r="BB976" s="430"/>
      <c r="BC976" s="430"/>
      <c r="BD976" s="430"/>
      <c r="BE976" s="430"/>
    </row>
    <row r="977" spans="1:57" ht="15.75" customHeight="1">
      <c r="A977" s="430"/>
      <c r="B977" s="430"/>
      <c r="C977" s="430"/>
      <c r="D977" s="430"/>
      <c r="E977" s="430"/>
      <c r="F977" s="430"/>
      <c r="G977" s="430"/>
      <c r="H977" s="430"/>
      <c r="I977" s="430"/>
      <c r="J977" s="430"/>
      <c r="K977" s="430"/>
      <c r="L977" s="430"/>
      <c r="M977" s="430"/>
      <c r="N977" s="430"/>
      <c r="O977" s="430"/>
      <c r="P977" s="430"/>
      <c r="Q977" s="430"/>
      <c r="R977" s="430"/>
      <c r="S977" s="430"/>
      <c r="T977" s="430"/>
      <c r="U977" s="430"/>
      <c r="V977" s="430"/>
      <c r="W977" s="430"/>
      <c r="X977" s="430"/>
      <c r="Y977" s="430"/>
      <c r="Z977" s="430"/>
      <c r="AA977" s="430"/>
      <c r="AB977" s="430"/>
      <c r="AC977" s="430"/>
      <c r="AD977" s="430"/>
      <c r="AE977" s="430"/>
      <c r="AF977" s="430"/>
      <c r="AG977" s="430"/>
      <c r="AH977" s="430"/>
      <c r="AI977" s="430"/>
      <c r="AJ977" s="430"/>
      <c r="AK977" s="430"/>
      <c r="AL977" s="430"/>
      <c r="AM977" s="430"/>
      <c r="AN977" s="430"/>
      <c r="AO977" s="430"/>
      <c r="AP977" s="430"/>
      <c r="AQ977" s="430"/>
      <c r="AR977" s="430"/>
      <c r="AS977" s="430"/>
      <c r="AT977" s="430"/>
      <c r="AU977" s="430"/>
      <c r="AV977" s="430"/>
      <c r="AW977" s="430"/>
      <c r="AX977" s="430"/>
      <c r="AY977" s="430"/>
      <c r="AZ977" s="430"/>
      <c r="BA977" s="430"/>
      <c r="BB977" s="430"/>
      <c r="BC977" s="430"/>
      <c r="BD977" s="430"/>
      <c r="BE977" s="430"/>
    </row>
    <row r="978" spans="1:57" ht="15.75" customHeight="1">
      <c r="A978" s="430"/>
      <c r="B978" s="430"/>
      <c r="C978" s="430"/>
      <c r="D978" s="430"/>
      <c r="E978" s="430"/>
      <c r="F978" s="430"/>
      <c r="G978" s="430"/>
      <c r="H978" s="430"/>
      <c r="I978" s="430"/>
      <c r="J978" s="430"/>
      <c r="K978" s="430"/>
      <c r="L978" s="430"/>
      <c r="M978" s="430"/>
      <c r="N978" s="430"/>
      <c r="O978" s="430"/>
      <c r="P978" s="430"/>
      <c r="Q978" s="430"/>
      <c r="R978" s="430"/>
      <c r="S978" s="430"/>
      <c r="T978" s="430"/>
      <c r="U978" s="430"/>
      <c r="V978" s="430"/>
      <c r="W978" s="430"/>
      <c r="X978" s="430"/>
      <c r="Y978" s="430"/>
      <c r="Z978" s="430"/>
      <c r="AA978" s="430"/>
      <c r="AB978" s="430"/>
      <c r="AC978" s="430"/>
      <c r="AD978" s="430"/>
      <c r="AE978" s="430"/>
      <c r="AF978" s="430"/>
      <c r="AG978" s="430"/>
      <c r="AH978" s="430"/>
      <c r="AI978" s="430"/>
      <c r="AJ978" s="430"/>
      <c r="AK978" s="430"/>
      <c r="AL978" s="430"/>
      <c r="AM978" s="430"/>
      <c r="AN978" s="430"/>
      <c r="AO978" s="430"/>
      <c r="AP978" s="430"/>
      <c r="AQ978" s="430"/>
      <c r="AR978" s="430"/>
      <c r="AS978" s="430"/>
      <c r="AT978" s="430"/>
      <c r="AU978" s="430"/>
      <c r="AV978" s="430"/>
      <c r="AW978" s="430"/>
      <c r="AX978" s="430"/>
      <c r="AY978" s="430"/>
      <c r="AZ978" s="430"/>
      <c r="BA978" s="430"/>
      <c r="BB978" s="430"/>
      <c r="BC978" s="430"/>
      <c r="BD978" s="430"/>
      <c r="BE978" s="430"/>
    </row>
    <row r="979" spans="1:57" ht="15.75" customHeight="1">
      <c r="A979" s="430"/>
      <c r="B979" s="430"/>
      <c r="C979" s="430"/>
      <c r="D979" s="430"/>
      <c r="E979" s="430"/>
      <c r="F979" s="430"/>
      <c r="G979" s="430"/>
      <c r="H979" s="430"/>
      <c r="I979" s="430"/>
      <c r="J979" s="430"/>
      <c r="K979" s="430"/>
      <c r="L979" s="430"/>
      <c r="M979" s="430"/>
      <c r="N979" s="430"/>
      <c r="O979" s="430"/>
      <c r="P979" s="430"/>
      <c r="Q979" s="430"/>
      <c r="R979" s="430"/>
      <c r="S979" s="430"/>
      <c r="T979" s="430"/>
      <c r="U979" s="430"/>
      <c r="V979" s="430"/>
      <c r="W979" s="430"/>
      <c r="X979" s="430"/>
      <c r="Y979" s="430"/>
      <c r="Z979" s="430"/>
      <c r="AA979" s="430"/>
      <c r="AB979" s="430"/>
      <c r="AC979" s="430"/>
      <c r="AD979" s="430"/>
      <c r="AE979" s="430"/>
      <c r="AF979" s="430"/>
      <c r="AG979" s="430"/>
      <c r="AH979" s="430"/>
      <c r="AI979" s="430"/>
      <c r="AJ979" s="430"/>
      <c r="AK979" s="430"/>
      <c r="AL979" s="430"/>
      <c r="AM979" s="430"/>
      <c r="AN979" s="430"/>
      <c r="AO979" s="430"/>
      <c r="AP979" s="430"/>
      <c r="AQ979" s="430"/>
      <c r="AR979" s="430"/>
      <c r="AS979" s="430"/>
      <c r="AT979" s="430"/>
      <c r="AU979" s="430"/>
      <c r="AV979" s="430"/>
      <c r="AW979" s="430"/>
      <c r="AX979" s="430"/>
      <c r="AY979" s="430"/>
      <c r="AZ979" s="430"/>
      <c r="BA979" s="430"/>
      <c r="BB979" s="430"/>
      <c r="BC979" s="430"/>
      <c r="BD979" s="430"/>
      <c r="BE979" s="430"/>
    </row>
    <row r="980" spans="1:57" ht="15.75" customHeight="1">
      <c r="A980" s="430"/>
      <c r="B980" s="430"/>
      <c r="C980" s="430"/>
      <c r="D980" s="430"/>
      <c r="E980" s="430"/>
      <c r="F980" s="430"/>
      <c r="G980" s="430"/>
      <c r="H980" s="430"/>
      <c r="I980" s="430"/>
      <c r="J980" s="430"/>
      <c r="K980" s="430"/>
      <c r="L980" s="430"/>
      <c r="M980" s="430"/>
      <c r="N980" s="430"/>
      <c r="O980" s="430"/>
      <c r="P980" s="430"/>
      <c r="Q980" s="430"/>
      <c r="R980" s="430"/>
      <c r="S980" s="430"/>
      <c r="T980" s="430"/>
      <c r="U980" s="430"/>
      <c r="V980" s="430"/>
      <c r="W980" s="430"/>
      <c r="X980" s="430"/>
      <c r="Y980" s="430"/>
      <c r="Z980" s="430"/>
      <c r="AA980" s="430"/>
      <c r="AB980" s="430"/>
      <c r="AC980" s="430"/>
      <c r="AD980" s="430"/>
      <c r="AE980" s="430"/>
      <c r="AF980" s="430"/>
      <c r="AG980" s="430"/>
      <c r="AH980" s="430"/>
      <c r="AI980" s="430"/>
      <c r="AJ980" s="430"/>
      <c r="AK980" s="430"/>
      <c r="AL980" s="430"/>
      <c r="AM980" s="430"/>
      <c r="AN980" s="430"/>
      <c r="AO980" s="430"/>
      <c r="AP980" s="430"/>
      <c r="AQ980" s="430"/>
      <c r="AR980" s="430"/>
      <c r="AS980" s="430"/>
      <c r="AT980" s="430"/>
      <c r="AU980" s="430"/>
      <c r="AV980" s="430"/>
      <c r="AW980" s="430"/>
      <c r="AX980" s="430"/>
      <c r="AY980" s="430"/>
      <c r="AZ980" s="430"/>
      <c r="BA980" s="430"/>
      <c r="BB980" s="430"/>
      <c r="BC980" s="430"/>
      <c r="BD980" s="430"/>
      <c r="BE980" s="430"/>
    </row>
    <row r="981" spans="1:57" ht="15.75" customHeight="1">
      <c r="A981" s="430"/>
      <c r="B981" s="430"/>
      <c r="C981" s="430"/>
      <c r="D981" s="430"/>
      <c r="E981" s="430"/>
      <c r="F981" s="430"/>
      <c r="G981" s="430"/>
      <c r="H981" s="430"/>
      <c r="I981" s="430"/>
      <c r="J981" s="430"/>
      <c r="K981" s="430"/>
      <c r="L981" s="430"/>
      <c r="M981" s="430"/>
      <c r="N981" s="430"/>
      <c r="O981" s="430"/>
      <c r="P981" s="430"/>
      <c r="Q981" s="430"/>
      <c r="R981" s="430"/>
      <c r="S981" s="430"/>
      <c r="T981" s="430"/>
      <c r="U981" s="430"/>
      <c r="V981" s="430"/>
      <c r="W981" s="430"/>
      <c r="X981" s="430"/>
      <c r="Y981" s="430"/>
      <c r="Z981" s="430"/>
      <c r="AA981" s="430"/>
      <c r="AB981" s="430"/>
      <c r="AC981" s="430"/>
      <c r="AD981" s="430"/>
      <c r="AE981" s="430"/>
      <c r="AF981" s="430"/>
      <c r="AG981" s="430"/>
      <c r="AH981" s="430"/>
      <c r="AI981" s="430"/>
      <c r="AJ981" s="430"/>
      <c r="AK981" s="430"/>
      <c r="AL981" s="430"/>
      <c r="AM981" s="430"/>
      <c r="AN981" s="430"/>
      <c r="AO981" s="430"/>
      <c r="AP981" s="430"/>
      <c r="AQ981" s="430"/>
      <c r="AR981" s="430"/>
      <c r="AS981" s="430"/>
      <c r="AT981" s="430"/>
      <c r="AU981" s="430"/>
      <c r="AV981" s="430"/>
      <c r="AW981" s="430"/>
      <c r="AX981" s="430"/>
      <c r="AY981" s="430"/>
      <c r="AZ981" s="430"/>
      <c r="BA981" s="430"/>
      <c r="BB981" s="430"/>
      <c r="BC981" s="430"/>
      <c r="BD981" s="430"/>
      <c r="BE981" s="430"/>
    </row>
    <row r="982" spans="1:57" ht="15.75" customHeight="1">
      <c r="A982" s="430"/>
      <c r="B982" s="430"/>
      <c r="C982" s="430"/>
      <c r="D982" s="430"/>
      <c r="E982" s="430"/>
      <c r="F982" s="430"/>
      <c r="G982" s="430"/>
      <c r="H982" s="430"/>
      <c r="I982" s="430"/>
      <c r="J982" s="430"/>
      <c r="K982" s="430"/>
      <c r="L982" s="430"/>
      <c r="M982" s="430"/>
      <c r="N982" s="430"/>
      <c r="O982" s="430"/>
      <c r="P982" s="430"/>
      <c r="Q982" s="430"/>
      <c r="R982" s="430"/>
      <c r="S982" s="430"/>
      <c r="T982" s="430"/>
      <c r="U982" s="430"/>
      <c r="V982" s="430"/>
      <c r="W982" s="430"/>
      <c r="X982" s="430"/>
      <c r="Y982" s="430"/>
      <c r="Z982" s="430"/>
      <c r="AA982" s="430"/>
      <c r="AB982" s="430"/>
      <c r="AC982" s="430"/>
      <c r="AD982" s="430"/>
      <c r="AE982" s="430"/>
      <c r="AF982" s="430"/>
      <c r="AG982" s="430"/>
      <c r="AH982" s="430"/>
      <c r="AI982" s="430"/>
      <c r="AJ982" s="430"/>
      <c r="AK982" s="430"/>
      <c r="AL982" s="430"/>
      <c r="AM982" s="430"/>
      <c r="AN982" s="430"/>
      <c r="AO982" s="430"/>
      <c r="AP982" s="430"/>
      <c r="AQ982" s="430"/>
      <c r="AR982" s="430"/>
      <c r="AS982" s="430"/>
      <c r="AT982" s="430"/>
      <c r="AU982" s="430"/>
      <c r="AV982" s="430"/>
      <c r="AW982" s="430"/>
      <c r="AX982" s="430"/>
      <c r="AY982" s="430"/>
      <c r="AZ982" s="430"/>
      <c r="BA982" s="430"/>
      <c r="BB982" s="430"/>
      <c r="BC982" s="430"/>
      <c r="BD982" s="430"/>
      <c r="BE982" s="430"/>
    </row>
    <row r="983" spans="1:57" ht="15.75" customHeight="1">
      <c r="A983" s="430"/>
      <c r="B983" s="430"/>
      <c r="C983" s="430"/>
      <c r="D983" s="430"/>
      <c r="E983" s="430"/>
      <c r="F983" s="430"/>
      <c r="G983" s="430"/>
      <c r="H983" s="430"/>
      <c r="I983" s="430"/>
      <c r="J983" s="430"/>
      <c r="K983" s="430"/>
      <c r="L983" s="430"/>
      <c r="M983" s="430"/>
      <c r="N983" s="430"/>
      <c r="O983" s="430"/>
      <c r="P983" s="430"/>
      <c r="Q983" s="430"/>
      <c r="R983" s="430"/>
      <c r="S983" s="430"/>
      <c r="T983" s="430"/>
      <c r="U983" s="430"/>
      <c r="V983" s="430"/>
      <c r="W983" s="430"/>
      <c r="X983" s="430"/>
      <c r="Y983" s="430"/>
      <c r="Z983" s="430"/>
      <c r="AA983" s="430"/>
      <c r="AB983" s="430"/>
      <c r="AC983" s="430"/>
      <c r="AD983" s="430"/>
      <c r="AE983" s="430"/>
      <c r="AF983" s="430"/>
      <c r="AG983" s="430"/>
      <c r="AH983" s="430"/>
      <c r="AI983" s="430"/>
      <c r="AJ983" s="430"/>
      <c r="AK983" s="430"/>
      <c r="AL983" s="430"/>
      <c r="AM983" s="430"/>
      <c r="AN983" s="430"/>
      <c r="AO983" s="430"/>
      <c r="AP983" s="430"/>
      <c r="AQ983" s="430"/>
      <c r="AR983" s="430"/>
      <c r="AS983" s="430"/>
      <c r="AT983" s="430"/>
      <c r="AU983" s="430"/>
      <c r="AV983" s="430"/>
      <c r="AW983" s="430"/>
      <c r="AX983" s="430"/>
      <c r="AY983" s="430"/>
      <c r="AZ983" s="430"/>
      <c r="BA983" s="430"/>
      <c r="BB983" s="430"/>
      <c r="BC983" s="430"/>
      <c r="BD983" s="430"/>
      <c r="BE983" s="430"/>
    </row>
    <row r="984" spans="1:57" ht="15.75" customHeight="1">
      <c r="A984" s="430"/>
      <c r="B984" s="430"/>
      <c r="C984" s="430"/>
      <c r="D984" s="430"/>
      <c r="E984" s="430"/>
      <c r="F984" s="430"/>
      <c r="G984" s="430"/>
      <c r="H984" s="430"/>
      <c r="I984" s="430"/>
      <c r="J984" s="430"/>
      <c r="K984" s="430"/>
      <c r="L984" s="430"/>
      <c r="M984" s="430"/>
      <c r="N984" s="430"/>
      <c r="O984" s="430"/>
      <c r="P984" s="430"/>
      <c r="Q984" s="430"/>
      <c r="R984" s="430"/>
      <c r="S984" s="430"/>
      <c r="T984" s="430"/>
      <c r="U984" s="430"/>
      <c r="V984" s="430"/>
      <c r="W984" s="430"/>
      <c r="X984" s="430"/>
      <c r="Y984" s="430"/>
      <c r="Z984" s="430"/>
      <c r="AA984" s="430"/>
      <c r="AB984" s="430"/>
      <c r="AC984" s="430"/>
      <c r="AD984" s="430"/>
      <c r="AE984" s="430"/>
      <c r="AF984" s="430"/>
      <c r="AG984" s="430"/>
      <c r="AH984" s="430"/>
      <c r="AI984" s="430"/>
      <c r="AJ984" s="430"/>
      <c r="AK984" s="430"/>
      <c r="AL984" s="430"/>
      <c r="AM984" s="430"/>
      <c r="AN984" s="430"/>
      <c r="AO984" s="430"/>
      <c r="AP984" s="430"/>
      <c r="AQ984" s="430"/>
      <c r="AR984" s="430"/>
      <c r="AS984" s="430"/>
      <c r="AT984" s="430"/>
      <c r="AU984" s="430"/>
      <c r="AV984" s="430"/>
      <c r="AW984" s="430"/>
      <c r="AX984" s="430"/>
      <c r="AY984" s="430"/>
      <c r="AZ984" s="430"/>
      <c r="BA984" s="430"/>
      <c r="BB984" s="430"/>
      <c r="BC984" s="430"/>
      <c r="BD984" s="430"/>
      <c r="BE984" s="430"/>
    </row>
    <row r="985" spans="1:57" ht="15.75" customHeight="1">
      <c r="A985" s="430"/>
      <c r="B985" s="430"/>
      <c r="C985" s="430"/>
      <c r="D985" s="430"/>
      <c r="E985" s="430"/>
      <c r="F985" s="430"/>
      <c r="G985" s="430"/>
      <c r="H985" s="430"/>
      <c r="I985" s="430"/>
      <c r="J985" s="430"/>
      <c r="K985" s="430"/>
      <c r="L985" s="430"/>
      <c r="M985" s="430"/>
      <c r="N985" s="430"/>
      <c r="O985" s="430"/>
      <c r="P985" s="430"/>
      <c r="Q985" s="430"/>
      <c r="R985" s="430"/>
      <c r="S985" s="430"/>
      <c r="T985" s="430"/>
      <c r="U985" s="430"/>
      <c r="V985" s="430"/>
      <c r="W985" s="430"/>
      <c r="X985" s="430"/>
      <c r="Y985" s="430"/>
      <c r="Z985" s="430"/>
      <c r="AA985" s="430"/>
      <c r="AB985" s="430"/>
      <c r="AC985" s="430"/>
      <c r="AD985" s="430"/>
      <c r="AE985" s="430"/>
      <c r="AF985" s="430"/>
      <c r="AG985" s="430"/>
      <c r="AH985" s="430"/>
      <c r="AI985" s="430"/>
      <c r="AJ985" s="430"/>
      <c r="AK985" s="430"/>
      <c r="AL985" s="430"/>
      <c r="AM985" s="430"/>
      <c r="AN985" s="430"/>
      <c r="AO985" s="430"/>
      <c r="AP985" s="430"/>
      <c r="AQ985" s="430"/>
      <c r="AR985" s="430"/>
      <c r="AS985" s="430"/>
      <c r="AT985" s="430"/>
      <c r="AU985" s="430"/>
      <c r="AV985" s="430"/>
      <c r="AW985" s="430"/>
      <c r="AX985" s="430"/>
      <c r="AY985" s="430"/>
      <c r="AZ985" s="430"/>
      <c r="BA985" s="430"/>
      <c r="BB985" s="430"/>
      <c r="BC985" s="430"/>
      <c r="BD985" s="430"/>
      <c r="BE985" s="430"/>
    </row>
    <row r="986" spans="1:57" ht="15.75" customHeight="1">
      <c r="A986" s="430"/>
      <c r="B986" s="430"/>
      <c r="C986" s="430"/>
      <c r="D986" s="430"/>
      <c r="E986" s="430"/>
      <c r="F986" s="430"/>
      <c r="G986" s="430"/>
      <c r="H986" s="430"/>
      <c r="I986" s="430"/>
      <c r="J986" s="430"/>
      <c r="K986" s="430"/>
      <c r="L986" s="430"/>
      <c r="M986" s="430"/>
      <c r="N986" s="430"/>
      <c r="O986" s="430"/>
      <c r="P986" s="430"/>
      <c r="Q986" s="430"/>
      <c r="R986" s="430"/>
      <c r="S986" s="430"/>
      <c r="T986" s="430"/>
      <c r="U986" s="430"/>
      <c r="V986" s="430"/>
      <c r="W986" s="430"/>
      <c r="X986" s="430"/>
      <c r="Y986" s="430"/>
      <c r="Z986" s="430"/>
      <c r="AA986" s="430"/>
      <c r="AB986" s="430"/>
      <c r="AC986" s="430"/>
      <c r="AD986" s="430"/>
      <c r="AE986" s="430"/>
      <c r="AF986" s="430"/>
      <c r="AG986" s="430"/>
      <c r="AH986" s="430"/>
      <c r="AI986" s="430"/>
      <c r="AJ986" s="430"/>
      <c r="AK986" s="430"/>
      <c r="AL986" s="430"/>
      <c r="AM986" s="430"/>
      <c r="AN986" s="430"/>
      <c r="AO986" s="430"/>
      <c r="AP986" s="430"/>
      <c r="AQ986" s="430"/>
      <c r="AR986" s="430"/>
      <c r="AS986" s="430"/>
      <c r="AT986" s="430"/>
      <c r="AU986" s="430"/>
      <c r="AV986" s="430"/>
      <c r="AW986" s="430"/>
      <c r="AX986" s="430"/>
      <c r="AY986" s="430"/>
      <c r="AZ986" s="430"/>
      <c r="BA986" s="430"/>
      <c r="BB986" s="430"/>
      <c r="BC986" s="430"/>
      <c r="BD986" s="430"/>
      <c r="BE986" s="430"/>
    </row>
    <row r="987" spans="1:57" ht="15.75" customHeight="1">
      <c r="A987" s="430"/>
      <c r="B987" s="430"/>
      <c r="C987" s="430"/>
      <c r="D987" s="430"/>
      <c r="E987" s="430"/>
      <c r="F987" s="430"/>
      <c r="G987" s="430"/>
      <c r="H987" s="430"/>
      <c r="I987" s="430"/>
      <c r="J987" s="430"/>
      <c r="K987" s="430"/>
      <c r="L987" s="430"/>
      <c r="M987" s="430"/>
      <c r="N987" s="430"/>
      <c r="O987" s="430"/>
      <c r="P987" s="430"/>
      <c r="Q987" s="430"/>
      <c r="R987" s="430"/>
      <c r="S987" s="430"/>
      <c r="T987" s="430"/>
      <c r="U987" s="430"/>
      <c r="V987" s="430"/>
      <c r="W987" s="430"/>
      <c r="X987" s="430"/>
      <c r="Y987" s="430"/>
      <c r="Z987" s="430"/>
      <c r="AA987" s="430"/>
      <c r="AB987" s="430"/>
      <c r="AC987" s="430"/>
      <c r="AD987" s="430"/>
      <c r="AE987" s="430"/>
      <c r="AF987" s="430"/>
      <c r="AG987" s="430"/>
      <c r="AH987" s="430"/>
      <c r="AI987" s="430"/>
      <c r="AJ987" s="430"/>
      <c r="AK987" s="430"/>
      <c r="AL987" s="430"/>
      <c r="AM987" s="430"/>
      <c r="AN987" s="430"/>
      <c r="AO987" s="430"/>
      <c r="AP987" s="430"/>
      <c r="AQ987" s="430"/>
      <c r="AR987" s="430"/>
      <c r="AS987" s="430"/>
      <c r="AT987" s="430"/>
      <c r="AU987" s="430"/>
      <c r="AV987" s="430"/>
      <c r="AW987" s="430"/>
      <c r="AX987" s="430"/>
      <c r="AY987" s="430"/>
      <c r="AZ987" s="430"/>
      <c r="BA987" s="430"/>
      <c r="BB987" s="430"/>
      <c r="BC987" s="430"/>
      <c r="BD987" s="430"/>
      <c r="BE987" s="430"/>
    </row>
    <row r="988" spans="1:57" ht="15.75" customHeight="1">
      <c r="A988" s="430"/>
      <c r="B988" s="430"/>
      <c r="C988" s="430"/>
      <c r="D988" s="430"/>
      <c r="E988" s="430"/>
      <c r="F988" s="430"/>
      <c r="G988" s="430"/>
      <c r="H988" s="430"/>
      <c r="I988" s="430"/>
      <c r="J988" s="430"/>
      <c r="K988" s="430"/>
      <c r="L988" s="430"/>
      <c r="M988" s="430"/>
      <c r="N988" s="430"/>
      <c r="O988" s="430"/>
      <c r="P988" s="430"/>
      <c r="Q988" s="430"/>
      <c r="R988" s="430"/>
      <c r="S988" s="430"/>
      <c r="T988" s="430"/>
      <c r="U988" s="430"/>
      <c r="V988" s="430"/>
      <c r="W988" s="430"/>
      <c r="X988" s="430"/>
      <c r="Y988" s="430"/>
      <c r="Z988" s="430"/>
      <c r="AA988" s="430"/>
      <c r="AB988" s="430"/>
      <c r="AC988" s="430"/>
      <c r="AD988" s="430"/>
      <c r="AE988" s="430"/>
      <c r="AF988" s="430"/>
      <c r="AG988" s="430"/>
      <c r="AH988" s="430"/>
      <c r="AI988" s="430"/>
      <c r="AJ988" s="430"/>
      <c r="AK988" s="430"/>
      <c r="AL988" s="430"/>
      <c r="AM988" s="430"/>
      <c r="AN988" s="430"/>
      <c r="AO988" s="430"/>
      <c r="AP988" s="430"/>
      <c r="AQ988" s="430"/>
      <c r="AR988" s="430"/>
      <c r="AS988" s="430"/>
      <c r="AT988" s="430"/>
      <c r="AU988" s="430"/>
      <c r="AV988" s="430"/>
      <c r="AW988" s="430"/>
      <c r="AX988" s="430"/>
      <c r="AY988" s="430"/>
      <c r="AZ988" s="430"/>
      <c r="BA988" s="430"/>
      <c r="BB988" s="430"/>
      <c r="BC988" s="430"/>
      <c r="BD988" s="430"/>
      <c r="BE988" s="430"/>
    </row>
    <row r="989" spans="1:57" ht="15.75" customHeight="1">
      <c r="A989" s="430"/>
      <c r="B989" s="430"/>
      <c r="C989" s="430"/>
      <c r="D989" s="430"/>
      <c r="E989" s="430"/>
      <c r="F989" s="430"/>
      <c r="G989" s="430"/>
      <c r="H989" s="430"/>
      <c r="I989" s="430"/>
      <c r="J989" s="430"/>
      <c r="K989" s="430"/>
      <c r="L989" s="430"/>
      <c r="M989" s="430"/>
      <c r="N989" s="430"/>
      <c r="O989" s="430"/>
      <c r="P989" s="430"/>
      <c r="Q989" s="430"/>
      <c r="R989" s="430"/>
      <c r="S989" s="430"/>
      <c r="T989" s="430"/>
      <c r="U989" s="430"/>
      <c r="V989" s="430"/>
      <c r="W989" s="430"/>
      <c r="X989" s="430"/>
      <c r="Y989" s="430"/>
      <c r="Z989" s="430"/>
      <c r="AA989" s="430"/>
      <c r="AB989" s="430"/>
      <c r="AC989" s="430"/>
      <c r="AD989" s="430"/>
      <c r="AE989" s="430"/>
      <c r="AF989" s="430"/>
      <c r="AG989" s="430"/>
      <c r="AH989" s="430"/>
      <c r="AI989" s="430"/>
      <c r="AJ989" s="430"/>
      <c r="AK989" s="430"/>
      <c r="AL989" s="430"/>
      <c r="AM989" s="430"/>
      <c r="AN989" s="430"/>
      <c r="AO989" s="430"/>
      <c r="AP989" s="430"/>
      <c r="AQ989" s="430"/>
      <c r="AR989" s="430"/>
      <c r="AS989" s="430"/>
      <c r="AT989" s="430"/>
      <c r="AU989" s="430"/>
      <c r="AV989" s="430"/>
      <c r="AW989" s="430"/>
      <c r="AX989" s="430"/>
      <c r="AY989" s="430"/>
      <c r="AZ989" s="430"/>
      <c r="BA989" s="430"/>
      <c r="BB989" s="430"/>
      <c r="BC989" s="430"/>
      <c r="BD989" s="430"/>
      <c r="BE989" s="430"/>
    </row>
    <row r="990" spans="1:57" ht="15.75" customHeight="1">
      <c r="A990" s="430"/>
      <c r="B990" s="430"/>
      <c r="C990" s="430"/>
      <c r="D990" s="430"/>
      <c r="E990" s="430"/>
      <c r="F990" s="430"/>
      <c r="G990" s="430"/>
      <c r="H990" s="430"/>
      <c r="I990" s="430"/>
      <c r="J990" s="430"/>
      <c r="K990" s="430"/>
      <c r="L990" s="430"/>
      <c r="M990" s="430"/>
      <c r="N990" s="430"/>
      <c r="O990" s="430"/>
      <c r="P990" s="430"/>
      <c r="Q990" s="430"/>
      <c r="R990" s="430"/>
      <c r="S990" s="430"/>
      <c r="T990" s="430"/>
      <c r="U990" s="430"/>
      <c r="V990" s="430"/>
      <c r="W990" s="430"/>
      <c r="X990" s="430"/>
      <c r="Y990" s="430"/>
      <c r="Z990" s="430"/>
      <c r="AA990" s="430"/>
      <c r="AB990" s="430"/>
      <c r="AC990" s="430"/>
      <c r="AD990" s="430"/>
      <c r="AE990" s="430"/>
      <c r="AF990" s="430"/>
      <c r="AG990" s="430"/>
      <c r="AH990" s="430"/>
      <c r="AI990" s="430"/>
      <c r="AJ990" s="430"/>
      <c r="AK990" s="430"/>
      <c r="AL990" s="430"/>
      <c r="AM990" s="430"/>
      <c r="AN990" s="430"/>
      <c r="AO990" s="430"/>
      <c r="AP990" s="430"/>
      <c r="AQ990" s="430"/>
      <c r="AR990" s="430"/>
      <c r="AS990" s="430"/>
      <c r="AT990" s="430"/>
      <c r="AU990" s="430"/>
      <c r="AV990" s="430"/>
      <c r="AW990" s="430"/>
      <c r="AX990" s="430"/>
      <c r="AY990" s="430"/>
      <c r="AZ990" s="430"/>
      <c r="BA990" s="430"/>
      <c r="BB990" s="430"/>
      <c r="BC990" s="430"/>
      <c r="BD990" s="430"/>
      <c r="BE990" s="430"/>
    </row>
    <row r="991" spans="1:57" ht="15.75" customHeight="1">
      <c r="A991" s="430"/>
      <c r="B991" s="430"/>
      <c r="C991" s="430"/>
      <c r="D991" s="430"/>
      <c r="E991" s="430"/>
      <c r="F991" s="430"/>
      <c r="G991" s="430"/>
      <c r="H991" s="430"/>
      <c r="I991" s="430"/>
      <c r="J991" s="430"/>
      <c r="K991" s="430"/>
      <c r="L991" s="430"/>
      <c r="M991" s="430"/>
      <c r="N991" s="430"/>
      <c r="O991" s="430"/>
      <c r="P991" s="430"/>
      <c r="Q991" s="430"/>
      <c r="R991" s="430"/>
      <c r="S991" s="430"/>
      <c r="T991" s="430"/>
      <c r="U991" s="430"/>
      <c r="V991" s="430"/>
      <c r="W991" s="430"/>
      <c r="X991" s="430"/>
      <c r="Y991" s="430"/>
      <c r="Z991" s="430"/>
      <c r="AA991" s="430"/>
      <c r="AB991" s="430"/>
      <c r="AC991" s="430"/>
      <c r="AD991" s="430"/>
      <c r="AE991" s="430"/>
      <c r="AF991" s="430"/>
      <c r="AG991" s="430"/>
      <c r="AH991" s="430"/>
      <c r="AI991" s="430"/>
      <c r="AJ991" s="430"/>
      <c r="AK991" s="430"/>
      <c r="AL991" s="430"/>
      <c r="AM991" s="430"/>
      <c r="AN991" s="430"/>
      <c r="AO991" s="430"/>
      <c r="AP991" s="430"/>
      <c r="AQ991" s="430"/>
      <c r="AR991" s="430"/>
      <c r="AS991" s="430"/>
      <c r="AT991" s="430"/>
      <c r="AU991" s="430"/>
      <c r="AV991" s="430"/>
      <c r="AW991" s="430"/>
      <c r="AX991" s="430"/>
      <c r="AY991" s="430"/>
      <c r="AZ991" s="430"/>
      <c r="BA991" s="430"/>
      <c r="BB991" s="430"/>
      <c r="BC991" s="430"/>
      <c r="BD991" s="430"/>
      <c r="BE991" s="430"/>
    </row>
    <row r="992" spans="1:57" ht="15.75" customHeight="1">
      <c r="A992" s="430"/>
      <c r="B992" s="430"/>
      <c r="C992" s="430"/>
      <c r="D992" s="430"/>
      <c r="E992" s="430"/>
      <c r="F992" s="430"/>
      <c r="G992" s="430"/>
      <c r="H992" s="430"/>
      <c r="I992" s="430"/>
      <c r="J992" s="430"/>
      <c r="K992" s="430"/>
      <c r="L992" s="430"/>
      <c r="M992" s="430"/>
      <c r="N992" s="430"/>
      <c r="O992" s="430"/>
      <c r="P992" s="430"/>
      <c r="Q992" s="430"/>
      <c r="R992" s="430"/>
      <c r="S992" s="430"/>
      <c r="T992" s="430"/>
      <c r="U992" s="430"/>
      <c r="V992" s="430"/>
      <c r="W992" s="430"/>
      <c r="X992" s="430"/>
      <c r="Y992" s="430"/>
      <c r="Z992" s="430"/>
      <c r="AA992" s="430"/>
      <c r="AB992" s="430"/>
      <c r="AC992" s="430"/>
      <c r="AD992" s="430"/>
      <c r="AE992" s="430"/>
      <c r="AF992" s="430"/>
      <c r="AG992" s="430"/>
      <c r="AH992" s="430"/>
      <c r="AI992" s="430"/>
      <c r="AJ992" s="430"/>
      <c r="AK992" s="430"/>
      <c r="AL992" s="430"/>
      <c r="AM992" s="430"/>
      <c r="AN992" s="430"/>
      <c r="AO992" s="430"/>
      <c r="AP992" s="430"/>
      <c r="AQ992" s="430"/>
      <c r="AR992" s="430"/>
      <c r="AS992" s="430"/>
      <c r="AT992" s="430"/>
      <c r="AU992" s="430"/>
      <c r="AV992" s="430"/>
      <c r="AW992" s="430"/>
      <c r="AX992" s="430"/>
      <c r="AY992" s="430"/>
      <c r="AZ992" s="430"/>
      <c r="BA992" s="430"/>
      <c r="BB992" s="430"/>
      <c r="BC992" s="430"/>
      <c r="BD992" s="430"/>
      <c r="BE992" s="430"/>
    </row>
    <row r="993" spans="1:57" ht="15.75" customHeight="1">
      <c r="A993" s="430"/>
      <c r="B993" s="430"/>
      <c r="C993" s="430"/>
      <c r="D993" s="430"/>
      <c r="E993" s="430"/>
      <c r="F993" s="430"/>
      <c r="G993" s="430"/>
      <c r="H993" s="430"/>
      <c r="I993" s="430"/>
      <c r="J993" s="430"/>
      <c r="K993" s="430"/>
      <c r="L993" s="430"/>
      <c r="M993" s="430"/>
      <c r="N993" s="430"/>
      <c r="O993" s="430"/>
      <c r="P993" s="430"/>
      <c r="Q993" s="430"/>
      <c r="R993" s="430"/>
      <c r="S993" s="430"/>
      <c r="T993" s="430"/>
      <c r="U993" s="430"/>
      <c r="V993" s="430"/>
      <c r="W993" s="430"/>
      <c r="X993" s="430"/>
      <c r="Y993" s="430"/>
      <c r="Z993" s="430"/>
      <c r="AA993" s="430"/>
      <c r="AB993" s="430"/>
      <c r="AC993" s="430"/>
      <c r="AD993" s="430"/>
      <c r="AE993" s="430"/>
      <c r="AF993" s="430"/>
      <c r="AG993" s="430"/>
      <c r="AH993" s="430"/>
      <c r="AI993" s="430"/>
      <c r="AJ993" s="430"/>
      <c r="AK993" s="430"/>
      <c r="AL993" s="430"/>
      <c r="AM993" s="430"/>
      <c r="AN993" s="430"/>
      <c r="AO993" s="430"/>
      <c r="AP993" s="430"/>
      <c r="AQ993" s="430"/>
      <c r="AR993" s="430"/>
      <c r="AS993" s="430"/>
      <c r="AT993" s="430"/>
      <c r="AU993" s="430"/>
      <c r="AV993" s="430"/>
      <c r="AW993" s="430"/>
      <c r="AX993" s="430"/>
      <c r="AY993" s="430"/>
      <c r="AZ993" s="430"/>
      <c r="BA993" s="430"/>
      <c r="BB993" s="430"/>
      <c r="BC993" s="430"/>
      <c r="BD993" s="430"/>
      <c r="BE993" s="430"/>
    </row>
    <row r="994" spans="1:57" ht="15.75" customHeight="1">
      <c r="A994" s="430"/>
      <c r="B994" s="430"/>
      <c r="C994" s="430"/>
      <c r="D994" s="430"/>
      <c r="E994" s="430"/>
      <c r="F994" s="430"/>
      <c r="G994" s="430"/>
      <c r="H994" s="430"/>
      <c r="I994" s="430"/>
      <c r="J994" s="430"/>
      <c r="K994" s="430"/>
      <c r="L994" s="430"/>
      <c r="M994" s="430"/>
      <c r="N994" s="430"/>
      <c r="O994" s="430"/>
      <c r="P994" s="430"/>
      <c r="Q994" s="430"/>
      <c r="R994" s="430"/>
      <c r="S994" s="430"/>
      <c r="T994" s="430"/>
      <c r="U994" s="430"/>
      <c r="V994" s="430"/>
      <c r="W994" s="430"/>
      <c r="X994" s="430"/>
      <c r="Y994" s="430"/>
      <c r="Z994" s="430"/>
      <c r="AA994" s="430"/>
      <c r="AB994" s="430"/>
      <c r="AC994" s="430"/>
      <c r="AD994" s="430"/>
      <c r="AE994" s="430"/>
      <c r="AF994" s="430"/>
      <c r="AG994" s="430"/>
      <c r="AH994" s="430"/>
      <c r="AI994" s="430"/>
      <c r="AJ994" s="430"/>
      <c r="AK994" s="430"/>
      <c r="AL994" s="430"/>
      <c r="AM994" s="430"/>
      <c r="AN994" s="430"/>
      <c r="AO994" s="430"/>
      <c r="AP994" s="430"/>
      <c r="AQ994" s="430"/>
      <c r="AR994" s="430"/>
      <c r="AS994" s="430"/>
      <c r="AT994" s="430"/>
      <c r="AU994" s="430"/>
      <c r="AV994" s="430"/>
      <c r="AW994" s="430"/>
      <c r="AX994" s="430"/>
      <c r="AY994" s="430"/>
      <c r="AZ994" s="430"/>
      <c r="BA994" s="430"/>
      <c r="BB994" s="430"/>
      <c r="BC994" s="430"/>
      <c r="BD994" s="430"/>
      <c r="BE994" s="430"/>
    </row>
    <row r="995" spans="1:57" ht="15.75" customHeight="1">
      <c r="A995" s="430"/>
      <c r="B995" s="430"/>
      <c r="C995" s="430"/>
      <c r="D995" s="430"/>
      <c r="E995" s="430"/>
      <c r="F995" s="430"/>
      <c r="G995" s="430"/>
      <c r="H995" s="430"/>
      <c r="I995" s="430"/>
      <c r="J995" s="430"/>
      <c r="K995" s="430"/>
      <c r="L995" s="430"/>
      <c r="M995" s="430"/>
      <c r="N995" s="430"/>
      <c r="O995" s="430"/>
      <c r="P995" s="430"/>
      <c r="Q995" s="430"/>
      <c r="R995" s="430"/>
      <c r="S995" s="430"/>
      <c r="T995" s="430"/>
      <c r="U995" s="430"/>
      <c r="V995" s="430"/>
      <c r="W995" s="430"/>
      <c r="X995" s="430"/>
      <c r="Y995" s="430"/>
      <c r="Z995" s="430"/>
      <c r="AA995" s="430"/>
      <c r="AB995" s="430"/>
      <c r="AC995" s="430"/>
      <c r="AD995" s="430"/>
      <c r="AE995" s="430"/>
      <c r="AF995" s="430"/>
      <c r="AG995" s="430"/>
      <c r="AH995" s="430"/>
      <c r="AI995" s="430"/>
      <c r="AJ995" s="430"/>
      <c r="AK995" s="430"/>
      <c r="AL995" s="430"/>
      <c r="AM995" s="430"/>
      <c r="AN995" s="430"/>
      <c r="AO995" s="430"/>
      <c r="AP995" s="430"/>
      <c r="AQ995" s="430"/>
      <c r="AR995" s="430"/>
      <c r="AS995" s="430"/>
      <c r="AT995" s="430"/>
      <c r="AU995" s="430"/>
      <c r="AV995" s="430"/>
      <c r="AW995" s="430"/>
      <c r="AX995" s="430"/>
      <c r="AY995" s="430"/>
      <c r="AZ995" s="430"/>
      <c r="BA995" s="430"/>
      <c r="BB995" s="430"/>
      <c r="BC995" s="430"/>
      <c r="BD995" s="430"/>
      <c r="BE995" s="430"/>
    </row>
    <row r="996" spans="1:57" ht="15.75" customHeight="1">
      <c r="A996" s="430"/>
      <c r="B996" s="430"/>
      <c r="C996" s="430"/>
      <c r="D996" s="430"/>
      <c r="E996" s="430"/>
      <c r="F996" s="430"/>
      <c r="G996" s="430"/>
      <c r="H996" s="430"/>
      <c r="I996" s="430"/>
      <c r="J996" s="430"/>
      <c r="K996" s="430"/>
      <c r="L996" s="430"/>
      <c r="M996" s="430"/>
      <c r="N996" s="430"/>
      <c r="O996" s="430"/>
      <c r="P996" s="430"/>
      <c r="Q996" s="430"/>
      <c r="R996" s="430"/>
      <c r="S996" s="430"/>
      <c r="T996" s="430"/>
      <c r="U996" s="430"/>
      <c r="V996" s="430"/>
      <c r="W996" s="430"/>
      <c r="X996" s="430"/>
      <c r="Y996" s="430"/>
      <c r="Z996" s="430"/>
      <c r="AA996" s="430"/>
      <c r="AB996" s="430"/>
      <c r="AC996" s="430"/>
      <c r="AD996" s="430"/>
      <c r="AE996" s="430"/>
      <c r="AF996" s="430"/>
      <c r="AG996" s="430"/>
      <c r="AH996" s="430"/>
      <c r="AI996" s="430"/>
      <c r="AJ996" s="430"/>
      <c r="AK996" s="430"/>
      <c r="AL996" s="430"/>
      <c r="AM996" s="430"/>
      <c r="AN996" s="430"/>
      <c r="AO996" s="430"/>
      <c r="AP996" s="430"/>
      <c r="AQ996" s="430"/>
      <c r="AR996" s="430"/>
      <c r="AS996" s="430"/>
      <c r="AT996" s="430"/>
      <c r="AU996" s="430"/>
      <c r="AV996" s="430"/>
      <c r="AW996" s="430"/>
      <c r="AX996" s="430"/>
      <c r="AY996" s="430"/>
      <c r="AZ996" s="430"/>
      <c r="BA996" s="430"/>
      <c r="BB996" s="430"/>
      <c r="BC996" s="430"/>
      <c r="BD996" s="430"/>
      <c r="BE996" s="430"/>
    </row>
    <row r="997" spans="1:57" ht="15.75" customHeight="1">
      <c r="A997" s="430"/>
      <c r="B997" s="430"/>
      <c r="C997" s="430"/>
      <c r="D997" s="430"/>
      <c r="E997" s="430"/>
      <c r="F997" s="430"/>
      <c r="G997" s="430"/>
      <c r="H997" s="430"/>
      <c r="I997" s="430"/>
      <c r="J997" s="430"/>
      <c r="K997" s="430"/>
      <c r="L997" s="430"/>
      <c r="M997" s="430"/>
      <c r="N997" s="430"/>
      <c r="O997" s="430"/>
      <c r="P997" s="430"/>
      <c r="Q997" s="430"/>
      <c r="R997" s="430"/>
      <c r="S997" s="430"/>
      <c r="T997" s="430"/>
      <c r="U997" s="430"/>
      <c r="V997" s="430"/>
      <c r="W997" s="430"/>
      <c r="X997" s="430"/>
      <c r="Y997" s="430"/>
      <c r="Z997" s="430"/>
      <c r="AA997" s="430"/>
      <c r="AB997" s="430"/>
      <c r="AC997" s="430"/>
      <c r="AD997" s="430"/>
      <c r="AE997" s="430"/>
      <c r="AF997" s="430"/>
      <c r="AG997" s="430"/>
      <c r="AH997" s="430"/>
      <c r="AI997" s="430"/>
      <c r="AJ997" s="430"/>
      <c r="AK997" s="430"/>
      <c r="AL997" s="430"/>
      <c r="AM997" s="430"/>
      <c r="AN997" s="430"/>
      <c r="AO997" s="430"/>
      <c r="AP997" s="430"/>
      <c r="AQ997" s="430"/>
      <c r="AR997" s="430"/>
      <c r="AS997" s="430"/>
      <c r="AT997" s="430"/>
      <c r="AU997" s="430"/>
      <c r="AV997" s="430"/>
      <c r="AW997" s="430"/>
      <c r="AX997" s="430"/>
      <c r="AY997" s="430"/>
      <c r="AZ997" s="430"/>
      <c r="BA997" s="430"/>
      <c r="BB997" s="430"/>
      <c r="BC997" s="430"/>
      <c r="BD997" s="430"/>
      <c r="BE997" s="430"/>
    </row>
    <row r="998" spans="1:57" ht="15.75" customHeight="1">
      <c r="A998" s="430"/>
      <c r="B998" s="430"/>
      <c r="C998" s="430"/>
      <c r="D998" s="430"/>
      <c r="E998" s="430"/>
      <c r="F998" s="430"/>
      <c r="G998" s="430"/>
      <c r="H998" s="430"/>
      <c r="I998" s="430"/>
      <c r="J998" s="430"/>
      <c r="K998" s="430"/>
      <c r="L998" s="430"/>
      <c r="M998" s="430"/>
      <c r="N998" s="430"/>
      <c r="O998" s="430"/>
      <c r="P998" s="430"/>
      <c r="Q998" s="430"/>
      <c r="R998" s="430"/>
      <c r="S998" s="430"/>
      <c r="T998" s="430"/>
      <c r="U998" s="430"/>
      <c r="V998" s="430"/>
      <c r="W998" s="430"/>
      <c r="X998" s="430"/>
      <c r="Y998" s="430"/>
      <c r="Z998" s="430"/>
      <c r="AA998" s="430"/>
      <c r="AB998" s="430"/>
      <c r="AC998" s="430"/>
      <c r="AD998" s="430"/>
      <c r="AE998" s="430"/>
      <c r="AF998" s="430"/>
      <c r="AG998" s="430"/>
      <c r="AH998" s="430"/>
      <c r="AI998" s="430"/>
      <c r="AJ998" s="430"/>
      <c r="AK998" s="430"/>
      <c r="AL998" s="430"/>
      <c r="AM998" s="430"/>
      <c r="AN998" s="430"/>
      <c r="AO998" s="430"/>
      <c r="AP998" s="430"/>
      <c r="AQ998" s="430"/>
      <c r="AR998" s="430"/>
      <c r="AS998" s="430"/>
      <c r="AT998" s="430"/>
      <c r="AU998" s="430"/>
      <c r="AV998" s="430"/>
      <c r="AW998" s="430"/>
      <c r="AX998" s="430"/>
      <c r="AY998" s="430"/>
      <c r="AZ998" s="430"/>
      <c r="BA998" s="430"/>
      <c r="BB998" s="430"/>
      <c r="BC998" s="430"/>
      <c r="BD998" s="430"/>
      <c r="BE998" s="430"/>
    </row>
    <row r="999" spans="1:57" ht="15.75" customHeight="1">
      <c r="A999" s="430"/>
      <c r="B999" s="430"/>
      <c r="C999" s="430"/>
      <c r="D999" s="430"/>
      <c r="E999" s="430"/>
      <c r="F999" s="430"/>
      <c r="G999" s="430"/>
      <c r="H999" s="430"/>
      <c r="I999" s="430"/>
      <c r="J999" s="430"/>
      <c r="K999" s="430"/>
      <c r="L999" s="430"/>
      <c r="M999" s="430"/>
      <c r="N999" s="430"/>
      <c r="O999" s="430"/>
      <c r="P999" s="430"/>
      <c r="Q999" s="430"/>
      <c r="R999" s="430"/>
      <c r="S999" s="430"/>
      <c r="T999" s="430"/>
      <c r="U999" s="430"/>
      <c r="V999" s="430"/>
      <c r="W999" s="430"/>
      <c r="X999" s="430"/>
      <c r="Y999" s="430"/>
      <c r="Z999" s="430"/>
      <c r="AA999" s="430"/>
      <c r="AB999" s="430"/>
      <c r="AC999" s="430"/>
      <c r="AD999" s="430"/>
      <c r="AE999" s="430"/>
      <c r="AF999" s="430"/>
      <c r="AG999" s="430"/>
      <c r="AH999" s="430"/>
      <c r="AI999" s="430"/>
      <c r="AJ999" s="430"/>
      <c r="AK999" s="430"/>
      <c r="AL999" s="430"/>
      <c r="AM999" s="430"/>
      <c r="AN999" s="430"/>
      <c r="AO999" s="430"/>
      <c r="AP999" s="430"/>
      <c r="AQ999" s="430"/>
      <c r="AR999" s="430"/>
      <c r="AS999" s="430"/>
      <c r="AT999" s="430"/>
      <c r="AU999" s="430"/>
      <c r="AV999" s="430"/>
      <c r="AW999" s="430"/>
      <c r="AX999" s="430"/>
      <c r="AY999" s="430"/>
      <c r="AZ999" s="430"/>
      <c r="BA999" s="430"/>
      <c r="BB999" s="430"/>
      <c r="BC999" s="430"/>
      <c r="BD999" s="430"/>
      <c r="BE999" s="430"/>
    </row>
    <row r="1000" spans="1:57" ht="15.75" customHeight="1">
      <c r="A1000" s="430"/>
      <c r="B1000" s="430"/>
      <c r="C1000" s="430"/>
      <c r="D1000" s="430"/>
      <c r="E1000" s="430"/>
      <c r="F1000" s="430"/>
      <c r="G1000" s="430"/>
      <c r="H1000" s="430"/>
      <c r="I1000" s="430"/>
      <c r="J1000" s="430"/>
      <c r="K1000" s="430"/>
      <c r="L1000" s="430"/>
      <c r="M1000" s="430"/>
      <c r="N1000" s="430"/>
      <c r="O1000" s="430"/>
      <c r="P1000" s="430"/>
      <c r="Q1000" s="430"/>
      <c r="R1000" s="430"/>
      <c r="S1000" s="430"/>
      <c r="T1000" s="430"/>
      <c r="U1000" s="430"/>
      <c r="V1000" s="430"/>
      <c r="W1000" s="430"/>
      <c r="X1000" s="430"/>
      <c r="Y1000" s="430"/>
      <c r="Z1000" s="430"/>
      <c r="AA1000" s="430"/>
      <c r="AB1000" s="430"/>
      <c r="AC1000" s="430"/>
      <c r="AD1000" s="430"/>
      <c r="AE1000" s="430"/>
      <c r="AF1000" s="430"/>
      <c r="AG1000" s="430"/>
      <c r="AH1000" s="430"/>
      <c r="AI1000" s="430"/>
      <c r="AJ1000" s="430"/>
      <c r="AK1000" s="430"/>
      <c r="AL1000" s="430"/>
      <c r="AM1000" s="430"/>
      <c r="AN1000" s="430"/>
      <c r="AO1000" s="430"/>
      <c r="AP1000" s="430"/>
      <c r="AQ1000" s="430"/>
      <c r="AR1000" s="430"/>
      <c r="AS1000" s="430"/>
      <c r="AT1000" s="430"/>
      <c r="AU1000" s="430"/>
      <c r="AV1000" s="430"/>
      <c r="AW1000" s="430"/>
      <c r="AX1000" s="430"/>
      <c r="AY1000" s="430"/>
      <c r="AZ1000" s="430"/>
      <c r="BA1000" s="430"/>
      <c r="BB1000" s="430"/>
      <c r="BC1000" s="430"/>
      <c r="BD1000" s="430"/>
      <c r="BE1000" s="430"/>
    </row>
  </sheetData>
  <mergeCells count="23">
    <mergeCell ref="B2:B5"/>
    <mergeCell ref="C2:I3"/>
    <mergeCell ref="J2:R3"/>
    <mergeCell ref="S2:AB3"/>
    <mergeCell ref="AC2:AM3"/>
    <mergeCell ref="C4:C5"/>
    <mergeCell ref="D4:D5"/>
    <mergeCell ref="E4:E5"/>
    <mergeCell ref="F4:F5"/>
    <mergeCell ref="G4:G5"/>
    <mergeCell ref="H4:H5"/>
    <mergeCell ref="I4:I5"/>
    <mergeCell ref="J4:J5"/>
    <mergeCell ref="K4:K5"/>
    <mergeCell ref="S4:S5"/>
    <mergeCell ref="Z5:AA5"/>
    <mergeCell ref="X5:Y5"/>
    <mergeCell ref="T4:T5"/>
    <mergeCell ref="U4:U5"/>
    <mergeCell ref="L5:M5"/>
    <mergeCell ref="N5:O5"/>
    <mergeCell ref="P5:Q5"/>
    <mergeCell ref="V5:W5"/>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249977111117893"/>
  </sheetPr>
  <dimension ref="A1:N810"/>
  <sheetViews>
    <sheetView workbookViewId="0">
      <selection activeCell="O25" sqref="O25"/>
    </sheetView>
  </sheetViews>
  <sheetFormatPr defaultColWidth="12.625" defaultRowHeight="15" customHeight="1"/>
  <cols>
    <col min="1" max="1" width="37.375" customWidth="1"/>
    <col min="2" max="14" width="10.625" customWidth="1"/>
  </cols>
  <sheetData>
    <row r="1" spans="1:14" s="151" customFormat="1" ht="145.69999999999999" customHeight="1" thickBot="1">
      <c r="A1" s="152"/>
      <c r="B1" s="153"/>
      <c r="C1" s="154" t="s">
        <v>582</v>
      </c>
      <c r="D1" s="154" t="s">
        <v>583</v>
      </c>
      <c r="E1" s="154" t="s">
        <v>30</v>
      </c>
      <c r="F1" s="154" t="s">
        <v>584</v>
      </c>
      <c r="G1" s="154" t="s">
        <v>585</v>
      </c>
      <c r="H1" s="154" t="s">
        <v>586</v>
      </c>
      <c r="I1" s="154" t="s">
        <v>587</v>
      </c>
      <c r="J1" s="150"/>
    </row>
    <row r="2" spans="1:14" ht="13.5" customHeight="1">
      <c r="A2" s="160"/>
      <c r="B2" s="161" t="s">
        <v>588</v>
      </c>
      <c r="C2" s="204">
        <f>Densification!G156</f>
        <v>2018</v>
      </c>
      <c r="D2" s="203">
        <v>2018</v>
      </c>
      <c r="E2" s="203">
        <v>2019</v>
      </c>
      <c r="F2" s="204">
        <f>'Opérations sol'!C42</f>
        <v>2018</v>
      </c>
      <c r="G2" s="204">
        <f>'Fuel tankering'!C17</f>
        <v>2018</v>
      </c>
      <c r="H2" s="204">
        <f>Turboprop!$C$73</f>
        <v>2019</v>
      </c>
      <c r="I2" s="204">
        <f>'Cost index'!C13</f>
        <v>2018</v>
      </c>
      <c r="J2" s="10"/>
      <c r="K2" s="10"/>
      <c r="L2" s="10"/>
      <c r="M2" s="10"/>
      <c r="N2" s="10"/>
    </row>
    <row r="3" spans="1:14" ht="14.1">
      <c r="A3" s="160"/>
      <c r="B3" s="161" t="s">
        <v>589</v>
      </c>
      <c r="C3" s="157">
        <f>Densification!G155</f>
        <v>1.4902864179397994</v>
      </c>
      <c r="D3" s="155">
        <f>'Transfert modal'!G65</f>
        <v>0.70663241983638003</v>
      </c>
      <c r="E3" s="155">
        <f>Miles!D20</f>
        <v>0.34054230000000002</v>
      </c>
      <c r="F3" s="156">
        <f>'Opérations sol'!D43</f>
        <v>0.28786865753195556</v>
      </c>
      <c r="G3" s="157">
        <f>'Fuel tankering'!C16</f>
        <v>6.7722772277227714E-2</v>
      </c>
      <c r="H3" s="157">
        <f>Turboprop!$C$72</f>
        <v>4.8380732367586991E-2</v>
      </c>
      <c r="I3" s="157">
        <f>'Cost index'!C12</f>
        <v>5.485544554455446E-2</v>
      </c>
      <c r="J3" s="10"/>
      <c r="K3" s="10"/>
      <c r="L3" s="10"/>
      <c r="M3" s="10"/>
      <c r="N3" s="10"/>
    </row>
    <row r="4" spans="1:14" ht="13.5" customHeight="1">
      <c r="A4" s="160"/>
      <c r="B4" s="161" t="s">
        <v>590</v>
      </c>
      <c r="C4" s="157">
        <f>C3*(1+Hypothèses!$E$23)</f>
        <v>1.7741504975473803</v>
      </c>
      <c r="D4" s="157">
        <f>D3*(1+Hypothèses!$E$23)</f>
        <v>0.84122907123378576</v>
      </c>
      <c r="E4" s="157">
        <f>E3*(1+Hypothèses!$E$23)</f>
        <v>0.40540750000000003</v>
      </c>
      <c r="F4" s="157">
        <f>F3*(1+Hypothèses!$E$23)</f>
        <v>0.34270078277613758</v>
      </c>
      <c r="G4" s="157">
        <f>G3*(1+Hypothèses!$E$23)</f>
        <v>8.0622347949080617E-2</v>
      </c>
      <c r="H4" s="157">
        <f>H3*(1+Hypothèses!$E$23)</f>
        <v>5.7596109961413088E-2</v>
      </c>
      <c r="I4" s="157">
        <f>I3*(1+Hypothèses!$E$23)</f>
        <v>6.5304101838755305E-2</v>
      </c>
      <c r="J4" s="309"/>
      <c r="K4" s="309"/>
      <c r="L4" s="309"/>
      <c r="M4" s="309"/>
      <c r="N4" s="309"/>
    </row>
    <row r="5" spans="1:14" ht="13.5" customHeight="1">
      <c r="A5" s="160"/>
      <c r="B5" s="161" t="s">
        <v>591</v>
      </c>
      <c r="C5" s="1031">
        <f>IF(C2=2019,C4/Hypothèses!$D$59,C4/Hypothèses!$D$56)</f>
        <v>6.6017073777157792E-2</v>
      </c>
      <c r="D5" s="1031">
        <f>IF(D2=2019,D4/Hypothèses!$D$59,D4/Hypothèses!$D$56)</f>
        <v>3.1302576492751928E-2</v>
      </c>
      <c r="E5" s="1031">
        <f>IF(E2=2019,E4/Hypothèses!$D$59,E4/Hypothèses!$D$56)</f>
        <v>1.4698620641025641E-2</v>
      </c>
      <c r="F5" s="1031">
        <f>IF(F2=2019,F4/Hypothèses!$D$59,F4/Hypothèses!$D$56)</f>
        <v>1.275207649593312E-2</v>
      </c>
      <c r="G5" s="1031">
        <f>IF(G2=2019,G4/Hypothèses!$D$59,G4/Hypothèses!$D$56)</f>
        <v>3.0000000000000001E-3</v>
      </c>
      <c r="H5" s="1031">
        <f>IF(H2=2019,H4/Hypothèses!$D$59,H4/Hypothèses!$D$56)</f>
        <v>2.0882281919343102E-3</v>
      </c>
      <c r="I5" s="1031">
        <f>IF(I2=2019,I4/Hypothèses!$D$59,I4/Hypothèses!$D$56)</f>
        <v>2.4300000000000003E-3</v>
      </c>
      <c r="J5" s="309"/>
      <c r="K5" s="309"/>
      <c r="L5" s="309"/>
      <c r="M5" s="309"/>
      <c r="N5" s="309"/>
    </row>
    <row r="6" spans="1:14" ht="13.5" customHeight="1">
      <c r="A6" s="1397" t="s">
        <v>592</v>
      </c>
      <c r="B6" s="162">
        <v>2018</v>
      </c>
      <c r="C6" s="159">
        <v>0</v>
      </c>
      <c r="D6" s="159">
        <v>0</v>
      </c>
      <c r="E6" s="159">
        <v>0</v>
      </c>
      <c r="F6" s="158">
        <v>0</v>
      </c>
      <c r="G6" s="158">
        <v>0</v>
      </c>
      <c r="H6" s="158">
        <v>0</v>
      </c>
      <c r="I6" s="158">
        <v>0</v>
      </c>
      <c r="J6" s="309"/>
      <c r="K6" s="309"/>
      <c r="L6" s="309"/>
      <c r="M6" s="309"/>
      <c r="N6" s="309"/>
    </row>
    <row r="7" spans="1:14" ht="13.5" customHeight="1">
      <c r="A7" s="1398"/>
      <c r="B7" s="162">
        <v>2019</v>
      </c>
      <c r="C7" s="159">
        <v>0</v>
      </c>
      <c r="D7" s="159">
        <v>0</v>
      </c>
      <c r="E7" s="159">
        <v>0</v>
      </c>
      <c r="F7" s="158">
        <v>0</v>
      </c>
      <c r="G7" s="158">
        <v>0</v>
      </c>
      <c r="H7" s="158">
        <v>0</v>
      </c>
      <c r="I7" s="158">
        <v>0</v>
      </c>
      <c r="J7" s="309"/>
      <c r="K7" s="309"/>
      <c r="L7" s="309"/>
      <c r="M7" s="309"/>
      <c r="N7" s="309"/>
    </row>
    <row r="8" spans="1:14" ht="13.5" customHeight="1">
      <c r="A8" s="1398"/>
      <c r="B8" s="162">
        <v>2020</v>
      </c>
      <c r="C8" s="159">
        <v>0</v>
      </c>
      <c r="D8" s="159">
        <v>0</v>
      </c>
      <c r="E8" s="159">
        <v>0</v>
      </c>
      <c r="F8" s="158">
        <v>0</v>
      </c>
      <c r="G8" s="158">
        <v>0</v>
      </c>
      <c r="H8" s="158">
        <v>0</v>
      </c>
      <c r="I8" s="158">
        <v>0</v>
      </c>
      <c r="J8" s="309"/>
      <c r="K8" s="309"/>
      <c r="L8" s="309"/>
      <c r="M8" s="309"/>
      <c r="N8" s="309"/>
    </row>
    <row r="9" spans="1:14" ht="13.5" customHeight="1">
      <c r="A9" s="1398"/>
      <c r="B9" s="162">
        <v>2021</v>
      </c>
      <c r="C9" s="159">
        <v>0.2</v>
      </c>
      <c r="D9" s="159">
        <v>0.2</v>
      </c>
      <c r="E9" s="159">
        <v>0.2</v>
      </c>
      <c r="F9" s="158">
        <v>0.2</v>
      </c>
      <c r="G9" s="158">
        <v>0.2</v>
      </c>
      <c r="H9" s="158">
        <v>0.2</v>
      </c>
      <c r="I9" s="158">
        <v>0.2</v>
      </c>
      <c r="J9" s="309"/>
      <c r="K9" s="309"/>
      <c r="L9" s="309"/>
      <c r="M9" s="309"/>
      <c r="N9" s="309"/>
    </row>
    <row r="10" spans="1:14" ht="13.5" customHeight="1">
      <c r="A10" s="1398"/>
      <c r="B10" s="162">
        <v>2022</v>
      </c>
      <c r="C10" s="159">
        <v>0.4</v>
      </c>
      <c r="D10" s="159">
        <v>0.4</v>
      </c>
      <c r="E10" s="159">
        <v>0.4</v>
      </c>
      <c r="F10" s="158">
        <v>0.4</v>
      </c>
      <c r="G10" s="158">
        <v>0.4</v>
      </c>
      <c r="H10" s="158">
        <v>0.4</v>
      </c>
      <c r="I10" s="158">
        <v>0.4</v>
      </c>
      <c r="J10" s="309"/>
      <c r="K10" s="309"/>
      <c r="L10" s="309"/>
      <c r="M10" s="309"/>
      <c r="N10" s="309"/>
    </row>
    <row r="11" spans="1:14" ht="13.5" customHeight="1">
      <c r="A11" s="1398"/>
      <c r="B11" s="162">
        <v>2023</v>
      </c>
      <c r="C11" s="159">
        <v>0.6</v>
      </c>
      <c r="D11" s="159">
        <v>0.6</v>
      </c>
      <c r="E11" s="159">
        <v>0.6</v>
      </c>
      <c r="F11" s="158">
        <v>0.6</v>
      </c>
      <c r="G11" s="158">
        <v>0.6</v>
      </c>
      <c r="H11" s="158">
        <v>0.6</v>
      </c>
      <c r="I11" s="158">
        <v>0.6</v>
      </c>
      <c r="J11" s="309"/>
      <c r="K11" s="309"/>
      <c r="L11" s="309"/>
      <c r="M11" s="309"/>
      <c r="N11" s="309"/>
    </row>
    <row r="12" spans="1:14" ht="13.5" customHeight="1">
      <c r="A12" s="1398"/>
      <c r="B12" s="162">
        <v>2024</v>
      </c>
      <c r="C12" s="159">
        <v>0.8</v>
      </c>
      <c r="D12" s="159">
        <v>0.8</v>
      </c>
      <c r="E12" s="159">
        <v>0.8</v>
      </c>
      <c r="F12" s="158">
        <v>0.8</v>
      </c>
      <c r="G12" s="158">
        <v>0.8</v>
      </c>
      <c r="H12" s="158">
        <v>0.8</v>
      </c>
      <c r="I12" s="158">
        <v>0.8</v>
      </c>
      <c r="J12" s="309"/>
      <c r="K12" s="309"/>
      <c r="L12" s="309"/>
      <c r="M12" s="309"/>
      <c r="N12" s="309"/>
    </row>
    <row r="13" spans="1:14" ht="13.5" customHeight="1">
      <c r="A13" s="1398"/>
      <c r="B13" s="162">
        <v>2025</v>
      </c>
      <c r="C13" s="280">
        <v>1</v>
      </c>
      <c r="D13" s="280">
        <v>1</v>
      </c>
      <c r="E13" s="280">
        <v>1</v>
      </c>
      <c r="F13" s="279">
        <v>1</v>
      </c>
      <c r="G13" s="279">
        <v>1</v>
      </c>
      <c r="H13" s="279">
        <v>1</v>
      </c>
      <c r="I13" s="279">
        <v>1</v>
      </c>
      <c r="J13" s="309"/>
      <c r="K13" s="309"/>
      <c r="L13" s="309"/>
      <c r="M13" s="309"/>
      <c r="N13" s="309"/>
    </row>
    <row r="14" spans="1:14" ht="13.5" customHeight="1">
      <c r="A14" s="1398"/>
      <c r="B14" s="162">
        <v>2026</v>
      </c>
      <c r="C14" s="159">
        <v>1</v>
      </c>
      <c r="D14" s="159">
        <v>1</v>
      </c>
      <c r="E14" s="159">
        <v>1</v>
      </c>
      <c r="F14" s="158">
        <f>($F$18-$F$13)/($B$18-$B$13)*(B14-$B$13)+$F$13</f>
        <v>1.1452837554962494</v>
      </c>
      <c r="G14" s="158">
        <v>1</v>
      </c>
      <c r="H14" s="158">
        <v>1</v>
      </c>
      <c r="I14" s="158">
        <v>1</v>
      </c>
      <c r="J14" s="10"/>
      <c r="K14" s="10"/>
      <c r="L14" s="10"/>
      <c r="M14" s="10"/>
      <c r="N14" s="10"/>
    </row>
    <row r="15" spans="1:14" ht="13.5" customHeight="1">
      <c r="A15" s="1398"/>
      <c r="B15" s="162">
        <v>2027</v>
      </c>
      <c r="C15" s="159">
        <v>1</v>
      </c>
      <c r="D15" s="159">
        <v>1</v>
      </c>
      <c r="E15" s="159">
        <v>1</v>
      </c>
      <c r="F15" s="158">
        <f t="shared" ref="F15:F17" si="0">($F$18-$F$13)/($B$18-$B$13)*(B15-$B$13)+$F$13</f>
        <v>1.2905675109924988</v>
      </c>
      <c r="G15" s="158">
        <v>1</v>
      </c>
      <c r="H15" s="158">
        <v>1</v>
      </c>
      <c r="I15" s="158">
        <v>1</v>
      </c>
      <c r="J15" s="309"/>
      <c r="K15" s="309"/>
      <c r="L15" s="309"/>
      <c r="M15" s="309"/>
      <c r="N15" s="309"/>
    </row>
    <row r="16" spans="1:14" ht="13.5" customHeight="1">
      <c r="A16" s="1398"/>
      <c r="B16" s="162">
        <v>2028</v>
      </c>
      <c r="C16" s="159">
        <v>1</v>
      </c>
      <c r="D16" s="159">
        <v>1</v>
      </c>
      <c r="E16" s="159">
        <v>1</v>
      </c>
      <c r="F16" s="158">
        <f t="shared" si="0"/>
        <v>1.4358512664887484</v>
      </c>
      <c r="G16" s="158">
        <v>1</v>
      </c>
      <c r="H16" s="158">
        <v>1</v>
      </c>
      <c r="I16" s="158">
        <v>1</v>
      </c>
      <c r="J16" s="309"/>
      <c r="K16" s="309"/>
      <c r="L16" s="309"/>
      <c r="M16" s="309"/>
      <c r="N16" s="309"/>
    </row>
    <row r="17" spans="1:10" ht="13.5" customHeight="1">
      <c r="A17" s="1398"/>
      <c r="B17" s="162">
        <v>2029</v>
      </c>
      <c r="C17" s="159">
        <v>1</v>
      </c>
      <c r="D17" s="159">
        <v>1</v>
      </c>
      <c r="E17" s="159">
        <v>1</v>
      </c>
      <c r="F17" s="158">
        <f t="shared" si="0"/>
        <v>1.5811350219849978</v>
      </c>
      <c r="G17" s="158">
        <v>1</v>
      </c>
      <c r="H17" s="158">
        <v>1</v>
      </c>
      <c r="I17" s="158">
        <v>1</v>
      </c>
      <c r="J17" s="309"/>
    </row>
    <row r="18" spans="1:10" ht="13.5" customHeight="1">
      <c r="A18" s="1398"/>
      <c r="B18" s="162">
        <v>2030</v>
      </c>
      <c r="C18" s="159">
        <v>1</v>
      </c>
      <c r="D18" s="159">
        <v>1</v>
      </c>
      <c r="E18" s="159">
        <v>1</v>
      </c>
      <c r="F18" s="279">
        <f>'Opérations sol'!$E$44</f>
        <v>1.7264187774812472</v>
      </c>
      <c r="G18" s="158">
        <v>1</v>
      </c>
      <c r="H18" s="158">
        <v>1</v>
      </c>
      <c r="I18" s="158">
        <v>1</v>
      </c>
      <c r="J18" s="309"/>
    </row>
    <row r="19" spans="1:10" ht="13.5" customHeight="1">
      <c r="A19" s="1398"/>
      <c r="B19" s="162">
        <v>2031</v>
      </c>
      <c r="C19" s="159">
        <v>1</v>
      </c>
      <c r="D19" s="159">
        <v>1</v>
      </c>
      <c r="E19" s="159">
        <v>1</v>
      </c>
      <c r="F19" s="158">
        <f>($F$23-$F$18)/($B$23-$B$18)*(B19-$B$18)+$F$18</f>
        <v>1.7563721587553061</v>
      </c>
      <c r="G19" s="158">
        <v>1</v>
      </c>
      <c r="H19" s="158">
        <v>1</v>
      </c>
      <c r="I19" s="158">
        <v>1</v>
      </c>
      <c r="J19" s="309"/>
    </row>
    <row r="20" spans="1:10" ht="13.5" customHeight="1">
      <c r="A20" s="1398"/>
      <c r="B20" s="162">
        <v>2032</v>
      </c>
      <c r="C20" s="159">
        <v>1</v>
      </c>
      <c r="D20" s="159">
        <v>1</v>
      </c>
      <c r="E20" s="159">
        <v>1</v>
      </c>
      <c r="F20" s="158">
        <f t="shared" ref="F20:F22" si="1">($F$23-$F$18)/($B$23-$B$18)*(B20-$B$18)+$F$18</f>
        <v>1.7863255400293652</v>
      </c>
      <c r="G20" s="158">
        <v>1</v>
      </c>
      <c r="H20" s="158">
        <v>1</v>
      </c>
      <c r="I20" s="158">
        <v>1</v>
      </c>
      <c r="J20" s="309"/>
    </row>
    <row r="21" spans="1:10" ht="13.5" customHeight="1">
      <c r="A21" s="1398"/>
      <c r="B21" s="162">
        <v>2033</v>
      </c>
      <c r="C21" s="159">
        <v>1</v>
      </c>
      <c r="D21" s="159">
        <v>1</v>
      </c>
      <c r="E21" s="159">
        <v>1</v>
      </c>
      <c r="F21" s="158">
        <f t="shared" si="1"/>
        <v>1.8162789213034241</v>
      </c>
      <c r="G21" s="158">
        <v>1</v>
      </c>
      <c r="H21" s="158">
        <v>1</v>
      </c>
      <c r="I21" s="158">
        <v>1</v>
      </c>
      <c r="J21" s="309"/>
    </row>
    <row r="22" spans="1:10" ht="13.5" customHeight="1">
      <c r="A22" s="1398"/>
      <c r="B22" s="162">
        <v>2034</v>
      </c>
      <c r="C22" s="159">
        <v>1</v>
      </c>
      <c r="D22" s="159">
        <v>1</v>
      </c>
      <c r="E22" s="159">
        <v>1</v>
      </c>
      <c r="F22" s="158">
        <f t="shared" si="1"/>
        <v>1.8462323025774832</v>
      </c>
      <c r="G22" s="158">
        <v>1</v>
      </c>
      <c r="H22" s="158">
        <v>1</v>
      </c>
      <c r="I22" s="158">
        <v>1</v>
      </c>
      <c r="J22" s="309"/>
    </row>
    <row r="23" spans="1:10" ht="13.5" customHeight="1">
      <c r="A23" s="1398"/>
      <c r="B23" s="162">
        <v>2035</v>
      </c>
      <c r="C23" s="159">
        <v>1</v>
      </c>
      <c r="D23" s="159">
        <v>1</v>
      </c>
      <c r="E23" s="159">
        <v>1</v>
      </c>
      <c r="F23" s="279">
        <f>'Opérations sol'!$E$45</f>
        <v>1.8761856838515421</v>
      </c>
      <c r="G23" s="158">
        <v>1</v>
      </c>
      <c r="H23" s="158">
        <v>1</v>
      </c>
      <c r="I23" s="158">
        <v>1</v>
      </c>
      <c r="J23" s="1032"/>
    </row>
    <row r="24" spans="1:10" ht="13.5" customHeight="1">
      <c r="A24" s="1398"/>
      <c r="B24" s="162">
        <v>2036</v>
      </c>
      <c r="C24" s="159">
        <v>1</v>
      </c>
      <c r="D24" s="159">
        <v>1</v>
      </c>
      <c r="E24" s="159">
        <v>1</v>
      </c>
      <c r="F24" s="158">
        <f>F23</f>
        <v>1.8761856838515421</v>
      </c>
      <c r="G24" s="158">
        <v>1</v>
      </c>
      <c r="H24" s="158">
        <v>1</v>
      </c>
      <c r="I24" s="158">
        <v>1</v>
      </c>
      <c r="J24" s="309"/>
    </row>
    <row r="25" spans="1:10" ht="13.5" customHeight="1">
      <c r="A25" s="1398"/>
      <c r="B25" s="162">
        <v>2037</v>
      </c>
      <c r="C25" s="159">
        <v>1</v>
      </c>
      <c r="D25" s="159">
        <v>1</v>
      </c>
      <c r="E25" s="159">
        <v>1</v>
      </c>
      <c r="F25" s="158">
        <f t="shared" ref="F25:F38" si="2">F24</f>
        <v>1.8761856838515421</v>
      </c>
      <c r="G25" s="158">
        <v>1</v>
      </c>
      <c r="H25" s="158">
        <v>1</v>
      </c>
      <c r="I25" s="158">
        <v>1</v>
      </c>
      <c r="J25" s="309"/>
    </row>
    <row r="26" spans="1:10" ht="13.5" customHeight="1">
      <c r="A26" s="1398"/>
      <c r="B26" s="162">
        <v>2038</v>
      </c>
      <c r="C26" s="159">
        <v>1</v>
      </c>
      <c r="D26" s="159">
        <v>1</v>
      </c>
      <c r="E26" s="159">
        <v>1</v>
      </c>
      <c r="F26" s="158">
        <f t="shared" si="2"/>
        <v>1.8761856838515421</v>
      </c>
      <c r="G26" s="158">
        <v>1</v>
      </c>
      <c r="H26" s="158">
        <v>1</v>
      </c>
      <c r="I26" s="158">
        <v>1</v>
      </c>
      <c r="J26" s="309"/>
    </row>
    <row r="27" spans="1:10" ht="13.5" customHeight="1">
      <c r="A27" s="1398"/>
      <c r="B27" s="162">
        <v>2039</v>
      </c>
      <c r="C27" s="159">
        <v>1</v>
      </c>
      <c r="D27" s="159">
        <v>1</v>
      </c>
      <c r="E27" s="159">
        <v>1</v>
      </c>
      <c r="F27" s="158">
        <f t="shared" si="2"/>
        <v>1.8761856838515421</v>
      </c>
      <c r="G27" s="158">
        <v>1</v>
      </c>
      <c r="H27" s="158">
        <v>1</v>
      </c>
      <c r="I27" s="158">
        <v>1</v>
      </c>
      <c r="J27" s="309"/>
    </row>
    <row r="28" spans="1:10" ht="13.5" customHeight="1">
      <c r="A28" s="1398"/>
      <c r="B28" s="162">
        <v>2040</v>
      </c>
      <c r="C28" s="159">
        <v>1</v>
      </c>
      <c r="D28" s="159">
        <v>1</v>
      </c>
      <c r="E28" s="159">
        <v>1</v>
      </c>
      <c r="F28" s="158">
        <f t="shared" si="2"/>
        <v>1.8761856838515421</v>
      </c>
      <c r="G28" s="158">
        <v>1</v>
      </c>
      <c r="H28" s="158">
        <v>1</v>
      </c>
      <c r="I28" s="158">
        <v>1</v>
      </c>
      <c r="J28" s="309"/>
    </row>
    <row r="29" spans="1:10" ht="13.5" customHeight="1">
      <c r="A29" s="1398"/>
      <c r="B29" s="162">
        <v>2041</v>
      </c>
      <c r="C29" s="159">
        <v>1</v>
      </c>
      <c r="D29" s="159">
        <v>1</v>
      </c>
      <c r="E29" s="159">
        <v>1</v>
      </c>
      <c r="F29" s="158">
        <f t="shared" si="2"/>
        <v>1.8761856838515421</v>
      </c>
      <c r="G29" s="158">
        <v>1</v>
      </c>
      <c r="H29" s="158">
        <v>1</v>
      </c>
      <c r="I29" s="158">
        <v>1</v>
      </c>
      <c r="J29" s="309"/>
    </row>
    <row r="30" spans="1:10" ht="13.5" customHeight="1">
      <c r="A30" s="1398"/>
      <c r="B30" s="162">
        <v>2042</v>
      </c>
      <c r="C30" s="159">
        <v>1</v>
      </c>
      <c r="D30" s="159">
        <v>1</v>
      </c>
      <c r="E30" s="159">
        <v>1</v>
      </c>
      <c r="F30" s="158">
        <f t="shared" si="2"/>
        <v>1.8761856838515421</v>
      </c>
      <c r="G30" s="158">
        <v>1</v>
      </c>
      <c r="H30" s="158">
        <v>1</v>
      </c>
      <c r="I30" s="158">
        <v>1</v>
      </c>
      <c r="J30" s="309"/>
    </row>
    <row r="31" spans="1:10" ht="13.5" customHeight="1">
      <c r="A31" s="1398"/>
      <c r="B31" s="162">
        <v>2043</v>
      </c>
      <c r="C31" s="159">
        <v>1</v>
      </c>
      <c r="D31" s="159">
        <v>1</v>
      </c>
      <c r="E31" s="159">
        <v>1</v>
      </c>
      <c r="F31" s="158">
        <f t="shared" si="2"/>
        <v>1.8761856838515421</v>
      </c>
      <c r="G31" s="158">
        <v>1</v>
      </c>
      <c r="H31" s="158">
        <v>1</v>
      </c>
      <c r="I31" s="158">
        <v>1</v>
      </c>
      <c r="J31" s="309"/>
    </row>
    <row r="32" spans="1:10" ht="13.5" customHeight="1">
      <c r="A32" s="1398"/>
      <c r="B32" s="162">
        <v>2044</v>
      </c>
      <c r="C32" s="159">
        <v>1</v>
      </c>
      <c r="D32" s="159">
        <v>1</v>
      </c>
      <c r="E32" s="159">
        <v>1</v>
      </c>
      <c r="F32" s="158">
        <f t="shared" si="2"/>
        <v>1.8761856838515421</v>
      </c>
      <c r="G32" s="158">
        <v>1</v>
      </c>
      <c r="H32" s="158">
        <v>1</v>
      </c>
      <c r="I32" s="158">
        <v>1</v>
      </c>
      <c r="J32" s="309"/>
    </row>
    <row r="33" spans="1:9" ht="13.5" customHeight="1">
      <c r="A33" s="1398"/>
      <c r="B33" s="162">
        <v>2045</v>
      </c>
      <c r="C33" s="159">
        <v>1</v>
      </c>
      <c r="D33" s="159">
        <v>1</v>
      </c>
      <c r="E33" s="159">
        <v>1</v>
      </c>
      <c r="F33" s="158">
        <f t="shared" si="2"/>
        <v>1.8761856838515421</v>
      </c>
      <c r="G33" s="158">
        <v>1</v>
      </c>
      <c r="H33" s="158">
        <v>1</v>
      </c>
      <c r="I33" s="158">
        <v>1</v>
      </c>
    </row>
    <row r="34" spans="1:9" ht="13.5" customHeight="1">
      <c r="A34" s="1398"/>
      <c r="B34" s="162">
        <v>2046</v>
      </c>
      <c r="C34" s="159">
        <v>1</v>
      </c>
      <c r="D34" s="159">
        <v>1</v>
      </c>
      <c r="E34" s="159">
        <v>1</v>
      </c>
      <c r="F34" s="158">
        <f t="shared" si="2"/>
        <v>1.8761856838515421</v>
      </c>
      <c r="G34" s="158">
        <v>1</v>
      </c>
      <c r="H34" s="158">
        <v>1</v>
      </c>
      <c r="I34" s="158">
        <v>1</v>
      </c>
    </row>
    <row r="35" spans="1:9" ht="13.5" customHeight="1">
      <c r="A35" s="1398"/>
      <c r="B35" s="162">
        <v>2047</v>
      </c>
      <c r="C35" s="159">
        <v>1</v>
      </c>
      <c r="D35" s="159">
        <v>1</v>
      </c>
      <c r="E35" s="159">
        <v>1</v>
      </c>
      <c r="F35" s="158">
        <f t="shared" si="2"/>
        <v>1.8761856838515421</v>
      </c>
      <c r="G35" s="158">
        <v>1</v>
      </c>
      <c r="H35" s="158">
        <v>1</v>
      </c>
      <c r="I35" s="158">
        <v>1</v>
      </c>
    </row>
    <row r="36" spans="1:9" ht="13.5" customHeight="1">
      <c r="A36" s="1398"/>
      <c r="B36" s="162">
        <v>2048</v>
      </c>
      <c r="C36" s="159">
        <v>1</v>
      </c>
      <c r="D36" s="159">
        <v>1</v>
      </c>
      <c r="E36" s="159">
        <v>1</v>
      </c>
      <c r="F36" s="158">
        <f t="shared" si="2"/>
        <v>1.8761856838515421</v>
      </c>
      <c r="G36" s="158">
        <v>1</v>
      </c>
      <c r="H36" s="158">
        <v>1</v>
      </c>
      <c r="I36" s="158">
        <v>1</v>
      </c>
    </row>
    <row r="37" spans="1:9" ht="13.5" customHeight="1">
      <c r="A37" s="1398"/>
      <c r="B37" s="162">
        <v>2049</v>
      </c>
      <c r="C37" s="159">
        <v>1</v>
      </c>
      <c r="D37" s="159">
        <v>1</v>
      </c>
      <c r="E37" s="159">
        <v>1</v>
      </c>
      <c r="F37" s="158">
        <f t="shared" si="2"/>
        <v>1.8761856838515421</v>
      </c>
      <c r="G37" s="158">
        <v>1</v>
      </c>
      <c r="H37" s="158">
        <v>1</v>
      </c>
      <c r="I37" s="158">
        <v>1</v>
      </c>
    </row>
    <row r="38" spans="1:9" ht="13.5" customHeight="1">
      <c r="A38" s="1398"/>
      <c r="B38" s="162">
        <v>2050</v>
      </c>
      <c r="C38" s="159">
        <v>1</v>
      </c>
      <c r="D38" s="159">
        <v>1</v>
      </c>
      <c r="E38" s="159">
        <v>1</v>
      </c>
      <c r="F38" s="158">
        <f t="shared" si="2"/>
        <v>1.8761856838515421</v>
      </c>
      <c r="G38" s="158">
        <v>1</v>
      </c>
      <c r="H38" s="158">
        <v>1</v>
      </c>
      <c r="I38" s="158">
        <v>1</v>
      </c>
    </row>
    <row r="39" spans="1:9" ht="13.5" customHeight="1">
      <c r="A39" s="309"/>
      <c r="B39" s="309"/>
      <c r="C39" s="309"/>
      <c r="D39" s="309"/>
      <c r="E39" s="309"/>
      <c r="F39" s="309"/>
      <c r="G39" s="309"/>
      <c r="H39" s="309"/>
      <c r="I39" s="309"/>
    </row>
    <row r="40" spans="1:9" ht="13.5" customHeight="1">
      <c r="A40" s="309"/>
      <c r="B40" s="309"/>
      <c r="C40" s="309"/>
      <c r="D40" s="309"/>
      <c r="E40" s="309"/>
      <c r="F40" s="309"/>
      <c r="G40" s="309"/>
      <c r="H40" s="309"/>
      <c r="I40" s="309"/>
    </row>
    <row r="41" spans="1:9" ht="13.5" customHeight="1">
      <c r="A41" s="309"/>
      <c r="B41" s="309"/>
      <c r="C41" s="309"/>
      <c r="D41" s="309"/>
      <c r="E41" s="309"/>
      <c r="F41" s="309"/>
      <c r="G41" s="309"/>
      <c r="H41" s="309"/>
      <c r="I41" s="309"/>
    </row>
    <row r="42" spans="1:9" ht="13.5" customHeight="1">
      <c r="A42" s="309"/>
      <c r="B42" s="309"/>
      <c r="C42" s="309"/>
      <c r="D42" s="309"/>
      <c r="E42" s="309"/>
      <c r="F42" s="309"/>
      <c r="G42" s="309"/>
      <c r="H42" s="309"/>
      <c r="I42" s="309"/>
    </row>
    <row r="43" spans="1:9" ht="13.5" customHeight="1">
      <c r="A43" s="309"/>
      <c r="B43" s="309"/>
      <c r="C43" s="309"/>
      <c r="D43" s="309"/>
      <c r="E43" s="309"/>
      <c r="F43" s="309"/>
      <c r="G43" s="309"/>
      <c r="H43" s="309"/>
      <c r="I43" s="309"/>
    </row>
    <row r="44" spans="1:9" ht="13.5" customHeight="1">
      <c r="A44" s="309"/>
      <c r="B44" s="309"/>
      <c r="C44" s="309"/>
      <c r="D44" s="309"/>
      <c r="E44" s="309"/>
      <c r="F44" s="309"/>
      <c r="G44" s="309"/>
      <c r="H44" s="309"/>
      <c r="I44" s="309"/>
    </row>
    <row r="45" spans="1:9" ht="13.5" customHeight="1">
      <c r="A45" s="309"/>
      <c r="B45" s="309"/>
      <c r="C45" s="309"/>
      <c r="D45" s="309"/>
      <c r="E45" s="309"/>
      <c r="F45" s="309"/>
      <c r="G45" s="309"/>
      <c r="H45" s="309"/>
      <c r="I45" s="309"/>
    </row>
    <row r="46" spans="1:9" ht="13.5" customHeight="1">
      <c r="A46" s="309"/>
      <c r="B46" s="309"/>
      <c r="C46" s="309"/>
      <c r="D46" s="309"/>
      <c r="E46" s="309"/>
      <c r="F46" s="309"/>
      <c r="G46" s="309"/>
      <c r="H46" s="309"/>
      <c r="I46" s="309"/>
    </row>
    <row r="47" spans="1:9" ht="13.5" customHeight="1">
      <c r="A47" s="309"/>
      <c r="B47" s="309"/>
      <c r="C47" s="309"/>
      <c r="D47" s="309"/>
      <c r="E47" s="309"/>
      <c r="F47" s="309"/>
      <c r="G47" s="309"/>
      <c r="H47" s="309"/>
      <c r="I47" s="309"/>
    </row>
    <row r="48" spans="1:9" ht="13.5" customHeight="1">
      <c r="A48" s="309"/>
      <c r="B48" s="309"/>
      <c r="C48" s="309"/>
      <c r="D48" s="309"/>
      <c r="E48" s="309"/>
      <c r="F48" s="309"/>
      <c r="G48" s="309"/>
      <c r="H48" s="309"/>
      <c r="I48" s="309"/>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sheetData>
  <mergeCells count="1">
    <mergeCell ref="A6:A3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M156"/>
  <sheetViews>
    <sheetView workbookViewId="0">
      <selection activeCell="F155" sqref="F155"/>
    </sheetView>
  </sheetViews>
  <sheetFormatPr defaultColWidth="12.625" defaultRowHeight="15"/>
  <cols>
    <col min="1" max="1" width="10.625" style="220" customWidth="1"/>
    <col min="2" max="2" width="13.625" style="220" customWidth="1"/>
    <col min="3" max="3" width="14" style="220" customWidth="1"/>
    <col min="4" max="4" width="14.875" style="220" customWidth="1"/>
    <col min="5" max="12" width="14.375" style="220" customWidth="1"/>
    <col min="13" max="16384" width="12.625" style="220"/>
  </cols>
  <sheetData>
    <row r="1" spans="1:13">
      <c r="A1" s="802" t="s">
        <v>593</v>
      </c>
      <c r="B1" s="802"/>
      <c r="C1" s="802"/>
      <c r="D1" s="802"/>
      <c r="E1" s="802"/>
      <c r="F1" s="802"/>
      <c r="G1" s="802"/>
      <c r="H1" s="802"/>
      <c r="I1" s="802"/>
      <c r="J1" s="802"/>
      <c r="K1" s="802"/>
      <c r="L1" s="802"/>
      <c r="M1" s="803"/>
    </row>
    <row r="2" spans="1:13">
      <c r="A2" s="803"/>
      <c r="B2" s="1407" t="s">
        <v>594</v>
      </c>
      <c r="C2" s="1407" t="s">
        <v>595</v>
      </c>
      <c r="D2" s="221" t="s">
        <v>596</v>
      </c>
      <c r="E2" s="225" t="s">
        <v>597</v>
      </c>
      <c r="F2" s="225" t="s">
        <v>598</v>
      </c>
      <c r="G2" s="225" t="s">
        <v>599</v>
      </c>
      <c r="H2" s="225" t="s">
        <v>600</v>
      </c>
      <c r="I2" s="225" t="s">
        <v>597</v>
      </c>
      <c r="J2" s="225" t="s">
        <v>598</v>
      </c>
      <c r="K2" s="225" t="s">
        <v>599</v>
      </c>
      <c r="L2" s="225" t="s">
        <v>600</v>
      </c>
      <c r="M2" s="803"/>
    </row>
    <row r="3" spans="1:13">
      <c r="A3" s="804"/>
      <c r="B3" s="1407"/>
      <c r="C3" s="1407"/>
      <c r="D3" s="226" t="s">
        <v>601</v>
      </c>
      <c r="E3" s="227" t="s">
        <v>602</v>
      </c>
      <c r="F3" s="227" t="s">
        <v>603</v>
      </c>
      <c r="G3" s="227" t="s">
        <v>604</v>
      </c>
      <c r="H3" s="227" t="s">
        <v>605</v>
      </c>
      <c r="I3" s="227" t="s">
        <v>602</v>
      </c>
      <c r="J3" s="227" t="s">
        <v>603</v>
      </c>
      <c r="K3" s="227" t="s">
        <v>604</v>
      </c>
      <c r="L3" s="227" t="s">
        <v>605</v>
      </c>
      <c r="M3" s="803"/>
    </row>
    <row r="4" spans="1:13">
      <c r="A4" s="804"/>
      <c r="B4" s="804" t="s">
        <v>606</v>
      </c>
      <c r="C4" s="804">
        <v>15</v>
      </c>
      <c r="D4" s="805">
        <v>208</v>
      </c>
      <c r="E4" s="805">
        <v>147</v>
      </c>
      <c r="F4" s="805">
        <v>21</v>
      </c>
      <c r="G4" s="805">
        <v>40</v>
      </c>
      <c r="H4" s="804">
        <v>0</v>
      </c>
      <c r="I4" s="806">
        <f t="shared" ref="I4:I13" si="0">E4/D4*100</f>
        <v>70.673076923076934</v>
      </c>
      <c r="J4" s="806">
        <f t="shared" ref="J4:J13" si="1">F4/D4*100</f>
        <v>10.096153846153847</v>
      </c>
      <c r="K4" s="806">
        <f t="shared" ref="K4:K13" si="2">G4/D4*100</f>
        <v>19.230769230769234</v>
      </c>
      <c r="L4" s="806">
        <f t="shared" ref="L4:L13" si="3">H4/D4*100</f>
        <v>0</v>
      </c>
      <c r="M4" s="803"/>
    </row>
    <row r="5" spans="1:13">
      <c r="A5" s="804"/>
      <c r="B5" s="804" t="s">
        <v>607</v>
      </c>
      <c r="C5" s="804">
        <v>2</v>
      </c>
      <c r="D5" s="804">
        <v>275</v>
      </c>
      <c r="E5" s="804">
        <v>224</v>
      </c>
      <c r="F5" s="804">
        <v>21</v>
      </c>
      <c r="G5" s="804">
        <v>30</v>
      </c>
      <c r="H5" s="804">
        <v>0</v>
      </c>
      <c r="I5" s="806">
        <f t="shared" si="0"/>
        <v>81.454545454545453</v>
      </c>
      <c r="J5" s="806">
        <f t="shared" si="1"/>
        <v>7.6363636363636367</v>
      </c>
      <c r="K5" s="806">
        <f t="shared" si="2"/>
        <v>10.909090909090908</v>
      </c>
      <c r="L5" s="806">
        <f t="shared" si="3"/>
        <v>0</v>
      </c>
      <c r="M5" s="803"/>
    </row>
    <row r="6" spans="1:13">
      <c r="A6" s="804"/>
      <c r="B6" s="804" t="s">
        <v>608</v>
      </c>
      <c r="C6" s="804">
        <v>7</v>
      </c>
      <c r="D6" s="804">
        <v>276</v>
      </c>
      <c r="E6" s="804">
        <v>225</v>
      </c>
      <c r="F6" s="804">
        <v>21</v>
      </c>
      <c r="G6" s="804">
        <v>30</v>
      </c>
      <c r="H6" s="804">
        <v>0</v>
      </c>
      <c r="I6" s="806">
        <f t="shared" si="0"/>
        <v>81.521739130434781</v>
      </c>
      <c r="J6" s="806">
        <f t="shared" si="1"/>
        <v>7.608695652173914</v>
      </c>
      <c r="K6" s="806">
        <f t="shared" si="2"/>
        <v>10.869565217391305</v>
      </c>
      <c r="L6" s="806">
        <f t="shared" si="3"/>
        <v>0</v>
      </c>
      <c r="M6" s="803"/>
    </row>
    <row r="7" spans="1:13">
      <c r="A7" s="804"/>
      <c r="B7" s="804" t="s">
        <v>607</v>
      </c>
      <c r="C7" s="804">
        <v>4</v>
      </c>
      <c r="D7" s="805">
        <v>278</v>
      </c>
      <c r="E7" s="805">
        <v>227</v>
      </c>
      <c r="F7" s="805">
        <v>21</v>
      </c>
      <c r="G7" s="805">
        <v>30</v>
      </c>
      <c r="H7" s="804">
        <v>0</v>
      </c>
      <c r="I7" s="806">
        <f t="shared" si="0"/>
        <v>81.654676258992808</v>
      </c>
      <c r="J7" s="806">
        <f t="shared" si="1"/>
        <v>7.5539568345323742</v>
      </c>
      <c r="K7" s="806">
        <f t="shared" si="2"/>
        <v>10.791366906474821</v>
      </c>
      <c r="L7" s="806">
        <f t="shared" si="3"/>
        <v>0</v>
      </c>
      <c r="M7" s="803"/>
    </row>
    <row r="8" spans="1:13">
      <c r="A8" s="804"/>
      <c r="B8" s="804" t="s">
        <v>609</v>
      </c>
      <c r="C8" s="804">
        <v>13</v>
      </c>
      <c r="D8" s="805">
        <v>280</v>
      </c>
      <c r="E8" s="805">
        <v>216</v>
      </c>
      <c r="F8" s="805">
        <v>24</v>
      </c>
      <c r="G8" s="805">
        <v>40</v>
      </c>
      <c r="H8" s="804">
        <v>0</v>
      </c>
      <c r="I8" s="806">
        <f t="shared" si="0"/>
        <v>77.142857142857153</v>
      </c>
      <c r="J8" s="806">
        <f t="shared" si="1"/>
        <v>8.5714285714285712</v>
      </c>
      <c r="K8" s="806">
        <f t="shared" si="2"/>
        <v>14.285714285714285</v>
      </c>
      <c r="L8" s="806">
        <f t="shared" si="3"/>
        <v>0</v>
      </c>
      <c r="M8" s="803"/>
    </row>
    <row r="9" spans="1:13">
      <c r="A9" s="804"/>
      <c r="B9" s="804" t="s">
        <v>609</v>
      </c>
      <c r="C9" s="804">
        <v>19</v>
      </c>
      <c r="D9" s="805">
        <v>296</v>
      </c>
      <c r="E9" s="805">
        <v>206</v>
      </c>
      <c r="F9" s="805">
        <v>32</v>
      </c>
      <c r="G9" s="805">
        <v>58</v>
      </c>
      <c r="H9" s="804">
        <v>4</v>
      </c>
      <c r="I9" s="806">
        <f t="shared" si="0"/>
        <v>69.594594594594597</v>
      </c>
      <c r="J9" s="806">
        <f t="shared" si="1"/>
        <v>10.810810810810811</v>
      </c>
      <c r="K9" s="806">
        <f t="shared" si="2"/>
        <v>19.594594594594593</v>
      </c>
      <c r="L9" s="806">
        <f t="shared" si="3"/>
        <v>1.3513513513513513</v>
      </c>
      <c r="M9" s="803"/>
    </row>
    <row r="10" spans="1:13">
      <c r="A10" s="804"/>
      <c r="B10" s="804" t="s">
        <v>609</v>
      </c>
      <c r="C10" s="804">
        <v>12</v>
      </c>
      <c r="D10" s="805">
        <v>312</v>
      </c>
      <c r="E10" s="805">
        <v>260</v>
      </c>
      <c r="F10" s="805">
        <v>24</v>
      </c>
      <c r="G10" s="805">
        <v>28</v>
      </c>
      <c r="H10" s="805">
        <v>0</v>
      </c>
      <c r="I10" s="806">
        <f t="shared" si="0"/>
        <v>83.333333333333343</v>
      </c>
      <c r="J10" s="806">
        <f t="shared" si="1"/>
        <v>7.6923076923076925</v>
      </c>
      <c r="K10" s="806">
        <f t="shared" si="2"/>
        <v>8.9743589743589745</v>
      </c>
      <c r="L10" s="806">
        <f t="shared" si="3"/>
        <v>0</v>
      </c>
      <c r="M10" s="803"/>
    </row>
    <row r="11" spans="1:13">
      <c r="A11" s="804"/>
      <c r="B11" s="804" t="s">
        <v>609</v>
      </c>
      <c r="C11" s="804">
        <v>12</v>
      </c>
      <c r="D11" s="805">
        <v>381</v>
      </c>
      <c r="E11" s="805">
        <v>315</v>
      </c>
      <c r="F11" s="805">
        <v>24</v>
      </c>
      <c r="G11" s="805">
        <v>42</v>
      </c>
      <c r="H11" s="805">
        <v>0</v>
      </c>
      <c r="I11" s="806">
        <f t="shared" si="0"/>
        <v>82.677165354330711</v>
      </c>
      <c r="J11" s="806">
        <f t="shared" si="1"/>
        <v>6.2992125984251963</v>
      </c>
      <c r="K11" s="806">
        <f t="shared" si="2"/>
        <v>11.023622047244094</v>
      </c>
      <c r="L11" s="806">
        <f t="shared" si="3"/>
        <v>0</v>
      </c>
      <c r="M11" s="804"/>
    </row>
    <row r="12" spans="1:13">
      <c r="A12" s="804"/>
      <c r="B12" s="804" t="s">
        <v>609</v>
      </c>
      <c r="C12" s="804">
        <v>12</v>
      </c>
      <c r="D12" s="805">
        <v>468</v>
      </c>
      <c r="E12" s="805">
        <v>422</v>
      </c>
      <c r="F12" s="805">
        <v>14</v>
      </c>
      <c r="G12" s="805">
        <v>32</v>
      </c>
      <c r="H12" s="805">
        <v>0</v>
      </c>
      <c r="I12" s="806">
        <f t="shared" si="0"/>
        <v>90.17094017094017</v>
      </c>
      <c r="J12" s="806">
        <f t="shared" si="1"/>
        <v>2.9914529914529915</v>
      </c>
      <c r="K12" s="806">
        <f t="shared" si="2"/>
        <v>6.8376068376068382</v>
      </c>
      <c r="L12" s="806">
        <f t="shared" si="3"/>
        <v>0</v>
      </c>
      <c r="M12" s="803"/>
    </row>
    <row r="13" spans="1:13">
      <c r="A13" s="804"/>
      <c r="B13" s="804" t="s">
        <v>610</v>
      </c>
      <c r="C13" s="804">
        <v>10</v>
      </c>
      <c r="D13" s="805">
        <v>516</v>
      </c>
      <c r="E13" s="805">
        <v>389</v>
      </c>
      <c r="F13" s="805">
        <v>38</v>
      </c>
      <c r="G13" s="805">
        <v>80</v>
      </c>
      <c r="H13" s="805">
        <v>9</v>
      </c>
      <c r="I13" s="806">
        <f t="shared" si="0"/>
        <v>75.387596899224803</v>
      </c>
      <c r="J13" s="806">
        <f t="shared" si="1"/>
        <v>7.3643410852713185</v>
      </c>
      <c r="K13" s="806">
        <f t="shared" si="2"/>
        <v>15.503875968992247</v>
      </c>
      <c r="L13" s="806">
        <f t="shared" si="3"/>
        <v>1.7441860465116279</v>
      </c>
      <c r="M13" s="803"/>
    </row>
    <row r="14" spans="1:13">
      <c r="A14" s="804"/>
      <c r="B14" s="807" t="s">
        <v>84</v>
      </c>
      <c r="C14" s="807">
        <f>SUM(C4:C13)</f>
        <v>106</v>
      </c>
      <c r="D14" s="804"/>
      <c r="E14" s="804"/>
      <c r="F14" s="804"/>
      <c r="G14" s="804"/>
      <c r="H14" s="803"/>
      <c r="I14" s="803"/>
      <c r="J14" s="803"/>
      <c r="K14" s="803"/>
      <c r="L14" s="803"/>
      <c r="M14" s="803"/>
    </row>
    <row r="15" spans="1:13">
      <c r="A15" s="804"/>
      <c r="B15" s="808" t="s">
        <v>611</v>
      </c>
      <c r="C15" s="808"/>
      <c r="D15" s="809">
        <f>ROUND(SUMPRODUCT(D4:D13,C4:C13)/C14,0)</f>
        <v>331</v>
      </c>
      <c r="E15" s="809">
        <f>ROUND($D$15*I15/100,0)</f>
        <v>258</v>
      </c>
      <c r="F15" s="809">
        <f>ROUND($D$15*J15/100,0)</f>
        <v>26</v>
      </c>
      <c r="G15" s="809">
        <f>ROUND($D$15*K15/100,0)</f>
        <v>46</v>
      </c>
      <c r="H15" s="809">
        <f>ROUND($D$15*L15/100,0)</f>
        <v>1</v>
      </c>
      <c r="I15" s="810">
        <f>(I13*$C$13+I12*$C$12+I11*$C$11+I10*$C$10+I9*$C$9+I8*$C$8+I7*$C$7+I6*$C$6+I5*$C$5+I4*$C$4)/$C$14</f>
        <v>78.051733954284899</v>
      </c>
      <c r="J15" s="810">
        <f>(J13*$C$13+J12*$C$12+J11*$C$11+J10*$C$10+J9*$C$9+J8*$C$8+J7*$C$7+J6*$C$6+J5*$C$5+J4*$C$4)/$C$14</f>
        <v>7.9666490466160615</v>
      </c>
      <c r="K15" s="810">
        <f>(K13*$C$13+K12*$C$12+K11*$C$11+K10*$C$10+K9*$C$9+K8*$C$8+K7*$C$7+K6*$C$6+K5*$C$5+K4*$C$4)/$C$14</f>
        <v>13.817071145654559</v>
      </c>
      <c r="L15" s="810">
        <f>(L13*$C$13+L12*$C$12+L11*$C$11+L10*$C$10+L9*$C$9+L8*$C$8+L7*$C$7+L6*$C$6+L5*$C$5+L4*$C$4)/$C$14</f>
        <v>0.4067692088753958</v>
      </c>
      <c r="M15" s="803"/>
    </row>
    <row r="16" spans="1:13">
      <c r="A16" s="804" t="s">
        <v>612</v>
      </c>
      <c r="B16" s="803"/>
      <c r="C16" s="803"/>
      <c r="D16" s="803"/>
      <c r="E16" s="803"/>
      <c r="F16" s="803"/>
      <c r="G16" s="803"/>
      <c r="H16" s="803"/>
      <c r="I16" s="803"/>
      <c r="J16" s="803"/>
      <c r="K16" s="803"/>
      <c r="L16" s="803"/>
      <c r="M16" s="803"/>
    </row>
    <row r="17" spans="1:12">
      <c r="A17" s="804" t="s">
        <v>613</v>
      </c>
      <c r="B17" s="803"/>
      <c r="C17" s="803"/>
      <c r="D17" s="803"/>
      <c r="E17" s="803"/>
      <c r="F17" s="803"/>
      <c r="G17" s="803"/>
      <c r="H17" s="803"/>
      <c r="I17" s="803"/>
      <c r="J17" s="803"/>
      <c r="K17" s="803"/>
      <c r="L17" s="803"/>
    </row>
    <row r="18" spans="1:12">
      <c r="A18" s="804"/>
      <c r="B18" s="804"/>
      <c r="C18" s="804"/>
      <c r="D18" s="804"/>
      <c r="E18" s="1408" t="s">
        <v>614</v>
      </c>
      <c r="F18" s="1408"/>
      <c r="G18" s="1408"/>
      <c r="H18" s="1408"/>
      <c r="I18" s="804"/>
      <c r="J18" s="804"/>
      <c r="K18" s="804"/>
      <c r="L18" s="804"/>
    </row>
    <row r="19" spans="1:12" ht="15.95">
      <c r="A19" s="804"/>
      <c r="B19" s="811"/>
      <c r="C19" s="293" t="s">
        <v>615</v>
      </c>
      <c r="D19" s="803"/>
      <c r="E19" s="812">
        <v>1</v>
      </c>
      <c r="F19" s="812">
        <v>1.43</v>
      </c>
      <c r="G19" s="812">
        <v>3</v>
      </c>
      <c r="H19" s="812">
        <v>6</v>
      </c>
      <c r="I19" s="294" t="s">
        <v>616</v>
      </c>
      <c r="J19" s="295" t="s">
        <v>617</v>
      </c>
      <c r="K19" s="296" t="s">
        <v>618</v>
      </c>
      <c r="L19" s="804"/>
    </row>
    <row r="20" spans="1:12">
      <c r="A20" s="804"/>
      <c r="B20" s="811"/>
      <c r="C20" s="294" t="s">
        <v>619</v>
      </c>
      <c r="D20" s="813">
        <f>SUM(E20:H20)</f>
        <v>439.18</v>
      </c>
      <c r="E20" s="814">
        <f>E$15+H$19*(H$15-H20)+G$19*(G$15-G20)+F$19*(F$15-F20)</f>
        <v>439.18</v>
      </c>
      <c r="F20" s="803">
        <v>0</v>
      </c>
      <c r="G20" s="803">
        <v>0</v>
      </c>
      <c r="H20" s="803">
        <v>0</v>
      </c>
      <c r="I20" s="813">
        <f>D20-$D$15</f>
        <v>108.18</v>
      </c>
      <c r="J20" s="815">
        <f>$D$15/D20-1</f>
        <v>-0.24632269229017711</v>
      </c>
      <c r="K20" s="816">
        <f>D20/$D$15-1</f>
        <v>0.32682779456193356</v>
      </c>
      <c r="L20" s="804"/>
    </row>
    <row r="21" spans="1:12">
      <c r="A21" s="804"/>
      <c r="B21" s="811"/>
      <c r="C21" s="295" t="s">
        <v>620</v>
      </c>
      <c r="D21" s="813">
        <f>SUM(E21:H21)</f>
        <v>382</v>
      </c>
      <c r="E21" s="814">
        <f>E$15+H$19*(H$15-H21)+G$19*(G$15-G21)+F$19*(F$15-F21)</f>
        <v>333</v>
      </c>
      <c r="F21" s="814">
        <f>F15</f>
        <v>26</v>
      </c>
      <c r="G21" s="814">
        <f>G15/2</f>
        <v>23</v>
      </c>
      <c r="H21" s="804">
        <v>0</v>
      </c>
      <c r="I21" s="813">
        <f>D21-$D$15</f>
        <v>51</v>
      </c>
      <c r="J21" s="815">
        <f>$D$15/D21-1</f>
        <v>-0.13350785340314131</v>
      </c>
      <c r="K21" s="816">
        <f>D21/$D$15-1</f>
        <v>0.15407854984894254</v>
      </c>
      <c r="L21" s="804"/>
    </row>
    <row r="22" spans="1:12">
      <c r="A22" s="804"/>
      <c r="B22" s="811"/>
      <c r="C22" s="297" t="s">
        <v>621</v>
      </c>
      <c r="D22" s="804">
        <f>ROUND(D15*1.03,0)</f>
        <v>341</v>
      </c>
      <c r="E22" s="814"/>
      <c r="F22" s="814"/>
      <c r="G22" s="814"/>
      <c r="H22" s="804"/>
      <c r="I22" s="813">
        <f>D22-$D$15</f>
        <v>10</v>
      </c>
      <c r="J22" s="815">
        <f>$D$15/D22-1</f>
        <v>-2.9325513196480912E-2</v>
      </c>
      <c r="K22" s="816">
        <f>D22/$D$15-1</f>
        <v>3.0211480362537735E-2</v>
      </c>
      <c r="L22" s="804"/>
    </row>
    <row r="23" spans="1:12">
      <c r="A23" s="804"/>
      <c r="B23" s="811"/>
      <c r="C23" s="804"/>
      <c r="D23" s="814"/>
      <c r="E23" s="814"/>
      <c r="F23" s="814"/>
      <c r="G23" s="814"/>
      <c r="H23" s="804"/>
      <c r="I23" s="803"/>
      <c r="J23" s="803"/>
      <c r="K23" s="803"/>
      <c r="L23" s="803"/>
    </row>
    <row r="24" spans="1:12">
      <c r="A24" s="803"/>
      <c r="B24" s="803"/>
      <c r="C24" s="803"/>
      <c r="D24" s="803"/>
      <c r="E24" s="803"/>
      <c r="F24" s="803"/>
      <c r="G24" s="803"/>
      <c r="H24" s="817"/>
      <c r="I24" s="804"/>
      <c r="J24" s="804"/>
      <c r="K24" s="803"/>
      <c r="L24" s="803"/>
    </row>
    <row r="25" spans="1:12">
      <c r="A25" s="803"/>
      <c r="B25" s="818"/>
      <c r="C25" s="818"/>
      <c r="D25" s="818"/>
      <c r="E25" s="818"/>
      <c r="F25" s="818"/>
      <c r="G25" s="818"/>
      <c r="H25" s="818"/>
      <c r="I25" s="803"/>
      <c r="J25" s="803"/>
      <c r="K25" s="803"/>
      <c r="L25" s="803"/>
    </row>
    <row r="26" spans="1:12" ht="63.95">
      <c r="A26" s="803"/>
      <c r="B26" s="222" t="s">
        <v>622</v>
      </c>
      <c r="C26" s="222" t="s">
        <v>623</v>
      </c>
      <c r="D26" s="222" t="s">
        <v>624</v>
      </c>
      <c r="E26" s="222" t="s">
        <v>625</v>
      </c>
      <c r="F26" s="222" t="s">
        <v>626</v>
      </c>
      <c r="G26" s="222" t="s">
        <v>627</v>
      </c>
      <c r="H26" s="223" t="s">
        <v>628</v>
      </c>
      <c r="I26" s="803"/>
      <c r="J26" s="803"/>
      <c r="K26" s="803"/>
      <c r="L26" s="803"/>
    </row>
    <row r="27" spans="1:12" ht="15.95">
      <c r="A27" s="224" t="s">
        <v>46</v>
      </c>
      <c r="B27" s="818"/>
      <c r="C27" s="818" t="s">
        <v>629</v>
      </c>
      <c r="D27" s="818" t="s">
        <v>630</v>
      </c>
      <c r="E27" s="818" t="s">
        <v>631</v>
      </c>
      <c r="F27" s="818" t="s">
        <v>631</v>
      </c>
      <c r="G27" s="818" t="s">
        <v>631</v>
      </c>
      <c r="H27" s="818" t="s">
        <v>631</v>
      </c>
      <c r="I27" s="803"/>
      <c r="J27" s="803"/>
      <c r="K27" s="803"/>
      <c r="L27" s="803"/>
    </row>
    <row r="28" spans="1:12" ht="15.95">
      <c r="A28" s="224" t="s">
        <v>47</v>
      </c>
      <c r="B28" s="818"/>
      <c r="C28" s="818" t="s">
        <v>632</v>
      </c>
      <c r="D28" s="818" t="s">
        <v>633</v>
      </c>
      <c r="E28" s="818"/>
      <c r="F28" s="818"/>
      <c r="G28" s="818"/>
      <c r="H28" s="818"/>
      <c r="I28" s="803"/>
      <c r="J28" s="803"/>
      <c r="K28" s="803"/>
      <c r="L28" s="803"/>
    </row>
    <row r="29" spans="1:12">
      <c r="A29" s="1405" t="s">
        <v>634</v>
      </c>
      <c r="B29" s="803" t="s">
        <v>635</v>
      </c>
      <c r="C29" s="803">
        <v>389199</v>
      </c>
      <c r="D29" s="803">
        <v>8718</v>
      </c>
      <c r="E29" s="819">
        <v>976.41600000000005</v>
      </c>
      <c r="F29" s="819">
        <f>IF(D29&lt;3500,E29,E29*(1+$J$20))</f>
        <v>735.90258208479452</v>
      </c>
      <c r="G29" s="819">
        <f>IF(D29&lt;3500,E29,E29*(1+$J$21))</f>
        <v>846.05679581151844</v>
      </c>
      <c r="H29" s="819">
        <f>IF(D29&lt;3500,E29,E29*(1+$J$22))</f>
        <v>947.78209970674493</v>
      </c>
      <c r="I29" s="803"/>
      <c r="J29" s="803"/>
      <c r="K29" s="803"/>
      <c r="L29" s="803"/>
    </row>
    <row r="30" spans="1:12">
      <c r="A30" s="1406"/>
      <c r="B30" s="803" t="s">
        <v>636</v>
      </c>
      <c r="C30" s="803">
        <v>4555767</v>
      </c>
      <c r="D30" s="803">
        <v>1371</v>
      </c>
      <c r="E30" s="819">
        <v>145.32599999999999</v>
      </c>
      <c r="F30" s="819">
        <f>IF(D30&lt;3500,E30,E30*(1+$J$20))</f>
        <v>145.32599999999999</v>
      </c>
      <c r="G30" s="819">
        <f t="shared" ref="G30:G93" si="4">IF(D30&lt;3500,E30,E30*(1+$J$21))</f>
        <v>145.32599999999999</v>
      </c>
      <c r="H30" s="819">
        <f t="shared" ref="H30:H93" si="5">IF(D30&lt;3500,E30,E30*(1+$J$22))</f>
        <v>145.32599999999999</v>
      </c>
      <c r="I30" s="803"/>
      <c r="J30" s="803"/>
      <c r="K30" s="803"/>
      <c r="L30" s="803"/>
    </row>
    <row r="31" spans="1:12">
      <c r="A31" s="1406"/>
      <c r="B31" s="803" t="s">
        <v>637</v>
      </c>
      <c r="C31" s="803">
        <v>58043</v>
      </c>
      <c r="D31" s="803">
        <v>6519</v>
      </c>
      <c r="E31" s="819">
        <v>867.02700000000004</v>
      </c>
      <c r="F31" s="819">
        <f t="shared" ref="F31:F94" si="6">IF(D31&lt;3500,E31,E31*(1+$J$20))</f>
        <v>653.45857507172468</v>
      </c>
      <c r="G31" s="819">
        <f t="shared" si="4"/>
        <v>751.27208638743468</v>
      </c>
      <c r="H31" s="819">
        <f t="shared" si="5"/>
        <v>841.60098826979481</v>
      </c>
      <c r="I31" s="803"/>
      <c r="J31" s="803"/>
      <c r="K31" s="803"/>
      <c r="L31" s="803"/>
    </row>
    <row r="32" spans="1:12">
      <c r="A32" s="1406"/>
      <c r="B32" s="803" t="s">
        <v>638</v>
      </c>
      <c r="C32" s="803">
        <v>98228</v>
      </c>
      <c r="D32" s="803">
        <v>4743</v>
      </c>
      <c r="E32" s="819">
        <v>474.3</v>
      </c>
      <c r="F32" s="819">
        <f t="shared" si="6"/>
        <v>357.46914704676902</v>
      </c>
      <c r="G32" s="819">
        <f t="shared" si="4"/>
        <v>410.97722513089008</v>
      </c>
      <c r="H32" s="819">
        <f t="shared" si="5"/>
        <v>460.39090909090913</v>
      </c>
      <c r="I32" s="803"/>
      <c r="J32" s="803"/>
      <c r="K32" s="803"/>
      <c r="L32" s="803"/>
    </row>
    <row r="33" spans="1:8">
      <c r="A33" s="1406"/>
      <c r="B33" s="803" t="s">
        <v>639</v>
      </c>
      <c r="C33" s="803">
        <v>75534</v>
      </c>
      <c r="D33" s="803">
        <v>4094</v>
      </c>
      <c r="E33" s="819">
        <v>409.4</v>
      </c>
      <c r="F33" s="819">
        <f t="shared" si="6"/>
        <v>308.55548977640149</v>
      </c>
      <c r="G33" s="819">
        <f t="shared" si="4"/>
        <v>354.74188481675395</v>
      </c>
      <c r="H33" s="819">
        <f t="shared" si="5"/>
        <v>397.39413489736069</v>
      </c>
    </row>
    <row r="34" spans="1:8">
      <c r="A34" s="1406"/>
      <c r="B34" s="803" t="s">
        <v>640</v>
      </c>
      <c r="C34" s="803">
        <v>205928</v>
      </c>
      <c r="D34" s="803">
        <v>5095</v>
      </c>
      <c r="E34" s="819">
        <v>677.63499999999999</v>
      </c>
      <c r="F34" s="819">
        <f t="shared" si="6"/>
        <v>510.71812240994581</v>
      </c>
      <c r="G34" s="819">
        <f t="shared" si="4"/>
        <v>587.16540575916235</v>
      </c>
      <c r="H34" s="819">
        <f t="shared" si="5"/>
        <v>657.76300586510263</v>
      </c>
    </row>
    <row r="35" spans="1:8">
      <c r="A35" s="1406"/>
      <c r="B35" s="803" t="s">
        <v>641</v>
      </c>
      <c r="C35" s="803">
        <v>93287</v>
      </c>
      <c r="D35" s="803">
        <v>4470</v>
      </c>
      <c r="E35" s="819">
        <v>447</v>
      </c>
      <c r="F35" s="819">
        <f t="shared" si="6"/>
        <v>336.89375654629083</v>
      </c>
      <c r="G35" s="819">
        <f t="shared" si="4"/>
        <v>387.32198952879583</v>
      </c>
      <c r="H35" s="819">
        <f t="shared" si="5"/>
        <v>433.89149560117301</v>
      </c>
    </row>
    <row r="36" spans="1:8">
      <c r="A36" s="1406"/>
      <c r="B36" s="803" t="s">
        <v>642</v>
      </c>
      <c r="C36" s="803">
        <v>23750</v>
      </c>
      <c r="D36" s="803">
        <v>5186</v>
      </c>
      <c r="E36" s="819">
        <v>689.73800000000006</v>
      </c>
      <c r="F36" s="819">
        <f t="shared" si="6"/>
        <v>519.83987886515786</v>
      </c>
      <c r="G36" s="819">
        <f t="shared" si="4"/>
        <v>597.65256020942422</v>
      </c>
      <c r="H36" s="819">
        <f t="shared" si="5"/>
        <v>669.51107917888567</v>
      </c>
    </row>
    <row r="37" spans="1:8">
      <c r="A37" s="1406"/>
      <c r="B37" s="803" t="s">
        <v>643</v>
      </c>
      <c r="C37" s="803">
        <v>120869</v>
      </c>
      <c r="D37" s="803">
        <v>6049</v>
      </c>
      <c r="E37" s="819">
        <v>804.51700000000005</v>
      </c>
      <c r="F37" s="819">
        <f t="shared" si="6"/>
        <v>606.34620656678362</v>
      </c>
      <c r="G37" s="819">
        <f t="shared" si="4"/>
        <v>697.10766230366505</v>
      </c>
      <c r="H37" s="819">
        <f t="shared" si="5"/>
        <v>780.92412609970677</v>
      </c>
    </row>
    <row r="38" spans="1:8">
      <c r="A38" s="1406"/>
      <c r="B38" s="803" t="s">
        <v>644</v>
      </c>
      <c r="C38" s="803">
        <v>51204</v>
      </c>
      <c r="D38" s="803">
        <v>6068</v>
      </c>
      <c r="E38" s="819">
        <v>807.04399999999998</v>
      </c>
      <c r="F38" s="819">
        <f t="shared" si="6"/>
        <v>608.25074912336629</v>
      </c>
      <c r="G38" s="819">
        <f t="shared" si="4"/>
        <v>699.29728795811525</v>
      </c>
      <c r="H38" s="819">
        <f t="shared" si="5"/>
        <v>783.37702052785926</v>
      </c>
    </row>
    <row r="39" spans="1:8">
      <c r="A39" s="1406"/>
      <c r="B39" s="803" t="s">
        <v>645</v>
      </c>
      <c r="C39" s="803">
        <v>396064</v>
      </c>
      <c r="D39" s="803">
        <v>4903</v>
      </c>
      <c r="E39" s="819">
        <v>490.3</v>
      </c>
      <c r="F39" s="819">
        <f t="shared" si="6"/>
        <v>369.52798397012617</v>
      </c>
      <c r="G39" s="819">
        <f t="shared" si="4"/>
        <v>424.84109947643981</v>
      </c>
      <c r="H39" s="819">
        <f t="shared" si="5"/>
        <v>475.92170087976541</v>
      </c>
    </row>
    <row r="40" spans="1:8">
      <c r="A40" s="1406"/>
      <c r="B40" s="803" t="s">
        <v>646</v>
      </c>
      <c r="C40" s="803">
        <v>15068</v>
      </c>
      <c r="D40" s="803">
        <v>5592</v>
      </c>
      <c r="E40" s="819">
        <v>743.73599999999999</v>
      </c>
      <c r="F40" s="819">
        <f t="shared" si="6"/>
        <v>560.53694612687286</v>
      </c>
      <c r="G40" s="819">
        <f t="shared" si="4"/>
        <v>644.44140314136132</v>
      </c>
      <c r="H40" s="819">
        <f t="shared" si="5"/>
        <v>721.9255601173021</v>
      </c>
    </row>
    <row r="41" spans="1:8">
      <c r="A41" s="1406"/>
      <c r="B41" s="803" t="s">
        <v>647</v>
      </c>
      <c r="C41" s="803">
        <v>526862</v>
      </c>
      <c r="D41" s="803">
        <v>3201</v>
      </c>
      <c r="E41" s="819">
        <v>320.10000000000002</v>
      </c>
      <c r="F41" s="819">
        <f t="shared" si="6"/>
        <v>320.10000000000002</v>
      </c>
      <c r="G41" s="819">
        <f t="shared" si="4"/>
        <v>320.10000000000002</v>
      </c>
      <c r="H41" s="819">
        <f t="shared" si="5"/>
        <v>320.10000000000002</v>
      </c>
    </row>
    <row r="42" spans="1:8">
      <c r="A42" s="1406"/>
      <c r="B42" s="803" t="s">
        <v>648</v>
      </c>
      <c r="C42" s="803">
        <v>191577</v>
      </c>
      <c r="D42" s="803">
        <v>5581</v>
      </c>
      <c r="E42" s="819">
        <v>625.072</v>
      </c>
      <c r="F42" s="819">
        <f t="shared" si="6"/>
        <v>471.10258208479439</v>
      </c>
      <c r="G42" s="819">
        <f t="shared" si="4"/>
        <v>541.61997905759165</v>
      </c>
      <c r="H42" s="819">
        <f t="shared" si="5"/>
        <v>606.74144281524923</v>
      </c>
    </row>
    <row r="43" spans="1:8">
      <c r="A43" s="1406"/>
      <c r="B43" s="803" t="s">
        <v>649</v>
      </c>
      <c r="C43" s="803">
        <v>118630</v>
      </c>
      <c r="D43" s="803">
        <v>5439</v>
      </c>
      <c r="E43" s="819">
        <v>723.38699999999994</v>
      </c>
      <c r="F43" s="819">
        <f t="shared" si="6"/>
        <v>545.2003665922856</v>
      </c>
      <c r="G43" s="819">
        <f t="shared" si="4"/>
        <v>626.80915445026176</v>
      </c>
      <c r="H43" s="819">
        <f t="shared" si="5"/>
        <v>702.17330498533715</v>
      </c>
    </row>
    <row r="44" spans="1:8">
      <c r="A44" s="1406"/>
      <c r="B44" s="803" t="s">
        <v>650</v>
      </c>
      <c r="C44" s="803">
        <v>50979</v>
      </c>
      <c r="D44" s="803">
        <v>4834</v>
      </c>
      <c r="E44" s="819">
        <v>512.404</v>
      </c>
      <c r="F44" s="819">
        <f t="shared" si="6"/>
        <v>386.18726717974408</v>
      </c>
      <c r="G44" s="819">
        <f t="shared" si="4"/>
        <v>443.9940418848168</v>
      </c>
      <c r="H44" s="819">
        <f t="shared" si="5"/>
        <v>497.3774897360704</v>
      </c>
    </row>
    <row r="45" spans="1:8">
      <c r="A45" s="1406"/>
      <c r="B45" s="803" t="s">
        <v>651</v>
      </c>
      <c r="C45" s="803">
        <v>94925</v>
      </c>
      <c r="D45" s="803">
        <v>4636</v>
      </c>
      <c r="E45" s="819">
        <v>463.6</v>
      </c>
      <c r="F45" s="819">
        <f t="shared" si="6"/>
        <v>349.4047998542739</v>
      </c>
      <c r="G45" s="819">
        <f t="shared" si="4"/>
        <v>401.70575916230371</v>
      </c>
      <c r="H45" s="819">
        <f t="shared" si="5"/>
        <v>450.00469208211149</v>
      </c>
    </row>
    <row r="46" spans="1:8">
      <c r="A46" s="1406"/>
      <c r="B46" s="803" t="s">
        <v>652</v>
      </c>
      <c r="C46" s="803">
        <v>15072</v>
      </c>
      <c r="D46" s="803">
        <v>5066</v>
      </c>
      <c r="E46" s="819">
        <v>673.77800000000002</v>
      </c>
      <c r="F46" s="819">
        <f t="shared" si="6"/>
        <v>507.81118903410908</v>
      </c>
      <c r="G46" s="819">
        <f t="shared" si="4"/>
        <v>583.82334554973829</v>
      </c>
      <c r="H46" s="819">
        <f t="shared" si="5"/>
        <v>654.01911436950149</v>
      </c>
    </row>
    <row r="47" spans="1:8">
      <c r="A47" s="1406"/>
      <c r="B47" s="803" t="s">
        <v>653</v>
      </c>
      <c r="C47" s="803">
        <v>199862</v>
      </c>
      <c r="D47" s="803">
        <v>6490</v>
      </c>
      <c r="E47" s="819">
        <v>863.17</v>
      </c>
      <c r="F47" s="819">
        <f t="shared" si="6"/>
        <v>650.55164169588784</v>
      </c>
      <c r="G47" s="819">
        <f t="shared" si="4"/>
        <v>747.93002617801051</v>
      </c>
      <c r="H47" s="819">
        <f t="shared" si="5"/>
        <v>837.85709677419356</v>
      </c>
    </row>
    <row r="48" spans="1:8">
      <c r="A48" s="1406"/>
      <c r="B48" s="803" t="s">
        <v>654</v>
      </c>
      <c r="C48" s="803">
        <v>201913</v>
      </c>
      <c r="D48" s="803">
        <v>8690</v>
      </c>
      <c r="E48" s="819">
        <v>1155.77</v>
      </c>
      <c r="F48" s="819">
        <f t="shared" si="6"/>
        <v>871.07762193178201</v>
      </c>
      <c r="G48" s="819">
        <f t="shared" si="4"/>
        <v>1001.4656282722514</v>
      </c>
      <c r="H48" s="819">
        <f t="shared" si="5"/>
        <v>1121.8764516129033</v>
      </c>
    </row>
    <row r="49" spans="1:8">
      <c r="A49" s="1406"/>
      <c r="B49" s="803" t="s">
        <v>655</v>
      </c>
      <c r="C49" s="803">
        <v>220596</v>
      </c>
      <c r="D49" s="803">
        <v>4170</v>
      </c>
      <c r="E49" s="819">
        <v>417</v>
      </c>
      <c r="F49" s="819">
        <f t="shared" si="6"/>
        <v>314.28343731499615</v>
      </c>
      <c r="G49" s="819">
        <f t="shared" si="4"/>
        <v>361.3272251308901</v>
      </c>
      <c r="H49" s="819">
        <f t="shared" si="5"/>
        <v>404.77126099706749</v>
      </c>
    </row>
    <row r="50" spans="1:8">
      <c r="A50" s="1406"/>
      <c r="B50" s="803" t="s">
        <v>656</v>
      </c>
      <c r="C50" s="803">
        <v>6202221</v>
      </c>
      <c r="D50" s="803">
        <v>1832</v>
      </c>
      <c r="E50" s="819">
        <v>194.19200000000001</v>
      </c>
      <c r="F50" s="819">
        <f t="shared" si="6"/>
        <v>194.19200000000001</v>
      </c>
      <c r="G50" s="819">
        <f t="shared" si="4"/>
        <v>194.19200000000001</v>
      </c>
      <c r="H50" s="819">
        <f t="shared" si="5"/>
        <v>194.19200000000001</v>
      </c>
    </row>
    <row r="51" spans="1:8">
      <c r="A51" s="1406"/>
      <c r="B51" s="803" t="s">
        <v>657</v>
      </c>
      <c r="C51" s="803">
        <v>511890</v>
      </c>
      <c r="D51" s="803">
        <v>9447</v>
      </c>
      <c r="E51" s="819">
        <v>1058.0640000000001</v>
      </c>
      <c r="F51" s="819">
        <f t="shared" si="6"/>
        <v>797.43882690468615</v>
      </c>
      <c r="G51" s="819">
        <f t="shared" si="4"/>
        <v>916.8041465968588</v>
      </c>
      <c r="H51" s="819">
        <f t="shared" si="5"/>
        <v>1027.0357302052787</v>
      </c>
    </row>
    <row r="52" spans="1:8">
      <c r="A52" s="1406"/>
      <c r="B52" s="803" t="s">
        <v>658</v>
      </c>
      <c r="C52" s="803">
        <v>36974</v>
      </c>
      <c r="D52" s="803">
        <v>3797</v>
      </c>
      <c r="E52" s="819">
        <v>402.48200000000003</v>
      </c>
      <c r="F52" s="819">
        <f t="shared" si="6"/>
        <v>303.34155016166494</v>
      </c>
      <c r="G52" s="819">
        <f t="shared" si="4"/>
        <v>348.74749214659693</v>
      </c>
      <c r="H52" s="819">
        <f t="shared" si="5"/>
        <v>390.67900879765398</v>
      </c>
    </row>
    <row r="53" spans="1:8">
      <c r="A53" s="1406"/>
      <c r="B53" s="803" t="s">
        <v>659</v>
      </c>
      <c r="C53" s="803">
        <v>45901</v>
      </c>
      <c r="D53" s="803">
        <v>3951</v>
      </c>
      <c r="E53" s="819">
        <v>418.80599999999998</v>
      </c>
      <c r="F53" s="819">
        <f t="shared" si="6"/>
        <v>315.64457853272006</v>
      </c>
      <c r="G53" s="819">
        <f t="shared" si="4"/>
        <v>362.89210994764397</v>
      </c>
      <c r="H53" s="819">
        <f t="shared" si="5"/>
        <v>406.52429912023462</v>
      </c>
    </row>
    <row r="54" spans="1:8">
      <c r="A54" s="1406"/>
      <c r="B54" s="803" t="s">
        <v>660</v>
      </c>
      <c r="C54" s="803">
        <v>209577</v>
      </c>
      <c r="D54" s="803">
        <v>4470</v>
      </c>
      <c r="E54" s="819">
        <v>447</v>
      </c>
      <c r="F54" s="819">
        <f t="shared" si="6"/>
        <v>336.89375654629083</v>
      </c>
      <c r="G54" s="819">
        <f t="shared" si="4"/>
        <v>387.32198952879583</v>
      </c>
      <c r="H54" s="819">
        <f t="shared" si="5"/>
        <v>433.89149560117301</v>
      </c>
    </row>
    <row r="55" spans="1:8">
      <c r="A55" s="1406"/>
      <c r="B55" s="803" t="s">
        <v>661</v>
      </c>
      <c r="C55" s="803">
        <v>494293</v>
      </c>
      <c r="D55" s="803">
        <v>4226</v>
      </c>
      <c r="E55" s="819">
        <v>562.05799999999999</v>
      </c>
      <c r="F55" s="819">
        <f t="shared" si="6"/>
        <v>423.61036021676762</v>
      </c>
      <c r="G55" s="819">
        <f t="shared" si="4"/>
        <v>487.01884293193717</v>
      </c>
      <c r="H55" s="819">
        <f t="shared" si="5"/>
        <v>545.57536070381229</v>
      </c>
    </row>
    <row r="56" spans="1:8">
      <c r="A56" s="1406"/>
      <c r="B56" s="803" t="s">
        <v>662</v>
      </c>
      <c r="C56" s="803">
        <v>56784</v>
      </c>
      <c r="D56" s="803">
        <v>7850</v>
      </c>
      <c r="E56" s="819">
        <v>1044.05</v>
      </c>
      <c r="F56" s="819">
        <f t="shared" si="6"/>
        <v>786.8767931144406</v>
      </c>
      <c r="G56" s="819">
        <f t="shared" si="4"/>
        <v>904.6611256544503</v>
      </c>
      <c r="H56" s="819">
        <f t="shared" si="5"/>
        <v>1013.432697947214</v>
      </c>
    </row>
    <row r="57" spans="1:8">
      <c r="A57" s="1406"/>
      <c r="B57" s="803" t="s">
        <v>663</v>
      </c>
      <c r="C57" s="803">
        <v>20206</v>
      </c>
      <c r="D57" s="803">
        <v>4726</v>
      </c>
      <c r="E57" s="819">
        <v>500.95600000000002</v>
      </c>
      <c r="F57" s="819">
        <f t="shared" si="6"/>
        <v>377.55916936108207</v>
      </c>
      <c r="G57" s="819">
        <f t="shared" si="4"/>
        <v>434.07443979057598</v>
      </c>
      <c r="H57" s="819">
        <f t="shared" si="5"/>
        <v>486.26520821114372</v>
      </c>
    </row>
    <row r="58" spans="1:8">
      <c r="A58" s="1406"/>
      <c r="B58" s="803" t="s">
        <v>664</v>
      </c>
      <c r="C58" s="803">
        <v>38103</v>
      </c>
      <c r="D58" s="803">
        <v>4259</v>
      </c>
      <c r="E58" s="819">
        <v>425.9</v>
      </c>
      <c r="F58" s="819">
        <f t="shared" si="6"/>
        <v>320.99116535361355</v>
      </c>
      <c r="G58" s="819">
        <f t="shared" si="4"/>
        <v>369.03900523560208</v>
      </c>
      <c r="H58" s="819">
        <f t="shared" si="5"/>
        <v>413.41026392961874</v>
      </c>
    </row>
    <row r="59" spans="1:8">
      <c r="A59" s="1406"/>
      <c r="B59" s="803" t="s">
        <v>665</v>
      </c>
      <c r="C59" s="803">
        <v>92444</v>
      </c>
      <c r="D59" s="803">
        <v>4766</v>
      </c>
      <c r="E59" s="819">
        <v>476.6</v>
      </c>
      <c r="F59" s="819">
        <f t="shared" si="6"/>
        <v>359.2026048545016</v>
      </c>
      <c r="G59" s="819">
        <f t="shared" si="4"/>
        <v>412.97015706806286</v>
      </c>
      <c r="H59" s="819">
        <f t="shared" si="5"/>
        <v>462.62346041055724</v>
      </c>
    </row>
    <row r="60" spans="1:8">
      <c r="A60" s="1406"/>
      <c r="B60" s="803" t="s">
        <v>666</v>
      </c>
      <c r="C60" s="803">
        <v>3176569</v>
      </c>
      <c r="D60" s="803">
        <v>1488</v>
      </c>
      <c r="E60" s="819">
        <v>157.72800000000001</v>
      </c>
      <c r="F60" s="819">
        <f t="shared" si="6"/>
        <v>157.72800000000001</v>
      </c>
      <c r="G60" s="819">
        <f t="shared" si="4"/>
        <v>157.72800000000001</v>
      </c>
      <c r="H60" s="819">
        <f t="shared" si="5"/>
        <v>157.72800000000001</v>
      </c>
    </row>
    <row r="61" spans="1:8">
      <c r="A61" s="1405" t="s">
        <v>667</v>
      </c>
      <c r="B61" s="803" t="s">
        <v>668</v>
      </c>
      <c r="C61" s="803">
        <v>194775</v>
      </c>
      <c r="D61" s="803">
        <v>8490</v>
      </c>
      <c r="E61" s="819">
        <v>950.88</v>
      </c>
      <c r="F61" s="819">
        <f t="shared" si="6"/>
        <v>716.65667835511636</v>
      </c>
      <c r="G61" s="819">
        <f t="shared" si="4"/>
        <v>823.93005235602095</v>
      </c>
      <c r="H61" s="819">
        <f t="shared" si="5"/>
        <v>922.99495601173021</v>
      </c>
    </row>
    <row r="62" spans="1:8">
      <c r="A62" s="1406"/>
      <c r="B62" s="803" t="s">
        <v>669</v>
      </c>
      <c r="C62" s="803">
        <v>13502</v>
      </c>
      <c r="D62" s="803">
        <v>7213</v>
      </c>
      <c r="E62" s="819">
        <v>959.32899999999995</v>
      </c>
      <c r="F62" s="819">
        <f t="shared" si="6"/>
        <v>723.02449792795665</v>
      </c>
      <c r="G62" s="819">
        <f t="shared" si="4"/>
        <v>831.25104450261779</v>
      </c>
      <c r="H62" s="819">
        <f t="shared" si="5"/>
        <v>931.1961847507331</v>
      </c>
    </row>
    <row r="63" spans="1:8">
      <c r="A63" s="1406"/>
      <c r="B63" s="803" t="s">
        <v>670</v>
      </c>
      <c r="C63" s="803">
        <v>959704</v>
      </c>
      <c r="D63" s="803">
        <v>8756</v>
      </c>
      <c r="E63" s="819">
        <v>980.67200000000003</v>
      </c>
      <c r="F63" s="819">
        <f t="shared" si="6"/>
        <v>739.11023270640749</v>
      </c>
      <c r="G63" s="819">
        <f t="shared" si="4"/>
        <v>849.74458638743465</v>
      </c>
      <c r="H63" s="819">
        <f t="shared" si="5"/>
        <v>951.91329032258068</v>
      </c>
    </row>
    <row r="64" spans="1:8">
      <c r="A64" s="1406"/>
      <c r="B64" s="803" t="s">
        <v>671</v>
      </c>
      <c r="C64" s="803">
        <v>2502905</v>
      </c>
      <c r="D64" s="803">
        <v>5658</v>
      </c>
      <c r="E64" s="819">
        <v>633.69600000000003</v>
      </c>
      <c r="F64" s="819">
        <f t="shared" si="6"/>
        <v>477.60229518648396</v>
      </c>
      <c r="G64" s="819">
        <f t="shared" si="4"/>
        <v>549.09260732984296</v>
      </c>
      <c r="H64" s="819">
        <f t="shared" si="5"/>
        <v>615.1125395894428</v>
      </c>
    </row>
    <row r="65" spans="1:8">
      <c r="A65" s="1406"/>
      <c r="B65" s="803" t="s">
        <v>672</v>
      </c>
      <c r="C65" s="803">
        <v>236267</v>
      </c>
      <c r="D65" s="803">
        <v>12810</v>
      </c>
      <c r="E65" s="819">
        <v>1434.72</v>
      </c>
      <c r="F65" s="819">
        <f t="shared" si="6"/>
        <v>1081.3159069174371</v>
      </c>
      <c r="G65" s="819">
        <f t="shared" si="4"/>
        <v>1243.1736125654452</v>
      </c>
      <c r="H65" s="819">
        <f t="shared" si="5"/>
        <v>1392.646099706745</v>
      </c>
    </row>
    <row r="66" spans="1:8">
      <c r="A66" s="1406"/>
      <c r="B66" s="803" t="s">
        <v>673</v>
      </c>
      <c r="C66" s="803">
        <v>167061</v>
      </c>
      <c r="D66" s="803">
        <v>8645</v>
      </c>
      <c r="E66" s="819">
        <v>968.24</v>
      </c>
      <c r="F66" s="819">
        <f t="shared" si="6"/>
        <v>729.74051641695894</v>
      </c>
      <c r="G66" s="819">
        <f t="shared" si="4"/>
        <v>838.97235602094247</v>
      </c>
      <c r="H66" s="819">
        <f t="shared" si="5"/>
        <v>939.84586510263932</v>
      </c>
    </row>
    <row r="67" spans="1:8">
      <c r="A67" s="1406"/>
      <c r="B67" s="803" t="s">
        <v>674</v>
      </c>
      <c r="C67" s="803">
        <v>93189</v>
      </c>
      <c r="D67" s="803">
        <v>8935</v>
      </c>
      <c r="E67" s="819">
        <v>1000.72</v>
      </c>
      <c r="F67" s="819">
        <f t="shared" si="6"/>
        <v>754.219955371374</v>
      </c>
      <c r="G67" s="819">
        <f t="shared" si="4"/>
        <v>867.11602094240845</v>
      </c>
      <c r="H67" s="819">
        <f t="shared" si="5"/>
        <v>971.3733724340176</v>
      </c>
    </row>
    <row r="68" spans="1:8">
      <c r="A68" s="1406"/>
      <c r="B68" s="803" t="s">
        <v>675</v>
      </c>
      <c r="C68" s="803">
        <v>497702</v>
      </c>
      <c r="D68" s="803">
        <v>7744</v>
      </c>
      <c r="E68" s="819">
        <v>867.32799999999997</v>
      </c>
      <c r="F68" s="819">
        <f t="shared" si="6"/>
        <v>653.6854319413452</v>
      </c>
      <c r="G68" s="819">
        <f t="shared" si="4"/>
        <v>751.53290052356022</v>
      </c>
      <c r="H68" s="819">
        <f t="shared" si="5"/>
        <v>841.89316129032261</v>
      </c>
    </row>
    <row r="69" spans="1:8">
      <c r="A69" s="1406"/>
      <c r="B69" s="803" t="s">
        <v>676</v>
      </c>
      <c r="C69" s="803">
        <v>459892</v>
      </c>
      <c r="D69" s="803">
        <v>7185</v>
      </c>
      <c r="E69" s="819">
        <v>804.72</v>
      </c>
      <c r="F69" s="819">
        <f t="shared" si="6"/>
        <v>606.49920306024865</v>
      </c>
      <c r="G69" s="819">
        <f t="shared" si="4"/>
        <v>697.28356020942419</v>
      </c>
      <c r="H69" s="819">
        <f t="shared" si="5"/>
        <v>781.12117302052786</v>
      </c>
    </row>
    <row r="70" spans="1:8">
      <c r="A70" s="1406"/>
      <c r="B70" s="803" t="s">
        <v>677</v>
      </c>
      <c r="C70" s="803">
        <v>8300130</v>
      </c>
      <c r="D70" s="803">
        <v>6108</v>
      </c>
      <c r="E70" s="819">
        <v>812.36400000000003</v>
      </c>
      <c r="F70" s="819">
        <f t="shared" si="6"/>
        <v>612.26031240038253</v>
      </c>
      <c r="G70" s="819">
        <f t="shared" si="4"/>
        <v>703.9070261780106</v>
      </c>
      <c r="H70" s="819">
        <f t="shared" si="5"/>
        <v>788.54100879765406</v>
      </c>
    </row>
    <row r="71" spans="1:8">
      <c r="A71" s="1406"/>
      <c r="B71" s="803" t="s">
        <v>678</v>
      </c>
      <c r="C71" s="803">
        <v>43537</v>
      </c>
      <c r="D71" s="803">
        <v>7265</v>
      </c>
      <c r="E71" s="819">
        <v>966.245</v>
      </c>
      <c r="F71" s="819">
        <f t="shared" si="6"/>
        <v>728.23693018807785</v>
      </c>
      <c r="G71" s="819">
        <f t="shared" si="4"/>
        <v>837.24370418848173</v>
      </c>
      <c r="H71" s="819">
        <f t="shared" si="5"/>
        <v>937.90936950146636</v>
      </c>
    </row>
    <row r="72" spans="1:8">
      <c r="A72" s="1406"/>
      <c r="B72" s="803" t="s">
        <v>679</v>
      </c>
      <c r="C72" s="803">
        <v>699037</v>
      </c>
      <c r="D72" s="803">
        <v>9199</v>
      </c>
      <c r="E72" s="819">
        <v>1030.288</v>
      </c>
      <c r="F72" s="819">
        <f t="shared" si="6"/>
        <v>776.50468600573799</v>
      </c>
      <c r="G72" s="819">
        <f t="shared" si="4"/>
        <v>892.73646073298437</v>
      </c>
      <c r="H72" s="819">
        <f t="shared" si="5"/>
        <v>1000.0742756598241</v>
      </c>
    </row>
    <row r="73" spans="1:8">
      <c r="A73" s="1406"/>
      <c r="B73" s="803" t="s">
        <v>680</v>
      </c>
      <c r="C73" s="803">
        <v>161422</v>
      </c>
      <c r="D73" s="803">
        <v>8681</v>
      </c>
      <c r="E73" s="819">
        <v>972.27200000000005</v>
      </c>
      <c r="F73" s="819">
        <f t="shared" si="6"/>
        <v>732.779343321645</v>
      </c>
      <c r="G73" s="819">
        <f t="shared" si="4"/>
        <v>842.46605235602101</v>
      </c>
      <c r="H73" s="819">
        <f t="shared" si="5"/>
        <v>943.75962463343114</v>
      </c>
    </row>
    <row r="74" spans="1:8">
      <c r="A74" s="1406"/>
      <c r="B74" s="803" t="s">
        <v>681</v>
      </c>
      <c r="C74" s="803">
        <v>80198</v>
      </c>
      <c r="D74" s="803">
        <v>7655</v>
      </c>
      <c r="E74" s="819">
        <v>1018.115</v>
      </c>
      <c r="F74" s="819">
        <f t="shared" si="6"/>
        <v>767.33017213898631</v>
      </c>
      <c r="G74" s="819">
        <f t="shared" si="4"/>
        <v>882.18865183246078</v>
      </c>
      <c r="H74" s="819">
        <f t="shared" si="5"/>
        <v>988.2582551319648</v>
      </c>
    </row>
    <row r="75" spans="1:8">
      <c r="A75" s="1406"/>
      <c r="B75" s="803" t="s">
        <v>682</v>
      </c>
      <c r="C75" s="803">
        <v>164546</v>
      </c>
      <c r="D75" s="803">
        <v>10276</v>
      </c>
      <c r="E75" s="819">
        <v>1150.912</v>
      </c>
      <c r="F75" s="819">
        <f t="shared" si="6"/>
        <v>867.41625757092766</v>
      </c>
      <c r="G75" s="819">
        <f t="shared" si="4"/>
        <v>997.25620942408386</v>
      </c>
      <c r="H75" s="819">
        <f t="shared" si="5"/>
        <v>1117.1609149560118</v>
      </c>
    </row>
    <row r="76" spans="1:8">
      <c r="A76" s="1406"/>
      <c r="B76" s="803" t="s">
        <v>683</v>
      </c>
      <c r="C76" s="803">
        <v>87571</v>
      </c>
      <c r="D76" s="803">
        <v>7646</v>
      </c>
      <c r="E76" s="819">
        <v>1016.918</v>
      </c>
      <c r="F76" s="819">
        <f t="shared" si="6"/>
        <v>766.4280204016577</v>
      </c>
      <c r="G76" s="819">
        <f t="shared" si="4"/>
        <v>881.15146073298433</v>
      </c>
      <c r="H76" s="819">
        <f t="shared" si="5"/>
        <v>987.09635777126107</v>
      </c>
    </row>
    <row r="77" spans="1:8">
      <c r="A77" s="1405" t="s">
        <v>684</v>
      </c>
      <c r="B77" s="803" t="s">
        <v>685</v>
      </c>
      <c r="C77" s="803">
        <v>352121</v>
      </c>
      <c r="D77" s="803">
        <v>4651</v>
      </c>
      <c r="E77" s="819">
        <v>465.1</v>
      </c>
      <c r="F77" s="819">
        <f t="shared" si="6"/>
        <v>350.53531581583866</v>
      </c>
      <c r="G77" s="819">
        <f t="shared" si="4"/>
        <v>403.005497382199</v>
      </c>
      <c r="H77" s="819">
        <f t="shared" si="5"/>
        <v>451.46070381231675</v>
      </c>
    </row>
    <row r="78" spans="1:8">
      <c r="A78" s="1406"/>
      <c r="B78" s="803" t="s">
        <v>686</v>
      </c>
      <c r="C78" s="803">
        <v>60979</v>
      </c>
      <c r="D78" s="803">
        <v>4822</v>
      </c>
      <c r="E78" s="819">
        <v>511.13200000000001</v>
      </c>
      <c r="F78" s="819">
        <f t="shared" si="6"/>
        <v>385.22858964433721</v>
      </c>
      <c r="G78" s="819">
        <f t="shared" si="4"/>
        <v>442.89186387434557</v>
      </c>
      <c r="H78" s="819">
        <f t="shared" si="5"/>
        <v>496.1427917888563</v>
      </c>
    </row>
    <row r="79" spans="1:8">
      <c r="A79" s="1406"/>
      <c r="B79" s="803" t="s">
        <v>687</v>
      </c>
      <c r="C79" s="803">
        <v>2142532</v>
      </c>
      <c r="D79" s="803">
        <v>8189</v>
      </c>
      <c r="E79" s="819">
        <v>917.16800000000001</v>
      </c>
      <c r="F79" s="819">
        <f t="shared" si="6"/>
        <v>691.24870895760284</v>
      </c>
      <c r="G79" s="819">
        <f t="shared" si="4"/>
        <v>794.71886910994772</v>
      </c>
      <c r="H79" s="819">
        <f t="shared" si="5"/>
        <v>890.27157771261</v>
      </c>
    </row>
    <row r="80" spans="1:8">
      <c r="A80" s="1406"/>
      <c r="B80" s="803" t="s">
        <v>688</v>
      </c>
      <c r="C80" s="803">
        <v>665454</v>
      </c>
      <c r="D80" s="803">
        <v>8961</v>
      </c>
      <c r="E80" s="819">
        <v>1003.6319999999999</v>
      </c>
      <c r="F80" s="819">
        <f t="shared" si="6"/>
        <v>756.41466369142495</v>
      </c>
      <c r="G80" s="819">
        <f t="shared" si="4"/>
        <v>869.63924607329841</v>
      </c>
      <c r="H80" s="819">
        <f t="shared" si="5"/>
        <v>974.19997653958944</v>
      </c>
    </row>
    <row r="81" spans="1:8">
      <c r="A81" s="1406"/>
      <c r="B81" s="803" t="s">
        <v>689</v>
      </c>
      <c r="C81" s="803">
        <v>2078552</v>
      </c>
      <c r="D81" s="803">
        <v>5295</v>
      </c>
      <c r="E81" s="819">
        <v>593.04</v>
      </c>
      <c r="F81" s="819">
        <f t="shared" si="6"/>
        <v>446.96079056423332</v>
      </c>
      <c r="G81" s="819">
        <f t="shared" si="4"/>
        <v>513.86450261780101</v>
      </c>
      <c r="H81" s="819">
        <f t="shared" si="5"/>
        <v>575.64879765395892</v>
      </c>
    </row>
    <row r="82" spans="1:8">
      <c r="A82" s="1406"/>
      <c r="B82" s="803" t="s">
        <v>690</v>
      </c>
      <c r="C82" s="803">
        <v>474795</v>
      </c>
      <c r="D82" s="803">
        <v>9590</v>
      </c>
      <c r="E82" s="819">
        <v>1275.47</v>
      </c>
      <c r="F82" s="819">
        <f t="shared" si="6"/>
        <v>961.29279566464777</v>
      </c>
      <c r="G82" s="819">
        <f t="shared" si="4"/>
        <v>1105.1847382198953</v>
      </c>
      <c r="H82" s="819">
        <f t="shared" si="5"/>
        <v>1238.0661876832846</v>
      </c>
    </row>
    <row r="83" spans="1:8">
      <c r="A83" s="1406"/>
      <c r="B83" s="803" t="s">
        <v>691</v>
      </c>
      <c r="C83" s="803">
        <v>937120</v>
      </c>
      <c r="D83" s="803">
        <v>6565</v>
      </c>
      <c r="E83" s="819">
        <v>873.14499999999998</v>
      </c>
      <c r="F83" s="819">
        <f t="shared" si="6"/>
        <v>658.06957284029329</v>
      </c>
      <c r="G83" s="819">
        <f t="shared" si="4"/>
        <v>756.57328534031421</v>
      </c>
      <c r="H83" s="819">
        <f t="shared" si="5"/>
        <v>847.53957478005862</v>
      </c>
    </row>
    <row r="84" spans="1:8">
      <c r="A84" s="1406"/>
      <c r="B84" s="803" t="s">
        <v>692</v>
      </c>
      <c r="C84" s="803">
        <v>133867</v>
      </c>
      <c r="D84" s="803">
        <v>4200</v>
      </c>
      <c r="E84" s="819">
        <v>420</v>
      </c>
      <c r="F84" s="819">
        <f t="shared" si="6"/>
        <v>316.5444692381256</v>
      </c>
      <c r="G84" s="819">
        <f t="shared" si="4"/>
        <v>363.92670157068068</v>
      </c>
      <c r="H84" s="819">
        <f t="shared" si="5"/>
        <v>407.68328445747801</v>
      </c>
    </row>
    <row r="85" spans="1:8">
      <c r="A85" s="1406"/>
      <c r="B85" s="803" t="s">
        <v>693</v>
      </c>
      <c r="C85" s="803">
        <v>1465360</v>
      </c>
      <c r="D85" s="803">
        <v>3269</v>
      </c>
      <c r="E85" s="819">
        <v>326.89999999999998</v>
      </c>
      <c r="F85" s="819">
        <f t="shared" si="6"/>
        <v>326.89999999999998</v>
      </c>
      <c r="G85" s="819">
        <f t="shared" si="4"/>
        <v>326.89999999999998</v>
      </c>
      <c r="H85" s="819">
        <f t="shared" si="5"/>
        <v>326.89999999999998</v>
      </c>
    </row>
    <row r="86" spans="1:8">
      <c r="A86" s="1406"/>
      <c r="B86" s="803" t="s">
        <v>694</v>
      </c>
      <c r="C86" s="803">
        <v>1050038</v>
      </c>
      <c r="D86" s="803">
        <v>9707</v>
      </c>
      <c r="E86" s="819">
        <v>1087.184</v>
      </c>
      <c r="F86" s="819">
        <f t="shared" si="6"/>
        <v>819.3859101051961</v>
      </c>
      <c r="G86" s="819">
        <f t="shared" si="4"/>
        <v>942.03639790575915</v>
      </c>
      <c r="H86" s="819">
        <f t="shared" si="5"/>
        <v>1055.3017712609972</v>
      </c>
    </row>
    <row r="87" spans="1:8">
      <c r="A87" s="1406"/>
      <c r="B87" s="803" t="s">
        <v>695</v>
      </c>
      <c r="C87" s="803">
        <v>166734</v>
      </c>
      <c r="D87" s="803">
        <v>3362</v>
      </c>
      <c r="E87" s="819">
        <v>336.2</v>
      </c>
      <c r="F87" s="819">
        <f t="shared" si="6"/>
        <v>336.2</v>
      </c>
      <c r="G87" s="819">
        <f t="shared" si="4"/>
        <v>336.2</v>
      </c>
      <c r="H87" s="819">
        <f t="shared" si="5"/>
        <v>336.2</v>
      </c>
    </row>
    <row r="88" spans="1:8">
      <c r="A88" s="1406"/>
      <c r="B88" s="803" t="s">
        <v>696</v>
      </c>
      <c r="C88" s="803">
        <v>72170</v>
      </c>
      <c r="D88" s="803">
        <v>4405</v>
      </c>
      <c r="E88" s="819">
        <v>440.5</v>
      </c>
      <c r="F88" s="819">
        <f t="shared" si="6"/>
        <v>331.99485404617695</v>
      </c>
      <c r="G88" s="819">
        <f t="shared" si="4"/>
        <v>381.68979057591628</v>
      </c>
      <c r="H88" s="819">
        <f t="shared" si="5"/>
        <v>427.58211143695019</v>
      </c>
    </row>
    <row r="89" spans="1:8">
      <c r="A89" s="1406"/>
      <c r="B89" s="803" t="s">
        <v>697</v>
      </c>
      <c r="C89" s="803">
        <v>661964</v>
      </c>
      <c r="D89" s="803">
        <v>3187</v>
      </c>
      <c r="E89" s="819">
        <v>318.7</v>
      </c>
      <c r="F89" s="819">
        <f t="shared" si="6"/>
        <v>318.7</v>
      </c>
      <c r="G89" s="819">
        <f t="shared" si="4"/>
        <v>318.7</v>
      </c>
      <c r="H89" s="819">
        <f t="shared" si="5"/>
        <v>318.7</v>
      </c>
    </row>
    <row r="90" spans="1:8">
      <c r="A90" s="1406"/>
      <c r="B90" s="803" t="s">
        <v>698</v>
      </c>
      <c r="C90" s="803">
        <v>27627</v>
      </c>
      <c r="D90" s="803">
        <v>8277</v>
      </c>
      <c r="E90" s="819">
        <v>1100.8409999999999</v>
      </c>
      <c r="F90" s="819">
        <f t="shared" si="6"/>
        <v>829.67888109658907</v>
      </c>
      <c r="G90" s="819">
        <f t="shared" si="4"/>
        <v>953.87008115183244</v>
      </c>
      <c r="H90" s="819">
        <f t="shared" si="5"/>
        <v>1068.5582727272727</v>
      </c>
    </row>
    <row r="91" spans="1:8">
      <c r="A91" s="1406"/>
      <c r="B91" s="803" t="s">
        <v>699</v>
      </c>
      <c r="C91" s="803">
        <v>167493</v>
      </c>
      <c r="D91" s="803">
        <v>5578</v>
      </c>
      <c r="E91" s="819">
        <v>624.73599999999999</v>
      </c>
      <c r="F91" s="819">
        <f t="shared" si="6"/>
        <v>470.84934650940392</v>
      </c>
      <c r="G91" s="819">
        <f t="shared" si="4"/>
        <v>541.32883769633509</v>
      </c>
      <c r="H91" s="819">
        <f t="shared" si="5"/>
        <v>606.41529618768334</v>
      </c>
    </row>
    <row r="92" spans="1:8">
      <c r="A92" s="1406"/>
      <c r="B92" s="803" t="s">
        <v>700</v>
      </c>
      <c r="C92" s="803">
        <v>47376</v>
      </c>
      <c r="D92" s="803">
        <v>5896</v>
      </c>
      <c r="E92" s="819">
        <v>784.16800000000001</v>
      </c>
      <c r="F92" s="819">
        <f t="shared" si="6"/>
        <v>591.00962703219636</v>
      </c>
      <c r="G92" s="819">
        <f t="shared" si="4"/>
        <v>679.47541361256549</v>
      </c>
      <c r="H92" s="819">
        <f t="shared" si="5"/>
        <v>761.17187096774194</v>
      </c>
    </row>
    <row r="93" spans="1:8">
      <c r="A93" s="1406"/>
      <c r="B93" s="803" t="s">
        <v>701</v>
      </c>
      <c r="C93" s="803">
        <v>745317</v>
      </c>
      <c r="D93" s="803">
        <v>4967</v>
      </c>
      <c r="E93" s="819">
        <v>660.61099999999999</v>
      </c>
      <c r="F93" s="819">
        <f t="shared" si="6"/>
        <v>497.88751992349381</v>
      </c>
      <c r="G93" s="819">
        <f t="shared" si="4"/>
        <v>572.4142434554974</v>
      </c>
      <c r="H93" s="819">
        <f t="shared" si="5"/>
        <v>641.23824340175952</v>
      </c>
    </row>
    <row r="94" spans="1:8">
      <c r="A94" s="1406"/>
      <c r="B94" s="803" t="s">
        <v>702</v>
      </c>
      <c r="C94" s="803">
        <v>427095</v>
      </c>
      <c r="D94" s="803">
        <v>10725</v>
      </c>
      <c r="E94" s="819">
        <v>1201.2</v>
      </c>
      <c r="F94" s="819">
        <f t="shared" si="6"/>
        <v>905.31718202103923</v>
      </c>
      <c r="G94" s="819">
        <f t="shared" ref="G94:G145" si="7">IF(D94&lt;3500,E94,E94*(1+$J$21))</f>
        <v>1040.8303664921466</v>
      </c>
      <c r="H94" s="819">
        <f t="shared" ref="H94:H145" si="8">IF(D94&lt;3500,E94,E94*(1+$J$22))</f>
        <v>1165.9741935483871</v>
      </c>
    </row>
    <row r="95" spans="1:8">
      <c r="A95" s="1406"/>
      <c r="B95" s="803" t="s">
        <v>703</v>
      </c>
      <c r="C95" s="803">
        <v>256650</v>
      </c>
      <c r="D95" s="803">
        <v>9786</v>
      </c>
      <c r="E95" s="819">
        <v>1096.0319999999999</v>
      </c>
      <c r="F95" s="819">
        <f t="shared" ref="F95:F145" si="9">IF(D95&lt;3500,E95,E95*(1+$J$20))</f>
        <v>826.05444692381252</v>
      </c>
      <c r="G95" s="819">
        <f t="shared" si="7"/>
        <v>949.70312041884813</v>
      </c>
      <c r="H95" s="819">
        <f t="shared" si="8"/>
        <v>1063.8902991202347</v>
      </c>
    </row>
    <row r="96" spans="1:8">
      <c r="A96" s="1406"/>
      <c r="B96" s="803" t="s">
        <v>704</v>
      </c>
      <c r="C96" s="803">
        <v>501874</v>
      </c>
      <c r="D96" s="803">
        <v>9419</v>
      </c>
      <c r="E96" s="819">
        <v>1054.9280000000001</v>
      </c>
      <c r="F96" s="819">
        <f t="shared" si="9"/>
        <v>795.07529486770807</v>
      </c>
      <c r="G96" s="819">
        <f t="shared" si="7"/>
        <v>914.08682722513106</v>
      </c>
      <c r="H96" s="819">
        <f t="shared" si="8"/>
        <v>1023.9916950146629</v>
      </c>
    </row>
    <row r="97" spans="1:8">
      <c r="A97" s="1406"/>
      <c r="B97" s="803" t="s">
        <v>705</v>
      </c>
      <c r="C97" s="803">
        <v>367579</v>
      </c>
      <c r="D97" s="803">
        <v>9178</v>
      </c>
      <c r="E97" s="819">
        <v>1027.9359999999999</v>
      </c>
      <c r="F97" s="819">
        <f t="shared" si="9"/>
        <v>774.73203697800443</v>
      </c>
      <c r="G97" s="819">
        <f t="shared" si="7"/>
        <v>890.69847120418842</v>
      </c>
      <c r="H97" s="819">
        <f t="shared" si="8"/>
        <v>997.79124926686211</v>
      </c>
    </row>
    <row r="98" spans="1:8">
      <c r="A98" s="1405" t="s">
        <v>706</v>
      </c>
      <c r="B98" s="803" t="s">
        <v>707</v>
      </c>
      <c r="C98" s="803">
        <v>26091</v>
      </c>
      <c r="D98" s="803">
        <v>1583</v>
      </c>
      <c r="E98" s="819">
        <v>231.11799999999999</v>
      </c>
      <c r="F98" s="819">
        <f t="shared" si="9"/>
        <v>231.11799999999999</v>
      </c>
      <c r="G98" s="819">
        <f t="shared" si="7"/>
        <v>231.11799999999999</v>
      </c>
      <c r="H98" s="819">
        <f t="shared" si="8"/>
        <v>231.11799999999999</v>
      </c>
    </row>
    <row r="99" spans="1:8">
      <c r="A99" s="1406"/>
      <c r="B99" s="803" t="s">
        <v>708</v>
      </c>
      <c r="C99" s="803">
        <v>9368806</v>
      </c>
      <c r="D99" s="803">
        <v>858</v>
      </c>
      <c r="E99" s="819">
        <v>156.15600000000001</v>
      </c>
      <c r="F99" s="819">
        <f t="shared" si="9"/>
        <v>156.15600000000001</v>
      </c>
      <c r="G99" s="819">
        <f t="shared" si="7"/>
        <v>156.15600000000001</v>
      </c>
      <c r="H99" s="819">
        <f t="shared" si="8"/>
        <v>156.15600000000001</v>
      </c>
    </row>
    <row r="100" spans="1:8">
      <c r="A100" s="1406"/>
      <c r="B100" s="803" t="s">
        <v>709</v>
      </c>
      <c r="C100" s="803">
        <v>57193</v>
      </c>
      <c r="D100" s="803">
        <v>3416</v>
      </c>
      <c r="E100" s="819">
        <v>341.6</v>
      </c>
      <c r="F100" s="819">
        <f t="shared" si="9"/>
        <v>341.6</v>
      </c>
      <c r="G100" s="819">
        <f t="shared" si="7"/>
        <v>341.6</v>
      </c>
      <c r="H100" s="819">
        <f t="shared" si="8"/>
        <v>341.6</v>
      </c>
    </row>
    <row r="101" spans="1:8">
      <c r="A101" s="1406"/>
      <c r="B101" s="803" t="s">
        <v>710</v>
      </c>
      <c r="C101" s="803">
        <v>1420116</v>
      </c>
      <c r="D101" s="803">
        <v>1035</v>
      </c>
      <c r="E101" s="819">
        <v>109.71</v>
      </c>
      <c r="F101" s="819">
        <f t="shared" si="9"/>
        <v>109.71</v>
      </c>
      <c r="G101" s="819">
        <f t="shared" si="7"/>
        <v>109.71</v>
      </c>
      <c r="H101" s="819">
        <f t="shared" si="8"/>
        <v>109.71</v>
      </c>
    </row>
    <row r="102" spans="1:8">
      <c r="A102" s="1406"/>
      <c r="B102" s="803" t="s">
        <v>711</v>
      </c>
      <c r="C102" s="803">
        <v>17783</v>
      </c>
      <c r="D102" s="803">
        <v>3803</v>
      </c>
      <c r="E102" s="819">
        <v>403.11799999999999</v>
      </c>
      <c r="F102" s="819">
        <f t="shared" si="9"/>
        <v>303.82088892936838</v>
      </c>
      <c r="G102" s="819">
        <f t="shared" si="7"/>
        <v>349.29858115183248</v>
      </c>
      <c r="H102" s="819">
        <f t="shared" si="8"/>
        <v>391.296357771261</v>
      </c>
    </row>
    <row r="103" spans="1:8">
      <c r="A103" s="1406"/>
      <c r="B103" s="803" t="s">
        <v>712</v>
      </c>
      <c r="C103" s="803">
        <v>2406260</v>
      </c>
      <c r="D103" s="803">
        <v>251</v>
      </c>
      <c r="E103" s="819">
        <v>60.993000000000002</v>
      </c>
      <c r="F103" s="819">
        <f t="shared" si="9"/>
        <v>60.993000000000002</v>
      </c>
      <c r="G103" s="819">
        <f t="shared" si="7"/>
        <v>60.993000000000002</v>
      </c>
      <c r="H103" s="819">
        <f t="shared" si="8"/>
        <v>60.993000000000002</v>
      </c>
    </row>
    <row r="104" spans="1:8">
      <c r="A104" s="1406"/>
      <c r="B104" s="803" t="s">
        <v>713</v>
      </c>
      <c r="C104" s="803">
        <v>76847</v>
      </c>
      <c r="D104" s="803">
        <v>1803</v>
      </c>
      <c r="E104" s="819">
        <v>263.238</v>
      </c>
      <c r="F104" s="819">
        <f t="shared" si="9"/>
        <v>263.238</v>
      </c>
      <c r="G104" s="819">
        <f t="shared" si="7"/>
        <v>263.238</v>
      </c>
      <c r="H104" s="819">
        <f t="shared" si="8"/>
        <v>263.238</v>
      </c>
    </row>
    <row r="105" spans="1:8">
      <c r="A105" s="1406"/>
      <c r="B105" s="803" t="s">
        <v>714</v>
      </c>
      <c r="C105" s="803">
        <v>64446</v>
      </c>
      <c r="D105" s="803">
        <v>1337</v>
      </c>
      <c r="E105" s="819">
        <v>141.72200000000001</v>
      </c>
      <c r="F105" s="819">
        <f t="shared" si="9"/>
        <v>141.72200000000001</v>
      </c>
      <c r="G105" s="819">
        <f t="shared" si="7"/>
        <v>141.72200000000001</v>
      </c>
      <c r="H105" s="819">
        <f t="shared" si="8"/>
        <v>141.72200000000001</v>
      </c>
    </row>
    <row r="106" spans="1:8">
      <c r="A106" s="1406"/>
      <c r="B106" s="803" t="s">
        <v>715</v>
      </c>
      <c r="C106" s="803">
        <v>310378</v>
      </c>
      <c r="D106" s="803">
        <v>1754</v>
      </c>
      <c r="E106" s="819">
        <v>185.92400000000001</v>
      </c>
      <c r="F106" s="819">
        <f t="shared" si="9"/>
        <v>185.92400000000001</v>
      </c>
      <c r="G106" s="819">
        <f t="shared" si="7"/>
        <v>185.92400000000001</v>
      </c>
      <c r="H106" s="819">
        <f t="shared" si="8"/>
        <v>185.92400000000001</v>
      </c>
    </row>
    <row r="107" spans="1:8">
      <c r="A107" s="1406"/>
      <c r="B107" s="803" t="s">
        <v>716</v>
      </c>
      <c r="C107" s="803">
        <v>66325</v>
      </c>
      <c r="D107" s="803">
        <v>2952</v>
      </c>
      <c r="E107" s="819">
        <v>312.91199999999998</v>
      </c>
      <c r="F107" s="819">
        <f t="shared" si="9"/>
        <v>312.91199999999998</v>
      </c>
      <c r="G107" s="819">
        <f t="shared" si="7"/>
        <v>312.91199999999998</v>
      </c>
      <c r="H107" s="819">
        <f t="shared" si="8"/>
        <v>312.91199999999998</v>
      </c>
    </row>
    <row r="108" spans="1:8">
      <c r="A108" s="1406"/>
      <c r="B108" s="803" t="s">
        <v>717</v>
      </c>
      <c r="C108" s="803">
        <v>735542</v>
      </c>
      <c r="D108" s="803">
        <v>1079</v>
      </c>
      <c r="E108" s="819">
        <v>114.374</v>
      </c>
      <c r="F108" s="819">
        <f t="shared" si="9"/>
        <v>114.374</v>
      </c>
      <c r="G108" s="819">
        <f t="shared" si="7"/>
        <v>114.374</v>
      </c>
      <c r="H108" s="819">
        <f t="shared" si="8"/>
        <v>114.374</v>
      </c>
    </row>
    <row r="109" spans="1:8">
      <c r="A109" s="1406"/>
      <c r="B109" s="803" t="s">
        <v>718</v>
      </c>
      <c r="C109" s="803">
        <v>1545276</v>
      </c>
      <c r="D109" s="803">
        <v>1004</v>
      </c>
      <c r="E109" s="819">
        <v>106.42400000000001</v>
      </c>
      <c r="F109" s="819">
        <f t="shared" si="9"/>
        <v>106.42400000000001</v>
      </c>
      <c r="G109" s="819">
        <f t="shared" si="7"/>
        <v>106.42400000000001</v>
      </c>
      <c r="H109" s="819">
        <f t="shared" si="8"/>
        <v>106.42400000000001</v>
      </c>
    </row>
    <row r="110" spans="1:8">
      <c r="A110" s="1406"/>
      <c r="B110" s="803" t="s">
        <v>719</v>
      </c>
      <c r="C110" s="803">
        <v>14509956</v>
      </c>
      <c r="D110" s="803">
        <v>1065</v>
      </c>
      <c r="E110" s="819">
        <v>112.89</v>
      </c>
      <c r="F110" s="819">
        <f t="shared" si="9"/>
        <v>112.89</v>
      </c>
      <c r="G110" s="819">
        <f t="shared" si="7"/>
        <v>112.89</v>
      </c>
      <c r="H110" s="819">
        <f t="shared" si="8"/>
        <v>112.89</v>
      </c>
    </row>
    <row r="111" spans="1:8">
      <c r="A111" s="1406"/>
      <c r="B111" s="803" t="s">
        <v>720</v>
      </c>
      <c r="C111" s="803">
        <v>37469</v>
      </c>
      <c r="D111" s="803">
        <v>1837</v>
      </c>
      <c r="E111" s="819">
        <v>268.202</v>
      </c>
      <c r="F111" s="819">
        <f t="shared" si="9"/>
        <v>268.202</v>
      </c>
      <c r="G111" s="819">
        <f t="shared" si="7"/>
        <v>268.202</v>
      </c>
      <c r="H111" s="819">
        <f t="shared" si="8"/>
        <v>268.202</v>
      </c>
    </row>
    <row r="112" spans="1:8">
      <c r="A112" s="1406"/>
      <c r="B112" s="803" t="s">
        <v>721</v>
      </c>
      <c r="C112" s="803">
        <v>668532</v>
      </c>
      <c r="D112" s="803">
        <v>1896</v>
      </c>
      <c r="E112" s="819">
        <v>200.976</v>
      </c>
      <c r="F112" s="819">
        <f t="shared" si="9"/>
        <v>200.976</v>
      </c>
      <c r="G112" s="819">
        <f t="shared" si="7"/>
        <v>200.976</v>
      </c>
      <c r="H112" s="819">
        <f t="shared" si="8"/>
        <v>200.976</v>
      </c>
    </row>
    <row r="113" spans="1:8">
      <c r="A113" s="1406"/>
      <c r="B113" s="803" t="s">
        <v>722</v>
      </c>
      <c r="C113" s="803">
        <v>38030</v>
      </c>
      <c r="D113" s="803">
        <v>3366</v>
      </c>
      <c r="E113" s="819">
        <v>336.6</v>
      </c>
      <c r="F113" s="819">
        <f t="shared" si="9"/>
        <v>336.6</v>
      </c>
      <c r="G113" s="819">
        <f t="shared" si="7"/>
        <v>336.6</v>
      </c>
      <c r="H113" s="819">
        <f t="shared" si="8"/>
        <v>336.6</v>
      </c>
    </row>
    <row r="114" spans="1:8">
      <c r="A114" s="1406"/>
      <c r="B114" s="803" t="s">
        <v>723</v>
      </c>
      <c r="C114" s="803">
        <v>2786918</v>
      </c>
      <c r="D114" s="803">
        <v>2098</v>
      </c>
      <c r="E114" s="819">
        <v>209.8</v>
      </c>
      <c r="F114" s="819">
        <f t="shared" si="9"/>
        <v>209.8</v>
      </c>
      <c r="G114" s="819">
        <f t="shared" si="7"/>
        <v>209.8</v>
      </c>
      <c r="H114" s="819">
        <f t="shared" si="8"/>
        <v>209.8</v>
      </c>
    </row>
    <row r="115" spans="1:8">
      <c r="A115" s="1406"/>
      <c r="B115" s="803" t="s">
        <v>724</v>
      </c>
      <c r="C115" s="803">
        <v>907685</v>
      </c>
      <c r="D115" s="803">
        <v>1248</v>
      </c>
      <c r="E115" s="819">
        <v>132.28800000000001</v>
      </c>
      <c r="F115" s="819">
        <f t="shared" si="9"/>
        <v>132.28800000000001</v>
      </c>
      <c r="G115" s="819">
        <f t="shared" si="7"/>
        <v>132.28800000000001</v>
      </c>
      <c r="H115" s="819">
        <f t="shared" si="8"/>
        <v>132.28800000000001</v>
      </c>
    </row>
    <row r="116" spans="1:8">
      <c r="A116" s="1406"/>
      <c r="B116" s="803" t="s">
        <v>725</v>
      </c>
      <c r="C116" s="803">
        <v>2000912</v>
      </c>
      <c r="D116" s="803">
        <v>785</v>
      </c>
      <c r="E116" s="819">
        <v>99.694999999999993</v>
      </c>
      <c r="F116" s="819">
        <f t="shared" si="9"/>
        <v>99.694999999999993</v>
      </c>
      <c r="G116" s="819">
        <f t="shared" si="7"/>
        <v>99.694999999999993</v>
      </c>
      <c r="H116" s="819">
        <f t="shared" si="8"/>
        <v>99.694999999999993</v>
      </c>
    </row>
    <row r="117" spans="1:8">
      <c r="A117" s="1406"/>
      <c r="B117" s="803" t="s">
        <v>726</v>
      </c>
      <c r="C117" s="803">
        <v>569110</v>
      </c>
      <c r="D117" s="803">
        <v>2225</v>
      </c>
      <c r="E117" s="819">
        <v>222.5</v>
      </c>
      <c r="F117" s="819">
        <f t="shared" si="9"/>
        <v>222.5</v>
      </c>
      <c r="G117" s="819">
        <f t="shared" si="7"/>
        <v>222.5</v>
      </c>
      <c r="H117" s="819">
        <f t="shared" si="8"/>
        <v>222.5</v>
      </c>
    </row>
    <row r="118" spans="1:8">
      <c r="A118" s="1406"/>
      <c r="B118" s="803" t="s">
        <v>727</v>
      </c>
      <c r="C118" s="803">
        <v>11876639</v>
      </c>
      <c r="D118" s="803">
        <v>1120</v>
      </c>
      <c r="E118" s="819">
        <v>118.72</v>
      </c>
      <c r="F118" s="819">
        <f t="shared" si="9"/>
        <v>118.72</v>
      </c>
      <c r="G118" s="819">
        <f t="shared" si="7"/>
        <v>118.72</v>
      </c>
      <c r="H118" s="819">
        <f t="shared" si="8"/>
        <v>118.72</v>
      </c>
    </row>
    <row r="119" spans="1:8">
      <c r="A119" s="1406"/>
      <c r="B119" s="803" t="s">
        <v>728</v>
      </c>
      <c r="C119" s="803">
        <v>24727</v>
      </c>
      <c r="D119" s="803">
        <v>4745</v>
      </c>
      <c r="E119" s="819">
        <v>502.97</v>
      </c>
      <c r="F119" s="819">
        <f t="shared" si="9"/>
        <v>379.07707545880965</v>
      </c>
      <c r="G119" s="819">
        <f t="shared" si="7"/>
        <v>435.81955497382205</v>
      </c>
      <c r="H119" s="819">
        <f t="shared" si="8"/>
        <v>488.22014662756601</v>
      </c>
    </row>
    <row r="120" spans="1:8">
      <c r="A120" s="1406"/>
      <c r="B120" s="803" t="s">
        <v>729</v>
      </c>
      <c r="C120" s="803">
        <v>290756</v>
      </c>
      <c r="D120" s="803">
        <v>1596</v>
      </c>
      <c r="E120" s="819">
        <v>169.17599999999999</v>
      </c>
      <c r="F120" s="819">
        <f t="shared" si="9"/>
        <v>169.17599999999999</v>
      </c>
      <c r="G120" s="819">
        <f t="shared" si="7"/>
        <v>169.17599999999999</v>
      </c>
      <c r="H120" s="819">
        <f t="shared" si="8"/>
        <v>169.17599999999999</v>
      </c>
    </row>
    <row r="121" spans="1:8">
      <c r="A121" s="1406"/>
      <c r="B121" s="803" t="s">
        <v>730</v>
      </c>
      <c r="C121" s="803">
        <v>174406</v>
      </c>
      <c r="D121" s="803">
        <v>1672</v>
      </c>
      <c r="E121" s="819">
        <v>177.232</v>
      </c>
      <c r="F121" s="819">
        <f t="shared" si="9"/>
        <v>177.232</v>
      </c>
      <c r="G121" s="819">
        <f t="shared" si="7"/>
        <v>177.232</v>
      </c>
      <c r="H121" s="819">
        <f t="shared" si="8"/>
        <v>177.232</v>
      </c>
    </row>
    <row r="122" spans="1:8">
      <c r="A122" s="1406"/>
      <c r="B122" s="803" t="s">
        <v>731</v>
      </c>
      <c r="C122" s="803">
        <v>172765</v>
      </c>
      <c r="D122" s="803">
        <v>1674</v>
      </c>
      <c r="E122" s="819">
        <v>177.44399999999999</v>
      </c>
      <c r="F122" s="819">
        <f t="shared" si="9"/>
        <v>177.44399999999999</v>
      </c>
      <c r="G122" s="819">
        <f t="shared" si="7"/>
        <v>177.44399999999999</v>
      </c>
      <c r="H122" s="819">
        <f t="shared" si="8"/>
        <v>177.44399999999999</v>
      </c>
    </row>
    <row r="123" spans="1:8">
      <c r="A123" s="1406"/>
      <c r="B123" s="803" t="s">
        <v>732</v>
      </c>
      <c r="C123" s="803">
        <v>264714</v>
      </c>
      <c r="D123" s="803">
        <v>273</v>
      </c>
      <c r="E123" s="819">
        <v>66.338999999999999</v>
      </c>
      <c r="F123" s="819">
        <f t="shared" si="9"/>
        <v>66.338999999999999</v>
      </c>
      <c r="G123" s="819">
        <f t="shared" si="7"/>
        <v>66.338999999999999</v>
      </c>
      <c r="H123" s="819">
        <f t="shared" si="8"/>
        <v>66.338999999999999</v>
      </c>
    </row>
    <row r="124" spans="1:8">
      <c r="A124" s="1406"/>
      <c r="B124" s="803" t="s">
        <v>733</v>
      </c>
      <c r="C124" s="803">
        <v>201793</v>
      </c>
      <c r="D124" s="803">
        <v>1674</v>
      </c>
      <c r="E124" s="819">
        <v>177.44399999999999</v>
      </c>
      <c r="F124" s="819">
        <f t="shared" si="9"/>
        <v>177.44399999999999</v>
      </c>
      <c r="G124" s="819">
        <f t="shared" si="7"/>
        <v>177.44399999999999</v>
      </c>
      <c r="H124" s="819">
        <f t="shared" si="8"/>
        <v>177.44399999999999</v>
      </c>
    </row>
    <row r="125" spans="1:8">
      <c r="A125" s="1406"/>
      <c r="B125" s="803" t="s">
        <v>734</v>
      </c>
      <c r="C125" s="803">
        <v>407059</v>
      </c>
      <c r="D125" s="803">
        <v>1755</v>
      </c>
      <c r="E125" s="819">
        <v>186.03</v>
      </c>
      <c r="F125" s="819">
        <f t="shared" si="9"/>
        <v>186.03</v>
      </c>
      <c r="G125" s="819">
        <f t="shared" si="7"/>
        <v>186.03</v>
      </c>
      <c r="H125" s="819">
        <f t="shared" si="8"/>
        <v>186.03</v>
      </c>
    </row>
    <row r="126" spans="1:8">
      <c r="A126" s="1406"/>
      <c r="B126" s="803" t="s">
        <v>735</v>
      </c>
      <c r="C126" s="803">
        <v>66483</v>
      </c>
      <c r="D126" s="803">
        <v>1968</v>
      </c>
      <c r="E126" s="819">
        <v>208.608</v>
      </c>
      <c r="F126" s="819">
        <f t="shared" si="9"/>
        <v>208.608</v>
      </c>
      <c r="G126" s="819">
        <f t="shared" si="7"/>
        <v>208.608</v>
      </c>
      <c r="H126" s="819">
        <f t="shared" si="8"/>
        <v>208.608</v>
      </c>
    </row>
    <row r="127" spans="1:8">
      <c r="A127" s="1406"/>
      <c r="B127" s="803" t="s">
        <v>736</v>
      </c>
      <c r="C127" s="803">
        <v>50133</v>
      </c>
      <c r="D127" s="803">
        <v>680</v>
      </c>
      <c r="E127" s="819">
        <v>144.16</v>
      </c>
      <c r="F127" s="819">
        <f t="shared" si="9"/>
        <v>144.16</v>
      </c>
      <c r="G127" s="819">
        <f t="shared" si="7"/>
        <v>144.16</v>
      </c>
      <c r="H127" s="819">
        <f t="shared" si="8"/>
        <v>144.16</v>
      </c>
    </row>
    <row r="128" spans="1:8">
      <c r="A128" s="1406"/>
      <c r="B128" s="803" t="s">
        <v>737</v>
      </c>
      <c r="C128" s="803">
        <v>89946</v>
      </c>
      <c r="D128" s="803">
        <v>1489</v>
      </c>
      <c r="E128" s="819">
        <v>217.39400000000001</v>
      </c>
      <c r="F128" s="819">
        <f t="shared" si="9"/>
        <v>217.39400000000001</v>
      </c>
      <c r="G128" s="819">
        <f t="shared" si="7"/>
        <v>217.39400000000001</v>
      </c>
      <c r="H128" s="819">
        <f t="shared" si="8"/>
        <v>217.39400000000001</v>
      </c>
    </row>
    <row r="129" spans="1:8">
      <c r="A129" s="1406"/>
      <c r="B129" s="803" t="s">
        <v>738</v>
      </c>
      <c r="C129" s="803">
        <v>890442</v>
      </c>
      <c r="D129" s="803">
        <v>1349</v>
      </c>
      <c r="E129" s="819">
        <v>142.994</v>
      </c>
      <c r="F129" s="819">
        <f t="shared" si="9"/>
        <v>142.994</v>
      </c>
      <c r="G129" s="819">
        <f t="shared" si="7"/>
        <v>142.994</v>
      </c>
      <c r="H129" s="819">
        <f t="shared" si="8"/>
        <v>142.994</v>
      </c>
    </row>
    <row r="130" spans="1:8">
      <c r="A130" s="1405" t="s">
        <v>684</v>
      </c>
      <c r="B130" s="803" t="s">
        <v>739</v>
      </c>
      <c r="C130" s="803">
        <v>26076</v>
      </c>
      <c r="D130" s="803">
        <v>5133</v>
      </c>
      <c r="E130" s="819">
        <v>682.68899999999996</v>
      </c>
      <c r="F130" s="819">
        <f t="shared" si="9"/>
        <v>514.5272075231112</v>
      </c>
      <c r="G130" s="819">
        <f t="shared" si="7"/>
        <v>591.54465706806286</v>
      </c>
      <c r="H130" s="819">
        <f t="shared" si="8"/>
        <v>662.66879472140761</v>
      </c>
    </row>
    <row r="131" spans="1:8">
      <c r="A131" s="1406"/>
      <c r="B131" s="803" t="s">
        <v>740</v>
      </c>
      <c r="C131" s="803">
        <v>4210027</v>
      </c>
      <c r="D131" s="803">
        <v>398</v>
      </c>
      <c r="E131" s="819">
        <v>67.66</v>
      </c>
      <c r="F131" s="819">
        <f t="shared" si="9"/>
        <v>67.66</v>
      </c>
      <c r="G131" s="819">
        <f t="shared" si="7"/>
        <v>67.66</v>
      </c>
      <c r="H131" s="819">
        <f t="shared" si="8"/>
        <v>67.66</v>
      </c>
    </row>
    <row r="132" spans="1:8">
      <c r="A132" s="1406"/>
      <c r="B132" s="803" t="s">
        <v>741</v>
      </c>
      <c r="C132" s="803">
        <v>1417931</v>
      </c>
      <c r="D132" s="803">
        <v>1340</v>
      </c>
      <c r="E132" s="819">
        <v>142.04</v>
      </c>
      <c r="F132" s="819">
        <f t="shared" si="9"/>
        <v>142.04</v>
      </c>
      <c r="G132" s="819">
        <f t="shared" si="7"/>
        <v>142.04</v>
      </c>
      <c r="H132" s="819">
        <f t="shared" si="8"/>
        <v>142.04</v>
      </c>
    </row>
    <row r="133" spans="1:8">
      <c r="A133" s="1406"/>
      <c r="B133" s="803" t="s">
        <v>742</v>
      </c>
      <c r="C133" s="803">
        <v>7311331</v>
      </c>
      <c r="D133" s="803">
        <v>1470</v>
      </c>
      <c r="E133" s="819">
        <v>155.82</v>
      </c>
      <c r="F133" s="819">
        <f t="shared" si="9"/>
        <v>155.82</v>
      </c>
      <c r="G133" s="819">
        <f t="shared" si="7"/>
        <v>155.82</v>
      </c>
      <c r="H133" s="819">
        <f t="shared" si="8"/>
        <v>155.82</v>
      </c>
    </row>
    <row r="134" spans="1:8">
      <c r="A134" s="1406"/>
      <c r="B134" s="803" t="s">
        <v>743</v>
      </c>
      <c r="C134" s="803">
        <v>1091158</v>
      </c>
      <c r="D134" s="803">
        <v>1854</v>
      </c>
      <c r="E134" s="819">
        <v>196.524</v>
      </c>
      <c r="F134" s="819">
        <f t="shared" si="9"/>
        <v>196.524</v>
      </c>
      <c r="G134" s="819">
        <f t="shared" si="7"/>
        <v>196.524</v>
      </c>
      <c r="H134" s="819">
        <f t="shared" si="8"/>
        <v>196.524</v>
      </c>
    </row>
    <row r="135" spans="1:8">
      <c r="A135" s="1406"/>
      <c r="B135" s="803" t="s">
        <v>744</v>
      </c>
      <c r="C135" s="803">
        <v>13464428</v>
      </c>
      <c r="D135" s="803">
        <v>308</v>
      </c>
      <c r="E135" s="819">
        <v>52.36</v>
      </c>
      <c r="F135" s="819">
        <f t="shared" si="9"/>
        <v>52.36</v>
      </c>
      <c r="G135" s="819">
        <f t="shared" si="7"/>
        <v>52.36</v>
      </c>
      <c r="H135" s="819">
        <f t="shared" si="8"/>
        <v>52.36</v>
      </c>
    </row>
    <row r="136" spans="1:8">
      <c r="A136" s="1406"/>
      <c r="B136" s="803" t="s">
        <v>745</v>
      </c>
      <c r="C136" s="803">
        <v>1489708</v>
      </c>
      <c r="D136" s="803">
        <v>2454</v>
      </c>
      <c r="E136" s="819">
        <v>260.12400000000002</v>
      </c>
      <c r="F136" s="819">
        <f t="shared" si="9"/>
        <v>260.12400000000002</v>
      </c>
      <c r="G136" s="819">
        <f t="shared" si="7"/>
        <v>260.12400000000002</v>
      </c>
      <c r="H136" s="819">
        <f t="shared" si="8"/>
        <v>260.12400000000002</v>
      </c>
    </row>
    <row r="137" spans="1:8">
      <c r="A137" s="1406"/>
      <c r="B137" s="803" t="s">
        <v>746</v>
      </c>
      <c r="C137" s="803">
        <v>331778</v>
      </c>
      <c r="D137" s="803">
        <v>1423</v>
      </c>
      <c r="E137" s="819">
        <v>150.83799999999999</v>
      </c>
      <c r="F137" s="819">
        <f t="shared" si="9"/>
        <v>150.83799999999999</v>
      </c>
      <c r="G137" s="819">
        <f t="shared" si="7"/>
        <v>150.83799999999999</v>
      </c>
      <c r="H137" s="819">
        <f t="shared" si="8"/>
        <v>150.83799999999999</v>
      </c>
    </row>
    <row r="138" spans="1:8">
      <c r="A138" s="1406"/>
      <c r="B138" s="803" t="s">
        <v>747</v>
      </c>
      <c r="C138" s="803">
        <v>29201</v>
      </c>
      <c r="D138" s="803">
        <v>1081</v>
      </c>
      <c r="E138" s="819">
        <v>157.82599999999999</v>
      </c>
      <c r="F138" s="819">
        <f t="shared" si="9"/>
        <v>157.82599999999999</v>
      </c>
      <c r="G138" s="819">
        <f t="shared" si="7"/>
        <v>157.82599999999999</v>
      </c>
      <c r="H138" s="819">
        <f t="shared" si="8"/>
        <v>157.82599999999999</v>
      </c>
    </row>
    <row r="139" spans="1:8">
      <c r="A139" s="1406"/>
      <c r="B139" s="803" t="s">
        <v>748</v>
      </c>
      <c r="C139" s="803">
        <v>102391</v>
      </c>
      <c r="D139" s="803">
        <v>944</v>
      </c>
      <c r="E139" s="819">
        <v>171.80799999999999</v>
      </c>
      <c r="F139" s="819">
        <f t="shared" si="9"/>
        <v>171.80799999999999</v>
      </c>
      <c r="G139" s="819">
        <f t="shared" si="7"/>
        <v>171.80799999999999</v>
      </c>
      <c r="H139" s="819">
        <f t="shared" si="8"/>
        <v>171.80799999999999</v>
      </c>
    </row>
    <row r="140" spans="1:8">
      <c r="A140" s="1406"/>
      <c r="B140" s="803" t="s">
        <v>749</v>
      </c>
      <c r="C140" s="803">
        <v>1146692</v>
      </c>
      <c r="D140" s="803">
        <v>1432</v>
      </c>
      <c r="E140" s="819">
        <v>151.792</v>
      </c>
      <c r="F140" s="819">
        <f t="shared" si="9"/>
        <v>151.792</v>
      </c>
      <c r="G140" s="819">
        <f t="shared" si="7"/>
        <v>151.792</v>
      </c>
      <c r="H140" s="819">
        <f t="shared" si="8"/>
        <v>151.792</v>
      </c>
    </row>
    <row r="141" spans="1:8">
      <c r="A141" s="1406"/>
      <c r="B141" s="803" t="s">
        <v>750</v>
      </c>
      <c r="C141" s="803">
        <v>3387483</v>
      </c>
      <c r="D141" s="803">
        <v>436</v>
      </c>
      <c r="E141" s="819">
        <v>105.94799999999999</v>
      </c>
      <c r="F141" s="819">
        <f t="shared" si="9"/>
        <v>105.94799999999999</v>
      </c>
      <c r="G141" s="819">
        <f t="shared" si="7"/>
        <v>105.94799999999999</v>
      </c>
      <c r="H141" s="819">
        <f t="shared" si="8"/>
        <v>105.94799999999999</v>
      </c>
    </row>
    <row r="142" spans="1:8">
      <c r="A142" s="1406"/>
      <c r="B142" s="803" t="s">
        <v>751</v>
      </c>
      <c r="C142" s="803">
        <v>1122298</v>
      </c>
      <c r="D142" s="803">
        <v>852</v>
      </c>
      <c r="E142" s="819">
        <v>108.20399999999999</v>
      </c>
      <c r="F142" s="819">
        <f t="shared" si="9"/>
        <v>108.20399999999999</v>
      </c>
      <c r="G142" s="819">
        <f t="shared" si="7"/>
        <v>108.20399999999999</v>
      </c>
      <c r="H142" s="819">
        <f t="shared" si="8"/>
        <v>108.20399999999999</v>
      </c>
    </row>
    <row r="143" spans="1:8">
      <c r="A143" s="1406"/>
      <c r="B143" s="803" t="s">
        <v>752</v>
      </c>
      <c r="C143" s="803">
        <v>8868</v>
      </c>
      <c r="D143" s="803">
        <v>4555</v>
      </c>
      <c r="E143" s="819">
        <v>482.83</v>
      </c>
      <c r="F143" s="819">
        <f t="shared" si="9"/>
        <v>363.89801448153378</v>
      </c>
      <c r="G143" s="819">
        <f t="shared" si="7"/>
        <v>418.36840314136128</v>
      </c>
      <c r="H143" s="819">
        <f t="shared" si="8"/>
        <v>468.67076246334312</v>
      </c>
    </row>
    <row r="144" spans="1:8">
      <c r="A144" s="1406"/>
      <c r="B144" s="803" t="s">
        <v>753</v>
      </c>
      <c r="C144" s="803">
        <v>2748211</v>
      </c>
      <c r="D144" s="803">
        <v>2214</v>
      </c>
      <c r="E144" s="819">
        <v>221.4</v>
      </c>
      <c r="F144" s="819">
        <f t="shared" si="9"/>
        <v>221.4</v>
      </c>
      <c r="G144" s="819">
        <f t="shared" si="7"/>
        <v>221.4</v>
      </c>
      <c r="H144" s="819">
        <f t="shared" si="8"/>
        <v>221.4</v>
      </c>
    </row>
    <row r="145" spans="1:8">
      <c r="A145" s="1406"/>
      <c r="B145" s="803" t="s">
        <v>754</v>
      </c>
      <c r="C145" s="803">
        <v>398182</v>
      </c>
      <c r="D145" s="803">
        <v>2032</v>
      </c>
      <c r="E145" s="819">
        <v>203.2</v>
      </c>
      <c r="F145" s="819">
        <f t="shared" si="9"/>
        <v>203.2</v>
      </c>
      <c r="G145" s="819">
        <f t="shared" si="7"/>
        <v>203.2</v>
      </c>
      <c r="H145" s="819">
        <f t="shared" si="8"/>
        <v>203.2</v>
      </c>
    </row>
    <row r="146" spans="1:8">
      <c r="A146" s="1152"/>
      <c r="B146" s="803"/>
      <c r="C146" s="803"/>
      <c r="D146" s="803"/>
      <c r="E146" s="803"/>
      <c r="F146" s="820"/>
      <c r="G146" s="820"/>
      <c r="H146" s="820"/>
    </row>
    <row r="147" spans="1:8" ht="48.95" thickBot="1">
      <c r="A147" s="803"/>
      <c r="B147" s="803"/>
      <c r="C147" s="803"/>
      <c r="D147" s="803"/>
      <c r="E147" s="222" t="s">
        <v>625</v>
      </c>
      <c r="F147" s="222" t="s">
        <v>626</v>
      </c>
      <c r="G147" s="222" t="s">
        <v>627</v>
      </c>
      <c r="H147" s="223" t="s">
        <v>755</v>
      </c>
    </row>
    <row r="148" spans="1:8">
      <c r="A148" s="1399" t="s">
        <v>756</v>
      </c>
      <c r="B148" s="1400"/>
      <c r="C148" s="231"/>
      <c r="D148" s="887" t="s">
        <v>757</v>
      </c>
      <c r="E148" s="889">
        <f>SUMPRODUCT(E29:E145,$C$29:$C$145)/(1+Hypothèses!$E$23)/Hypothèses!$B$29*10^-9</f>
        <v>32.100665105375178</v>
      </c>
      <c r="F148" s="890">
        <f>SUMPRODUCT(F29:F145,$C$29:$C$145)/(1+Hypothèses!$E$23)/Hypothèses!$B$29*10^-9</f>
        <v>27.148099326435293</v>
      </c>
      <c r="G148" s="890">
        <f>SUMPRODUCT(G29:G145,$C$29:$C$145)/(1+Hypothèses!$E$23)/Hypothèses!$B$29*10^-9</f>
        <v>29.416355268402487</v>
      </c>
      <c r="H148" s="891">
        <f>SUMPRODUCT(H29:H145,$C$29:$C$145)/(1+Hypothèses!$E$23)/Hypothèses!$B$29*10^-9</f>
        <v>31.511046131352074</v>
      </c>
    </row>
    <row r="149" spans="1:8">
      <c r="A149" s="1401"/>
      <c r="B149" s="1402"/>
      <c r="C149" s="233"/>
      <c r="D149" s="888" t="s">
        <v>758</v>
      </c>
      <c r="E149" s="892">
        <f>E148/2</f>
        <v>16.050332552687589</v>
      </c>
      <c r="F149" s="822">
        <f t="shared" ref="F149:H149" si="10">F148/2</f>
        <v>13.574049663217647</v>
      </c>
      <c r="G149" s="822">
        <f t="shared" si="10"/>
        <v>14.708177634201244</v>
      </c>
      <c r="H149" s="893">
        <f t="shared" si="10"/>
        <v>15.755523065676037</v>
      </c>
    </row>
    <row r="150" spans="1:8">
      <c r="A150" s="1403"/>
      <c r="B150" s="1404"/>
      <c r="C150" s="233"/>
      <c r="D150" s="888" t="s">
        <v>759</v>
      </c>
      <c r="E150" s="892">
        <f>Hypothèses!B58/Hypothèses!$B$29</f>
        <v>17.821782178217823</v>
      </c>
      <c r="F150" s="822">
        <f>F149*$E$150/$E$149</f>
        <v>15.072195892518629</v>
      </c>
      <c r="G150" s="822">
        <f t="shared" ref="G150:H150" si="11">G149*$E$150/$E$149</f>
        <v>16.331495760278024</v>
      </c>
      <c r="H150" s="893">
        <f t="shared" si="11"/>
        <v>17.494435037942388</v>
      </c>
    </row>
    <row r="151" spans="1:8">
      <c r="A151" s="232"/>
      <c r="B151" s="233"/>
      <c r="C151" s="233"/>
      <c r="D151" s="234" t="s">
        <v>760</v>
      </c>
      <c r="E151" s="892">
        <f>E150+Hypothèses!$B$57/Hypothèses!$B$29</f>
        <v>22.574257425742577</v>
      </c>
      <c r="F151" s="821">
        <f>F150+Hypothèses!$B$57/Hypothèses!$B$29</f>
        <v>19.824671140043382</v>
      </c>
      <c r="G151" s="821">
        <f>G150+Hypothèses!$B$57/Hypothèses!$B$29</f>
        <v>21.083971007802777</v>
      </c>
      <c r="H151" s="893">
        <f>H150+Hypothèses!$B$57/Hypothèses!$B$29</f>
        <v>22.246910285467141</v>
      </c>
    </row>
    <row r="152" spans="1:8">
      <c r="A152" s="232"/>
      <c r="B152" s="233"/>
      <c r="C152" s="233"/>
      <c r="D152" s="234" t="s">
        <v>761</v>
      </c>
      <c r="E152" s="894"/>
      <c r="F152" s="823">
        <f>(F150-$E$150)/$E$150</f>
        <v>-0.15428234158645482</v>
      </c>
      <c r="G152" s="823">
        <f t="shared" ref="G152:H152" si="12">(G150-$E$150)/$E$150</f>
        <v>-8.3621626784399855E-2</v>
      </c>
      <c r="H152" s="895">
        <f t="shared" si="12"/>
        <v>-1.8367811759899426E-2</v>
      </c>
    </row>
    <row r="153" spans="1:8" ht="15.95" thickBot="1">
      <c r="A153" s="228"/>
      <c r="B153" s="229"/>
      <c r="C153" s="229"/>
      <c r="D153" s="230" t="s">
        <v>762</v>
      </c>
      <c r="E153" s="896"/>
      <c r="F153" s="897">
        <f>(F151-$E$151)/$E$151</f>
        <v>-0.12180184862088538</v>
      </c>
      <c r="G153" s="897">
        <f>(G151-$E$151)/$E$151</f>
        <v>-6.6017073777157778E-2</v>
      </c>
      <c r="H153" s="898">
        <f t="shared" ref="H153" si="13">(H151-$E$151)/$E$151</f>
        <v>-1.450090402097323E-2</v>
      </c>
    </row>
    <row r="154" spans="1:8" ht="15.95" thickBot="1">
      <c r="A154" s="803"/>
      <c r="B154" s="803"/>
      <c r="C154" s="803"/>
      <c r="D154" s="803"/>
      <c r="E154" s="803"/>
      <c r="F154" s="803"/>
      <c r="G154" s="803"/>
      <c r="H154" s="803"/>
    </row>
    <row r="155" spans="1:8">
      <c r="A155" s="803"/>
      <c r="B155" s="803"/>
      <c r="C155" s="803"/>
      <c r="D155" s="803"/>
      <c r="E155" s="803"/>
      <c r="F155" s="235" t="s">
        <v>763</v>
      </c>
      <c r="G155" s="237">
        <f>E150-G150</f>
        <v>1.4902864179397994</v>
      </c>
      <c r="H155" s="803"/>
    </row>
    <row r="156" spans="1:8" ht="15.95" thickBot="1">
      <c r="A156" s="803"/>
      <c r="B156" s="803"/>
      <c r="C156" s="803"/>
      <c r="D156" s="803"/>
      <c r="E156" s="803"/>
      <c r="F156" s="236" t="s">
        <v>588</v>
      </c>
      <c r="G156" s="171">
        <v>2018</v>
      </c>
      <c r="H156" s="803"/>
    </row>
  </sheetData>
  <mergeCells count="9">
    <mergeCell ref="A148:B150"/>
    <mergeCell ref="A130:A145"/>
    <mergeCell ref="C2:C3"/>
    <mergeCell ref="B2:B3"/>
    <mergeCell ref="E18:H18"/>
    <mergeCell ref="A29:A60"/>
    <mergeCell ref="A61:A76"/>
    <mergeCell ref="A77:A97"/>
    <mergeCell ref="A98:A129"/>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L1000"/>
  <sheetViews>
    <sheetView topLeftCell="A33" zoomScale="70" zoomScaleNormal="70" workbookViewId="0">
      <selection activeCell="K74" sqref="K74"/>
    </sheetView>
  </sheetViews>
  <sheetFormatPr defaultColWidth="12.625" defaultRowHeight="15" customHeight="1"/>
  <cols>
    <col min="1" max="1" width="10.625" style="189" customWidth="1"/>
    <col min="2" max="2" width="12.625" style="189" customWidth="1"/>
    <col min="3" max="3" width="20" style="189" customWidth="1"/>
    <col min="4" max="4" width="14" style="189" customWidth="1"/>
    <col min="5" max="5" width="14.125" style="189" customWidth="1"/>
    <col min="6" max="7" width="10.625" style="189" customWidth="1"/>
    <col min="8" max="8" width="16" style="189" customWidth="1"/>
    <col min="9" max="9" width="15.375" style="189" customWidth="1"/>
    <col min="10" max="10" width="13" style="189" customWidth="1"/>
    <col min="11" max="12" width="10.625" style="189" customWidth="1"/>
    <col min="13" max="16384" width="12.625" style="189"/>
  </cols>
  <sheetData>
    <row r="1" spans="1:11" ht="48.95" thickBot="1">
      <c r="A1" s="824"/>
      <c r="B1" s="825" t="s">
        <v>764</v>
      </c>
      <c r="C1" s="826" t="s">
        <v>765</v>
      </c>
      <c r="D1" s="824" t="s">
        <v>766</v>
      </c>
      <c r="E1" s="825" t="s">
        <v>767</v>
      </c>
      <c r="F1" s="284" t="s">
        <v>768</v>
      </c>
      <c r="G1" s="191" t="s">
        <v>768</v>
      </c>
      <c r="H1" s="284" t="s">
        <v>769</v>
      </c>
      <c r="I1" s="284" t="s">
        <v>770</v>
      </c>
      <c r="J1" s="284" t="s">
        <v>771</v>
      </c>
      <c r="K1" s="191" t="s">
        <v>772</v>
      </c>
    </row>
    <row r="2" spans="1:11" ht="33" thickBot="1">
      <c r="A2" s="200" t="s">
        <v>46</v>
      </c>
      <c r="B2" s="825"/>
      <c r="C2" s="826"/>
      <c r="D2" s="192" t="s">
        <v>629</v>
      </c>
      <c r="E2" s="285"/>
      <c r="F2" s="284" t="s">
        <v>773</v>
      </c>
      <c r="G2" s="191" t="s">
        <v>774</v>
      </c>
      <c r="H2" s="284" t="s">
        <v>775</v>
      </c>
      <c r="I2" s="284" t="s">
        <v>630</v>
      </c>
      <c r="J2" s="284" t="s">
        <v>776</v>
      </c>
      <c r="K2" s="191" t="s">
        <v>777</v>
      </c>
    </row>
    <row r="3" spans="1:11" ht="17.100000000000001" thickBot="1">
      <c r="A3" s="827" t="s">
        <v>47</v>
      </c>
      <c r="B3" s="825"/>
      <c r="C3" s="826"/>
      <c r="D3" s="201" t="s">
        <v>778</v>
      </c>
      <c r="E3" s="286"/>
      <c r="F3" s="287" t="s">
        <v>779</v>
      </c>
      <c r="G3" s="202"/>
      <c r="H3" s="287" t="s">
        <v>780</v>
      </c>
      <c r="I3" s="288" t="s">
        <v>781</v>
      </c>
      <c r="J3" s="288" t="s">
        <v>781</v>
      </c>
      <c r="K3" s="202"/>
    </row>
    <row r="4" spans="1:11" ht="13.5" customHeight="1">
      <c r="A4" s="1411" t="s">
        <v>782</v>
      </c>
      <c r="B4" s="828" t="s">
        <v>783</v>
      </c>
      <c r="C4" s="829" t="s">
        <v>784</v>
      </c>
      <c r="D4" s="830">
        <v>1256417</v>
      </c>
      <c r="E4" s="831">
        <f>D4/2</f>
        <v>628208.5</v>
      </c>
      <c r="F4" s="289">
        <v>60.8</v>
      </c>
      <c r="G4" s="193">
        <f t="shared" ref="G4:G7" si="0">F4*E4/1000</f>
        <v>38195.076799999995</v>
      </c>
      <c r="H4" s="289">
        <v>124</v>
      </c>
      <c r="I4" s="289">
        <v>581</v>
      </c>
      <c r="J4" s="832">
        <f t="shared" ref="J4:J7" si="1">I4*2.4/1000</f>
        <v>1.3943999999999999</v>
      </c>
      <c r="K4" s="833">
        <f t="shared" ref="K4:K7" si="2">J4*E4/1000</f>
        <v>875.97393239999997</v>
      </c>
    </row>
    <row r="5" spans="1:11" ht="13.5" customHeight="1">
      <c r="A5" s="1412"/>
      <c r="B5" s="834" t="s">
        <v>783</v>
      </c>
      <c r="C5" s="835" t="s">
        <v>785</v>
      </c>
      <c r="D5" s="836">
        <v>639439</v>
      </c>
      <c r="E5" s="837">
        <f>D5</f>
        <v>639439</v>
      </c>
      <c r="F5" s="194">
        <v>59.4</v>
      </c>
      <c r="G5" s="195">
        <f t="shared" si="0"/>
        <v>37982.676599999999</v>
      </c>
      <c r="H5" s="194">
        <v>117</v>
      </c>
      <c r="I5" s="194">
        <v>512</v>
      </c>
      <c r="J5" s="838">
        <f t="shared" si="1"/>
        <v>1.2287999999999999</v>
      </c>
      <c r="K5" s="839">
        <f t="shared" si="2"/>
        <v>785.74264319999997</v>
      </c>
    </row>
    <row r="6" spans="1:11" ht="13.5" customHeight="1">
      <c r="A6" s="1412"/>
      <c r="B6" s="834" t="s">
        <v>783</v>
      </c>
      <c r="C6" s="835" t="s">
        <v>786</v>
      </c>
      <c r="D6" s="836">
        <v>494074</v>
      </c>
      <c r="E6" s="837">
        <f>D6*0.2</f>
        <v>98814.8</v>
      </c>
      <c r="F6" s="194">
        <v>53.2</v>
      </c>
      <c r="G6" s="195">
        <f t="shared" si="0"/>
        <v>5256.9473600000001</v>
      </c>
      <c r="H6" s="194">
        <v>123</v>
      </c>
      <c r="I6" s="194">
        <v>396</v>
      </c>
      <c r="J6" s="838">
        <f t="shared" si="1"/>
        <v>0.95040000000000002</v>
      </c>
      <c r="K6" s="839">
        <f t="shared" si="2"/>
        <v>93.913585920000017</v>
      </c>
    </row>
    <row r="7" spans="1:11" ht="13.5" customHeight="1" thickBot="1">
      <c r="A7" s="1412"/>
      <c r="B7" s="840" t="s">
        <v>783</v>
      </c>
      <c r="C7" s="841" t="s">
        <v>787</v>
      </c>
      <c r="D7" s="842">
        <v>145024</v>
      </c>
      <c r="E7" s="843">
        <f>D7</f>
        <v>145024</v>
      </c>
      <c r="F7" s="290">
        <v>72</v>
      </c>
      <c r="G7" s="196">
        <f t="shared" si="0"/>
        <v>10441.727999999999</v>
      </c>
      <c r="H7" s="290">
        <v>124</v>
      </c>
      <c r="I7" s="290">
        <v>374</v>
      </c>
      <c r="J7" s="844">
        <f t="shared" si="1"/>
        <v>0.89760000000000006</v>
      </c>
      <c r="K7" s="845">
        <f t="shared" si="2"/>
        <v>130.1735424</v>
      </c>
    </row>
    <row r="8" spans="1:11" ht="13.5" customHeight="1" thickBot="1">
      <c r="A8" s="1413"/>
      <c r="B8" s="1409" t="s">
        <v>788</v>
      </c>
      <c r="C8" s="1410"/>
      <c r="D8" s="846">
        <f t="shared" ref="D8:E8" si="3">SUM(D4:D7)</f>
        <v>2534954</v>
      </c>
      <c r="E8" s="847">
        <f t="shared" si="3"/>
        <v>1511486.3</v>
      </c>
      <c r="F8" s="847"/>
      <c r="G8" s="848">
        <f>SUM(G4:G7)</f>
        <v>91876.428759999995</v>
      </c>
      <c r="H8" s="847"/>
      <c r="I8" s="847"/>
      <c r="J8" s="847"/>
      <c r="K8" s="848">
        <f>SUM(K4:K7)</f>
        <v>1885.8037039200001</v>
      </c>
    </row>
    <row r="9" spans="1:11" ht="13.5" customHeight="1">
      <c r="A9" s="1414" t="s">
        <v>789</v>
      </c>
      <c r="B9" s="828" t="s">
        <v>785</v>
      </c>
      <c r="C9" s="829" t="s">
        <v>790</v>
      </c>
      <c r="D9" s="830">
        <v>51560</v>
      </c>
      <c r="E9" s="831">
        <f t="shared" ref="E9:E10" si="4">D9</f>
        <v>51560</v>
      </c>
      <c r="F9" s="289">
        <v>37.1</v>
      </c>
      <c r="G9" s="193">
        <f t="shared" ref="G9:G10" si="5">F9*E9/1000</f>
        <v>1912.876</v>
      </c>
      <c r="H9" s="289">
        <v>104</v>
      </c>
      <c r="I9" s="289">
        <v>386</v>
      </c>
      <c r="J9" s="832">
        <f>I9*2.4/1000</f>
        <v>0.9264</v>
      </c>
      <c r="K9" s="833">
        <f t="shared" ref="K9:K10" si="6">J9*E9/1000</f>
        <v>47.765183999999998</v>
      </c>
    </row>
    <row r="10" spans="1:11" ht="13.5" customHeight="1" thickBot="1">
      <c r="A10" s="1415"/>
      <c r="B10" s="840" t="s">
        <v>791</v>
      </c>
      <c r="C10" s="841" t="s">
        <v>792</v>
      </c>
      <c r="D10" s="842">
        <v>5428</v>
      </c>
      <c r="E10" s="843">
        <f t="shared" si="4"/>
        <v>5428</v>
      </c>
      <c r="F10" s="197">
        <f>306*70/1000</f>
        <v>21.42</v>
      </c>
      <c r="G10" s="196">
        <f t="shared" si="5"/>
        <v>116.26776000000001</v>
      </c>
      <c r="H10" s="290">
        <v>57</v>
      </c>
      <c r="I10" s="290">
        <v>100</v>
      </c>
      <c r="J10" s="844">
        <f>I10*10/1000</f>
        <v>1</v>
      </c>
      <c r="K10" s="845">
        <f t="shared" si="6"/>
        <v>5.4279999999999999</v>
      </c>
    </row>
    <row r="11" spans="1:11" ht="13.5" customHeight="1" thickBot="1">
      <c r="A11" s="1416"/>
      <c r="B11" s="1409" t="s">
        <v>788</v>
      </c>
      <c r="C11" s="1410"/>
      <c r="D11" s="846">
        <f t="shared" ref="D11:E11" si="7">SUM(D9:D10)</f>
        <v>56988</v>
      </c>
      <c r="E11" s="847">
        <f t="shared" si="7"/>
        <v>56988</v>
      </c>
      <c r="F11" s="847"/>
      <c r="G11" s="848">
        <f>SUM(G9:G10)</f>
        <v>2029.1437599999999</v>
      </c>
      <c r="H11" s="847"/>
      <c r="I11" s="847"/>
      <c r="J11" s="847"/>
      <c r="K11" s="848">
        <f>SUM(K9:K10)</f>
        <v>53.193183999999995</v>
      </c>
    </row>
    <row r="12" spans="1:11" ht="13.5" customHeight="1">
      <c r="A12" s="1420" t="s">
        <v>793</v>
      </c>
      <c r="B12" s="828" t="s">
        <v>783</v>
      </c>
      <c r="C12" s="829" t="s">
        <v>790</v>
      </c>
      <c r="D12" s="830">
        <v>1617955</v>
      </c>
      <c r="E12" s="831">
        <f t="shared" ref="E12:E27" si="8">0.75*D12</f>
        <v>1213466.25</v>
      </c>
      <c r="F12" s="289">
        <v>72.900000000000006</v>
      </c>
      <c r="G12" s="193">
        <f t="shared" ref="G12:G27" si="9">F12*E12/1000</f>
        <v>88461.689624999999</v>
      </c>
      <c r="H12" s="289">
        <v>185</v>
      </c>
      <c r="I12" s="289">
        <v>863</v>
      </c>
      <c r="J12" s="832">
        <f t="shared" ref="J12:J27" si="10">I12*2.4/1000</f>
        <v>2.0711999999999997</v>
      </c>
      <c r="K12" s="833">
        <f t="shared" ref="K12:K27" si="11">J12*E12/1000</f>
        <v>2513.3312969999997</v>
      </c>
    </row>
    <row r="13" spans="1:11" ht="13.5" customHeight="1">
      <c r="A13" s="1421"/>
      <c r="B13" s="834" t="s">
        <v>783</v>
      </c>
      <c r="C13" s="835" t="s">
        <v>794</v>
      </c>
      <c r="D13" s="836">
        <v>930497</v>
      </c>
      <c r="E13" s="837">
        <f t="shared" si="8"/>
        <v>697872.75</v>
      </c>
      <c r="F13" s="194">
        <v>71.5</v>
      </c>
      <c r="G13" s="195">
        <f t="shared" si="9"/>
        <v>49897.901624999999</v>
      </c>
      <c r="H13" s="194">
        <v>199</v>
      </c>
      <c r="I13" s="194">
        <v>841</v>
      </c>
      <c r="J13" s="838">
        <f t="shared" si="10"/>
        <v>2.0183999999999997</v>
      </c>
      <c r="K13" s="839">
        <f t="shared" si="11"/>
        <v>1408.5863585999998</v>
      </c>
    </row>
    <row r="14" spans="1:11" ht="13.5" customHeight="1">
      <c r="A14" s="1421"/>
      <c r="B14" s="834" t="s">
        <v>783</v>
      </c>
      <c r="C14" s="835" t="s">
        <v>795</v>
      </c>
      <c r="D14" s="836">
        <v>540066</v>
      </c>
      <c r="E14" s="837">
        <f t="shared" si="8"/>
        <v>405049.5</v>
      </c>
      <c r="F14" s="194">
        <v>71.900000000000006</v>
      </c>
      <c r="G14" s="195">
        <f t="shared" si="9"/>
        <v>29123.05905</v>
      </c>
      <c r="H14" s="194">
        <v>205</v>
      </c>
      <c r="I14" s="194">
        <v>622</v>
      </c>
      <c r="J14" s="838">
        <f t="shared" si="10"/>
        <v>1.4927999999999999</v>
      </c>
      <c r="K14" s="839">
        <f t="shared" si="11"/>
        <v>604.65789359999997</v>
      </c>
    </row>
    <row r="15" spans="1:11" ht="13.5" customHeight="1">
      <c r="A15" s="1421"/>
      <c r="B15" s="834" t="s">
        <v>783</v>
      </c>
      <c r="C15" s="835" t="s">
        <v>796</v>
      </c>
      <c r="D15" s="836">
        <v>435600</v>
      </c>
      <c r="E15" s="837">
        <f t="shared" si="8"/>
        <v>326700</v>
      </c>
      <c r="F15" s="194">
        <v>87.8</v>
      </c>
      <c r="G15" s="195">
        <f t="shared" si="9"/>
        <v>28684.26</v>
      </c>
      <c r="H15" s="194">
        <v>227</v>
      </c>
      <c r="I15" s="194">
        <v>930</v>
      </c>
      <c r="J15" s="838">
        <f t="shared" si="10"/>
        <v>2.2320000000000002</v>
      </c>
      <c r="K15" s="839">
        <f t="shared" si="11"/>
        <v>729.19439999999997</v>
      </c>
    </row>
    <row r="16" spans="1:11" ht="13.5" customHeight="1">
      <c r="A16" s="1421"/>
      <c r="B16" s="834" t="s">
        <v>783</v>
      </c>
      <c r="C16" s="835" t="s">
        <v>797</v>
      </c>
      <c r="D16" s="836">
        <v>290429</v>
      </c>
      <c r="E16" s="837">
        <f t="shared" si="8"/>
        <v>217821.75</v>
      </c>
      <c r="F16" s="194">
        <v>78.900000000000006</v>
      </c>
      <c r="G16" s="195">
        <f t="shared" si="9"/>
        <v>17186.136075000002</v>
      </c>
      <c r="H16" s="194">
        <v>190</v>
      </c>
      <c r="I16" s="194">
        <v>400</v>
      </c>
      <c r="J16" s="838">
        <f t="shared" si="10"/>
        <v>0.96</v>
      </c>
      <c r="K16" s="839">
        <f t="shared" si="11"/>
        <v>209.10888</v>
      </c>
    </row>
    <row r="17" spans="1:11" ht="13.5" customHeight="1">
      <c r="A17" s="1421"/>
      <c r="B17" s="834" t="s">
        <v>783</v>
      </c>
      <c r="C17" s="835" t="s">
        <v>798</v>
      </c>
      <c r="D17" s="836">
        <v>254926</v>
      </c>
      <c r="E17" s="837">
        <f t="shared" si="8"/>
        <v>191194.5</v>
      </c>
      <c r="F17" s="194">
        <v>84.5</v>
      </c>
      <c r="G17" s="195">
        <f t="shared" si="9"/>
        <v>16155.93525</v>
      </c>
      <c r="H17" s="194">
        <v>160</v>
      </c>
      <c r="I17" s="194">
        <v>609</v>
      </c>
      <c r="J17" s="838">
        <f t="shared" si="10"/>
        <v>1.4616</v>
      </c>
      <c r="K17" s="839">
        <f t="shared" si="11"/>
        <v>279.44988119999999</v>
      </c>
    </row>
    <row r="18" spans="1:11" ht="13.5" customHeight="1">
      <c r="A18" s="1421"/>
      <c r="B18" s="834" t="s">
        <v>783</v>
      </c>
      <c r="C18" s="835" t="s">
        <v>799</v>
      </c>
      <c r="D18" s="836">
        <v>76008</v>
      </c>
      <c r="E18" s="837">
        <f t="shared" si="8"/>
        <v>57006</v>
      </c>
      <c r="F18" s="194">
        <v>56.3</v>
      </c>
      <c r="G18" s="195">
        <f t="shared" si="9"/>
        <v>3209.4377999999997</v>
      </c>
      <c r="H18" s="194">
        <v>181</v>
      </c>
      <c r="I18" s="194">
        <v>554</v>
      </c>
      <c r="J18" s="838">
        <f t="shared" si="10"/>
        <v>1.3295999999999999</v>
      </c>
      <c r="K18" s="839">
        <f t="shared" si="11"/>
        <v>75.795177600000002</v>
      </c>
    </row>
    <row r="19" spans="1:11" ht="13.5" customHeight="1">
      <c r="A19" s="1421"/>
      <c r="B19" s="834" t="s">
        <v>783</v>
      </c>
      <c r="C19" s="835" t="s">
        <v>800</v>
      </c>
      <c r="D19" s="836">
        <v>30985</v>
      </c>
      <c r="E19" s="837">
        <f t="shared" si="8"/>
        <v>23238.75</v>
      </c>
      <c r="F19" s="194">
        <v>91.8</v>
      </c>
      <c r="G19" s="195">
        <f t="shared" si="9"/>
        <v>2133.3172500000001</v>
      </c>
      <c r="H19" s="194">
        <v>209</v>
      </c>
      <c r="I19" s="194">
        <v>717</v>
      </c>
      <c r="J19" s="838">
        <f t="shared" si="10"/>
        <v>1.7207999999999999</v>
      </c>
      <c r="K19" s="839">
        <f t="shared" si="11"/>
        <v>39.989240999999993</v>
      </c>
    </row>
    <row r="20" spans="1:11" ht="13.5" customHeight="1">
      <c r="A20" s="1421"/>
      <c r="B20" s="834" t="s">
        <v>783</v>
      </c>
      <c r="C20" s="835" t="s">
        <v>801</v>
      </c>
      <c r="D20" s="836">
        <v>19312</v>
      </c>
      <c r="E20" s="837">
        <f t="shared" si="8"/>
        <v>14484</v>
      </c>
      <c r="F20" s="849">
        <f>180*593/1000</f>
        <v>106.74</v>
      </c>
      <c r="G20" s="195">
        <f t="shared" si="9"/>
        <v>1546.02216</v>
      </c>
      <c r="H20" s="194">
        <v>163</v>
      </c>
      <c r="I20" s="194">
        <v>479</v>
      </c>
      <c r="J20" s="838">
        <f t="shared" si="10"/>
        <v>1.1496</v>
      </c>
      <c r="K20" s="839">
        <f t="shared" si="11"/>
        <v>16.650806399999997</v>
      </c>
    </row>
    <row r="21" spans="1:11" ht="13.5" customHeight="1">
      <c r="A21" s="1421"/>
      <c r="B21" s="834" t="s">
        <v>783</v>
      </c>
      <c r="C21" s="835" t="s">
        <v>802</v>
      </c>
      <c r="D21" s="836">
        <v>7322</v>
      </c>
      <c r="E21" s="837">
        <f t="shared" si="8"/>
        <v>5491.5</v>
      </c>
      <c r="F21" s="849">
        <f>331*251/1000</f>
        <v>83.081000000000003</v>
      </c>
      <c r="G21" s="195">
        <f t="shared" si="9"/>
        <v>456.23931149999999</v>
      </c>
      <c r="H21" s="194">
        <v>182</v>
      </c>
      <c r="I21" s="194">
        <v>400</v>
      </c>
      <c r="J21" s="838">
        <f t="shared" si="10"/>
        <v>0.96</v>
      </c>
      <c r="K21" s="839">
        <f t="shared" si="11"/>
        <v>5.2718400000000001</v>
      </c>
    </row>
    <row r="22" spans="1:11" ht="13.5" customHeight="1">
      <c r="A22" s="1421"/>
      <c r="B22" s="834" t="s">
        <v>783</v>
      </c>
      <c r="C22" s="835" t="s">
        <v>803</v>
      </c>
      <c r="D22" s="836">
        <v>3188196</v>
      </c>
      <c r="E22" s="837">
        <f t="shared" si="8"/>
        <v>2391147</v>
      </c>
      <c r="F22" s="194">
        <v>63</v>
      </c>
      <c r="G22" s="195">
        <f t="shared" si="9"/>
        <v>150642.261</v>
      </c>
      <c r="H22" s="198">
        <v>257</v>
      </c>
      <c r="I22" s="194">
        <v>838</v>
      </c>
      <c r="J22" s="838">
        <f t="shared" si="10"/>
        <v>2.0111999999999997</v>
      </c>
      <c r="K22" s="839">
        <f t="shared" si="11"/>
        <v>4809.0748463999989</v>
      </c>
    </row>
    <row r="23" spans="1:11" ht="13.5" customHeight="1">
      <c r="A23" s="1421"/>
      <c r="B23" s="834" t="s">
        <v>783</v>
      </c>
      <c r="C23" s="835" t="s">
        <v>804</v>
      </c>
      <c r="D23" s="836">
        <v>697004</v>
      </c>
      <c r="E23" s="837">
        <f t="shared" si="8"/>
        <v>522753</v>
      </c>
      <c r="F23" s="194">
        <v>83.7</v>
      </c>
      <c r="G23" s="195">
        <f t="shared" si="9"/>
        <v>43754.426100000004</v>
      </c>
      <c r="H23" s="198">
        <v>250</v>
      </c>
      <c r="I23" s="194">
        <v>790</v>
      </c>
      <c r="J23" s="838">
        <f t="shared" si="10"/>
        <v>1.8959999999999999</v>
      </c>
      <c r="K23" s="839">
        <f t="shared" si="11"/>
        <v>991.13968799999998</v>
      </c>
    </row>
    <row r="24" spans="1:11" ht="13.5" customHeight="1">
      <c r="A24" s="1421"/>
      <c r="B24" s="834" t="s">
        <v>783</v>
      </c>
      <c r="C24" s="835" t="s">
        <v>805</v>
      </c>
      <c r="D24" s="836">
        <v>480708</v>
      </c>
      <c r="E24" s="837">
        <f t="shared" si="8"/>
        <v>360531</v>
      </c>
      <c r="F24" s="194">
        <v>113.2</v>
      </c>
      <c r="G24" s="195">
        <f t="shared" si="9"/>
        <v>40812.109200000006</v>
      </c>
      <c r="H24" s="198">
        <v>261</v>
      </c>
      <c r="I24" s="194">
        <v>814</v>
      </c>
      <c r="J24" s="838">
        <f t="shared" si="10"/>
        <v>1.9536</v>
      </c>
      <c r="K24" s="839">
        <f t="shared" si="11"/>
        <v>704.33336159999999</v>
      </c>
    </row>
    <row r="25" spans="1:11" ht="13.5" customHeight="1">
      <c r="A25" s="1421"/>
      <c r="B25" s="834" t="s">
        <v>783</v>
      </c>
      <c r="C25" s="835" t="s">
        <v>806</v>
      </c>
      <c r="D25" s="836">
        <v>68112</v>
      </c>
      <c r="E25" s="837">
        <f t="shared" si="8"/>
        <v>51084</v>
      </c>
      <c r="F25" s="194">
        <v>58.8</v>
      </c>
      <c r="G25" s="195">
        <f t="shared" si="9"/>
        <v>3003.7391999999995</v>
      </c>
      <c r="H25" s="198">
        <v>252</v>
      </c>
      <c r="I25" s="194">
        <v>621</v>
      </c>
      <c r="J25" s="838">
        <f t="shared" si="10"/>
        <v>1.4903999999999999</v>
      </c>
      <c r="K25" s="839">
        <f t="shared" si="11"/>
        <v>76.135593599999993</v>
      </c>
    </row>
    <row r="26" spans="1:11" ht="13.5" customHeight="1">
      <c r="A26" s="1421"/>
      <c r="B26" s="834" t="s">
        <v>783</v>
      </c>
      <c r="C26" s="835" t="s">
        <v>807</v>
      </c>
      <c r="D26" s="836">
        <v>46341</v>
      </c>
      <c r="E26" s="837">
        <f t="shared" si="8"/>
        <v>34755.75</v>
      </c>
      <c r="F26" s="194">
        <v>67</v>
      </c>
      <c r="G26" s="195">
        <f t="shared" si="9"/>
        <v>2328.6352499999998</v>
      </c>
      <c r="H26" s="198">
        <v>256</v>
      </c>
      <c r="I26" s="850">
        <v>274</v>
      </c>
      <c r="J26" s="838">
        <f t="shared" si="10"/>
        <v>0.65760000000000007</v>
      </c>
      <c r="K26" s="839">
        <f t="shared" si="11"/>
        <v>22.855381200000004</v>
      </c>
    </row>
    <row r="27" spans="1:11" ht="13.5" customHeight="1" thickBot="1">
      <c r="A27" s="1421"/>
      <c r="B27" s="840" t="s">
        <v>783</v>
      </c>
      <c r="C27" s="841" t="s">
        <v>808</v>
      </c>
      <c r="D27" s="842">
        <v>6462</v>
      </c>
      <c r="E27" s="843">
        <f t="shared" si="8"/>
        <v>4846.5</v>
      </c>
      <c r="F27" s="851">
        <f>418*251/1000</f>
        <v>104.91800000000001</v>
      </c>
      <c r="G27" s="196">
        <f t="shared" si="9"/>
        <v>508.48508700000008</v>
      </c>
      <c r="H27" s="291">
        <v>264</v>
      </c>
      <c r="I27" s="840">
        <v>541</v>
      </c>
      <c r="J27" s="844">
        <f t="shared" si="10"/>
        <v>1.2983999999999998</v>
      </c>
      <c r="K27" s="845">
        <f t="shared" si="11"/>
        <v>6.2926955999999992</v>
      </c>
    </row>
    <row r="28" spans="1:11" ht="13.5" customHeight="1" thickBot="1">
      <c r="A28" s="1422"/>
      <c r="B28" s="1409" t="s">
        <v>788</v>
      </c>
      <c r="C28" s="1410"/>
      <c r="D28" s="846">
        <f t="shared" ref="D28:E28" si="12">SUM(D15:D27)</f>
        <v>5601405</v>
      </c>
      <c r="E28" s="847">
        <f t="shared" si="12"/>
        <v>4201053.75</v>
      </c>
      <c r="F28" s="847"/>
      <c r="G28" s="848">
        <f>SUM(G12:G27)</f>
        <v>477903.65398350003</v>
      </c>
      <c r="H28" s="847"/>
      <c r="I28" s="847"/>
      <c r="J28" s="847"/>
      <c r="K28" s="848">
        <f>SUM(K12:K27)</f>
        <v>12491.867341799996</v>
      </c>
    </row>
    <row r="29" spans="1:11" ht="13.5" customHeight="1">
      <c r="A29" s="1420" t="s">
        <v>809</v>
      </c>
      <c r="B29" s="828" t="s">
        <v>785</v>
      </c>
      <c r="C29" s="829" t="s">
        <v>787</v>
      </c>
      <c r="D29" s="830">
        <v>151124</v>
      </c>
      <c r="E29" s="831">
        <f t="shared" ref="E29:E42" si="13">D29</f>
        <v>151124</v>
      </c>
      <c r="F29" s="289">
        <v>100</v>
      </c>
      <c r="G29" s="193">
        <f t="shared" ref="G29:G42" si="14">F29*E29/1000</f>
        <v>15112.4</v>
      </c>
      <c r="H29" s="289">
        <v>239</v>
      </c>
      <c r="I29" s="289">
        <v>716</v>
      </c>
      <c r="J29" s="832">
        <f t="shared" ref="J29:J42" si="15">I29*2.4/1000</f>
        <v>1.7183999999999999</v>
      </c>
      <c r="K29" s="833">
        <f t="shared" ref="K29:K42" si="16">J29*E29/1000</f>
        <v>259.69148159999997</v>
      </c>
    </row>
    <row r="30" spans="1:11" ht="13.5" customHeight="1">
      <c r="A30" s="1421"/>
      <c r="B30" s="834" t="s">
        <v>785</v>
      </c>
      <c r="C30" s="835" t="s">
        <v>810</v>
      </c>
      <c r="D30" s="836">
        <v>109135</v>
      </c>
      <c r="E30" s="837">
        <f t="shared" si="13"/>
        <v>109135</v>
      </c>
      <c r="F30" s="194">
        <v>73.8</v>
      </c>
      <c r="G30" s="195">
        <f t="shared" si="14"/>
        <v>8054.1629999999996</v>
      </c>
      <c r="H30" s="194">
        <v>199</v>
      </c>
      <c r="I30" s="194">
        <v>470</v>
      </c>
      <c r="J30" s="838">
        <f t="shared" si="15"/>
        <v>1.1279999999999999</v>
      </c>
      <c r="K30" s="839">
        <f t="shared" si="16"/>
        <v>123.10427999999999</v>
      </c>
    </row>
    <row r="31" spans="1:11" ht="13.5" customHeight="1">
      <c r="A31" s="1421"/>
      <c r="B31" s="834" t="s">
        <v>811</v>
      </c>
      <c r="C31" s="835" t="s">
        <v>785</v>
      </c>
      <c r="D31" s="836">
        <v>80722</v>
      </c>
      <c r="E31" s="837">
        <f t="shared" si="13"/>
        <v>80722</v>
      </c>
      <c r="F31" s="194">
        <v>105</v>
      </c>
      <c r="G31" s="195">
        <f t="shared" si="14"/>
        <v>8475.81</v>
      </c>
      <c r="H31" s="194">
        <v>177</v>
      </c>
      <c r="I31" s="194">
        <v>794</v>
      </c>
      <c r="J31" s="838">
        <f t="shared" si="15"/>
        <v>1.9056</v>
      </c>
      <c r="K31" s="839">
        <f t="shared" si="16"/>
        <v>153.8238432</v>
      </c>
    </row>
    <row r="32" spans="1:11" ht="13.5" customHeight="1">
      <c r="A32" s="1421"/>
      <c r="B32" s="834" t="s">
        <v>790</v>
      </c>
      <c r="C32" s="835" t="s">
        <v>803</v>
      </c>
      <c r="D32" s="836">
        <v>56479</v>
      </c>
      <c r="E32" s="837">
        <f t="shared" si="13"/>
        <v>56479</v>
      </c>
      <c r="F32" s="194">
        <v>46.1</v>
      </c>
      <c r="G32" s="195">
        <f t="shared" si="14"/>
        <v>2603.6819</v>
      </c>
      <c r="H32" s="194">
        <v>224</v>
      </c>
      <c r="I32" s="194">
        <v>400</v>
      </c>
      <c r="J32" s="838">
        <f t="shared" si="15"/>
        <v>0.96</v>
      </c>
      <c r="K32" s="839">
        <f t="shared" si="16"/>
        <v>54.219839999999998</v>
      </c>
    </row>
    <row r="33" spans="1:11" ht="13.5" customHeight="1">
      <c r="A33" s="1421"/>
      <c r="B33" s="834" t="s">
        <v>811</v>
      </c>
      <c r="C33" s="835" t="s">
        <v>810</v>
      </c>
      <c r="D33" s="836">
        <v>22926</v>
      </c>
      <c r="E33" s="837">
        <f t="shared" si="13"/>
        <v>22926</v>
      </c>
      <c r="F33" s="849">
        <f>397*251/1000</f>
        <v>99.647000000000006</v>
      </c>
      <c r="G33" s="195">
        <f t="shared" si="14"/>
        <v>2284.507122</v>
      </c>
      <c r="H33" s="194">
        <v>183</v>
      </c>
      <c r="I33" s="194">
        <v>500</v>
      </c>
      <c r="J33" s="838">
        <f t="shared" si="15"/>
        <v>1.2</v>
      </c>
      <c r="K33" s="839">
        <f t="shared" si="16"/>
        <v>27.511200000000002</v>
      </c>
    </row>
    <row r="34" spans="1:11" ht="13.5" customHeight="1">
      <c r="A34" s="1421"/>
      <c r="B34" s="834" t="s">
        <v>785</v>
      </c>
      <c r="C34" s="835" t="s">
        <v>812</v>
      </c>
      <c r="D34" s="836">
        <v>14436</v>
      </c>
      <c r="E34" s="837">
        <f t="shared" si="13"/>
        <v>14436</v>
      </c>
      <c r="F34" s="849">
        <f>501*180/1000</f>
        <v>90.18</v>
      </c>
      <c r="G34" s="195">
        <f t="shared" si="14"/>
        <v>1301.8384800000001</v>
      </c>
      <c r="H34" s="194">
        <v>226</v>
      </c>
      <c r="I34" s="194">
        <v>595</v>
      </c>
      <c r="J34" s="838">
        <f t="shared" si="15"/>
        <v>1.4279999999999999</v>
      </c>
      <c r="K34" s="839">
        <f t="shared" si="16"/>
        <v>20.614608</v>
      </c>
    </row>
    <row r="35" spans="1:11" ht="13.5" customHeight="1">
      <c r="A35" s="1421"/>
      <c r="B35" s="834" t="s">
        <v>785</v>
      </c>
      <c r="C35" s="835" t="s">
        <v>786</v>
      </c>
      <c r="D35" s="836">
        <v>519785</v>
      </c>
      <c r="E35" s="837">
        <f t="shared" si="13"/>
        <v>519785</v>
      </c>
      <c r="F35" s="850">
        <v>72.3</v>
      </c>
      <c r="G35" s="195">
        <f t="shared" si="14"/>
        <v>37580.455499999996</v>
      </c>
      <c r="H35" s="852">
        <v>264</v>
      </c>
      <c r="I35" s="852">
        <v>685</v>
      </c>
      <c r="J35" s="838">
        <f t="shared" si="15"/>
        <v>1.6439999999999999</v>
      </c>
      <c r="K35" s="839">
        <f t="shared" si="16"/>
        <v>854.52653999999995</v>
      </c>
    </row>
    <row r="36" spans="1:11" ht="13.5" customHeight="1">
      <c r="A36" s="1421"/>
      <c r="B36" s="834" t="s">
        <v>785</v>
      </c>
      <c r="C36" s="835" t="s">
        <v>803</v>
      </c>
      <c r="D36" s="836">
        <v>418619</v>
      </c>
      <c r="E36" s="837">
        <f t="shared" si="13"/>
        <v>418619</v>
      </c>
      <c r="F36" s="850">
        <v>61.6</v>
      </c>
      <c r="G36" s="195">
        <f t="shared" si="14"/>
        <v>25786.930400000001</v>
      </c>
      <c r="H36" s="852">
        <v>251</v>
      </c>
      <c r="I36" s="852">
        <v>538</v>
      </c>
      <c r="J36" s="838">
        <f t="shared" si="15"/>
        <v>1.2912000000000001</v>
      </c>
      <c r="K36" s="839">
        <f t="shared" si="16"/>
        <v>540.52085280000006</v>
      </c>
    </row>
    <row r="37" spans="1:11" ht="13.5" customHeight="1">
      <c r="A37" s="1421"/>
      <c r="B37" s="834" t="s">
        <v>811</v>
      </c>
      <c r="C37" s="835" t="s">
        <v>786</v>
      </c>
      <c r="D37" s="836">
        <v>101113</v>
      </c>
      <c r="E37" s="837">
        <f t="shared" si="13"/>
        <v>101113</v>
      </c>
      <c r="F37" s="850">
        <v>96</v>
      </c>
      <c r="G37" s="195">
        <f t="shared" si="14"/>
        <v>9706.848</v>
      </c>
      <c r="H37" s="852">
        <v>266</v>
      </c>
      <c r="I37" s="852">
        <v>600</v>
      </c>
      <c r="J37" s="838">
        <f t="shared" si="15"/>
        <v>1.44</v>
      </c>
      <c r="K37" s="839">
        <f t="shared" si="16"/>
        <v>145.60272000000001</v>
      </c>
    </row>
    <row r="38" spans="1:11" ht="13.5" customHeight="1">
      <c r="A38" s="1421"/>
      <c r="B38" s="834" t="s">
        <v>785</v>
      </c>
      <c r="C38" s="835" t="s">
        <v>813</v>
      </c>
      <c r="D38" s="836">
        <v>52812</v>
      </c>
      <c r="E38" s="837">
        <f t="shared" si="13"/>
        <v>52812</v>
      </c>
      <c r="F38" s="850">
        <v>51.3</v>
      </c>
      <c r="G38" s="195">
        <f t="shared" si="14"/>
        <v>2709.2555999999995</v>
      </c>
      <c r="H38" s="852">
        <v>270</v>
      </c>
      <c r="I38" s="852">
        <v>457</v>
      </c>
      <c r="J38" s="838">
        <f t="shared" si="15"/>
        <v>1.0968</v>
      </c>
      <c r="K38" s="839">
        <f t="shared" si="16"/>
        <v>57.924201600000004</v>
      </c>
    </row>
    <row r="39" spans="1:11" ht="13.5" customHeight="1">
      <c r="A39" s="1421"/>
      <c r="B39" s="834" t="s">
        <v>785</v>
      </c>
      <c r="C39" s="835" t="s">
        <v>814</v>
      </c>
      <c r="D39" s="836">
        <v>22924</v>
      </c>
      <c r="E39" s="837">
        <f t="shared" si="13"/>
        <v>22924</v>
      </c>
      <c r="F39" s="850">
        <v>44</v>
      </c>
      <c r="G39" s="195">
        <f t="shared" si="14"/>
        <v>1008.6559999999999</v>
      </c>
      <c r="H39" s="850">
        <v>250</v>
      </c>
      <c r="I39" s="852">
        <v>468</v>
      </c>
      <c r="J39" s="838">
        <f t="shared" si="15"/>
        <v>1.1232</v>
      </c>
      <c r="K39" s="839">
        <f t="shared" si="16"/>
        <v>25.748236799999997</v>
      </c>
    </row>
    <row r="40" spans="1:11" ht="13.5" customHeight="1">
      <c r="A40" s="1421"/>
      <c r="B40" s="834" t="s">
        <v>784</v>
      </c>
      <c r="C40" s="835" t="s">
        <v>786</v>
      </c>
      <c r="D40" s="836">
        <v>9621</v>
      </c>
      <c r="E40" s="837">
        <f t="shared" si="13"/>
        <v>9621</v>
      </c>
      <c r="F40" s="849">
        <f>268*251/1000</f>
        <v>67.268000000000001</v>
      </c>
      <c r="G40" s="195">
        <f t="shared" si="14"/>
        <v>647.185428</v>
      </c>
      <c r="H40" s="852">
        <v>261</v>
      </c>
      <c r="I40" s="852">
        <v>347</v>
      </c>
      <c r="J40" s="838">
        <f t="shared" si="15"/>
        <v>0.83279999999999998</v>
      </c>
      <c r="K40" s="839">
        <f t="shared" si="16"/>
        <v>8.0123688000000008</v>
      </c>
    </row>
    <row r="41" spans="1:11" ht="13.5" customHeight="1">
      <c r="A41" s="1421"/>
      <c r="B41" s="834" t="s">
        <v>784</v>
      </c>
      <c r="C41" s="835" t="s">
        <v>794</v>
      </c>
      <c r="D41" s="836">
        <v>7910</v>
      </c>
      <c r="E41" s="837">
        <f t="shared" si="13"/>
        <v>7910</v>
      </c>
      <c r="F41" s="849">
        <f>398*251/1000</f>
        <v>99.897999999999996</v>
      </c>
      <c r="G41" s="195">
        <f t="shared" si="14"/>
        <v>790.19317999999998</v>
      </c>
      <c r="H41" s="852">
        <v>263</v>
      </c>
      <c r="I41" s="852">
        <v>485</v>
      </c>
      <c r="J41" s="838">
        <f t="shared" si="15"/>
        <v>1.1639999999999999</v>
      </c>
      <c r="K41" s="839">
        <f t="shared" si="16"/>
        <v>9.2072400000000005</v>
      </c>
    </row>
    <row r="42" spans="1:11" ht="13.5" customHeight="1" thickBot="1">
      <c r="A42" s="1421"/>
      <c r="B42" s="834" t="s">
        <v>784</v>
      </c>
      <c r="C42" s="835" t="s">
        <v>787</v>
      </c>
      <c r="D42" s="836">
        <v>7219</v>
      </c>
      <c r="E42" s="837">
        <f t="shared" si="13"/>
        <v>7219</v>
      </c>
      <c r="F42" s="849">
        <f>369*251/1000</f>
        <v>92.619</v>
      </c>
      <c r="G42" s="195">
        <f t="shared" si="14"/>
        <v>668.61656099999993</v>
      </c>
      <c r="H42" s="852">
        <v>253</v>
      </c>
      <c r="I42" s="852">
        <v>466</v>
      </c>
      <c r="J42" s="838">
        <f t="shared" si="15"/>
        <v>1.1183999999999998</v>
      </c>
      <c r="K42" s="839">
        <f t="shared" si="16"/>
        <v>8.0737295999999983</v>
      </c>
    </row>
    <row r="43" spans="1:11" ht="13.5" customHeight="1" thickBot="1">
      <c r="A43" s="1422"/>
      <c r="B43" s="1409" t="s">
        <v>788</v>
      </c>
      <c r="C43" s="1410"/>
      <c r="D43" s="830">
        <f t="shared" ref="D43:E43" si="17">SUM(D35:D42)</f>
        <v>1140003</v>
      </c>
      <c r="E43" s="831">
        <f t="shared" si="17"/>
        <v>1140003</v>
      </c>
      <c r="F43" s="831"/>
      <c r="G43" s="853">
        <f>SUM(G29:G42)</f>
        <v>116730.541171</v>
      </c>
      <c r="H43" s="847"/>
      <c r="I43" s="847"/>
      <c r="J43" s="847"/>
      <c r="K43" s="848">
        <f>SUM(K29:K42)</f>
        <v>2288.5811424000003</v>
      </c>
    </row>
    <row r="44" spans="1:11" ht="13.5" customHeight="1">
      <c r="A44" s="1417" t="s">
        <v>815</v>
      </c>
      <c r="B44" s="854" t="s">
        <v>189</v>
      </c>
      <c r="C44" s="855" t="s">
        <v>816</v>
      </c>
      <c r="D44" s="830">
        <v>490000</v>
      </c>
      <c r="E44" s="856">
        <f t="shared" ref="E44:E45" si="18">0.4*D44</f>
        <v>196000</v>
      </c>
      <c r="F44" s="828">
        <v>47.1</v>
      </c>
      <c r="G44" s="853">
        <f t="shared" ref="G44:G54" si="19">F44*E44/1000/2</f>
        <v>4615.8</v>
      </c>
      <c r="H44" s="828">
        <v>140</v>
      </c>
      <c r="I44" s="828">
        <v>342</v>
      </c>
      <c r="J44" s="832">
        <v>2.3940000000000001</v>
      </c>
      <c r="K44" s="833">
        <f t="shared" ref="K44:K54" si="20">J44*D44/1000/2</f>
        <v>586.53</v>
      </c>
    </row>
    <row r="45" spans="1:11" ht="13.5" customHeight="1">
      <c r="A45" s="1418"/>
      <c r="B45" s="857" t="s">
        <v>189</v>
      </c>
      <c r="C45" s="858" t="s">
        <v>817</v>
      </c>
      <c r="D45" s="836">
        <v>1250000</v>
      </c>
      <c r="E45" s="859">
        <f t="shared" si="18"/>
        <v>500000</v>
      </c>
      <c r="F45" s="850">
        <v>55.9</v>
      </c>
      <c r="G45" s="860">
        <f t="shared" si="19"/>
        <v>13975</v>
      </c>
      <c r="H45" s="850">
        <v>140</v>
      </c>
      <c r="I45" s="850">
        <v>342</v>
      </c>
      <c r="J45" s="838">
        <f>B58*I45/1000</f>
        <v>3.9158999999999997</v>
      </c>
      <c r="K45" s="839">
        <f t="shared" si="20"/>
        <v>2447.4375</v>
      </c>
    </row>
    <row r="46" spans="1:11" ht="13.5" customHeight="1">
      <c r="A46" s="1418"/>
      <c r="B46" s="857" t="s">
        <v>189</v>
      </c>
      <c r="C46" s="858" t="s">
        <v>818</v>
      </c>
      <c r="D46" s="836">
        <v>291000</v>
      </c>
      <c r="E46" s="859">
        <f t="shared" ref="E46:E47" si="21">D46</f>
        <v>291000</v>
      </c>
      <c r="F46" s="850">
        <v>52.1</v>
      </c>
      <c r="G46" s="860">
        <f t="shared" si="19"/>
        <v>7580.55</v>
      </c>
      <c r="H46" s="850">
        <v>140</v>
      </c>
      <c r="I46" s="850">
        <v>342</v>
      </c>
      <c r="J46" s="838">
        <f>B58*I46/1000</f>
        <v>3.9158999999999997</v>
      </c>
      <c r="K46" s="839">
        <f t="shared" si="20"/>
        <v>569.76344999999992</v>
      </c>
    </row>
    <row r="47" spans="1:11" ht="13.5" customHeight="1">
      <c r="A47" s="1418"/>
      <c r="B47" s="857" t="s">
        <v>189</v>
      </c>
      <c r="C47" s="858" t="s">
        <v>819</v>
      </c>
      <c r="D47" s="836">
        <v>51000</v>
      </c>
      <c r="E47" s="859">
        <f t="shared" si="21"/>
        <v>51000</v>
      </c>
      <c r="F47" s="850">
        <v>51.8</v>
      </c>
      <c r="G47" s="860">
        <f t="shared" si="19"/>
        <v>1320.9</v>
      </c>
      <c r="H47" s="850">
        <v>140</v>
      </c>
      <c r="I47" s="850">
        <v>342</v>
      </c>
      <c r="J47" s="838">
        <f>B58*I47/1000</f>
        <v>3.9158999999999997</v>
      </c>
      <c r="K47" s="839">
        <f t="shared" si="20"/>
        <v>99.85544999999999</v>
      </c>
    </row>
    <row r="48" spans="1:11" ht="13.5" customHeight="1">
      <c r="A48" s="1418"/>
      <c r="B48" s="857" t="s">
        <v>189</v>
      </c>
      <c r="C48" s="858" t="s">
        <v>820</v>
      </c>
      <c r="D48" s="836">
        <v>721000</v>
      </c>
      <c r="E48" s="859">
        <f t="shared" ref="E48:E49" si="22">0.5*D48</f>
        <v>360500</v>
      </c>
      <c r="F48" s="850">
        <v>62</v>
      </c>
      <c r="G48" s="860">
        <f t="shared" si="19"/>
        <v>11175.5</v>
      </c>
      <c r="H48" s="850">
        <v>190</v>
      </c>
      <c r="I48" s="850">
        <v>409</v>
      </c>
      <c r="J48" s="838">
        <f>B57*I48/1000</f>
        <v>0.98159999999999992</v>
      </c>
      <c r="K48" s="839">
        <f t="shared" si="20"/>
        <v>353.86680000000001</v>
      </c>
    </row>
    <row r="49" spans="1:12" ht="13.5" customHeight="1">
      <c r="A49" s="1418"/>
      <c r="B49" s="857" t="s">
        <v>189</v>
      </c>
      <c r="C49" s="858" t="s">
        <v>821</v>
      </c>
      <c r="D49" s="836">
        <v>556164</v>
      </c>
      <c r="E49" s="859">
        <f t="shared" si="22"/>
        <v>278082</v>
      </c>
      <c r="F49" s="850">
        <v>70.7</v>
      </c>
      <c r="G49" s="860">
        <f t="shared" si="19"/>
        <v>9830.1987000000008</v>
      </c>
      <c r="H49" s="850">
        <v>244</v>
      </c>
      <c r="I49" s="850">
        <v>488</v>
      </c>
      <c r="J49" s="838">
        <f>I49*(400/I49*B57+88/I49*B60)/1000</f>
        <v>1.5760000000000001</v>
      </c>
      <c r="K49" s="839">
        <f t="shared" si="20"/>
        <v>438.25723200000004</v>
      </c>
      <c r="L49" s="861"/>
    </row>
    <row r="50" spans="1:12" ht="13.5" customHeight="1">
      <c r="A50" s="1418"/>
      <c r="B50" s="857" t="s">
        <v>189</v>
      </c>
      <c r="C50" s="858" t="s">
        <v>822</v>
      </c>
      <c r="D50" s="836">
        <f>1070000/2</f>
        <v>535000</v>
      </c>
      <c r="E50" s="859">
        <f>0.4*D50</f>
        <v>214000</v>
      </c>
      <c r="F50" s="850">
        <v>66.2</v>
      </c>
      <c r="G50" s="860">
        <f t="shared" si="19"/>
        <v>7083.4</v>
      </c>
      <c r="H50" s="850">
        <v>232</v>
      </c>
      <c r="I50" s="850">
        <v>477</v>
      </c>
      <c r="J50" s="838">
        <f>I50*(170/I50*B59+(I50-170)/I50*B57)/1000</f>
        <v>2.1988000000000003</v>
      </c>
      <c r="K50" s="839">
        <f t="shared" si="20"/>
        <v>588.17900000000009</v>
      </c>
      <c r="L50" s="861"/>
    </row>
    <row r="51" spans="1:12" ht="13.5" customHeight="1">
      <c r="A51" s="1418"/>
      <c r="B51" s="857" t="s">
        <v>189</v>
      </c>
      <c r="C51" s="858" t="s">
        <v>823</v>
      </c>
      <c r="D51" s="836">
        <v>1240000</v>
      </c>
      <c r="E51" s="859">
        <f>0.25*D51</f>
        <v>310000</v>
      </c>
      <c r="F51" s="850">
        <v>50.5</v>
      </c>
      <c r="G51" s="860">
        <f t="shared" si="19"/>
        <v>7827.5</v>
      </c>
      <c r="H51" s="850">
        <v>200</v>
      </c>
      <c r="I51" s="850">
        <v>431</v>
      </c>
      <c r="J51" s="838">
        <f>I51*(240/I51*B59+(I51-240)/I51*B57)/1000</f>
        <v>2.5224000000000002</v>
      </c>
      <c r="K51" s="839">
        <f t="shared" si="20"/>
        <v>1563.8880000000001</v>
      </c>
      <c r="L51" s="861"/>
    </row>
    <row r="52" spans="1:12" ht="13.5" customHeight="1">
      <c r="A52" s="1418"/>
      <c r="B52" s="857" t="s">
        <v>189</v>
      </c>
      <c r="C52" s="858" t="s">
        <v>824</v>
      </c>
      <c r="D52" s="836">
        <v>193500</v>
      </c>
      <c r="E52" s="859">
        <f t="shared" ref="E52:E53" si="23">D52</f>
        <v>193500</v>
      </c>
      <c r="F52" s="862">
        <v>52.337000000000003</v>
      </c>
      <c r="G52" s="860">
        <f t="shared" si="19"/>
        <v>5063.6047500000004</v>
      </c>
      <c r="H52" s="850">
        <v>80</v>
      </c>
      <c r="I52" s="850">
        <v>262</v>
      </c>
      <c r="J52" s="838">
        <f>I52*(70/I52*B59+B57*(I52-70)/I52)/1000</f>
        <v>1.0628</v>
      </c>
      <c r="K52" s="839">
        <f t="shared" si="20"/>
        <v>102.82589999999999</v>
      </c>
      <c r="L52" s="861"/>
    </row>
    <row r="53" spans="1:12" ht="13.5" customHeight="1">
      <c r="A53" s="1418"/>
      <c r="B53" s="857" t="s">
        <v>825</v>
      </c>
      <c r="C53" s="858" t="s">
        <v>826</v>
      </c>
      <c r="D53" s="836">
        <v>95000</v>
      </c>
      <c r="E53" s="859">
        <f t="shared" si="23"/>
        <v>95000</v>
      </c>
      <c r="F53" s="850">
        <v>55.9</v>
      </c>
      <c r="G53" s="860">
        <f t="shared" si="19"/>
        <v>2655.25</v>
      </c>
      <c r="H53" s="850">
        <v>140</v>
      </c>
      <c r="I53" s="850">
        <v>342</v>
      </c>
      <c r="J53" s="838">
        <f>B58*I53/1000</f>
        <v>3.9158999999999997</v>
      </c>
      <c r="K53" s="839">
        <f t="shared" si="20"/>
        <v>186.00524999999999</v>
      </c>
      <c r="L53" s="861"/>
    </row>
    <row r="54" spans="1:12" ht="13.5" customHeight="1" thickBot="1">
      <c r="A54" s="1418"/>
      <c r="B54" s="863" t="s">
        <v>825</v>
      </c>
      <c r="C54" s="864" t="s">
        <v>820</v>
      </c>
      <c r="D54" s="842">
        <v>331000</v>
      </c>
      <c r="E54" s="865">
        <f>0.7*D54</f>
        <v>231699.99999999997</v>
      </c>
      <c r="F54" s="840">
        <v>48.3</v>
      </c>
      <c r="G54" s="866">
        <f t="shared" si="19"/>
        <v>5595.5549999999994</v>
      </c>
      <c r="H54" s="840">
        <v>190</v>
      </c>
      <c r="I54" s="840">
        <v>409</v>
      </c>
      <c r="J54" s="844">
        <f>B57*I54/1000</f>
        <v>0.98159999999999992</v>
      </c>
      <c r="K54" s="845">
        <f t="shared" si="20"/>
        <v>162.45479999999998</v>
      </c>
      <c r="L54" s="861"/>
    </row>
    <row r="55" spans="1:12" ht="13.5" customHeight="1" thickBot="1">
      <c r="A55" s="1419"/>
      <c r="B55" s="1409" t="s">
        <v>788</v>
      </c>
      <c r="C55" s="1410"/>
      <c r="D55" s="842">
        <f t="shared" ref="D55:E55" si="24">SUM(D44:D54)</f>
        <v>5753664</v>
      </c>
      <c r="E55" s="843">
        <f t="shared" si="24"/>
        <v>2720782</v>
      </c>
      <c r="F55" s="843"/>
      <c r="G55" s="866">
        <f>SUM(G44:G54)</f>
        <v>76723.258449999994</v>
      </c>
      <c r="H55" s="847"/>
      <c r="I55" s="847"/>
      <c r="J55" s="847"/>
      <c r="K55" s="848">
        <f>SUM(K44:K54)</f>
        <v>7099.0633820000003</v>
      </c>
      <c r="L55" s="861"/>
    </row>
    <row r="56" spans="1:12" ht="13.5" customHeight="1" thickBot="1">
      <c r="A56" s="804"/>
      <c r="B56" s="804"/>
      <c r="C56" s="804"/>
      <c r="D56" s="805"/>
      <c r="E56" s="805"/>
      <c r="F56" s="804"/>
      <c r="G56" s="804"/>
      <c r="H56" s="804"/>
      <c r="I56" s="804"/>
      <c r="J56" s="804"/>
      <c r="K56" s="804"/>
      <c r="L56" s="861"/>
    </row>
    <row r="57" spans="1:12" ht="15.75" customHeight="1">
      <c r="A57" s="867" t="s">
        <v>827</v>
      </c>
      <c r="B57" s="855">
        <v>2.4</v>
      </c>
      <c r="C57" s="804"/>
      <c r="D57" s="805"/>
      <c r="E57" s="804" t="s">
        <v>84</v>
      </c>
      <c r="F57" s="804" t="s">
        <v>828</v>
      </c>
      <c r="G57" s="868">
        <f>G55+G43+G28+G11+G8</f>
        <v>765263.02612450009</v>
      </c>
      <c r="H57" s="190" t="s">
        <v>774</v>
      </c>
      <c r="I57" s="869"/>
      <c r="J57" s="805" t="s">
        <v>829</v>
      </c>
      <c r="K57" s="870">
        <f>(K55+K43+K28+K11+K8)</f>
        <v>23818.508754119994</v>
      </c>
      <c r="L57" s="804" t="s">
        <v>774</v>
      </c>
    </row>
    <row r="58" spans="1:12" ht="15.75" customHeight="1" thickBot="1">
      <c r="A58" s="871" t="s">
        <v>830</v>
      </c>
      <c r="B58" s="858">
        <v>11.45</v>
      </c>
      <c r="C58" s="804"/>
      <c r="D58" s="190"/>
      <c r="E58" s="804"/>
      <c r="F58" s="804" t="s">
        <v>831</v>
      </c>
      <c r="G58" s="872">
        <f>G57-K57</f>
        <v>741444.51737038011</v>
      </c>
      <c r="H58" s="190" t="s">
        <v>832</v>
      </c>
      <c r="I58" s="804"/>
      <c r="J58" s="804"/>
      <c r="K58" s="804"/>
      <c r="L58" s="861"/>
    </row>
    <row r="59" spans="1:12" ht="15.75" customHeight="1" thickBot="1">
      <c r="A59" s="871" t="s">
        <v>833</v>
      </c>
      <c r="B59" s="858">
        <v>8.6</v>
      </c>
      <c r="C59" s="804"/>
      <c r="D59" s="804"/>
      <c r="E59" s="859"/>
      <c r="F59" s="804" t="s">
        <v>831</v>
      </c>
      <c r="G59" s="873">
        <f>G58/1000000</f>
        <v>0.74144451737038009</v>
      </c>
      <c r="H59" s="861" t="s">
        <v>532</v>
      </c>
      <c r="I59" s="804"/>
      <c r="J59" s="804"/>
      <c r="K59" s="199"/>
      <c r="L59" s="861"/>
    </row>
    <row r="60" spans="1:12" ht="15.75" customHeight="1" thickBot="1">
      <c r="A60" s="874" t="s">
        <v>834</v>
      </c>
      <c r="B60" s="875">
        <v>7</v>
      </c>
      <c r="C60" s="817"/>
      <c r="D60" s="861"/>
      <c r="E60" s="861"/>
      <c r="F60" s="861"/>
      <c r="G60" s="861"/>
      <c r="H60" s="861"/>
      <c r="I60" s="861"/>
      <c r="J60" s="861"/>
      <c r="K60" s="861"/>
      <c r="L60" s="861"/>
    </row>
    <row r="61" spans="1:12" ht="13.5" customHeight="1" thickBot="1">
      <c r="A61" s="861"/>
      <c r="B61" s="861"/>
      <c r="C61" s="861"/>
      <c r="D61" s="804"/>
      <c r="E61" s="876" t="s">
        <v>835</v>
      </c>
      <c r="F61" s="804" t="s">
        <v>828</v>
      </c>
      <c r="G61" s="868">
        <f>G43+G28+G11+G8</f>
        <v>688539.76767450012</v>
      </c>
      <c r="H61" s="190" t="s">
        <v>774</v>
      </c>
      <c r="I61" s="869"/>
      <c r="J61" s="805" t="s">
        <v>829</v>
      </c>
      <c r="K61" s="870">
        <f>(K43+K28+K11+K8)</f>
        <v>16719.445372119997</v>
      </c>
      <c r="L61" s="804" t="s">
        <v>774</v>
      </c>
    </row>
    <row r="62" spans="1:12" ht="13.5" customHeight="1" thickBot="1">
      <c r="A62" s="861"/>
      <c r="B62" s="861"/>
      <c r="C62" s="861"/>
      <c r="D62" s="804"/>
      <c r="E62" s="859"/>
      <c r="F62" s="804" t="s">
        <v>831</v>
      </c>
      <c r="G62" s="872">
        <f>G61-K61</f>
        <v>671820.32230238011</v>
      </c>
      <c r="H62" s="190" t="s">
        <v>832</v>
      </c>
      <c r="I62" s="804"/>
      <c r="J62" s="804"/>
      <c r="K62" s="804"/>
      <c r="L62" s="861"/>
    </row>
    <row r="63" spans="1:12" ht="13.5" customHeight="1" thickBot="1">
      <c r="A63" s="861"/>
      <c r="B63" s="861"/>
      <c r="C63" s="861"/>
      <c r="D63" s="804"/>
      <c r="E63" s="859"/>
      <c r="F63" s="804" t="s">
        <v>831</v>
      </c>
      <c r="G63" s="873">
        <f>G62/1000000</f>
        <v>0.67182032230238009</v>
      </c>
      <c r="H63" s="861" t="s">
        <v>532</v>
      </c>
      <c r="I63" s="901">
        <f>(G59-G63)</f>
        <v>6.9624195067999994E-2</v>
      </c>
      <c r="J63" s="861"/>
      <c r="K63" s="861"/>
      <c r="L63" s="861"/>
    </row>
    <row r="64" spans="1:12" ht="13.5" customHeight="1" thickBot="1">
      <c r="A64" s="861"/>
      <c r="B64" s="861"/>
      <c r="C64" s="861"/>
      <c r="D64" s="804"/>
      <c r="E64" s="859"/>
      <c r="F64" s="804"/>
      <c r="G64" s="861"/>
      <c r="H64" s="861"/>
      <c r="I64" s="861"/>
      <c r="J64" s="861"/>
      <c r="K64" s="861"/>
      <c r="L64" s="861"/>
    </row>
    <row r="65" spans="6:8" ht="13.5" customHeight="1">
      <c r="F65" s="235" t="s">
        <v>763</v>
      </c>
      <c r="G65" s="170">
        <f>G63+(G59-G63)/2</f>
        <v>0.70663241983638003</v>
      </c>
      <c r="H65" s="861" t="s">
        <v>836</v>
      </c>
    </row>
    <row r="66" spans="6:8" ht="13.5" customHeight="1" thickBot="1">
      <c r="F66" s="236" t="s">
        <v>588</v>
      </c>
      <c r="G66" s="171">
        <v>2018</v>
      </c>
      <c r="H66" s="861"/>
    </row>
    <row r="67" spans="6:8" ht="13.5" customHeight="1">
      <c r="F67" s="861"/>
      <c r="G67" s="861"/>
      <c r="H67" s="861"/>
    </row>
    <row r="68" spans="6:8" ht="13.5" customHeight="1">
      <c r="F68" s="861"/>
      <c r="G68" s="861"/>
      <c r="H68" s="861"/>
    </row>
    <row r="69" spans="6:8" ht="13.5" customHeight="1">
      <c r="F69" s="861"/>
      <c r="G69" s="861"/>
      <c r="H69" s="861"/>
    </row>
    <row r="70" spans="6:8" ht="13.5" customHeight="1">
      <c r="F70" s="861"/>
      <c r="G70" s="861"/>
      <c r="H70" s="861"/>
    </row>
    <row r="71" spans="6:8" ht="13.5" customHeight="1">
      <c r="F71" s="861"/>
      <c r="G71" s="861"/>
      <c r="H71" s="861"/>
    </row>
    <row r="72" spans="6:8" ht="13.5" customHeight="1">
      <c r="F72" s="861"/>
      <c r="G72" s="861"/>
      <c r="H72" s="861"/>
    </row>
    <row r="73" spans="6:8" ht="13.5" customHeight="1">
      <c r="F73" s="861"/>
      <c r="G73" s="861"/>
      <c r="H73" s="861"/>
    </row>
    <row r="74" spans="6:8" ht="13.5" customHeight="1">
      <c r="F74" s="861"/>
      <c r="G74" s="861"/>
      <c r="H74" s="861"/>
    </row>
    <row r="75" spans="6:8" ht="13.5" customHeight="1">
      <c r="F75" s="861"/>
      <c r="G75" s="861"/>
      <c r="H75" s="861"/>
    </row>
    <row r="76" spans="6:8" ht="13.5" customHeight="1">
      <c r="F76" s="861"/>
      <c r="G76" s="861"/>
      <c r="H76" s="861"/>
    </row>
    <row r="77" spans="6:8" ht="13.5" customHeight="1">
      <c r="F77" s="861"/>
      <c r="G77" s="861"/>
      <c r="H77" s="861"/>
    </row>
    <row r="78" spans="6:8" ht="13.5" customHeight="1">
      <c r="F78" s="861"/>
      <c r="G78" s="861"/>
      <c r="H78" s="861"/>
    </row>
    <row r="79" spans="6:8" ht="13.5" customHeight="1">
      <c r="F79" s="861"/>
      <c r="G79" s="861"/>
      <c r="H79" s="861"/>
    </row>
    <row r="80" spans="6:8" ht="13.5" customHeight="1">
      <c r="F80" s="861"/>
      <c r="G80" s="861"/>
      <c r="H80" s="861"/>
    </row>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L55" xr:uid="{00000000-0009-0000-0000-00000D000000}"/>
  <mergeCells count="10">
    <mergeCell ref="A4:A8"/>
    <mergeCell ref="A9:A11"/>
    <mergeCell ref="A44:A55"/>
    <mergeCell ref="A29:A43"/>
    <mergeCell ref="A12:A28"/>
    <mergeCell ref="B8:C8"/>
    <mergeCell ref="B11:C11"/>
    <mergeCell ref="B28:C28"/>
    <mergeCell ref="B43:C43"/>
    <mergeCell ref="B55:C55"/>
  </mergeCells>
  <conditionalFormatting sqref="H29:H34 G4:H7 G9:H10 G12:G27 G29:G42">
    <cfRule type="cellIs" dxfId="1" priority="1" operator="equal">
      <formula>"X"</formula>
    </cfRule>
  </conditionalFormatting>
  <conditionalFormatting sqref="H12:H21">
    <cfRule type="cellIs" dxfId="0" priority="2" operator="equal">
      <formula>"X"</formula>
    </cfRule>
  </conditionalFormatting>
  <hyperlinks>
    <hyperlink ref="I3" r:id="rId1" xr:uid="{00000000-0004-0000-0D00-000000000000}"/>
    <hyperlink ref="J3" r:id="rId2" xr:uid="{00000000-0004-0000-0D00-000001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F1000"/>
  <sheetViews>
    <sheetView workbookViewId="0">
      <selection activeCell="D21" sqref="D21"/>
    </sheetView>
  </sheetViews>
  <sheetFormatPr defaultColWidth="12.625" defaultRowHeight="15" customHeight="1"/>
  <cols>
    <col min="1" max="1" width="3.375" style="3" customWidth="1"/>
    <col min="2" max="2" width="60.125" style="3" customWidth="1"/>
    <col min="3" max="3" width="30.125" style="3" customWidth="1"/>
    <col min="4" max="4" width="28.875" style="3" customWidth="1"/>
    <col min="5" max="5" width="31.125" style="3" customWidth="1"/>
    <col min="6" max="6" width="21.125" style="3" customWidth="1"/>
    <col min="7" max="16384" width="12.625" style="3"/>
  </cols>
  <sheetData>
    <row r="1" spans="1:6" ht="13.5" customHeight="1"/>
    <row r="2" spans="1:6" ht="13.5" customHeight="1">
      <c r="B2" s="205" t="s">
        <v>44</v>
      </c>
      <c r="C2" s="205" t="s">
        <v>45</v>
      </c>
      <c r="D2" s="205" t="s">
        <v>47</v>
      </c>
      <c r="E2" s="206"/>
      <c r="F2" s="207"/>
    </row>
    <row r="3" spans="1:6" ht="13.5" customHeight="1">
      <c r="B3" s="208" t="s">
        <v>837</v>
      </c>
      <c r="C3" s="209">
        <f>(16195+21.3)</f>
        <v>16216.3</v>
      </c>
      <c r="D3" s="210" t="s">
        <v>838</v>
      </c>
      <c r="E3" s="99" t="s">
        <v>839</v>
      </c>
    </row>
    <row r="4" spans="1:6" ht="13.5" customHeight="1">
      <c r="B4" s="211" t="s">
        <v>840</v>
      </c>
      <c r="C4" s="212">
        <v>0.05</v>
      </c>
      <c r="D4" s="210" t="s">
        <v>841</v>
      </c>
      <c r="E4" s="99" t="s">
        <v>842</v>
      </c>
    </row>
    <row r="5" spans="1:6" ht="13.5" customHeight="1">
      <c r="B5" s="208" t="s">
        <v>843</v>
      </c>
      <c r="C5" s="212">
        <v>0.5</v>
      </c>
      <c r="D5" s="210" t="s">
        <v>844</v>
      </c>
    </row>
    <row r="6" spans="1:6" ht="13.5" customHeight="1">
      <c r="B6" s="208" t="s">
        <v>845</v>
      </c>
      <c r="C6" s="209">
        <f>C3*C4*C5</f>
        <v>405.40750000000003</v>
      </c>
      <c r="D6" s="210"/>
    </row>
    <row r="7" spans="1:6" ht="13.5" customHeight="1"/>
    <row r="8" spans="1:6" ht="13.5" customHeight="1">
      <c r="A8" s="213" t="s">
        <v>846</v>
      </c>
      <c r="B8" s="214" t="s">
        <v>847</v>
      </c>
      <c r="C8" s="215" t="s">
        <v>848</v>
      </c>
      <c r="D8" s="214" t="s">
        <v>849</v>
      </c>
      <c r="E8" s="216" t="s">
        <v>850</v>
      </c>
    </row>
    <row r="9" spans="1:6" ht="42">
      <c r="A9" s="214">
        <v>1</v>
      </c>
      <c r="B9" s="89" t="s">
        <v>851</v>
      </c>
      <c r="C9" s="212">
        <v>0.05</v>
      </c>
      <c r="D9" s="209">
        <f t="shared" ref="D9:D13" si="0">C9*$C$6</f>
        <v>20.270375000000001</v>
      </c>
      <c r="E9" s="89" t="s">
        <v>852</v>
      </c>
    </row>
    <row r="10" spans="1:6" ht="42">
      <c r="A10" s="214">
        <v>2</v>
      </c>
      <c r="B10" s="89" t="s">
        <v>853</v>
      </c>
      <c r="C10" s="217">
        <v>0.05</v>
      </c>
      <c r="D10" s="209">
        <f t="shared" si="0"/>
        <v>20.270375000000001</v>
      </c>
      <c r="E10" s="89" t="s">
        <v>854</v>
      </c>
    </row>
    <row r="11" spans="1:6" ht="42">
      <c r="A11" s="214">
        <v>3</v>
      </c>
      <c r="B11" s="89" t="s">
        <v>855</v>
      </c>
      <c r="C11" s="217">
        <v>0.2</v>
      </c>
      <c r="D11" s="209">
        <f t="shared" si="0"/>
        <v>81.081500000000005</v>
      </c>
      <c r="E11" s="89" t="s">
        <v>856</v>
      </c>
    </row>
    <row r="12" spans="1:6" ht="27.95">
      <c r="A12" s="214">
        <v>4</v>
      </c>
      <c r="B12" s="89" t="s">
        <v>857</v>
      </c>
      <c r="C12" s="212">
        <f>8%*(4-1)</f>
        <v>0.24</v>
      </c>
      <c r="D12" s="209">
        <f t="shared" si="0"/>
        <v>97.297800000000009</v>
      </c>
      <c r="E12" s="89" t="s">
        <v>858</v>
      </c>
    </row>
    <row r="13" spans="1:6" ht="27.95">
      <c r="A13" s="214">
        <v>5</v>
      </c>
      <c r="B13" s="89" t="s">
        <v>859</v>
      </c>
      <c r="C13" s="217">
        <v>0.3</v>
      </c>
      <c r="D13" s="209">
        <f t="shared" si="0"/>
        <v>121.62225000000001</v>
      </c>
      <c r="E13" s="89"/>
    </row>
    <row r="14" spans="1:6" ht="13.5" customHeight="1">
      <c r="A14" s="208"/>
      <c r="B14" s="90" t="s">
        <v>860</v>
      </c>
      <c r="C14" s="218">
        <f t="shared" ref="C14:D14" si="1">SUM(C9:C13)</f>
        <v>0.84000000000000008</v>
      </c>
      <c r="D14" s="219">
        <f t="shared" si="1"/>
        <v>340.54230000000001</v>
      </c>
      <c r="E14" s="89"/>
    </row>
    <row r="15" spans="1:6" ht="13.5" customHeight="1">
      <c r="C15" s="91"/>
      <c r="D15" s="91"/>
    </row>
    <row r="16" spans="1:6" ht="13.5" customHeight="1">
      <c r="C16" s="91"/>
      <c r="D16" s="91"/>
    </row>
    <row r="17" spans="1:4" ht="27.95">
      <c r="A17" s="214">
        <v>6</v>
      </c>
      <c r="B17" s="89" t="s">
        <v>861</v>
      </c>
      <c r="C17" s="212">
        <v>1</v>
      </c>
      <c r="D17" s="209">
        <f>C17*C6</f>
        <v>405.40750000000003</v>
      </c>
    </row>
    <row r="18" spans="1:4" ht="13.5" customHeight="1"/>
    <row r="19" spans="1:4" ht="13.5" customHeight="1" thickBot="1"/>
    <row r="20" spans="1:4" ht="15.75" customHeight="1">
      <c r="B20" s="1423" t="s">
        <v>763</v>
      </c>
      <c r="C20" s="1424"/>
      <c r="D20" s="15">
        <f>D14/1000</f>
        <v>0.34054230000000002</v>
      </c>
    </row>
    <row r="21" spans="1:4" ht="15.75" customHeight="1" thickBot="1">
      <c r="B21" s="1425" t="s">
        <v>588</v>
      </c>
      <c r="C21" s="1426"/>
      <c r="D21" s="16">
        <v>2019</v>
      </c>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0:C20"/>
    <mergeCell ref="B21:C21"/>
  </mergeCells>
  <hyperlinks>
    <hyperlink ref="E4" r:id="rId1" xr:uid="{00000000-0004-0000-0E00-000000000000}"/>
    <hyperlink ref="E3" r:id="rId2" xr:uid="{00000000-0004-0000-0E00-000001000000}"/>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AH934"/>
  <sheetViews>
    <sheetView topLeftCell="A18" zoomScale="70" zoomScaleNormal="70" workbookViewId="0">
      <selection activeCell="E46" sqref="E46"/>
    </sheetView>
  </sheetViews>
  <sheetFormatPr defaultColWidth="12.625" defaultRowHeight="15" customHeight="1"/>
  <cols>
    <col min="1" max="1" width="27.375" style="108" customWidth="1"/>
    <col min="2" max="2" width="17.625" style="108" customWidth="1"/>
    <col min="3" max="3" width="15.5" style="108" customWidth="1"/>
    <col min="4" max="4" width="13.125" style="108" customWidth="1"/>
    <col min="5" max="5" width="16.375" style="108" customWidth="1"/>
    <col min="6" max="6" width="14" style="108" customWidth="1"/>
    <col min="7" max="7" width="16" style="108" customWidth="1"/>
    <col min="8" max="8" width="16.125" style="108" customWidth="1"/>
    <col min="9" max="9" width="18.125" style="108" customWidth="1"/>
    <col min="10" max="10" width="10.125" style="108" customWidth="1"/>
    <col min="11" max="11" width="11" style="108" customWidth="1"/>
    <col min="12" max="13" width="10.125" style="108" customWidth="1"/>
    <col min="14" max="19" width="9.375" style="108" customWidth="1"/>
    <col min="20" max="20" width="23.375" style="108" customWidth="1"/>
    <col min="21" max="27" width="9.375" style="108" customWidth="1"/>
    <col min="28" max="30" width="12.625" style="108"/>
    <col min="31" max="31" width="22.375" style="108" bestFit="1" customWidth="1"/>
    <col min="32" max="32" width="16.875" style="108" customWidth="1"/>
    <col min="33" max="16384" width="12.625" style="108"/>
  </cols>
  <sheetData>
    <row r="1" spans="1:28" ht="14.25" customHeight="1">
      <c r="A1" s="147" t="s">
        <v>862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28" ht="14.25" customHeight="1">
      <c r="A2" s="148" t="s">
        <v>863</v>
      </c>
      <c r="B2" s="148" t="s">
        <v>864</v>
      </c>
      <c r="C2" s="148"/>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row>
    <row r="3" spans="1:28" ht="14.25" customHeight="1">
      <c r="A3" s="148" t="s">
        <v>865</v>
      </c>
      <c r="B3" s="148" t="s">
        <v>866</v>
      </c>
      <c r="C3" s="148"/>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row>
    <row r="4" spans="1:28" ht="14.25" customHeight="1">
      <c r="A4" s="148" t="s">
        <v>867</v>
      </c>
      <c r="B4" s="148" t="s">
        <v>868</v>
      </c>
      <c r="C4" s="148"/>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1:28" ht="14.25" customHeight="1">
      <c r="A5" s="1149"/>
      <c r="B5" s="1149"/>
      <c r="C5" s="1149"/>
      <c r="D5" s="1149"/>
      <c r="E5" s="1149"/>
      <c r="F5" s="1149"/>
      <c r="G5" s="1149"/>
      <c r="H5" s="1149"/>
      <c r="I5" s="1149"/>
      <c r="J5" s="1149"/>
      <c r="K5" s="1149"/>
      <c r="L5" s="1149"/>
      <c r="M5" s="1149"/>
      <c r="N5" s="1429" t="s">
        <v>869</v>
      </c>
      <c r="O5" s="1428"/>
      <c r="P5" s="1149"/>
      <c r="Q5" s="1149"/>
      <c r="R5" s="1149"/>
      <c r="S5" s="1149"/>
      <c r="T5" s="1149"/>
      <c r="U5" s="1149"/>
      <c r="V5" s="1149"/>
      <c r="W5" s="1149"/>
      <c r="X5" s="1149"/>
      <c r="Y5" s="1149"/>
      <c r="Z5" s="1149"/>
      <c r="AA5" s="1149"/>
      <c r="AB5" s="1149"/>
    </row>
    <row r="6" spans="1:28" ht="14.25" customHeight="1">
      <c r="A6" s="1149"/>
      <c r="B6" s="1149"/>
      <c r="C6" s="1427" t="s">
        <v>870</v>
      </c>
      <c r="D6" s="1428"/>
      <c r="E6" s="1149"/>
      <c r="F6" s="1149"/>
      <c r="G6" s="1427" t="s">
        <v>871</v>
      </c>
      <c r="H6" s="1428"/>
      <c r="I6" s="1149"/>
      <c r="J6" s="1427" t="s">
        <v>872</v>
      </c>
      <c r="K6" s="1428"/>
      <c r="L6" s="1427" t="s">
        <v>873</v>
      </c>
      <c r="M6" s="1428"/>
      <c r="N6" s="240">
        <v>0.8</v>
      </c>
      <c r="O6" s="240" t="s">
        <v>874</v>
      </c>
      <c r="P6" s="135" t="s">
        <v>875</v>
      </c>
      <c r="Q6" s="1153"/>
      <c r="R6" s="1149" t="s">
        <v>876</v>
      </c>
      <c r="S6" s="1149"/>
      <c r="T6" s="1149"/>
      <c r="U6" s="1149"/>
      <c r="V6" s="1149"/>
      <c r="W6" s="1149"/>
      <c r="X6" s="1149"/>
      <c r="Y6" s="1149"/>
      <c r="Z6" s="1149"/>
      <c r="AA6" s="1149"/>
      <c r="AB6" s="1149"/>
    </row>
    <row r="7" spans="1:28" ht="28.5" customHeight="1">
      <c r="A7" s="134" t="s">
        <v>594</v>
      </c>
      <c r="B7" s="134" t="s">
        <v>877</v>
      </c>
      <c r="C7" s="134" t="s">
        <v>878</v>
      </c>
      <c r="D7" s="134" t="s">
        <v>879</v>
      </c>
      <c r="E7" s="134" t="s">
        <v>880</v>
      </c>
      <c r="F7" s="134" t="s">
        <v>881</v>
      </c>
      <c r="G7" s="134" t="s">
        <v>878</v>
      </c>
      <c r="H7" s="134" t="s">
        <v>879</v>
      </c>
      <c r="I7" s="134" t="s">
        <v>882</v>
      </c>
      <c r="J7" s="134" t="s">
        <v>878</v>
      </c>
      <c r="K7" s="134" t="s">
        <v>879</v>
      </c>
      <c r="L7" s="134" t="s">
        <v>878</v>
      </c>
      <c r="M7" s="134" t="s">
        <v>879</v>
      </c>
      <c r="N7" s="134" t="s">
        <v>878</v>
      </c>
      <c r="O7" s="134" t="s">
        <v>879</v>
      </c>
      <c r="P7" s="134" t="s">
        <v>878</v>
      </c>
      <c r="Q7" s="134" t="s">
        <v>879</v>
      </c>
      <c r="R7" s="109"/>
      <c r="S7" s="109"/>
      <c r="T7" s="109"/>
      <c r="U7" s="109"/>
      <c r="V7" s="109"/>
      <c r="W7" s="109"/>
      <c r="X7" s="109"/>
      <c r="Y7" s="109"/>
      <c r="Z7" s="1149"/>
      <c r="AA7" s="1149"/>
      <c r="AB7" s="1149"/>
    </row>
    <row r="8" spans="1:28" ht="14.25" customHeight="1">
      <c r="A8" s="131" t="s">
        <v>371</v>
      </c>
      <c r="B8" s="118">
        <f>Hypothèses!D77</f>
        <v>0.01</v>
      </c>
      <c r="C8" s="148">
        <v>4</v>
      </c>
      <c r="D8" s="148">
        <v>5</v>
      </c>
      <c r="E8" s="111">
        <v>150</v>
      </c>
      <c r="F8" s="111">
        <f>E8*2</f>
        <v>300</v>
      </c>
      <c r="G8" s="116">
        <f t="shared" ref="G8:H12" si="0">$F8*C8/60</f>
        <v>20</v>
      </c>
      <c r="H8" s="116">
        <f t="shared" si="0"/>
        <v>25</v>
      </c>
      <c r="I8" s="111">
        <v>70</v>
      </c>
      <c r="J8" s="116">
        <f t="shared" ref="J8:K12" si="1">$I8*C8/60</f>
        <v>4.666666666666667</v>
      </c>
      <c r="K8" s="116">
        <f t="shared" si="1"/>
        <v>5.833333333333333</v>
      </c>
      <c r="L8" s="111">
        <v>18</v>
      </c>
      <c r="M8" s="111">
        <v>19</v>
      </c>
      <c r="N8" s="111">
        <f t="shared" ref="N8:O12" si="2">$N$6*L8</f>
        <v>14.4</v>
      </c>
      <c r="O8" s="111">
        <f t="shared" si="2"/>
        <v>15.200000000000001</v>
      </c>
      <c r="P8" s="132">
        <v>0</v>
      </c>
      <c r="Q8" s="132">
        <v>0</v>
      </c>
      <c r="R8" s="133" t="s">
        <v>883</v>
      </c>
      <c r="S8" s="1149"/>
      <c r="T8" s="1149"/>
      <c r="U8" s="1149"/>
      <c r="V8" s="1149"/>
      <c r="W8" s="1149"/>
      <c r="X8" s="1149"/>
      <c r="Y8" s="1149"/>
      <c r="Z8" s="1149"/>
      <c r="AA8" s="1149"/>
      <c r="AB8" s="1149"/>
    </row>
    <row r="9" spans="1:28" ht="14.25" customHeight="1">
      <c r="A9" s="131" t="s">
        <v>884</v>
      </c>
      <c r="B9" s="118">
        <f>Hypothèses!D78</f>
        <v>0.03</v>
      </c>
      <c r="C9" s="148">
        <v>4</v>
      </c>
      <c r="D9" s="148">
        <v>5</v>
      </c>
      <c r="E9" s="111">
        <v>200</v>
      </c>
      <c r="F9" s="111">
        <f>E9*2</f>
        <v>400</v>
      </c>
      <c r="G9" s="116">
        <f t="shared" si="0"/>
        <v>26.666666666666668</v>
      </c>
      <c r="H9" s="116">
        <f t="shared" si="0"/>
        <v>33.333333333333336</v>
      </c>
      <c r="I9" s="111">
        <v>80</v>
      </c>
      <c r="J9" s="116">
        <f t="shared" si="1"/>
        <v>5.333333333333333</v>
      </c>
      <c r="K9" s="116">
        <f t="shared" si="1"/>
        <v>6.666666666666667</v>
      </c>
      <c r="L9" s="111">
        <v>20</v>
      </c>
      <c r="M9" s="111">
        <v>23</v>
      </c>
      <c r="N9" s="111">
        <f t="shared" si="2"/>
        <v>16</v>
      </c>
      <c r="O9" s="111">
        <f t="shared" si="2"/>
        <v>18.400000000000002</v>
      </c>
      <c r="P9" s="132">
        <v>0</v>
      </c>
      <c r="Q9" s="132">
        <v>0</v>
      </c>
      <c r="R9" s="1149"/>
      <c r="S9" s="1149"/>
      <c r="T9" s="1149"/>
      <c r="U9" s="1149"/>
      <c r="V9" s="1149"/>
      <c r="W9" s="1149"/>
      <c r="X9" s="1149"/>
      <c r="Y9" s="1149"/>
      <c r="Z9" s="1149"/>
      <c r="AA9" s="1149"/>
      <c r="AB9" s="1149"/>
    </row>
    <row r="10" spans="1:28" ht="14.25" customHeight="1">
      <c r="A10" s="131" t="s">
        <v>885</v>
      </c>
      <c r="B10" s="118">
        <f>Hypothèses!D79</f>
        <v>0.24</v>
      </c>
      <c r="C10" s="148">
        <v>4</v>
      </c>
      <c r="D10" s="148">
        <v>14</v>
      </c>
      <c r="E10" s="111">
        <v>250</v>
      </c>
      <c r="F10" s="111">
        <f>E10*2</f>
        <v>500</v>
      </c>
      <c r="G10" s="116">
        <f t="shared" si="0"/>
        <v>33.333333333333336</v>
      </c>
      <c r="H10" s="116">
        <f t="shared" si="0"/>
        <v>116.66666666666667</v>
      </c>
      <c r="I10" s="111">
        <v>120</v>
      </c>
      <c r="J10" s="116">
        <f t="shared" si="1"/>
        <v>8</v>
      </c>
      <c r="K10" s="116">
        <f t="shared" si="1"/>
        <v>28</v>
      </c>
      <c r="L10" s="111">
        <v>45</v>
      </c>
      <c r="M10" s="111">
        <v>60</v>
      </c>
      <c r="N10" s="111">
        <f t="shared" si="2"/>
        <v>36</v>
      </c>
      <c r="O10" s="111">
        <f t="shared" si="2"/>
        <v>48</v>
      </c>
      <c r="P10" s="130">
        <f t="shared" ref="P10:Q12" si="3">N10*C10/60</f>
        <v>2.4</v>
      </c>
      <c r="Q10" s="130">
        <f t="shared" si="3"/>
        <v>11.2</v>
      </c>
      <c r="R10" s="1149"/>
      <c r="S10" s="1149"/>
      <c r="T10" s="1149"/>
      <c r="U10" s="1149"/>
      <c r="V10" s="1149"/>
      <c r="W10" s="1149"/>
      <c r="X10" s="1149"/>
      <c r="Y10" s="1149"/>
      <c r="Z10" s="1149"/>
      <c r="AA10" s="1149"/>
      <c r="AB10" s="1149"/>
    </row>
    <row r="11" spans="1:28" ht="14.25" customHeight="1">
      <c r="A11" s="131" t="s">
        <v>886</v>
      </c>
      <c r="B11" s="118">
        <f>Hypothèses!D80</f>
        <v>0.42</v>
      </c>
      <c r="C11" s="148">
        <v>5</v>
      </c>
      <c r="D11" s="148">
        <v>15</v>
      </c>
      <c r="E11" s="111">
        <v>280</v>
      </c>
      <c r="F11" s="111">
        <f>E11*2</f>
        <v>560</v>
      </c>
      <c r="G11" s="116">
        <f t="shared" si="0"/>
        <v>46.666666666666664</v>
      </c>
      <c r="H11" s="116">
        <f t="shared" si="0"/>
        <v>140</v>
      </c>
      <c r="I11" s="111">
        <v>250</v>
      </c>
      <c r="J11" s="116">
        <f t="shared" si="1"/>
        <v>20.833333333333332</v>
      </c>
      <c r="K11" s="116">
        <f t="shared" si="1"/>
        <v>62.5</v>
      </c>
      <c r="L11" s="111">
        <v>140</v>
      </c>
      <c r="M11" s="111">
        <v>250</v>
      </c>
      <c r="N11" s="111">
        <f t="shared" si="2"/>
        <v>112</v>
      </c>
      <c r="O11" s="111">
        <f t="shared" si="2"/>
        <v>200</v>
      </c>
      <c r="P11" s="130">
        <f t="shared" si="3"/>
        <v>9.3333333333333339</v>
      </c>
      <c r="Q11" s="130">
        <f t="shared" si="3"/>
        <v>50</v>
      </c>
      <c r="R11" s="1149"/>
      <c r="S11" s="1149"/>
      <c r="T11" s="1149"/>
      <c r="U11" s="1149"/>
      <c r="V11" s="1149"/>
      <c r="W11" s="1149"/>
      <c r="X11" s="1149"/>
      <c r="Y11" s="1149"/>
      <c r="Z11" s="1149"/>
      <c r="AA11" s="1149"/>
      <c r="AB11" s="1149"/>
    </row>
    <row r="12" spans="1:28" ht="14.25" customHeight="1">
      <c r="A12" s="131" t="s">
        <v>887</v>
      </c>
      <c r="B12" s="118">
        <f>Hypothèses!D81</f>
        <v>0.3</v>
      </c>
      <c r="C12" s="148">
        <v>6</v>
      </c>
      <c r="D12" s="148">
        <v>21</v>
      </c>
      <c r="E12" s="111">
        <v>450</v>
      </c>
      <c r="F12" s="111">
        <f>E12*2</f>
        <v>900</v>
      </c>
      <c r="G12" s="116">
        <f t="shared" si="0"/>
        <v>90</v>
      </c>
      <c r="H12" s="116">
        <f t="shared" si="0"/>
        <v>315</v>
      </c>
      <c r="I12" s="111">
        <v>400</v>
      </c>
      <c r="J12" s="116">
        <f t="shared" si="1"/>
        <v>40</v>
      </c>
      <c r="K12" s="116">
        <f t="shared" si="1"/>
        <v>140</v>
      </c>
      <c r="L12" s="111">
        <v>270</v>
      </c>
      <c r="M12" s="111">
        <v>350</v>
      </c>
      <c r="N12" s="111">
        <f t="shared" si="2"/>
        <v>216</v>
      </c>
      <c r="O12" s="111">
        <f t="shared" si="2"/>
        <v>280</v>
      </c>
      <c r="P12" s="130">
        <f t="shared" si="3"/>
        <v>21.6</v>
      </c>
      <c r="Q12" s="130">
        <f t="shared" si="3"/>
        <v>98</v>
      </c>
      <c r="R12" s="1149"/>
      <c r="S12" s="1149"/>
      <c r="T12" s="1149"/>
      <c r="U12" s="1149"/>
      <c r="V12" s="1149"/>
      <c r="W12" s="1149"/>
      <c r="X12" s="1149"/>
      <c r="Y12" s="1149"/>
      <c r="Z12" s="1149"/>
      <c r="AA12" s="1149"/>
      <c r="AB12" s="1149"/>
    </row>
    <row r="13" spans="1:28" ht="14.25" customHeight="1">
      <c r="A13" s="1149"/>
      <c r="B13" s="1149"/>
      <c r="C13" s="129">
        <f>C8*$B8+C9*$B9+C10*$B10+C11*$B11+C12*$B12</f>
        <v>5.0199999999999996</v>
      </c>
      <c r="D13" s="129">
        <f>D8*$B8+D9*$B9+D10*$B10+D11*$B11+D12*$B12</f>
        <v>16.16</v>
      </c>
      <c r="E13" s="1149"/>
      <c r="F13" s="129">
        <f>F8*$B8+F9*$B9+F10*$B10+F11*$B11+F12*$B12</f>
        <v>640.20000000000005</v>
      </c>
      <c r="G13" s="1149"/>
      <c r="H13" s="1149"/>
      <c r="I13" s="1149"/>
      <c r="J13" s="1149"/>
      <c r="K13" s="1149"/>
      <c r="L13" s="1149"/>
      <c r="M13" s="1149"/>
      <c r="N13" s="129">
        <f>N8*$B8+N9*$B9+N10*$B10+N11*$B11+N12*$B12</f>
        <v>121.104</v>
      </c>
      <c r="O13" s="129">
        <f>O8*$B8+O9*$B9+O10*$B10+O11*$B11+O12*$B12</f>
        <v>180.22399999999999</v>
      </c>
      <c r="P13" s="1149"/>
      <c r="Q13" s="1149"/>
      <c r="R13" s="1149"/>
      <c r="S13" s="178">
        <f>AVERAGE(N13:O13)/F13-1</f>
        <v>-0.76466104342393004</v>
      </c>
      <c r="T13" s="1149"/>
      <c r="U13" s="1149"/>
      <c r="V13" s="1149"/>
      <c r="W13" s="1149"/>
      <c r="X13" s="1149"/>
      <c r="Y13" s="1149"/>
      <c r="Z13" s="1149"/>
      <c r="AA13" s="1149"/>
      <c r="AB13" s="1149"/>
    </row>
    <row r="14" spans="1:28" ht="14.25" customHeight="1">
      <c r="A14" s="1149"/>
      <c r="B14" s="1149"/>
      <c r="C14" s="1430" t="s">
        <v>611</v>
      </c>
      <c r="D14" s="1430"/>
      <c r="E14" s="128"/>
      <c r="F14" s="128" t="s">
        <v>888</v>
      </c>
      <c r="G14" s="127">
        <f>Hypothèses!$B$34*($B$8*$G$8+$B$9*$G$9+$B$10*$G$10+$B$11*$G$11+$B$12*$G$12)/1000</f>
        <v>149.83819178082192</v>
      </c>
      <c r="H14" s="127">
        <f>Hypothèses!$B$34*($B$8*$H$8+$B$9*$H$9+$B$10*$H$10+$B$11*$H$11+$B$12*$H$12)/1000</f>
        <v>491.95974657534248</v>
      </c>
      <c r="I14" s="127"/>
      <c r="J14" s="127">
        <f>Hypothèses!$B$34*($B$8*$J$8+$B$9*$J$9+$B$10*$J$10+$B$11*$J$11+$B$12*$J$12)/1000</f>
        <v>61.6510497716895</v>
      </c>
      <c r="K14" s="127">
        <f>Hypothèses!$B$34*($B$8*$K$8+$B$9*$K$9+$B$10*$K$10+$B$11*$K$11+$B$12*$K$12)/1000</f>
        <v>202.73520570776253</v>
      </c>
      <c r="L14" s="127"/>
      <c r="M14" s="127"/>
      <c r="N14" s="127"/>
      <c r="O14" s="127"/>
      <c r="P14" s="127">
        <f>Hypothèses!$B$34*($B$8*$P$8+$B$9*$P$9+$B$10*$P$10+$B$11*$P$11+$B$12*$P$12)/1000</f>
        <v>29.579568219178078</v>
      </c>
      <c r="Q14" s="127">
        <f>Hypothèses!$B$34*($B$8*$Q$8+$B$9*$Q$9+$B$10*$Q$10+$B$11*$Q$11+$B$12*$Q$12)/1000</f>
        <v>143.06852383561642</v>
      </c>
      <c r="R14" s="1149"/>
      <c r="S14" s="1149"/>
      <c r="T14" s="1149"/>
      <c r="U14" s="1149"/>
      <c r="V14" s="1149"/>
      <c r="W14" s="1149"/>
      <c r="X14" s="1149"/>
      <c r="Y14" s="1149"/>
      <c r="Z14" s="1149"/>
      <c r="AA14" s="1149"/>
      <c r="AB14" s="1149"/>
    </row>
    <row r="15" spans="1:28" ht="14.25" customHeight="1">
      <c r="A15" s="1149"/>
      <c r="B15" s="1149"/>
      <c r="C15" s="129">
        <f>C13+D13</f>
        <v>21.18</v>
      </c>
      <c r="D15" s="1149" t="s">
        <v>204</v>
      </c>
      <c r="E15" s="126"/>
      <c r="F15" s="126" t="s">
        <v>889</v>
      </c>
      <c r="G15" s="125">
        <f>G14*365</f>
        <v>54690.94</v>
      </c>
      <c r="H15" s="125">
        <f>H14*365</f>
        <v>179565.3075</v>
      </c>
      <c r="I15" s="125"/>
      <c r="J15" s="125">
        <f>J14*365</f>
        <v>22502.633166666667</v>
      </c>
      <c r="K15" s="125">
        <f>K14*365</f>
        <v>73998.350083333324</v>
      </c>
      <c r="L15" s="125"/>
      <c r="M15" s="125"/>
      <c r="N15" s="125"/>
      <c r="O15" s="125"/>
      <c r="P15" s="125">
        <f>P14*365</f>
        <v>10796.542399999998</v>
      </c>
      <c r="Q15" s="125">
        <f>Q14*365</f>
        <v>52220.011199999994</v>
      </c>
      <c r="R15" s="1149"/>
      <c r="S15" s="1149"/>
      <c r="T15" s="1149"/>
      <c r="U15" s="1149"/>
      <c r="V15" s="1149"/>
      <c r="W15" s="1149"/>
      <c r="X15" s="1149"/>
      <c r="Y15" s="1149"/>
      <c r="Z15" s="1149"/>
      <c r="AA15" s="1149"/>
      <c r="AB15" s="1149"/>
    </row>
    <row r="16" spans="1:28" ht="14.25" customHeight="1">
      <c r="A16" s="1149"/>
      <c r="B16" s="1149"/>
      <c r="C16" s="1149"/>
      <c r="D16" s="1149"/>
      <c r="E16" s="136"/>
      <c r="F16" s="136" t="s">
        <v>890</v>
      </c>
      <c r="G16" s="124">
        <f>G15*Hypothèses!$B$23/1000000</f>
        <v>0.17227646100000002</v>
      </c>
      <c r="H16" s="124">
        <f>H15*Hypothèses!$B$23/1000000</f>
        <v>0.56563071862500003</v>
      </c>
      <c r="I16" s="124"/>
      <c r="J16" s="124">
        <f>J15*Hypothèses!$B$23/1000000</f>
        <v>7.0883294474999997E-2</v>
      </c>
      <c r="K16" s="124">
        <f>K15*Hypothèses!$B$23/1000000</f>
        <v>0.23309480276249994</v>
      </c>
      <c r="L16" s="124"/>
      <c r="M16" s="124"/>
      <c r="N16" s="124"/>
      <c r="O16" s="124"/>
      <c r="P16" s="124">
        <f>P15*Hypothèses!$B$23/1000000</f>
        <v>3.4009108559999994E-2</v>
      </c>
      <c r="Q16" s="124">
        <f>Q15*Hypothèses!$B$23/1000000</f>
        <v>0.16449303527999998</v>
      </c>
      <c r="R16" s="1149"/>
      <c r="S16" s="1149"/>
      <c r="T16" s="1149"/>
      <c r="U16" s="1149"/>
      <c r="V16" s="1149"/>
      <c r="W16" s="1149"/>
      <c r="X16" s="1149"/>
      <c r="Y16" s="1149"/>
      <c r="Z16" s="1149"/>
      <c r="AA16" s="1149"/>
      <c r="AB16" s="1149"/>
    </row>
    <row r="17" spans="1:34" ht="14.25" customHeight="1">
      <c r="A17" s="1149"/>
      <c r="B17" s="1149"/>
      <c r="C17" s="1149"/>
      <c r="D17" s="1149"/>
      <c r="E17" s="1149"/>
      <c r="F17" s="1149"/>
      <c r="G17" s="124">
        <f>G16+H16</f>
        <v>0.73790717962500008</v>
      </c>
      <c r="H17" s="1149"/>
      <c r="I17" s="1149"/>
      <c r="J17" s="124">
        <f>J16+K16</f>
        <v>0.30397809723749991</v>
      </c>
      <c r="K17" s="1149"/>
      <c r="L17" s="1149"/>
      <c r="M17" s="1149"/>
      <c r="N17" s="1149"/>
      <c r="O17" s="1149"/>
      <c r="P17" s="124">
        <f>P16+Q16</f>
        <v>0.19850214383999998</v>
      </c>
      <c r="Q17" s="1149"/>
      <c r="R17" s="1149"/>
      <c r="S17" s="1149"/>
      <c r="T17" s="1149"/>
      <c r="U17" s="1149"/>
      <c r="V17" s="1149"/>
      <c r="W17" s="1149"/>
      <c r="X17" s="1149"/>
      <c r="Y17" s="1149"/>
      <c r="Z17" s="1149"/>
      <c r="AA17" s="1149"/>
      <c r="AB17" s="1149"/>
      <c r="AC17" s="1149"/>
      <c r="AD17" s="1149"/>
      <c r="AE17" s="1149"/>
      <c r="AF17" s="1149"/>
      <c r="AG17" s="1149"/>
      <c r="AH17" s="1149"/>
    </row>
    <row r="18" spans="1:34" ht="14.25" customHeight="1">
      <c r="A18" s="1149"/>
      <c r="B18" s="1149"/>
      <c r="C18" s="1149"/>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row>
    <row r="19" spans="1:34" ht="14.25" customHeight="1">
      <c r="A19" s="1149"/>
      <c r="B19" s="1149"/>
      <c r="C19" s="1149"/>
      <c r="D19" s="123" t="s">
        <v>891</v>
      </c>
      <c r="E19" s="118">
        <v>0.4</v>
      </c>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49"/>
      <c r="AE19" s="1149"/>
      <c r="AF19" s="1149"/>
      <c r="AG19" s="1149"/>
      <c r="AH19" s="1149"/>
    </row>
    <row r="20" spans="1:34" ht="27" customHeight="1">
      <c r="A20" s="122" t="s">
        <v>892</v>
      </c>
      <c r="B20" s="121" t="s">
        <v>893</v>
      </c>
      <c r="C20" s="121" t="s">
        <v>894</v>
      </c>
      <c r="D20" s="121" t="s">
        <v>895</v>
      </c>
      <c r="E20" s="121" t="s">
        <v>896</v>
      </c>
      <c r="F20" s="121" t="s">
        <v>897</v>
      </c>
      <c r="G20" s="121" t="s">
        <v>898</v>
      </c>
      <c r="H20" s="120" t="s">
        <v>899</v>
      </c>
      <c r="I20" s="119" t="s">
        <v>900</v>
      </c>
      <c r="J20" s="109"/>
      <c r="K20" s="109"/>
      <c r="L20" s="109"/>
      <c r="M20" s="109"/>
      <c r="N20" s="109"/>
      <c r="O20" s="109"/>
      <c r="P20" s="109"/>
      <c r="Q20" s="109"/>
      <c r="R20" s="109"/>
      <c r="S20" s="109"/>
      <c r="T20" s="109"/>
      <c r="U20" s="109"/>
      <c r="V20" s="109"/>
      <c r="W20" s="109"/>
      <c r="X20" s="109"/>
      <c r="Y20" s="109"/>
      <c r="Z20" s="109"/>
      <c r="AA20" s="109"/>
      <c r="AB20" s="1149"/>
      <c r="AC20" s="1149"/>
      <c r="AD20" s="1149"/>
      <c r="AE20" s="1149"/>
      <c r="AF20" s="1149"/>
      <c r="AG20" s="1149"/>
      <c r="AH20" s="1149"/>
    </row>
    <row r="21" spans="1:34" ht="14.25" customHeight="1">
      <c r="A21" s="117" t="s">
        <v>863</v>
      </c>
      <c r="B21" s="118">
        <v>0.5</v>
      </c>
      <c r="C21" s="118">
        <v>0.9</v>
      </c>
      <c r="D21" s="118">
        <f>(1-30/60/C13)</f>
        <v>0.90039840637450197</v>
      </c>
      <c r="E21" s="116">
        <f>G14*$E$19</f>
        <v>59.935276712328772</v>
      </c>
      <c r="F21" s="116">
        <f>(C21-B21)*D21*E21</f>
        <v>21.58625105495825</v>
      </c>
      <c r="G21" s="116">
        <f>Hypothèses!$B$23*F21</f>
        <v>67.996690823118485</v>
      </c>
      <c r="H21" s="115">
        <f t="shared" ref="H21:H27" si="4">365*G21/1000000</f>
        <v>2.4818792150438248E-2</v>
      </c>
      <c r="I21" s="114">
        <f>H21/Hypothèses!$C$56</f>
        <v>1.0994289505237996E-3</v>
      </c>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row>
    <row r="22" spans="1:34" ht="14.25" customHeight="1">
      <c r="A22" s="117" t="s">
        <v>865</v>
      </c>
      <c r="B22" s="118">
        <v>0.2</v>
      </c>
      <c r="C22" s="118">
        <v>0.75</v>
      </c>
      <c r="D22" s="118">
        <f>(1-5/D13)</f>
        <v>0.69059405940594054</v>
      </c>
      <c r="E22" s="116">
        <f>H14*$E$19</f>
        <v>196.783898630137</v>
      </c>
      <c r="F22" s="116">
        <f>(C22-B22)*D22*E22</f>
        <v>74.743785259392382</v>
      </c>
      <c r="G22" s="116">
        <f>Hypothèses!$B$23*F22</f>
        <v>235.44292356708598</v>
      </c>
      <c r="H22" s="115">
        <f t="shared" si="4"/>
        <v>8.5936667101986386E-2</v>
      </c>
      <c r="I22" s="114">
        <f>H22/Hypothèses!$C$56</f>
        <v>3.8068435865353622E-3</v>
      </c>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row>
    <row r="23" spans="1:34" ht="14.25" customHeight="1">
      <c r="A23" s="142" t="s">
        <v>901</v>
      </c>
      <c r="B23" s="1149"/>
      <c r="C23" s="1149"/>
      <c r="D23" s="111"/>
      <c r="E23" s="1149"/>
      <c r="F23" s="116">
        <f>F21+F22</f>
        <v>96.330036314350636</v>
      </c>
      <c r="G23" s="116">
        <f>Hypothèses!$B$23*F23</f>
        <v>303.4396143902045</v>
      </c>
      <c r="H23" s="115">
        <f t="shared" si="4"/>
        <v>0.11075545925242464</v>
      </c>
      <c r="I23" s="114">
        <f>H23/Hypothèses!$C$56</f>
        <v>4.9062725370591616E-3</v>
      </c>
      <c r="J23" s="1149"/>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37"/>
      <c r="AG23" s="137"/>
      <c r="AH23" s="137"/>
    </row>
    <row r="24" spans="1:34" ht="14.25" customHeight="1">
      <c r="A24" s="117" t="s">
        <v>902</v>
      </c>
      <c r="B24" s="140">
        <v>0</v>
      </c>
      <c r="C24" s="140">
        <v>0.5</v>
      </c>
      <c r="D24" s="1149"/>
      <c r="E24" s="116">
        <f>H14-Q14-K14</f>
        <v>146.15601703196353</v>
      </c>
      <c r="F24" s="116">
        <f>(C24-B24)*$D$22*E24+(1-C24+B24)*$F$22</f>
        <v>87.839131184049933</v>
      </c>
      <c r="G24" s="116">
        <f>Hypothèses!$B$23*F24</f>
        <v>276.69326322975729</v>
      </c>
      <c r="H24" s="115">
        <f t="shared" si="4"/>
        <v>0.10099304107886141</v>
      </c>
      <c r="I24" s="114">
        <f>H24/Hypothèses!$C$56</f>
        <v>4.4738145390197381E-3</v>
      </c>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row>
    <row r="25" spans="1:34" ht="14.25" customHeight="1">
      <c r="A25" s="141" t="s">
        <v>903</v>
      </c>
      <c r="B25" s="140"/>
      <c r="C25" s="140"/>
      <c r="D25" s="1149"/>
      <c r="E25" s="1149"/>
      <c r="F25" s="116">
        <f>F24+$F$21</f>
        <v>109.42538223900819</v>
      </c>
      <c r="G25" s="116">
        <f>Hypothèses!$B$23*F25</f>
        <v>344.68995405287581</v>
      </c>
      <c r="H25" s="115">
        <f t="shared" si="4"/>
        <v>0.12581183322929967</v>
      </c>
      <c r="I25" s="114">
        <f>H25/Hypothèses!$C$56</f>
        <v>5.5732434895435388E-3</v>
      </c>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37"/>
      <c r="AF25" s="1149"/>
      <c r="AG25" s="1149"/>
      <c r="AH25" s="1149"/>
    </row>
    <row r="26" spans="1:34" ht="14.25" customHeight="1">
      <c r="A26" s="117" t="s">
        <v>904</v>
      </c>
      <c r="B26" s="140">
        <v>0</v>
      </c>
      <c r="C26" s="140">
        <v>0.3</v>
      </c>
      <c r="D26" s="118"/>
      <c r="E26" s="116">
        <f>H14-K14</f>
        <v>289.22454086757995</v>
      </c>
      <c r="F26" s="116">
        <f>(C26-B26)*$D$22*E26+(1-C26+B26)*$F$22</f>
        <v>112.24167460884308</v>
      </c>
      <c r="G26" s="116">
        <f>Hypothèses!$B$23*F26</f>
        <v>353.56127501785568</v>
      </c>
      <c r="H26" s="115">
        <f t="shared" si="4"/>
        <v>0.1290498653815173</v>
      </c>
      <c r="I26" s="114">
        <f>H26/Hypothèses!$C$56</f>
        <v>5.7166826331286179E-3</v>
      </c>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37"/>
      <c r="AG26" s="137"/>
      <c r="AH26" s="137"/>
    </row>
    <row r="27" spans="1:34" ht="14.25" customHeight="1">
      <c r="A27" s="141" t="s">
        <v>903</v>
      </c>
      <c r="B27" s="140"/>
      <c r="C27" s="140"/>
      <c r="D27" s="1149"/>
      <c r="E27" s="1149"/>
      <c r="F27" s="116">
        <f>F26+$F$21</f>
        <v>133.82792566380132</v>
      </c>
      <c r="G27" s="116">
        <f>Hypothèses!$B$23*F27</f>
        <v>421.55796584097413</v>
      </c>
      <c r="H27" s="115">
        <f t="shared" si="4"/>
        <v>0.15386865753195558</v>
      </c>
      <c r="I27" s="114">
        <f>H27/Hypothèses!$C$56</f>
        <v>6.8161115836524186E-3</v>
      </c>
      <c r="J27" s="1149"/>
      <c r="K27" s="1149"/>
      <c r="L27" s="1149"/>
      <c r="M27" s="1149"/>
      <c r="N27" s="1149"/>
      <c r="O27" s="1149"/>
      <c r="P27" s="1149"/>
      <c r="Q27" s="1149"/>
      <c r="R27" s="1149"/>
      <c r="S27" s="1149"/>
      <c r="T27" s="1149"/>
      <c r="U27" s="1149"/>
      <c r="V27" s="1149"/>
      <c r="W27" s="1149"/>
      <c r="X27" s="1149"/>
      <c r="Y27" s="1149"/>
      <c r="Z27" s="1149"/>
      <c r="AA27" s="1149"/>
      <c r="AB27" s="1149"/>
      <c r="AC27" s="1149"/>
      <c r="AD27" s="1149"/>
      <c r="AE27" s="1149"/>
      <c r="AF27" s="1149"/>
      <c r="AG27" s="1149"/>
      <c r="AH27" s="1149"/>
    </row>
    <row r="28" spans="1:34" ht="14.25" customHeight="1">
      <c r="A28" s="117" t="s">
        <v>905</v>
      </c>
      <c r="B28" s="140">
        <v>0</v>
      </c>
      <c r="C28" s="140">
        <v>0.6</v>
      </c>
      <c r="D28" s="1149"/>
      <c r="E28" s="116">
        <f>E26</f>
        <v>289.22454086757995</v>
      </c>
      <c r="F28" s="116">
        <f>(C28-B28)*$D$22*E28+(1-C28+B28)*$F$22</f>
        <v>149.73956395829379</v>
      </c>
      <c r="G28" s="116">
        <f>Hypothèses!$B$23*F28</f>
        <v>471.67962646862543</v>
      </c>
      <c r="H28" s="115">
        <f t="shared" ref="H28:H31" si="5">365*G28/1000000</f>
        <v>0.17216306366104828</v>
      </c>
      <c r="I28" s="114">
        <f>H28/Hypothèses!$C$56</f>
        <v>7.6265216797218758E-3</v>
      </c>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37"/>
      <c r="AF28" s="1149"/>
      <c r="AG28" s="1149"/>
      <c r="AH28" s="1149"/>
    </row>
    <row r="29" spans="1:34" ht="14.25" customHeight="1">
      <c r="A29" s="141" t="s">
        <v>903</v>
      </c>
      <c r="B29" s="140"/>
      <c r="C29" s="140"/>
      <c r="D29" s="1149"/>
      <c r="E29" s="1149"/>
      <c r="F29" s="116">
        <f>F28+$F$21</f>
        <v>171.32581501325203</v>
      </c>
      <c r="G29" s="116">
        <f>Hypothèses!$B$23*F29</f>
        <v>539.67631729174389</v>
      </c>
      <c r="H29" s="115">
        <f t="shared" si="5"/>
        <v>0.19698185581148653</v>
      </c>
      <c r="I29" s="114">
        <f>H29/Hypothèses!$C$56</f>
        <v>8.7259506302456748E-3</v>
      </c>
      <c r="J29" s="1149"/>
      <c r="K29" s="1149"/>
      <c r="L29" s="1149"/>
      <c r="M29" s="1149"/>
      <c r="N29" s="1149"/>
      <c r="O29" s="1149"/>
      <c r="P29" s="1149"/>
      <c r="Q29" s="1149"/>
      <c r="R29" s="1149"/>
      <c r="S29" s="1149"/>
      <c r="T29" s="1149"/>
      <c r="U29" s="1149"/>
      <c r="V29" s="1149"/>
      <c r="W29" s="1149"/>
      <c r="X29" s="1149"/>
      <c r="Y29" s="1149"/>
      <c r="Z29" s="1149"/>
      <c r="AA29" s="1149"/>
      <c r="AB29" s="1149"/>
      <c r="AC29" s="1149"/>
      <c r="AD29" s="1149"/>
      <c r="AE29" s="137"/>
      <c r="AF29" s="1149"/>
      <c r="AG29" s="1149"/>
      <c r="AH29" s="1149"/>
    </row>
    <row r="30" spans="1:34" ht="14.25" customHeight="1">
      <c r="A30" s="117" t="s">
        <v>906</v>
      </c>
      <c r="B30" s="140">
        <v>0</v>
      </c>
      <c r="C30" s="140">
        <v>0.9</v>
      </c>
      <c r="D30" s="1149"/>
      <c r="E30" s="116">
        <f>E28</f>
        <v>289.22454086757995</v>
      </c>
      <c r="F30" s="116">
        <f>(C30-B30)*$D$22*E30+(1-C30+B30)*$F$22</f>
        <v>187.23745330774449</v>
      </c>
      <c r="G30" s="116">
        <f>Hypothèses!$B$23*F30</f>
        <v>589.79797791939507</v>
      </c>
      <c r="H30" s="115">
        <f t="shared" si="5"/>
        <v>0.21527626194057919</v>
      </c>
      <c r="I30" s="114">
        <f>H30/Hypothèses!$C$56</f>
        <v>9.536360726315132E-3</v>
      </c>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37"/>
      <c r="AF30" s="1149"/>
      <c r="AG30" s="1149"/>
      <c r="AH30" s="1149"/>
    </row>
    <row r="31" spans="1:34" ht="14.25" customHeight="1">
      <c r="A31" s="141" t="s">
        <v>903</v>
      </c>
      <c r="B31" s="140"/>
      <c r="C31" s="140"/>
      <c r="D31" s="1149"/>
      <c r="E31" s="1149"/>
      <c r="F31" s="116">
        <f>F30+$F$21</f>
        <v>208.82370436270273</v>
      </c>
      <c r="G31" s="116">
        <f>Hypothèses!$B$23*F31</f>
        <v>657.79466874251352</v>
      </c>
      <c r="H31" s="115">
        <f t="shared" si="5"/>
        <v>0.24009505409101742</v>
      </c>
      <c r="I31" s="114">
        <f>H31/Hypothèses!$C$56</f>
        <v>1.063578967683893E-2</v>
      </c>
      <c r="J31" s="1149"/>
      <c r="K31" s="1149"/>
      <c r="L31" s="1149"/>
      <c r="M31" s="1149"/>
      <c r="N31" s="1149"/>
      <c r="O31" s="1149"/>
      <c r="P31" s="1149"/>
      <c r="Q31" s="1149"/>
      <c r="R31" s="1149"/>
      <c r="S31" s="1149"/>
      <c r="T31" s="1149"/>
      <c r="U31" s="1149"/>
      <c r="V31" s="1149"/>
      <c r="W31" s="1149"/>
      <c r="X31" s="1149"/>
      <c r="Y31" s="1149"/>
      <c r="Z31" s="1149"/>
      <c r="AA31" s="1149"/>
      <c r="AB31" s="1149"/>
      <c r="AC31" s="1149"/>
      <c r="AD31" s="1149"/>
      <c r="AE31" s="137"/>
      <c r="AF31" s="1149"/>
      <c r="AG31" s="1149"/>
      <c r="AH31" s="1149"/>
    </row>
    <row r="32" spans="1:34" ht="14.25" customHeight="1">
      <c r="A32" s="1149"/>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row>
    <row r="33" spans="1:28" ht="14.25" customHeight="1">
      <c r="A33" s="1149"/>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row>
    <row r="34" spans="1:28" ht="14.25" customHeight="1">
      <c r="A34" s="147" t="s">
        <v>907</v>
      </c>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row>
    <row r="35" spans="1:28" ht="27" customHeight="1">
      <c r="A35" s="110"/>
      <c r="B35" s="109"/>
      <c r="C35" s="109"/>
      <c r="D35" s="110"/>
      <c r="E35" s="110"/>
      <c r="F35" s="109"/>
      <c r="G35" s="1149"/>
      <c r="H35" s="120" t="s">
        <v>899</v>
      </c>
      <c r="I35" s="122" t="s">
        <v>900</v>
      </c>
      <c r="J35" s="1149"/>
      <c r="K35" s="1149"/>
      <c r="L35" s="1149"/>
      <c r="M35" s="1149"/>
      <c r="N35" s="1149"/>
      <c r="O35" s="1149"/>
      <c r="P35" s="1149"/>
      <c r="Q35" s="1149"/>
      <c r="R35" s="1149"/>
      <c r="S35" s="1149"/>
      <c r="T35" s="1149"/>
      <c r="U35" s="1149"/>
      <c r="V35" s="1149"/>
      <c r="W35" s="1149"/>
      <c r="X35" s="1149"/>
      <c r="Y35" s="1149"/>
      <c r="Z35" s="1149"/>
      <c r="AA35" s="1149"/>
      <c r="AB35" s="1149"/>
    </row>
    <row r="36" spans="1:28" ht="14.25" customHeight="1">
      <c r="A36" s="145" t="s">
        <v>908</v>
      </c>
      <c r="B36" s="1431" t="s">
        <v>909</v>
      </c>
      <c r="C36" s="1428"/>
      <c r="D36" s="1428"/>
      <c r="E36" s="1428"/>
      <c r="F36" s="1428"/>
      <c r="G36" s="113"/>
      <c r="H36" s="115">
        <f>(Hypothèses!E93+Hypothèses!E94)/1000</f>
        <v>0.13400000000000001</v>
      </c>
      <c r="I36" s="114">
        <f>H36/Hypothèses!$C$56</f>
        <v>5.9359649122807025E-3</v>
      </c>
      <c r="J36" s="1149"/>
      <c r="K36" s="1149"/>
      <c r="L36" s="1149"/>
      <c r="M36" s="1149"/>
      <c r="N36" s="1149"/>
      <c r="O36" s="1149"/>
      <c r="P36" s="1149"/>
      <c r="Q36" s="1149"/>
      <c r="R36" s="1149"/>
      <c r="S36" s="1149"/>
      <c r="T36" s="1149"/>
      <c r="U36" s="1149"/>
      <c r="V36" s="1149"/>
      <c r="W36" s="1149"/>
      <c r="X36" s="1149"/>
      <c r="Y36" s="1149"/>
      <c r="Z36" s="1149"/>
      <c r="AA36" s="1149"/>
      <c r="AB36" s="1149"/>
    </row>
    <row r="37" spans="1:28" ht="14.25" customHeight="1">
      <c r="A37" s="146" t="s">
        <v>910</v>
      </c>
      <c r="B37" s="1432" t="s">
        <v>911</v>
      </c>
      <c r="C37" s="1428"/>
      <c r="D37" s="1428"/>
      <c r="E37" s="1428"/>
      <c r="F37" s="1428"/>
      <c r="G37" s="113"/>
      <c r="H37" s="115">
        <f>Hypothèses!E106</f>
        <v>0.3</v>
      </c>
      <c r="I37" s="114">
        <f>H37/Hypothèses!$C$56</f>
        <v>1.3289473684210526E-2</v>
      </c>
      <c r="J37" s="1149"/>
      <c r="K37" s="1149"/>
      <c r="L37" s="1149"/>
      <c r="M37" s="1149"/>
      <c r="N37" s="1149"/>
      <c r="O37" s="1149"/>
      <c r="P37" s="1149"/>
      <c r="Q37" s="1149"/>
      <c r="R37" s="1149"/>
      <c r="S37" s="1149"/>
      <c r="T37" s="1149"/>
      <c r="U37" s="1149"/>
      <c r="V37" s="1149"/>
      <c r="W37" s="1149"/>
      <c r="X37" s="1149"/>
      <c r="Y37" s="1149"/>
      <c r="Z37" s="1149"/>
      <c r="AA37" s="1149"/>
      <c r="AB37" s="1149"/>
    </row>
    <row r="38" spans="1:28" ht="14.25" customHeight="1">
      <c r="A38" s="1149"/>
      <c r="B38" s="1149"/>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row>
    <row r="39" spans="1:28" ht="14.25" customHeight="1">
      <c r="A39" s="1149"/>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row>
    <row r="40" spans="1:28" ht="14.25" customHeight="1">
      <c r="A40" s="1149"/>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row>
    <row r="41" spans="1:28" ht="27.6" customHeight="1">
      <c r="A41" s="1149"/>
      <c r="B41" s="1149"/>
      <c r="C41" s="1149"/>
      <c r="D41" s="120" t="s">
        <v>899</v>
      </c>
      <c r="E41" s="122" t="s">
        <v>912</v>
      </c>
      <c r="F41" s="122" t="s">
        <v>900</v>
      </c>
      <c r="G41" s="1149"/>
      <c r="H41" s="1149"/>
      <c r="I41" s="1149"/>
      <c r="J41" s="1149"/>
      <c r="K41" s="1149"/>
      <c r="L41" s="1149"/>
      <c r="M41" s="1149"/>
      <c r="N41" s="1149"/>
      <c r="O41" s="1149"/>
      <c r="P41" s="1149"/>
      <c r="Q41" s="1149"/>
      <c r="R41" s="1149"/>
      <c r="S41" s="1149"/>
      <c r="T41" s="1149"/>
      <c r="U41" s="1149"/>
      <c r="V41" s="1149"/>
      <c r="W41" s="1149"/>
      <c r="X41" s="1149"/>
      <c r="Y41" s="1149"/>
      <c r="Z41" s="1149"/>
      <c r="AA41" s="1149"/>
      <c r="AB41" s="1149"/>
    </row>
    <row r="42" spans="1:28" ht="13.7" customHeight="1">
      <c r="A42" s="1434" t="s">
        <v>588</v>
      </c>
      <c r="B42" s="1434"/>
      <c r="C42" s="144">
        <v>2018</v>
      </c>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row>
    <row r="43" spans="1:28" ht="14.25" customHeight="1">
      <c r="A43" s="1433" t="s">
        <v>913</v>
      </c>
      <c r="B43" s="1433"/>
      <c r="C43" s="112">
        <v>2025</v>
      </c>
      <c r="D43" s="149">
        <f>H27+H36</f>
        <v>0.28786865753195556</v>
      </c>
      <c r="E43" s="1149"/>
      <c r="F43" s="179">
        <f>D43/Hypothèses!$C$56</f>
        <v>1.275207649593312E-2</v>
      </c>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row>
    <row r="44" spans="1:28" ht="14.25" customHeight="1">
      <c r="A44" s="1433"/>
      <c r="B44" s="1433"/>
      <c r="C44" s="112">
        <v>2030</v>
      </c>
      <c r="D44" s="149">
        <f>H29+H37</f>
        <v>0.49698185581148652</v>
      </c>
      <c r="E44" s="178">
        <f>D44/$D$43</f>
        <v>1.7264187774812472</v>
      </c>
      <c r="F44" s="179">
        <f>D44/Hypothèses!$C$56</f>
        <v>2.2015424314456203E-2</v>
      </c>
      <c r="G44" s="1149"/>
      <c r="H44" s="1149"/>
      <c r="I44" s="1149"/>
      <c r="J44" s="1149"/>
      <c r="K44" s="1149"/>
      <c r="L44" s="1149"/>
      <c r="M44" s="1149"/>
      <c r="N44" s="1149"/>
      <c r="O44" s="1149"/>
      <c r="P44" s="1149"/>
      <c r="Q44" s="1149"/>
      <c r="R44" s="1149"/>
      <c r="S44" s="1149"/>
      <c r="T44" s="1149"/>
      <c r="U44" s="1149"/>
      <c r="V44" s="1149"/>
      <c r="W44" s="1149"/>
      <c r="X44" s="1149"/>
      <c r="Y44" s="1149"/>
      <c r="Z44" s="1149"/>
      <c r="AA44" s="1149"/>
      <c r="AB44" s="1149"/>
    </row>
    <row r="45" spans="1:28" ht="14.25" customHeight="1">
      <c r="A45" s="1433"/>
      <c r="B45" s="1433"/>
      <c r="C45" s="112">
        <v>2035</v>
      </c>
      <c r="D45" s="149">
        <f>H31+H37</f>
        <v>0.54009505409101743</v>
      </c>
      <c r="E45" s="178">
        <f>D45/$D$43</f>
        <v>1.8761856838515421</v>
      </c>
      <c r="F45" s="179">
        <f>D45/Hypothèses!$C$56</f>
        <v>2.3925263361049456E-2</v>
      </c>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row>
    <row r="46" spans="1:28" ht="14.25" customHeight="1">
      <c r="A46" s="1149"/>
      <c r="B46" s="1149"/>
      <c r="C46" s="1149"/>
      <c r="D46" s="1149"/>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row>
    <row r="47" spans="1:28" ht="14.25" customHeight="1">
      <c r="A47" s="1149"/>
      <c r="B47" s="1149"/>
      <c r="C47" s="1149"/>
      <c r="D47" s="1149"/>
      <c r="E47" s="1149"/>
      <c r="F47" s="1149"/>
      <c r="G47" s="1149"/>
      <c r="H47" s="1149"/>
      <c r="I47" s="1149"/>
      <c r="J47" s="1149"/>
      <c r="K47" s="1149"/>
      <c r="L47" s="1149"/>
      <c r="M47" s="1149"/>
      <c r="N47" s="1149"/>
      <c r="O47" s="1149"/>
      <c r="P47" s="1149"/>
      <c r="Q47" s="1149"/>
      <c r="R47" s="1149"/>
      <c r="S47" s="1149"/>
      <c r="T47" s="1149"/>
      <c r="U47" s="1149"/>
      <c r="V47" s="1149"/>
      <c r="W47" s="1149"/>
      <c r="X47" s="1149"/>
      <c r="Y47" s="1149"/>
      <c r="Z47" s="1149"/>
      <c r="AA47" s="1149"/>
      <c r="AB47" s="1149"/>
    </row>
    <row r="48" spans="1:28" ht="14.25" customHeight="1">
      <c r="A48" s="1149"/>
      <c r="B48" s="1149"/>
      <c r="C48" s="1149"/>
      <c r="D48" s="1149"/>
      <c r="E48" s="1149"/>
      <c r="F48" s="1149"/>
      <c r="G48" s="1149"/>
      <c r="H48" s="1149"/>
      <c r="I48" s="1149"/>
      <c r="J48" s="1149"/>
      <c r="K48" s="1149"/>
      <c r="L48" s="1149"/>
      <c r="M48" s="1149"/>
      <c r="N48" s="1149"/>
      <c r="O48" s="1149"/>
      <c r="P48" s="1149"/>
      <c r="Q48" s="1149"/>
      <c r="R48" s="1149"/>
      <c r="S48" s="1149"/>
      <c r="T48" s="1149"/>
      <c r="U48" s="1149"/>
      <c r="V48" s="1149"/>
      <c r="W48" s="1149"/>
      <c r="X48" s="1149"/>
      <c r="Y48" s="1149"/>
      <c r="Z48" s="1149"/>
      <c r="AA48" s="1149"/>
      <c r="AB48" s="1149"/>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sheetData>
  <mergeCells count="10">
    <mergeCell ref="C14:D14"/>
    <mergeCell ref="B36:F36"/>
    <mergeCell ref="B37:F37"/>
    <mergeCell ref="A43:B45"/>
    <mergeCell ref="A42:B42"/>
    <mergeCell ref="C6:D6"/>
    <mergeCell ref="G6:H6"/>
    <mergeCell ref="J6:K6"/>
    <mergeCell ref="L6:M6"/>
    <mergeCell ref="N5:O5"/>
  </mergeCells>
  <pageMargins left="0.7" right="0.7" top="0.75" bottom="0.75"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E1004"/>
  <sheetViews>
    <sheetView workbookViewId="0">
      <selection activeCell="B19" sqref="B19"/>
    </sheetView>
  </sheetViews>
  <sheetFormatPr defaultColWidth="12.625" defaultRowHeight="15" customHeight="1"/>
  <cols>
    <col min="1" max="1" width="59.875" style="163" customWidth="1"/>
    <col min="2" max="2" width="13.875" style="163" customWidth="1"/>
    <col min="3" max="4" width="14.875" style="163" customWidth="1"/>
    <col min="5" max="5" width="34.625" style="163" customWidth="1"/>
    <col min="6" max="27" width="10.625" style="163" customWidth="1"/>
    <col min="28" max="16384" width="12.625" style="163"/>
  </cols>
  <sheetData>
    <row r="1" spans="1:5" ht="15" customHeight="1">
      <c r="A1" s="172" t="s">
        <v>44</v>
      </c>
      <c r="B1" s="172" t="s">
        <v>914</v>
      </c>
      <c r="C1" s="172" t="s">
        <v>46</v>
      </c>
      <c r="D1" s="172" t="s">
        <v>47</v>
      </c>
      <c r="E1" s="172" t="s">
        <v>48</v>
      </c>
    </row>
    <row r="2" spans="1:5" ht="13.5" customHeight="1">
      <c r="A2" s="13" t="s">
        <v>915</v>
      </c>
      <c r="B2" s="164">
        <f>Hypothèses!C56</f>
        <v>22.574257425742573</v>
      </c>
      <c r="C2" s="165" t="s">
        <v>146</v>
      </c>
      <c r="D2" s="165"/>
      <c r="E2" s="13"/>
    </row>
    <row r="3" spans="1:5" ht="13.5" customHeight="1">
      <c r="A3" s="13" t="s">
        <v>916</v>
      </c>
      <c r="B3" s="12">
        <v>0.15</v>
      </c>
      <c r="C3" s="13"/>
      <c r="D3" s="13" t="s">
        <v>917</v>
      </c>
    </row>
    <row r="4" spans="1:5" ht="13.5" customHeight="1">
      <c r="A4" s="13" t="s">
        <v>918</v>
      </c>
      <c r="B4" s="12">
        <v>0.02</v>
      </c>
      <c r="C4" s="12"/>
      <c r="D4" s="13" t="s">
        <v>917</v>
      </c>
      <c r="E4" s="166"/>
    </row>
    <row r="5" spans="1:5" ht="13.5" customHeight="1">
      <c r="A5" s="13" t="s">
        <v>919</v>
      </c>
      <c r="B5" s="12">
        <v>0.04</v>
      </c>
      <c r="C5" s="12"/>
      <c r="D5" s="13" t="s">
        <v>917</v>
      </c>
      <c r="E5" s="177" t="s">
        <v>920</v>
      </c>
    </row>
    <row r="6" spans="1:5" ht="13.5" customHeight="1">
      <c r="A6" s="13" t="s">
        <v>921</v>
      </c>
      <c r="B6" s="175">
        <f>B4*B3</f>
        <v>3.0000000000000001E-3</v>
      </c>
      <c r="C6" s="167"/>
      <c r="D6" s="167"/>
      <c r="E6" s="167" t="s">
        <v>922</v>
      </c>
    </row>
    <row r="7" spans="1:5" ht="13.5" customHeight="1">
      <c r="A7" s="13" t="s">
        <v>923</v>
      </c>
      <c r="B7" s="176">
        <f>B6*B2</f>
        <v>6.7722772277227714E-2</v>
      </c>
      <c r="C7" s="167" t="s">
        <v>146</v>
      </c>
      <c r="D7" s="167"/>
      <c r="E7" s="167"/>
    </row>
    <row r="8" spans="1:5" ht="13.5" customHeight="1">
      <c r="A8" s="13"/>
      <c r="B8" s="176"/>
      <c r="C8" s="167"/>
      <c r="D8" s="167"/>
      <c r="E8" s="167"/>
    </row>
    <row r="9" spans="1:5" ht="13.5" customHeight="1">
      <c r="A9" s="13" t="s">
        <v>924</v>
      </c>
      <c r="B9" s="169">
        <v>550</v>
      </c>
      <c r="C9" s="167" t="s">
        <v>925</v>
      </c>
      <c r="D9" s="13" t="s">
        <v>917</v>
      </c>
      <c r="E9" s="167"/>
    </row>
    <row r="10" spans="1:5" ht="13.5" customHeight="1">
      <c r="A10" s="13" t="s">
        <v>926</v>
      </c>
      <c r="B10" s="168">
        <f>ROUND(B7/Hypothèses!$B$23*'Fuel tankering'!B9*1000,-3)</f>
        <v>12000</v>
      </c>
      <c r="C10" s="168"/>
      <c r="D10" s="168"/>
    </row>
    <row r="11" spans="1:5" ht="13.5" customHeight="1">
      <c r="A11" s="13" t="s">
        <v>927</v>
      </c>
      <c r="B11" s="13">
        <v>1.7</v>
      </c>
      <c r="C11" s="13"/>
      <c r="D11" s="13" t="s">
        <v>917</v>
      </c>
    </row>
    <row r="12" spans="1:5" ht="13.5" customHeight="1">
      <c r="A12" s="13" t="s">
        <v>928</v>
      </c>
      <c r="B12" s="168">
        <f>B10*B11</f>
        <v>20400</v>
      </c>
      <c r="C12" s="168"/>
      <c r="D12" s="168"/>
    </row>
    <row r="13" spans="1:5" ht="13.5" customHeight="1">
      <c r="A13" s="13" t="s">
        <v>929</v>
      </c>
      <c r="B13" s="14">
        <f>B12/(B7*1000)</f>
        <v>301.22807017543863</v>
      </c>
      <c r="C13" s="14" t="s">
        <v>930</v>
      </c>
      <c r="D13" s="14"/>
    </row>
    <row r="14" spans="1:5" ht="13.5" customHeight="1">
      <c r="A14" s="13"/>
      <c r="B14" s="13"/>
      <c r="C14" s="13"/>
      <c r="D14" s="13"/>
    </row>
    <row r="15" spans="1:5" ht="13.5" customHeight="1" thickBot="1">
      <c r="A15" s="13"/>
      <c r="B15" s="13"/>
      <c r="C15" s="13"/>
      <c r="D15" s="13"/>
    </row>
    <row r="16" spans="1:5" ht="13.5" customHeight="1">
      <c r="A16" s="1435" t="s">
        <v>763</v>
      </c>
      <c r="B16" s="1436"/>
      <c r="C16" s="170">
        <f>B7</f>
        <v>6.7722772277227714E-2</v>
      </c>
      <c r="D16" s="13"/>
    </row>
    <row r="17" spans="1:4" ht="13.5" customHeight="1" thickBot="1">
      <c r="A17" s="1437" t="s">
        <v>588</v>
      </c>
      <c r="B17" s="1438"/>
      <c r="C17" s="171">
        <v>2018</v>
      </c>
      <c r="D17" s="13"/>
    </row>
    <row r="18" spans="1:4" ht="13.5" customHeight="1">
      <c r="A18" s="13"/>
      <c r="B18" s="12"/>
      <c r="C18" s="13"/>
      <c r="D18" s="13"/>
    </row>
    <row r="19" spans="1:4" ht="13.5" customHeight="1">
      <c r="A19" s="13"/>
      <c r="B19" s="13"/>
      <c r="C19" s="13"/>
      <c r="D19" s="13"/>
    </row>
    <row r="20" spans="1:4" ht="13.5" customHeight="1">
      <c r="A20" s="13"/>
      <c r="B20" s="12"/>
      <c r="C20" s="12"/>
      <c r="D20" s="12"/>
    </row>
    <row r="21" spans="1:4" ht="13.5" customHeight="1">
      <c r="A21" s="13"/>
      <c r="B21" s="167"/>
      <c r="C21" s="167"/>
      <c r="D21" s="167"/>
    </row>
    <row r="22" spans="1:4" ht="13.5" customHeight="1">
      <c r="A22" s="13"/>
      <c r="B22" s="168"/>
      <c r="C22" s="168"/>
      <c r="D22" s="168"/>
    </row>
    <row r="23" spans="1:4" ht="13.5" customHeight="1">
      <c r="A23" s="13"/>
      <c r="B23" s="13"/>
      <c r="C23" s="13"/>
      <c r="D23" s="13"/>
    </row>
    <row r="24" spans="1:4" ht="13.5" customHeight="1">
      <c r="A24" s="13"/>
      <c r="B24" s="168"/>
      <c r="C24" s="168"/>
      <c r="D24" s="168"/>
    </row>
    <row r="25" spans="1:4" ht="13.5" customHeight="1">
      <c r="A25" s="13"/>
      <c r="B25" s="14"/>
      <c r="C25" s="14"/>
      <c r="D25" s="14"/>
    </row>
    <row r="26" spans="1:4" ht="13.5" customHeight="1"/>
    <row r="27" spans="1:4" ht="13.5" customHeight="1"/>
    <row r="28" spans="1:4" ht="13.5" customHeight="1"/>
    <row r="29" spans="1:4" ht="13.5" customHeight="1"/>
    <row r="30" spans="1:4" ht="13.5" customHeight="1"/>
    <row r="31" spans="1:4" ht="13.5" customHeight="1">
      <c r="D31" s="173"/>
    </row>
    <row r="32" spans="1:4" ht="13.5" customHeight="1">
      <c r="D32" s="174"/>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sheetData>
  <mergeCells count="2">
    <mergeCell ref="A16:B16"/>
    <mergeCell ref="A17:B17"/>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X73"/>
  <sheetViews>
    <sheetView topLeftCell="I31" zoomScale="85" zoomScaleNormal="85" workbookViewId="0">
      <selection activeCell="B21" sqref="B21:H25"/>
    </sheetView>
  </sheetViews>
  <sheetFormatPr defaultColWidth="12.625" defaultRowHeight="14.1"/>
  <cols>
    <col min="1" max="1" width="11.125" style="3" customWidth="1"/>
    <col min="2" max="2" width="23.375" style="3" customWidth="1"/>
    <col min="3" max="9" width="8.625" style="3" customWidth="1"/>
    <col min="10" max="11" width="10.625" style="3" customWidth="1"/>
    <col min="12" max="12" width="12.125" style="3" customWidth="1"/>
    <col min="13" max="13" width="19.125" style="3" customWidth="1"/>
    <col min="14" max="26" width="10.625" style="3" customWidth="1"/>
    <col min="27" max="16384" width="12.625" style="3"/>
  </cols>
  <sheetData>
    <row r="1" spans="1:24">
      <c r="A1" s="19"/>
      <c r="B1" s="19"/>
      <c r="C1" s="19"/>
      <c r="D1" s="19"/>
      <c r="E1" s="19"/>
      <c r="F1" s="19"/>
      <c r="G1" s="19"/>
      <c r="H1" s="19"/>
      <c r="I1" s="19"/>
      <c r="J1" s="19"/>
      <c r="K1" s="19"/>
      <c r="L1" s="19"/>
      <c r="M1" s="19"/>
      <c r="N1" s="181"/>
      <c r="O1" s="181"/>
      <c r="P1" s="181"/>
      <c r="Q1" s="181"/>
      <c r="R1" s="181"/>
      <c r="S1" s="181"/>
      <c r="T1" s="181"/>
      <c r="U1" s="181"/>
      <c r="V1" s="19"/>
    </row>
    <row r="2" spans="1:24" ht="27.95">
      <c r="A2" s="19"/>
      <c r="B2" s="18" t="s">
        <v>931</v>
      </c>
      <c r="C2" s="18" t="s">
        <v>46</v>
      </c>
      <c r="D2" s="18" t="s">
        <v>45</v>
      </c>
      <c r="E2" s="1442" t="s">
        <v>47</v>
      </c>
      <c r="F2" s="1440"/>
      <c r="G2" s="1440"/>
      <c r="H2" s="1440"/>
      <c r="I2" s="1441"/>
      <c r="J2" s="19"/>
      <c r="K2" s="19"/>
      <c r="L2" s="20"/>
      <c r="M2" s="20"/>
      <c r="N2" s="21" t="s">
        <v>932</v>
      </c>
      <c r="O2" s="21" t="s">
        <v>933</v>
      </c>
      <c r="P2" s="21" t="s">
        <v>934</v>
      </c>
      <c r="Q2" s="21" t="s">
        <v>935</v>
      </c>
      <c r="R2" s="21" t="s">
        <v>936</v>
      </c>
      <c r="S2" s="21" t="s">
        <v>937</v>
      </c>
      <c r="T2" s="21" t="s">
        <v>938</v>
      </c>
      <c r="U2" s="22" t="s">
        <v>84</v>
      </c>
      <c r="V2" s="19"/>
    </row>
    <row r="3" spans="1:24">
      <c r="A3" s="19"/>
      <c r="B3" s="23" t="s">
        <v>939</v>
      </c>
      <c r="C3" s="24" t="s">
        <v>940</v>
      </c>
      <c r="D3" s="25">
        <f>1737*10^6</f>
        <v>1737000000</v>
      </c>
      <c r="E3" s="1443" t="s">
        <v>941</v>
      </c>
      <c r="F3" s="1444"/>
      <c r="G3" s="1444"/>
      <c r="H3" s="1444"/>
      <c r="I3" s="1445"/>
      <c r="J3" s="39"/>
      <c r="K3" s="19"/>
      <c r="L3" s="1446" t="s">
        <v>942</v>
      </c>
      <c r="M3" s="26" t="s">
        <v>943</v>
      </c>
      <c r="N3" s="27">
        <v>100</v>
      </c>
      <c r="O3" s="27">
        <v>72</v>
      </c>
      <c r="P3" s="27">
        <v>50</v>
      </c>
      <c r="Q3" s="27">
        <v>76</v>
      </c>
      <c r="R3" s="27">
        <v>100</v>
      </c>
      <c r="S3" s="27">
        <v>50</v>
      </c>
      <c r="T3" s="27">
        <v>72</v>
      </c>
      <c r="U3" s="28"/>
      <c r="V3" s="19"/>
    </row>
    <row r="4" spans="1:24" ht="24">
      <c r="A4" s="19"/>
      <c r="B4" s="23" t="s">
        <v>944</v>
      </c>
      <c r="C4" s="24" t="s">
        <v>940</v>
      </c>
      <c r="D4" s="25">
        <f>2536*10^6</f>
        <v>2536000000</v>
      </c>
      <c r="E4" s="1449" t="s">
        <v>945</v>
      </c>
      <c r="F4" s="1450"/>
      <c r="G4" s="1450"/>
      <c r="H4" s="1450"/>
      <c r="I4" s="1451"/>
      <c r="J4" s="39"/>
      <c r="K4" s="19"/>
      <c r="L4" s="1447"/>
      <c r="M4" s="26" t="s">
        <v>946</v>
      </c>
      <c r="N4" s="29">
        <v>3.0466454991293004</v>
      </c>
      <c r="O4" s="30">
        <v>3.1553031313050512</v>
      </c>
      <c r="P4" s="30">
        <v>3.1917446604271658</v>
      </c>
      <c r="Q4" s="30">
        <v>2.7642525440070056</v>
      </c>
      <c r="R4" s="30">
        <v>2.3770028222303616</v>
      </c>
      <c r="S4" s="30">
        <v>2.5397968162546998</v>
      </c>
      <c r="T4" s="30">
        <v>1.8024199089713848</v>
      </c>
      <c r="U4" s="28"/>
      <c r="V4" s="19"/>
    </row>
    <row r="5" spans="1:24" ht="27.95">
      <c r="A5" s="19"/>
      <c r="B5" s="23" t="s">
        <v>947</v>
      </c>
      <c r="C5" s="20" t="s">
        <v>948</v>
      </c>
      <c r="D5" s="180">
        <f>Hypothèses!B25</f>
        <v>2.54</v>
      </c>
      <c r="E5" s="1452" t="s">
        <v>949</v>
      </c>
      <c r="F5" s="1450"/>
      <c r="G5" s="1450"/>
      <c r="H5" s="1450"/>
      <c r="I5" s="1451"/>
      <c r="J5" s="39"/>
      <c r="K5" s="19"/>
      <c r="L5" s="1448"/>
      <c r="M5" s="26" t="s">
        <v>950</v>
      </c>
      <c r="N5" s="30">
        <v>5.4503332041129013</v>
      </c>
      <c r="O5" s="30">
        <v>6.4302548103843993</v>
      </c>
      <c r="P5" s="30">
        <v>7.7817774578033756</v>
      </c>
      <c r="Q5" s="30">
        <v>6.6353666065689092</v>
      </c>
      <c r="R5" s="30">
        <v>5.6500743098446851</v>
      </c>
      <c r="S5" s="30">
        <v>5.123870090392769</v>
      </c>
      <c r="T5" s="30">
        <v>2.717731299444762</v>
      </c>
      <c r="U5" s="28"/>
      <c r="V5" s="19"/>
    </row>
    <row r="6" spans="1:24">
      <c r="A6" s="19"/>
      <c r="B6" s="31"/>
      <c r="C6" s="31"/>
      <c r="D6" s="31"/>
      <c r="E6" s="31"/>
      <c r="F6" s="31"/>
      <c r="G6" s="31"/>
      <c r="H6" s="31"/>
      <c r="I6" s="31"/>
      <c r="J6" s="19"/>
      <c r="K6" s="19"/>
      <c r="L6" s="1453" t="s">
        <v>951</v>
      </c>
      <c r="M6" s="26" t="s">
        <v>952</v>
      </c>
      <c r="N6" s="27">
        <f t="shared" ref="N6:T6" si="0">C14</f>
        <v>14</v>
      </c>
      <c r="O6" s="27">
        <f t="shared" si="0"/>
        <v>11</v>
      </c>
      <c r="P6" s="27">
        <f t="shared" si="0"/>
        <v>17</v>
      </c>
      <c r="Q6" s="27">
        <f t="shared" si="0"/>
        <v>15</v>
      </c>
      <c r="R6" s="27">
        <f t="shared" si="0"/>
        <v>15</v>
      </c>
      <c r="S6" s="27">
        <f t="shared" si="0"/>
        <v>1</v>
      </c>
      <c r="T6" s="27">
        <f t="shared" si="0"/>
        <v>3</v>
      </c>
      <c r="U6" s="22">
        <f t="shared" ref="U6:U12" si="1">SUM(N6:T6)</f>
        <v>76</v>
      </c>
      <c r="V6" s="19"/>
    </row>
    <row r="7" spans="1:24">
      <c r="A7" s="19"/>
      <c r="B7" s="32" t="s">
        <v>953</v>
      </c>
      <c r="C7" s="19"/>
      <c r="D7" s="19"/>
      <c r="E7" s="19"/>
      <c r="F7" s="19" t="s">
        <v>954</v>
      </c>
      <c r="G7" s="19"/>
      <c r="H7" s="19"/>
      <c r="I7" s="19"/>
      <c r="J7" s="19"/>
      <c r="K7" s="19"/>
      <c r="L7" s="1447"/>
      <c r="M7" s="26" t="s">
        <v>955</v>
      </c>
      <c r="N7" s="33">
        <f t="shared" ref="N7:T7" si="2">N6*N3</f>
        <v>1400</v>
      </c>
      <c r="O7" s="33">
        <f t="shared" si="2"/>
        <v>792</v>
      </c>
      <c r="P7" s="33">
        <f t="shared" si="2"/>
        <v>850</v>
      </c>
      <c r="Q7" s="33">
        <f t="shared" si="2"/>
        <v>1140</v>
      </c>
      <c r="R7" s="33">
        <f t="shared" si="2"/>
        <v>1500</v>
      </c>
      <c r="S7" s="33">
        <f t="shared" si="2"/>
        <v>50</v>
      </c>
      <c r="T7" s="33">
        <f t="shared" si="2"/>
        <v>216</v>
      </c>
      <c r="U7" s="34">
        <f t="shared" si="1"/>
        <v>5948</v>
      </c>
      <c r="V7" s="19"/>
    </row>
    <row r="8" spans="1:24" ht="13.35" customHeight="1">
      <c r="A8" s="19"/>
      <c r="C8" s="18" t="s">
        <v>932</v>
      </c>
      <c r="D8" s="18" t="s">
        <v>933</v>
      </c>
      <c r="E8" s="35" t="s">
        <v>934</v>
      </c>
      <c r="F8" s="35" t="s">
        <v>935</v>
      </c>
      <c r="G8" s="35" t="s">
        <v>936</v>
      </c>
      <c r="H8" s="35" t="s">
        <v>937</v>
      </c>
      <c r="I8" s="35" t="s">
        <v>938</v>
      </c>
      <c r="J8" s="19"/>
      <c r="K8" s="19"/>
      <c r="L8" s="1447"/>
      <c r="M8" s="26" t="s">
        <v>956</v>
      </c>
      <c r="N8" s="36">
        <f t="shared" ref="N8:T8" si="3">$D$3*N7/$U$7</f>
        <v>408843308.67518497</v>
      </c>
      <c r="O8" s="36">
        <f t="shared" si="3"/>
        <v>231288500.33624747</v>
      </c>
      <c r="P8" s="36">
        <f t="shared" si="3"/>
        <v>248226294.55279085</v>
      </c>
      <c r="Q8" s="36">
        <f t="shared" si="3"/>
        <v>332915265.63550776</v>
      </c>
      <c r="R8" s="36">
        <f t="shared" si="3"/>
        <v>438046402.15198386</v>
      </c>
      <c r="S8" s="36">
        <f t="shared" si="3"/>
        <v>14601546.738399463</v>
      </c>
      <c r="T8" s="36">
        <f t="shared" si="3"/>
        <v>63078681.909885675</v>
      </c>
      <c r="U8" s="37">
        <f t="shared" si="1"/>
        <v>1737000000.0000002</v>
      </c>
      <c r="V8" s="19"/>
    </row>
    <row r="9" spans="1:24">
      <c r="A9" s="19"/>
      <c r="C9" s="182">
        <v>0.45003024528884178</v>
      </c>
      <c r="D9" s="183">
        <v>0.62423550682462448</v>
      </c>
      <c r="E9" s="184">
        <v>0.48117677411312854</v>
      </c>
      <c r="F9" s="184">
        <v>0.61258043292311692</v>
      </c>
      <c r="G9" s="184">
        <v>0.62490642499975824</v>
      </c>
      <c r="H9" s="184">
        <v>0.72623498620742499</v>
      </c>
      <c r="I9" s="184">
        <v>0.51163404355273412</v>
      </c>
      <c r="J9" s="19"/>
      <c r="K9" s="19"/>
      <c r="L9" s="1447"/>
      <c r="M9" s="26" t="s">
        <v>957</v>
      </c>
      <c r="N9" s="36">
        <f t="shared" ref="N9:T9" si="4">N8*N4/100</f>
        <v>12456006.262243835</v>
      </c>
      <c r="O9" s="36">
        <f t="shared" si="4"/>
        <v>7297853.2934581097</v>
      </c>
      <c r="P9" s="36">
        <f t="shared" si="4"/>
        <v>7922749.5021649115</v>
      </c>
      <c r="Q9" s="36">
        <f t="shared" si="4"/>
        <v>9202618.6997172032</v>
      </c>
      <c r="R9" s="36">
        <f t="shared" si="4"/>
        <v>10412375.341831215</v>
      </c>
      <c r="S9" s="36">
        <f t="shared" si="4"/>
        <v>370849.61918581149</v>
      </c>
      <c r="T9" s="36">
        <f t="shared" si="4"/>
        <v>1136942.7210605107</v>
      </c>
      <c r="U9" s="37">
        <f t="shared" si="1"/>
        <v>48799395.439661592</v>
      </c>
      <c r="V9" s="19"/>
    </row>
    <row r="10" spans="1:24">
      <c r="A10" s="19"/>
      <c r="B10" s="19"/>
      <c r="C10" s="19"/>
      <c r="D10" s="19"/>
      <c r="E10" s="19"/>
      <c r="F10" s="19"/>
      <c r="G10" s="19"/>
      <c r="H10" s="19"/>
      <c r="I10" s="19"/>
      <c r="J10" s="19"/>
      <c r="K10" s="19"/>
      <c r="L10" s="1447"/>
      <c r="M10" s="26" t="s">
        <v>958</v>
      </c>
      <c r="N10" s="36">
        <f>N8*N5/100</f>
        <v>22283322.605517406</v>
      </c>
      <c r="O10" s="36">
        <f t="shared" ref="O10:T10" si="5">O8*O5/100</f>
        <v>14872439.91873749</v>
      </c>
      <c r="P10" s="36">
        <f t="shared" si="5"/>
        <v>19316417.833849687</v>
      </c>
      <c r="Q10" s="36">
        <f t="shared" si="5"/>
        <v>22090148.364148661</v>
      </c>
      <c r="R10" s="36">
        <f t="shared" si="5"/>
        <v>24749947.233188175</v>
      </c>
      <c r="S10" s="36">
        <f t="shared" si="5"/>
        <v>748164.28606357099</v>
      </c>
      <c r="T10" s="36">
        <f t="shared" si="5"/>
        <v>1714309.0815421641</v>
      </c>
      <c r="U10" s="37">
        <f t="shared" si="1"/>
        <v>105774749.32304715</v>
      </c>
      <c r="X10" s="19" t="s">
        <v>959</v>
      </c>
    </row>
    <row r="11" spans="1:24">
      <c r="A11" s="19"/>
      <c r="B11" s="32" t="s">
        <v>960</v>
      </c>
      <c r="C11" s="19"/>
      <c r="D11" s="19"/>
      <c r="E11" s="19"/>
      <c r="F11" s="19"/>
      <c r="G11" s="19"/>
      <c r="H11" s="19"/>
      <c r="I11" s="19"/>
      <c r="J11" s="19"/>
      <c r="K11" s="19"/>
      <c r="L11" s="1447"/>
      <c r="M11" s="26" t="s">
        <v>961</v>
      </c>
      <c r="N11" s="36">
        <f t="shared" ref="N11:T11" si="6">N9*$D$5/1000</f>
        <v>31638.255906099341</v>
      </c>
      <c r="O11" s="36">
        <f t="shared" si="6"/>
        <v>18536.547365383598</v>
      </c>
      <c r="P11" s="36">
        <f t="shared" si="6"/>
        <v>20123.783735498877</v>
      </c>
      <c r="Q11" s="36">
        <f t="shared" si="6"/>
        <v>23374.651497281695</v>
      </c>
      <c r="R11" s="36">
        <f t="shared" si="6"/>
        <v>26447.433368251288</v>
      </c>
      <c r="S11" s="36">
        <f t="shared" si="6"/>
        <v>941.95803273196123</v>
      </c>
      <c r="T11" s="36">
        <f t="shared" si="6"/>
        <v>2887.8345114936974</v>
      </c>
      <c r="U11" s="38">
        <f t="shared" si="1"/>
        <v>123950.46441674045</v>
      </c>
      <c r="X11" s="645">
        <f>U11/(Hypothèses!$C$59*1000000)</f>
        <v>5.3499986778165753E-3</v>
      </c>
    </row>
    <row r="12" spans="1:24">
      <c r="A12" s="39"/>
      <c r="B12" s="40"/>
      <c r="C12" s="41" t="s">
        <v>932</v>
      </c>
      <c r="D12" s="41" t="s">
        <v>933</v>
      </c>
      <c r="E12" s="41" t="s">
        <v>934</v>
      </c>
      <c r="F12" s="41" t="s">
        <v>935</v>
      </c>
      <c r="G12" s="41" t="s">
        <v>936</v>
      </c>
      <c r="H12" s="41" t="s">
        <v>937</v>
      </c>
      <c r="I12" s="41" t="s">
        <v>938</v>
      </c>
      <c r="K12" s="19"/>
      <c r="L12" s="1448"/>
      <c r="M12" s="26" t="s">
        <v>962</v>
      </c>
      <c r="N12" s="36">
        <f t="shared" ref="N12:T12" si="7">N10*$D$5/1000</f>
        <v>56599.639418014216</v>
      </c>
      <c r="O12" s="36">
        <f t="shared" si="7"/>
        <v>37775.997393593221</v>
      </c>
      <c r="P12" s="36">
        <f t="shared" si="7"/>
        <v>49063.701297978208</v>
      </c>
      <c r="Q12" s="36">
        <f t="shared" si="7"/>
        <v>56108.976844937599</v>
      </c>
      <c r="R12" s="36">
        <f t="shared" si="7"/>
        <v>62864.865972297965</v>
      </c>
      <c r="S12" s="36">
        <f t="shared" si="7"/>
        <v>1900.3372866014704</v>
      </c>
      <c r="T12" s="36">
        <f t="shared" si="7"/>
        <v>4354.3450671170967</v>
      </c>
      <c r="U12" s="42">
        <f t="shared" si="1"/>
        <v>268667.86328053975</v>
      </c>
      <c r="V12" s="186">
        <f>(U11+U12)/2</f>
        <v>196309.16384864011</v>
      </c>
      <c r="X12" s="645">
        <f>U12/(Hypothèses!$C$59*1000000)</f>
        <v>1.159634794501475E-2</v>
      </c>
    </row>
    <row r="13" spans="1:24" ht="24">
      <c r="A13" s="19"/>
      <c r="B13" s="26" t="s">
        <v>943</v>
      </c>
      <c r="C13" s="27">
        <v>100</v>
      </c>
      <c r="D13" s="27">
        <v>72</v>
      </c>
      <c r="E13" s="27">
        <v>50</v>
      </c>
      <c r="F13" s="27">
        <v>76</v>
      </c>
      <c r="G13" s="27">
        <v>100</v>
      </c>
      <c r="H13" s="27">
        <v>50</v>
      </c>
      <c r="I13" s="27">
        <v>72</v>
      </c>
      <c r="K13" s="19"/>
      <c r="L13" s="1453" t="s">
        <v>963</v>
      </c>
      <c r="M13" s="26" t="s">
        <v>964</v>
      </c>
      <c r="N13" s="188">
        <f t="shared" ref="N13:T13" si="8">C9</f>
        <v>0.45003024528884178</v>
      </c>
      <c r="O13" s="188">
        <f t="shared" si="8"/>
        <v>0.62423550682462448</v>
      </c>
      <c r="P13" s="188">
        <f t="shared" si="8"/>
        <v>0.48117677411312854</v>
      </c>
      <c r="Q13" s="188">
        <f t="shared" si="8"/>
        <v>0.61258043292311692</v>
      </c>
      <c r="R13" s="188">
        <f t="shared" si="8"/>
        <v>0.62490642499975824</v>
      </c>
      <c r="S13" s="188">
        <f t="shared" si="8"/>
        <v>0.72623498620742499</v>
      </c>
      <c r="T13" s="188">
        <f t="shared" si="8"/>
        <v>0.51163404355273412</v>
      </c>
      <c r="U13" s="28"/>
      <c r="V13" s="19"/>
    </row>
    <row r="14" spans="1:24" ht="24">
      <c r="A14" s="19"/>
      <c r="B14" s="27" t="s">
        <v>965</v>
      </c>
      <c r="C14" s="27">
        <v>14</v>
      </c>
      <c r="D14" s="27">
        <v>11</v>
      </c>
      <c r="E14" s="27">
        <v>17</v>
      </c>
      <c r="F14" s="27">
        <v>15</v>
      </c>
      <c r="G14" s="27">
        <v>15</v>
      </c>
      <c r="H14" s="27">
        <v>1</v>
      </c>
      <c r="I14" s="27">
        <v>3</v>
      </c>
      <c r="J14" s="185" t="s">
        <v>966</v>
      </c>
      <c r="K14" s="19"/>
      <c r="L14" s="1447"/>
      <c r="M14" s="26" t="s">
        <v>967</v>
      </c>
      <c r="N14" s="36">
        <f t="shared" ref="N14:T14" si="9">N13*N8</f>
        <v>183991854.48779514</v>
      </c>
      <c r="O14" s="36">
        <f t="shared" si="9"/>
        <v>144378494.23010477</v>
      </c>
      <c r="P14" s="36">
        <f t="shared" si="9"/>
        <v>119440727.66296715</v>
      </c>
      <c r="Q14" s="36">
        <f t="shared" si="9"/>
        <v>203937377.54971382</v>
      </c>
      <c r="R14" s="36">
        <f t="shared" si="9"/>
        <v>273738011.15280265</v>
      </c>
      <c r="S14" s="36">
        <f t="shared" si="9"/>
        <v>10604154.094168605</v>
      </c>
      <c r="T14" s="36">
        <f t="shared" si="9"/>
        <v>32273201.087531511</v>
      </c>
      <c r="U14" s="37">
        <f t="shared" ref="U14:U27" si="10">SUM(N14:T14)</f>
        <v>968363820.26508379</v>
      </c>
      <c r="V14" s="19"/>
    </row>
    <row r="15" spans="1:24">
      <c r="A15" s="19"/>
      <c r="B15" s="27" t="s">
        <v>968</v>
      </c>
      <c r="C15" s="33">
        <v>4</v>
      </c>
      <c r="D15" s="33">
        <v>6</v>
      </c>
      <c r="E15" s="33">
        <v>8</v>
      </c>
      <c r="F15" s="33">
        <v>8</v>
      </c>
      <c r="G15" s="33">
        <v>7</v>
      </c>
      <c r="H15" s="33">
        <v>2</v>
      </c>
      <c r="I15" s="33">
        <v>0</v>
      </c>
      <c r="K15" s="19"/>
      <c r="L15" s="1447"/>
      <c r="M15" s="26" t="s">
        <v>969</v>
      </c>
      <c r="N15" s="292">
        <v>360</v>
      </c>
      <c r="O15" s="292">
        <v>410</v>
      </c>
      <c r="P15" s="292">
        <v>355</v>
      </c>
      <c r="Q15" s="292">
        <v>597</v>
      </c>
      <c r="R15" s="292">
        <v>819</v>
      </c>
      <c r="S15" s="292">
        <v>32</v>
      </c>
      <c r="T15" s="292">
        <v>50</v>
      </c>
      <c r="U15" s="34">
        <f t="shared" si="10"/>
        <v>2623</v>
      </c>
      <c r="V15" s="19"/>
    </row>
    <row r="16" spans="1:24">
      <c r="A16" s="1459" t="s">
        <v>970</v>
      </c>
      <c r="B16" s="27" t="s">
        <v>971</v>
      </c>
      <c r="C16" s="27">
        <v>0</v>
      </c>
      <c r="D16" s="27">
        <v>0</v>
      </c>
      <c r="E16" s="27">
        <v>0</v>
      </c>
      <c r="F16" s="27">
        <v>0</v>
      </c>
      <c r="G16" s="27">
        <v>15</v>
      </c>
      <c r="H16" s="27">
        <v>19</v>
      </c>
      <c r="I16" s="27">
        <f>I14+D14+QUOTIENT(($C$13*C14+$F$13*F14),$I$13)</f>
        <v>49</v>
      </c>
      <c r="K16" s="19"/>
      <c r="L16" s="1447"/>
      <c r="M16" s="26" t="s">
        <v>972</v>
      </c>
      <c r="N16" s="33">
        <f t="shared" ref="N16:T16" si="11">C15</f>
        <v>4</v>
      </c>
      <c r="O16" s="33">
        <f t="shared" si="11"/>
        <v>6</v>
      </c>
      <c r="P16" s="33">
        <f t="shared" si="11"/>
        <v>8</v>
      </c>
      <c r="Q16" s="33">
        <f t="shared" si="11"/>
        <v>8</v>
      </c>
      <c r="R16" s="33">
        <f t="shared" si="11"/>
        <v>7</v>
      </c>
      <c r="S16" s="33">
        <f t="shared" si="11"/>
        <v>2</v>
      </c>
      <c r="T16" s="33">
        <f t="shared" si="11"/>
        <v>0</v>
      </c>
      <c r="U16" s="34">
        <f t="shared" si="10"/>
        <v>35</v>
      </c>
      <c r="V16" s="19"/>
    </row>
    <row r="17" spans="1:24">
      <c r="A17" s="1460"/>
      <c r="B17" s="27" t="s">
        <v>973</v>
      </c>
      <c r="C17" s="27">
        <v>0</v>
      </c>
      <c r="D17" s="27">
        <v>0</v>
      </c>
      <c r="E17" s="27">
        <v>0</v>
      </c>
      <c r="F17" s="27">
        <v>0</v>
      </c>
      <c r="G17" s="27">
        <v>0</v>
      </c>
      <c r="H17" s="27">
        <v>20</v>
      </c>
      <c r="I17" s="27">
        <f>I16+QUOTIENT(G16*$G$13,$I$13)</f>
        <v>69</v>
      </c>
      <c r="K17" s="19"/>
      <c r="L17" s="1447"/>
      <c r="M17" s="26" t="s">
        <v>957</v>
      </c>
      <c r="N17" s="36">
        <f t="shared" ref="N17:T17" si="12">N14*N4/100</f>
        <v>5605579.5535169421</v>
      </c>
      <c r="O17" s="36">
        <f t="shared" si="12"/>
        <v>4555579.1493735788</v>
      </c>
      <c r="P17" s="36">
        <f t="shared" si="12"/>
        <v>3812243.0475581069</v>
      </c>
      <c r="Q17" s="36">
        <f t="shared" si="12"/>
        <v>5637344.1470991364</v>
      </c>
      <c r="R17" s="36">
        <f t="shared" si="12"/>
        <v>6506760.2506193807</v>
      </c>
      <c r="S17" s="36">
        <f t="shared" si="12"/>
        <v>269323.96807443665</v>
      </c>
      <c r="T17" s="36">
        <f t="shared" si="12"/>
        <v>581698.60166403744</v>
      </c>
      <c r="U17" s="37">
        <f t="shared" si="10"/>
        <v>26968528.717905618</v>
      </c>
      <c r="V17" s="19"/>
    </row>
    <row r="18" spans="1:24">
      <c r="A18" s="1459" t="s">
        <v>974</v>
      </c>
      <c r="B18" s="27" t="s">
        <v>971</v>
      </c>
      <c r="C18" s="27">
        <v>0</v>
      </c>
      <c r="D18" s="27">
        <v>0</v>
      </c>
      <c r="E18" s="27">
        <v>0</v>
      </c>
      <c r="F18" s="27">
        <v>0</v>
      </c>
      <c r="G18" s="33">
        <f>G15</f>
        <v>7</v>
      </c>
      <c r="H18" s="33">
        <v>10</v>
      </c>
      <c r="I18" s="33">
        <f>I15+QUOTIENT(($C$13*C15+$D$13*D15+$F$13*F15),$I$13)</f>
        <v>20</v>
      </c>
      <c r="K18" s="19"/>
      <c r="L18" s="1447"/>
      <c r="M18" s="26" t="s">
        <v>958</v>
      </c>
      <c r="N18" s="36">
        <f t="shared" ref="N18:T18" si="13">N14*N5/100</f>
        <v>10028169.138011392</v>
      </c>
      <c r="O18" s="36">
        <f t="shared" si="13"/>
        <v>9283905.0703918748</v>
      </c>
      <c r="P18" s="36">
        <f t="shared" si="13"/>
        <v>9294611.620713098</v>
      </c>
      <c r="Q18" s="36">
        <f t="shared" si="13"/>
        <v>13531992.648246072</v>
      </c>
      <c r="R18" s="36">
        <f t="shared" si="13"/>
        <v>15466401.044424281</v>
      </c>
      <c r="S18" s="43">
        <f t="shared" si="13"/>
        <v>543343.07997026539</v>
      </c>
      <c r="T18" s="33">
        <f t="shared" si="13"/>
        <v>877098.88728859113</v>
      </c>
      <c r="U18" s="37">
        <f t="shared" si="10"/>
        <v>59025521.489045575</v>
      </c>
      <c r="V18" s="19"/>
    </row>
    <row r="19" spans="1:24">
      <c r="A19" s="1460"/>
      <c r="B19" s="27" t="s">
        <v>973</v>
      </c>
      <c r="C19" s="27">
        <v>0</v>
      </c>
      <c r="D19" s="27">
        <v>0</v>
      </c>
      <c r="E19" s="27">
        <v>0</v>
      </c>
      <c r="F19" s="27">
        <v>0</v>
      </c>
      <c r="G19" s="27">
        <v>0</v>
      </c>
      <c r="H19" s="33">
        <v>11</v>
      </c>
      <c r="I19" s="33">
        <f>I18+QUOTIENT(G18*$G$13,$I$13)</f>
        <v>29</v>
      </c>
      <c r="K19" s="19"/>
      <c r="L19" s="1447"/>
      <c r="M19" s="26" t="s">
        <v>961</v>
      </c>
      <c r="N19" s="36">
        <f>N17*$D$5/1000</f>
        <v>14238.172065933033</v>
      </c>
      <c r="O19" s="36">
        <f t="shared" ref="O19:T19" si="14">O17*$D$5/1000</f>
        <v>11571.171039408891</v>
      </c>
      <c r="P19" s="36">
        <f t="shared" si="14"/>
        <v>9683.0973407975926</v>
      </c>
      <c r="Q19" s="36">
        <f t="shared" si="14"/>
        <v>14318.854133631807</v>
      </c>
      <c r="R19" s="36">
        <f t="shared" si="14"/>
        <v>16527.171036573229</v>
      </c>
      <c r="S19" s="36">
        <f t="shared" si="14"/>
        <v>684.08287890906911</v>
      </c>
      <c r="T19" s="36">
        <f t="shared" si="14"/>
        <v>1477.5144482266551</v>
      </c>
      <c r="U19" s="38">
        <f t="shared" si="10"/>
        <v>68500.062943480298</v>
      </c>
      <c r="V19" s="19"/>
    </row>
    <row r="20" spans="1:24">
      <c r="A20" s="19"/>
      <c r="B20" s="19"/>
      <c r="C20" s="19"/>
      <c r="D20" s="19"/>
      <c r="E20" s="19"/>
      <c r="F20" s="19"/>
      <c r="G20" s="19"/>
      <c r="H20" s="19"/>
      <c r="I20" s="19"/>
      <c r="J20" s="19"/>
      <c r="K20" s="19"/>
      <c r="L20" s="1448"/>
      <c r="M20" s="26" t="s">
        <v>962</v>
      </c>
      <c r="N20" s="36">
        <f t="shared" ref="N20:T20" si="15">N18*$D$5/1000</f>
        <v>25471.549610548936</v>
      </c>
      <c r="O20" s="36">
        <f t="shared" si="15"/>
        <v>23581.118878795362</v>
      </c>
      <c r="P20" s="36">
        <f t="shared" si="15"/>
        <v>23608.31351661127</v>
      </c>
      <c r="Q20" s="36">
        <f t="shared" si="15"/>
        <v>34371.26132654502</v>
      </c>
      <c r="R20" s="36">
        <f t="shared" si="15"/>
        <v>39284.658652837672</v>
      </c>
      <c r="S20" s="36">
        <f t="shared" si="15"/>
        <v>1380.091423124474</v>
      </c>
      <c r="T20" s="36">
        <f t="shared" si="15"/>
        <v>2227.8311737130216</v>
      </c>
      <c r="U20" s="42">
        <f t="shared" si="10"/>
        <v>149924.82458217576</v>
      </c>
      <c r="V20" s="186">
        <f>(U19+U20)/2</f>
        <v>109212.44376282803</v>
      </c>
    </row>
    <row r="21" spans="1:24">
      <c r="A21" s="19"/>
      <c r="B21" s="1462" t="s">
        <v>975</v>
      </c>
      <c r="C21" s="1440"/>
      <c r="D21" s="1440"/>
      <c r="E21" s="1440"/>
      <c r="F21" s="1440"/>
      <c r="G21" s="1440"/>
      <c r="H21" s="1441"/>
      <c r="I21" s="19"/>
      <c r="J21" s="19"/>
      <c r="K21" s="1453" t="s">
        <v>976</v>
      </c>
      <c r="L21" s="1453" t="s">
        <v>977</v>
      </c>
      <c r="M21" s="26" t="s">
        <v>978</v>
      </c>
      <c r="N21" s="27">
        <f t="shared" ref="N21:T21" si="16">C16</f>
        <v>0</v>
      </c>
      <c r="O21" s="27">
        <f t="shared" si="16"/>
        <v>0</v>
      </c>
      <c r="P21" s="27">
        <f t="shared" si="16"/>
        <v>0</v>
      </c>
      <c r="Q21" s="27">
        <f t="shared" si="16"/>
        <v>0</v>
      </c>
      <c r="R21" s="27">
        <f t="shared" si="16"/>
        <v>15</v>
      </c>
      <c r="S21" s="27">
        <f t="shared" si="16"/>
        <v>19</v>
      </c>
      <c r="T21" s="27">
        <f t="shared" si="16"/>
        <v>49</v>
      </c>
      <c r="U21" s="22">
        <f t="shared" si="10"/>
        <v>83</v>
      </c>
      <c r="V21" s="19"/>
    </row>
    <row r="22" spans="1:24">
      <c r="A22" s="19"/>
      <c r="B22" s="44" t="s">
        <v>979</v>
      </c>
      <c r="C22" s="1458" t="s">
        <v>939</v>
      </c>
      <c r="D22" s="1440"/>
      <c r="E22" s="1441"/>
      <c r="F22" s="1461" t="s">
        <v>980</v>
      </c>
      <c r="G22" s="1440"/>
      <c r="H22" s="1441"/>
      <c r="I22" s="19"/>
      <c r="J22" s="19"/>
      <c r="K22" s="1447"/>
      <c r="L22" s="1447"/>
      <c r="M22" s="26" t="s">
        <v>955</v>
      </c>
      <c r="N22" s="27">
        <f t="shared" ref="N22:T22" si="17">N21*N$3</f>
        <v>0</v>
      </c>
      <c r="O22" s="27">
        <f t="shared" si="17"/>
        <v>0</v>
      </c>
      <c r="P22" s="27">
        <f t="shared" si="17"/>
        <v>0</v>
      </c>
      <c r="Q22" s="27">
        <f t="shared" si="17"/>
        <v>0</v>
      </c>
      <c r="R22" s="27">
        <f t="shared" si="17"/>
        <v>1500</v>
      </c>
      <c r="S22" s="27">
        <f t="shared" si="17"/>
        <v>950</v>
      </c>
      <c r="T22" s="27">
        <f t="shared" si="17"/>
        <v>3528</v>
      </c>
      <c r="U22" s="34">
        <f t="shared" si="10"/>
        <v>5978</v>
      </c>
      <c r="V22" s="19"/>
    </row>
    <row r="23" spans="1:24" ht="24">
      <c r="A23" s="19"/>
      <c r="B23" s="45" t="s">
        <v>981</v>
      </c>
      <c r="C23" s="1456">
        <f>U11/1000</f>
        <v>123.95046441674045</v>
      </c>
      <c r="D23" s="1441"/>
      <c r="E23" s="46" t="s">
        <v>982</v>
      </c>
      <c r="F23" s="1455">
        <f>U19/1000</f>
        <v>68.500062943480302</v>
      </c>
      <c r="G23" s="1441"/>
      <c r="H23" s="47" t="s">
        <v>982</v>
      </c>
      <c r="I23" s="19"/>
      <c r="J23" s="19"/>
      <c r="K23" s="1447"/>
      <c r="L23" s="1447"/>
      <c r="M23" s="26" t="s">
        <v>983</v>
      </c>
      <c r="N23" s="27">
        <v>0</v>
      </c>
      <c r="O23" s="27">
        <v>0</v>
      </c>
      <c r="P23" s="27">
        <v>0</v>
      </c>
      <c r="Q23" s="27">
        <v>0</v>
      </c>
      <c r="R23" s="36">
        <f>R14</f>
        <v>273738011.15280265</v>
      </c>
      <c r="S23" s="36">
        <f t="shared" ref="S23:T23" si="18">SUM($N$8:$Q$8)*S22/SUM($S$22:$T$22)</f>
        <v>259091045.27461916</v>
      </c>
      <c r="T23" s="36">
        <f t="shared" si="18"/>
        <v>962182323.92511201</v>
      </c>
      <c r="U23" s="37">
        <f t="shared" si="10"/>
        <v>1495011380.3525338</v>
      </c>
      <c r="V23" s="19"/>
    </row>
    <row r="24" spans="1:24" ht="42">
      <c r="A24" s="19"/>
      <c r="B24" s="45" t="s">
        <v>984</v>
      </c>
      <c r="C24" s="1456">
        <f>U26/1000</f>
        <v>77.291468827306758</v>
      </c>
      <c r="D24" s="1441"/>
      <c r="E24" s="48">
        <f>-(C$23-C24)/C23</f>
        <v>-0.37643259998251394</v>
      </c>
      <c r="F24" s="1454">
        <f>U48/1000</f>
        <v>49.511263348728946</v>
      </c>
      <c r="G24" s="1441"/>
      <c r="H24" s="49">
        <f t="shared" ref="H24:H25" si="19">-(F$23-F24)/F$23</f>
        <v>-0.2772084984858933</v>
      </c>
      <c r="I24" s="19"/>
      <c r="J24" s="19"/>
      <c r="K24" s="1447"/>
      <c r="L24" s="1447"/>
      <c r="M24" s="26" t="s">
        <v>957</v>
      </c>
      <c r="N24" s="27">
        <f t="shared" ref="N24:T24" si="20">N23*N4/100</f>
        <v>0</v>
      </c>
      <c r="O24" s="27">
        <f t="shared" si="20"/>
        <v>0</v>
      </c>
      <c r="P24" s="27">
        <f t="shared" si="20"/>
        <v>0</v>
      </c>
      <c r="Q24" s="27">
        <f t="shared" si="20"/>
        <v>0</v>
      </c>
      <c r="R24" s="36">
        <f t="shared" si="20"/>
        <v>6506760.2506193807</v>
      </c>
      <c r="S24" s="36">
        <f t="shared" si="20"/>
        <v>6580386.1190858008</v>
      </c>
      <c r="T24" s="36">
        <f t="shared" si="20"/>
        <v>17342565.767029759</v>
      </c>
      <c r="U24" s="37">
        <f t="shared" si="10"/>
        <v>30429712.13673494</v>
      </c>
      <c r="V24" s="19"/>
    </row>
    <row r="25" spans="1:24" ht="42">
      <c r="A25" s="19"/>
      <c r="B25" s="45" t="s">
        <v>985</v>
      </c>
      <c r="C25" s="1456">
        <f>U37/1000</f>
        <v>64.479450596882188</v>
      </c>
      <c r="D25" s="1441"/>
      <c r="E25" s="48">
        <f>-(C$23-C25)/C$23</f>
        <v>-0.47979661955850039</v>
      </c>
      <c r="F25" s="1455">
        <f>U59/1000</f>
        <v>45.984069185669448</v>
      </c>
      <c r="G25" s="1441"/>
      <c r="H25" s="49">
        <f t="shared" si="19"/>
        <v>-0.32870033676303184</v>
      </c>
      <c r="I25" s="19"/>
      <c r="J25" s="19"/>
      <c r="K25" s="1447"/>
      <c r="L25" s="1447"/>
      <c r="M25" s="26" t="s">
        <v>958</v>
      </c>
      <c r="N25" s="27">
        <f t="shared" ref="N25:Q25" si="21">N23*N5/100</f>
        <v>0</v>
      </c>
      <c r="O25" s="27">
        <f t="shared" si="21"/>
        <v>0</v>
      </c>
      <c r="P25" s="27">
        <f t="shared" si="21"/>
        <v>0</v>
      </c>
      <c r="Q25" s="27">
        <f t="shared" si="21"/>
        <v>0</v>
      </c>
      <c r="R25" s="36">
        <f t="shared" ref="R25:T25" si="22">R23*R$5/100</f>
        <v>15466401.044424281</v>
      </c>
      <c r="S25" s="36">
        <f t="shared" si="22"/>
        <v>13275488.575712198</v>
      </c>
      <c r="T25" s="36">
        <f t="shared" si="22"/>
        <v>26149530.175037757</v>
      </c>
      <c r="U25" s="37">
        <f t="shared" si="10"/>
        <v>54891419.795174234</v>
      </c>
      <c r="V25" s="19"/>
    </row>
    <row r="26" spans="1:24">
      <c r="A26" s="19"/>
      <c r="B26" s="19"/>
      <c r="C26" s="19"/>
      <c r="D26" s="19"/>
      <c r="E26" s="19"/>
      <c r="F26" s="19"/>
      <c r="G26" s="19"/>
      <c r="H26" s="19"/>
      <c r="I26" s="19"/>
      <c r="J26" s="19"/>
      <c r="K26" s="1447"/>
      <c r="L26" s="1447"/>
      <c r="M26" s="26" t="s">
        <v>961</v>
      </c>
      <c r="N26" s="27">
        <f t="shared" ref="N26:T26" si="23">N24*$D$5/1000</f>
        <v>0</v>
      </c>
      <c r="O26" s="27">
        <f t="shared" si="23"/>
        <v>0</v>
      </c>
      <c r="P26" s="27">
        <f t="shared" si="23"/>
        <v>0</v>
      </c>
      <c r="Q26" s="27">
        <f t="shared" si="23"/>
        <v>0</v>
      </c>
      <c r="R26" s="36">
        <f t="shared" si="23"/>
        <v>16527.171036573229</v>
      </c>
      <c r="S26" s="36">
        <f t="shared" si="23"/>
        <v>16714.180742477936</v>
      </c>
      <c r="T26" s="36">
        <f t="shared" si="23"/>
        <v>44050.117048255583</v>
      </c>
      <c r="U26" s="38">
        <f t="shared" si="10"/>
        <v>77291.468827306759</v>
      </c>
      <c r="V26" s="885">
        <f>U26/$U$11-1</f>
        <v>-0.37643259998251399</v>
      </c>
    </row>
    <row r="27" spans="1:24">
      <c r="A27" s="19"/>
      <c r="B27" s="1457" t="s">
        <v>986</v>
      </c>
      <c r="C27" s="1440"/>
      <c r="D27" s="1440"/>
      <c r="E27" s="1440"/>
      <c r="F27" s="1440"/>
      <c r="G27" s="1440"/>
      <c r="H27" s="1441"/>
      <c r="I27" s="19"/>
      <c r="J27" s="19"/>
      <c r="K27" s="1447"/>
      <c r="L27" s="1447"/>
      <c r="M27" s="26" t="s">
        <v>962</v>
      </c>
      <c r="N27" s="27">
        <f t="shared" ref="N27:T27" si="24">N25*$D$5/1000</f>
        <v>0</v>
      </c>
      <c r="O27" s="27">
        <f t="shared" si="24"/>
        <v>0</v>
      </c>
      <c r="P27" s="27">
        <f t="shared" si="24"/>
        <v>0</v>
      </c>
      <c r="Q27" s="27">
        <f t="shared" si="24"/>
        <v>0</v>
      </c>
      <c r="R27" s="36">
        <f t="shared" si="24"/>
        <v>39284.658652837672</v>
      </c>
      <c r="S27" s="36">
        <f t="shared" si="24"/>
        <v>33719.740982308984</v>
      </c>
      <c r="T27" s="36">
        <f t="shared" si="24"/>
        <v>66419.806644595912</v>
      </c>
      <c r="U27" s="42">
        <f t="shared" si="10"/>
        <v>139424.20627974259</v>
      </c>
      <c r="V27" s="885">
        <f>U27/$U$12-1</f>
        <v>-0.48105365272452583</v>
      </c>
      <c r="W27" s="186">
        <f>(U26+U27)/2</f>
        <v>108357.83755352467</v>
      </c>
      <c r="X27" s="885">
        <f>W27/$V$12-1</f>
        <v>-0.44802455764585891</v>
      </c>
    </row>
    <row r="28" spans="1:24">
      <c r="A28" s="19"/>
      <c r="B28" s="44" t="s">
        <v>979</v>
      </c>
      <c r="C28" s="1458" t="s">
        <v>987</v>
      </c>
      <c r="D28" s="1440"/>
      <c r="E28" s="1441"/>
      <c r="F28" s="1461" t="s">
        <v>988</v>
      </c>
      <c r="G28" s="1440"/>
      <c r="H28" s="1441"/>
      <c r="I28" s="19"/>
      <c r="J28" s="19"/>
      <c r="K28" s="1447"/>
      <c r="L28" s="1447"/>
      <c r="M28" s="1439" t="s">
        <v>989</v>
      </c>
      <c r="N28" s="1440"/>
      <c r="O28" s="1440"/>
      <c r="P28" s="1440"/>
      <c r="Q28" s="1440"/>
      <c r="R28" s="1440"/>
      <c r="S28" s="1440"/>
      <c r="T28" s="1441"/>
      <c r="U28" s="37">
        <f>$U$9-U24</f>
        <v>18369683.302926652</v>
      </c>
      <c r="V28" s="19"/>
    </row>
    <row r="29" spans="1:24">
      <c r="A29" s="19"/>
      <c r="B29" s="45" t="s">
        <v>981</v>
      </c>
      <c r="C29" s="1456">
        <f>U12/1000</f>
        <v>268.66786328053973</v>
      </c>
      <c r="D29" s="1441"/>
      <c r="E29" s="46" t="s">
        <v>982</v>
      </c>
      <c r="F29" s="1455">
        <f>U20/1000</f>
        <v>149.92482458217575</v>
      </c>
      <c r="G29" s="1441"/>
      <c r="H29" s="47" t="s">
        <v>982</v>
      </c>
      <c r="I29" s="19"/>
      <c r="J29" s="19"/>
      <c r="K29" s="1447"/>
      <c r="L29" s="1447"/>
      <c r="M29" s="1439" t="s">
        <v>990</v>
      </c>
      <c r="N29" s="1440"/>
      <c r="O29" s="1440"/>
      <c r="P29" s="1440"/>
      <c r="Q29" s="1440"/>
      <c r="R29" s="1440"/>
      <c r="S29" s="1440"/>
      <c r="T29" s="1441"/>
      <c r="U29" s="37">
        <f>U28*$D$5/1000</f>
        <v>46658.995589433696</v>
      </c>
      <c r="V29" s="19"/>
    </row>
    <row r="30" spans="1:24" ht="42">
      <c r="A30" s="19"/>
      <c r="B30" s="45" t="s">
        <v>984</v>
      </c>
      <c r="C30" s="1456">
        <f>U27/1000</f>
        <v>139.42420627974258</v>
      </c>
      <c r="D30" s="1441"/>
      <c r="E30" s="48">
        <f t="shared" ref="E30:E31" si="25">-(C$29-C30)/C$29</f>
        <v>-0.48105365272452588</v>
      </c>
      <c r="F30" s="1454">
        <f>U49/1000</f>
        <v>94.541132295515851</v>
      </c>
      <c r="G30" s="1441"/>
      <c r="H30" s="49">
        <f t="shared" ref="H30:H31" si="26">-(F$29-F30)/F$29</f>
        <v>-0.36940975212749622</v>
      </c>
      <c r="I30" s="19"/>
      <c r="J30" s="19"/>
      <c r="K30" s="1447"/>
      <c r="L30" s="1447"/>
      <c r="M30" s="1439" t="s">
        <v>991</v>
      </c>
      <c r="N30" s="1440"/>
      <c r="O30" s="1440"/>
      <c r="P30" s="1440"/>
      <c r="Q30" s="1440"/>
      <c r="R30" s="1440"/>
      <c r="S30" s="1440"/>
      <c r="T30" s="1441"/>
      <c r="U30" s="37">
        <f>$U$10-U25</f>
        <v>50883329.527872913</v>
      </c>
      <c r="V30" s="19"/>
    </row>
    <row r="31" spans="1:24" ht="42">
      <c r="A31" s="19"/>
      <c r="B31" s="45" t="s">
        <v>985</v>
      </c>
      <c r="C31" s="1456">
        <f>U38/1000</f>
        <v>106.36416955012001</v>
      </c>
      <c r="D31" s="1441"/>
      <c r="E31" s="48">
        <f t="shared" si="25"/>
        <v>-0.6041053505567362</v>
      </c>
      <c r="F31" s="1455">
        <f>U60/1000</f>
        <v>75.679353604812576</v>
      </c>
      <c r="G31" s="1441"/>
      <c r="H31" s="49">
        <f t="shared" si="26"/>
        <v>-0.49521799464683225</v>
      </c>
      <c r="I31" s="19"/>
      <c r="J31" s="19"/>
      <c r="K31" s="1447"/>
      <c r="L31" s="1448"/>
      <c r="M31" s="1439" t="s">
        <v>992</v>
      </c>
      <c r="N31" s="1440"/>
      <c r="O31" s="1440"/>
      <c r="P31" s="1440"/>
      <c r="Q31" s="1440"/>
      <c r="R31" s="1440"/>
      <c r="S31" s="1440"/>
      <c r="T31" s="1441"/>
      <c r="U31" s="37">
        <f>U30*$D$5/1000</f>
        <v>129243.6570007972</v>
      </c>
      <c r="V31" s="19"/>
    </row>
    <row r="32" spans="1:24">
      <c r="A32" s="19"/>
      <c r="B32" s="19"/>
      <c r="C32" s="19"/>
      <c r="D32" s="19"/>
      <c r="E32" s="19"/>
      <c r="F32" s="19"/>
      <c r="G32" s="19"/>
      <c r="H32" s="19"/>
      <c r="I32" s="19"/>
      <c r="J32" s="19"/>
      <c r="K32" s="1447"/>
      <c r="L32" s="1453" t="s">
        <v>993</v>
      </c>
      <c r="M32" s="26" t="s">
        <v>978</v>
      </c>
      <c r="N32" s="27">
        <f t="shared" ref="N32:T32" si="27">C17</f>
        <v>0</v>
      </c>
      <c r="O32" s="27">
        <f t="shared" si="27"/>
        <v>0</v>
      </c>
      <c r="P32" s="27">
        <f t="shared" si="27"/>
        <v>0</v>
      </c>
      <c r="Q32" s="27">
        <f t="shared" si="27"/>
        <v>0</v>
      </c>
      <c r="R32" s="27">
        <f t="shared" si="27"/>
        <v>0</v>
      </c>
      <c r="S32" s="27">
        <f t="shared" si="27"/>
        <v>20</v>
      </c>
      <c r="T32" s="27">
        <f t="shared" si="27"/>
        <v>69</v>
      </c>
      <c r="U32" s="22">
        <f t="shared" ref="U32:U38" si="28">SUM(N32:T32)</f>
        <v>89</v>
      </c>
      <c r="V32" s="19"/>
    </row>
    <row r="33" spans="1:24">
      <c r="A33" s="19"/>
      <c r="B33" s="19"/>
      <c r="C33" s="19"/>
      <c r="D33" s="886"/>
      <c r="E33" s="19"/>
      <c r="F33" s="19"/>
      <c r="G33" s="19"/>
      <c r="H33" s="19"/>
      <c r="I33" s="19"/>
      <c r="J33" s="19"/>
      <c r="K33" s="1447"/>
      <c r="L33" s="1447"/>
      <c r="M33" s="26" t="s">
        <v>955</v>
      </c>
      <c r="N33" s="27">
        <f t="shared" ref="N33:T33" si="29">N32*N$3</f>
        <v>0</v>
      </c>
      <c r="O33" s="27">
        <f t="shared" si="29"/>
        <v>0</v>
      </c>
      <c r="P33" s="27">
        <f t="shared" si="29"/>
        <v>0</v>
      </c>
      <c r="Q33" s="27">
        <f t="shared" si="29"/>
        <v>0</v>
      </c>
      <c r="R33" s="27">
        <f t="shared" si="29"/>
        <v>0</v>
      </c>
      <c r="S33" s="27">
        <f t="shared" si="29"/>
        <v>1000</v>
      </c>
      <c r="T33" s="27">
        <f t="shared" si="29"/>
        <v>4968</v>
      </c>
      <c r="U33" s="34">
        <f t="shared" si="28"/>
        <v>5968</v>
      </c>
      <c r="V33" s="19"/>
    </row>
    <row r="34" spans="1:24" ht="24">
      <c r="A34" s="19"/>
      <c r="B34" s="19"/>
      <c r="C34" s="19"/>
      <c r="D34" s="886"/>
      <c r="E34" s="19"/>
      <c r="F34" s="19"/>
      <c r="G34" s="19"/>
      <c r="H34" s="19"/>
      <c r="I34" s="19"/>
      <c r="J34" s="19"/>
      <c r="K34" s="1447"/>
      <c r="L34" s="1447"/>
      <c r="M34" s="26" t="s">
        <v>983</v>
      </c>
      <c r="N34" s="33">
        <v>0</v>
      </c>
      <c r="O34" s="33">
        <v>0</v>
      </c>
      <c r="P34" s="33">
        <v>0</v>
      </c>
      <c r="Q34" s="33">
        <v>0</v>
      </c>
      <c r="R34" s="27">
        <v>0</v>
      </c>
      <c r="S34" s="36">
        <f>SUM($N$8:$R$8)*S33/SUM($S$33:$T$33)</f>
        <v>278036154.71711046</v>
      </c>
      <c r="T34" s="36">
        <f>SUM($N$8:$Q$8)*T33/SUM($S$33:$T$33)</f>
        <v>1016636410.5536636</v>
      </c>
      <c r="U34" s="37">
        <f t="shared" si="28"/>
        <v>1294672565.2707741</v>
      </c>
      <c r="V34" s="19"/>
    </row>
    <row r="35" spans="1:24" ht="13.7" customHeight="1">
      <c r="A35" s="19"/>
      <c r="B35" s="19"/>
      <c r="C35" s="19"/>
      <c r="D35" s="19"/>
      <c r="E35" s="19"/>
      <c r="F35" s="19"/>
      <c r="G35" s="19"/>
      <c r="H35" s="19"/>
      <c r="I35" s="19"/>
      <c r="J35" s="19"/>
      <c r="K35" s="1447"/>
      <c r="L35" s="1447"/>
      <c r="M35" s="26" t="s">
        <v>957</v>
      </c>
      <c r="N35" s="33">
        <f t="shared" ref="N35:T35" si="30">N34*N$4/100</f>
        <v>0</v>
      </c>
      <c r="O35" s="33">
        <f t="shared" si="30"/>
        <v>0</v>
      </c>
      <c r="P35" s="33">
        <f t="shared" si="30"/>
        <v>0</v>
      </c>
      <c r="Q35" s="33">
        <f t="shared" si="30"/>
        <v>0</v>
      </c>
      <c r="R35" s="33">
        <f t="shared" si="30"/>
        <v>0</v>
      </c>
      <c r="S35" s="36">
        <f t="shared" si="30"/>
        <v>7061553.4055421622</v>
      </c>
      <c r="T35" s="36">
        <f t="shared" si="30"/>
        <v>18324057.065671299</v>
      </c>
      <c r="U35" s="37">
        <f t="shared" si="28"/>
        <v>25385610.47121346</v>
      </c>
      <c r="V35" s="19"/>
    </row>
    <row r="36" spans="1:24">
      <c r="A36" s="19"/>
      <c r="B36" s="19"/>
      <c r="C36" s="19"/>
      <c r="D36" s="19"/>
      <c r="E36" s="19"/>
      <c r="F36" s="19"/>
      <c r="G36" s="19"/>
      <c r="H36" s="19"/>
      <c r="I36" s="19"/>
      <c r="J36" s="19"/>
      <c r="K36" s="1447"/>
      <c r="L36" s="1447"/>
      <c r="M36" s="26" t="s">
        <v>958</v>
      </c>
      <c r="N36" s="27">
        <f t="shared" ref="N36:T36" si="31">N34*N$5/100</f>
        <v>0</v>
      </c>
      <c r="O36" s="27">
        <f t="shared" si="31"/>
        <v>0</v>
      </c>
      <c r="P36" s="27">
        <f t="shared" si="31"/>
        <v>0</v>
      </c>
      <c r="Q36" s="27">
        <f t="shared" si="31"/>
        <v>0</v>
      </c>
      <c r="R36" s="27">
        <f t="shared" si="31"/>
        <v>0</v>
      </c>
      <c r="S36" s="36">
        <f t="shared" si="31"/>
        <v>14246211.372028187</v>
      </c>
      <c r="T36" s="36">
        <f t="shared" si="31"/>
        <v>27629445.931168664</v>
      </c>
      <c r="U36" s="37">
        <f t="shared" si="28"/>
        <v>41875657.303196847</v>
      </c>
      <c r="V36" s="19"/>
    </row>
    <row r="37" spans="1:24">
      <c r="A37" s="19"/>
      <c r="B37" s="19"/>
      <c r="C37" s="19"/>
      <c r="D37" s="19"/>
      <c r="E37" s="19"/>
      <c r="F37" s="19"/>
      <c r="G37" s="19"/>
      <c r="H37" s="19"/>
      <c r="I37" s="19"/>
      <c r="J37" s="19"/>
      <c r="K37" s="1447"/>
      <c r="L37" s="1447"/>
      <c r="M37" s="26" t="s">
        <v>961</v>
      </c>
      <c r="N37" s="33">
        <f t="shared" ref="N37:T37" si="32">N35*$D$5/1000</f>
        <v>0</v>
      </c>
      <c r="O37" s="33">
        <f t="shared" si="32"/>
        <v>0</v>
      </c>
      <c r="P37" s="33">
        <f t="shared" si="32"/>
        <v>0</v>
      </c>
      <c r="Q37" s="33">
        <f t="shared" si="32"/>
        <v>0</v>
      </c>
      <c r="R37" s="33">
        <f t="shared" si="32"/>
        <v>0</v>
      </c>
      <c r="S37" s="33">
        <f t="shared" si="32"/>
        <v>17936.345650077092</v>
      </c>
      <c r="T37" s="33">
        <f t="shared" si="32"/>
        <v>46543.104946805099</v>
      </c>
      <c r="U37" s="38">
        <f t="shared" si="28"/>
        <v>64479.45059688219</v>
      </c>
      <c r="V37" s="885">
        <f>U37/$U$11-1</f>
        <v>-0.47979661955850039</v>
      </c>
    </row>
    <row r="38" spans="1:24">
      <c r="A38" s="19"/>
      <c r="B38" s="19"/>
      <c r="C38" s="19"/>
      <c r="D38" s="19"/>
      <c r="E38" s="19"/>
      <c r="F38" s="19"/>
      <c r="G38" s="19"/>
      <c r="H38" s="19"/>
      <c r="I38" s="19"/>
      <c r="J38" s="19"/>
      <c r="K38" s="1447"/>
      <c r="L38" s="1447"/>
      <c r="M38" s="26" t="s">
        <v>962</v>
      </c>
      <c r="N38" s="33">
        <f t="shared" ref="N38:T38" si="33">N36*$D$5/1000</f>
        <v>0</v>
      </c>
      <c r="O38" s="33">
        <f t="shared" si="33"/>
        <v>0</v>
      </c>
      <c r="P38" s="33">
        <f t="shared" si="33"/>
        <v>0</v>
      </c>
      <c r="Q38" s="33">
        <f t="shared" si="33"/>
        <v>0</v>
      </c>
      <c r="R38" s="33">
        <f t="shared" si="33"/>
        <v>0</v>
      </c>
      <c r="S38" s="33">
        <f t="shared" si="33"/>
        <v>36185.376884951598</v>
      </c>
      <c r="T38" s="33">
        <f t="shared" si="33"/>
        <v>70178.79266516841</v>
      </c>
      <c r="U38" s="42">
        <f t="shared" si="28"/>
        <v>106364.16955012002</v>
      </c>
      <c r="V38" s="885">
        <f>U38/$U$12-1</f>
        <v>-0.6041053505567362</v>
      </c>
      <c r="W38" s="186">
        <f>(U37+U38)/2</f>
        <v>85421.81007350111</v>
      </c>
      <c r="X38" s="885">
        <f>W38/$V$12-1</f>
        <v>-0.56486081241034813</v>
      </c>
    </row>
    <row r="39" spans="1:24">
      <c r="A39" s="19"/>
      <c r="B39" s="19"/>
      <c r="C39" s="19"/>
      <c r="D39" s="19"/>
      <c r="E39" s="19"/>
      <c r="F39" s="19"/>
      <c r="G39" s="19"/>
      <c r="H39" s="19"/>
      <c r="I39" s="19"/>
      <c r="J39" s="19"/>
      <c r="K39" s="1447"/>
      <c r="L39" s="1447"/>
      <c r="M39" s="1439" t="s">
        <v>989</v>
      </c>
      <c r="N39" s="1440"/>
      <c r="O39" s="1440"/>
      <c r="P39" s="1440"/>
      <c r="Q39" s="1440"/>
      <c r="R39" s="1440"/>
      <c r="S39" s="1440"/>
      <c r="T39" s="1441"/>
      <c r="U39" s="37">
        <f>$U$9-U35</f>
        <v>23413784.968448132</v>
      </c>
      <c r="V39" s="19"/>
    </row>
    <row r="40" spans="1:24">
      <c r="A40" s="19"/>
      <c r="B40" s="19"/>
      <c r="C40" s="19"/>
      <c r="D40" s="19"/>
      <c r="E40" s="19"/>
      <c r="F40" s="19"/>
      <c r="G40" s="19"/>
      <c r="H40" s="19"/>
      <c r="I40" s="19"/>
      <c r="J40" s="19"/>
      <c r="K40" s="1447"/>
      <c r="L40" s="1447"/>
      <c r="M40" s="1439" t="s">
        <v>990</v>
      </c>
      <c r="N40" s="1440"/>
      <c r="O40" s="1440"/>
      <c r="P40" s="1440"/>
      <c r="Q40" s="1440"/>
      <c r="R40" s="1440"/>
      <c r="S40" s="1440"/>
      <c r="T40" s="1441"/>
      <c r="U40" s="37">
        <f>U39*$D$5/1000</f>
        <v>59471.013819858257</v>
      </c>
      <c r="V40" s="19"/>
    </row>
    <row r="41" spans="1:24">
      <c r="A41" s="19"/>
      <c r="B41" s="19"/>
      <c r="C41" s="19"/>
      <c r="D41" s="19"/>
      <c r="E41" s="19"/>
      <c r="F41" s="19"/>
      <c r="G41" s="19"/>
      <c r="H41" s="19"/>
      <c r="I41" s="19"/>
      <c r="J41" s="19"/>
      <c r="K41" s="1447"/>
      <c r="L41" s="1447"/>
      <c r="M41" s="1439" t="s">
        <v>991</v>
      </c>
      <c r="N41" s="1440"/>
      <c r="O41" s="1440"/>
      <c r="P41" s="1440"/>
      <c r="Q41" s="1440"/>
      <c r="R41" s="1440"/>
      <c r="S41" s="1440"/>
      <c r="T41" s="1441"/>
      <c r="U41" s="37">
        <f>$U$10-U36</f>
        <v>63899092.019850299</v>
      </c>
      <c r="V41" s="19"/>
    </row>
    <row r="42" spans="1:24">
      <c r="A42" s="19"/>
      <c r="B42" s="19"/>
      <c r="C42" s="19"/>
      <c r="D42" s="19"/>
      <c r="E42" s="19"/>
      <c r="F42" s="19"/>
      <c r="G42" s="19"/>
      <c r="H42" s="19"/>
      <c r="I42" s="19"/>
      <c r="J42" s="19"/>
      <c r="K42" s="1448"/>
      <c r="L42" s="1448"/>
      <c r="M42" s="1439" t="s">
        <v>992</v>
      </c>
      <c r="N42" s="1440"/>
      <c r="O42" s="1440"/>
      <c r="P42" s="1440"/>
      <c r="Q42" s="1440"/>
      <c r="R42" s="1440"/>
      <c r="S42" s="1440"/>
      <c r="T42" s="1441"/>
      <c r="U42" s="37">
        <f>U41*$D$5/1000</f>
        <v>162303.69373041976</v>
      </c>
      <c r="V42" s="19"/>
    </row>
    <row r="43" spans="1:24">
      <c r="A43" s="19"/>
      <c r="B43" s="19"/>
      <c r="C43" s="19"/>
      <c r="D43" s="19"/>
      <c r="E43" s="19"/>
      <c r="F43" s="19"/>
      <c r="G43" s="19"/>
      <c r="H43" s="19"/>
      <c r="I43" s="19"/>
      <c r="J43" s="19"/>
      <c r="K43" s="1453" t="s">
        <v>994</v>
      </c>
      <c r="L43" s="1453" t="s">
        <v>995</v>
      </c>
      <c r="M43" s="26" t="s">
        <v>978</v>
      </c>
      <c r="N43" s="27">
        <f t="shared" ref="N43:T43" si="34">C18</f>
        <v>0</v>
      </c>
      <c r="O43" s="27">
        <f t="shared" si="34"/>
        <v>0</v>
      </c>
      <c r="P43" s="27">
        <f t="shared" si="34"/>
        <v>0</v>
      </c>
      <c r="Q43" s="27">
        <f t="shared" si="34"/>
        <v>0</v>
      </c>
      <c r="R43" s="33">
        <f t="shared" si="34"/>
        <v>7</v>
      </c>
      <c r="S43" s="33">
        <f t="shared" si="34"/>
        <v>10</v>
      </c>
      <c r="T43" s="33">
        <f t="shared" si="34"/>
        <v>20</v>
      </c>
      <c r="U43" s="22">
        <f t="shared" ref="U43:U49" si="35">SUM(N43:T43)</f>
        <v>37</v>
      </c>
      <c r="V43" s="19"/>
    </row>
    <row r="44" spans="1:24">
      <c r="A44" s="19"/>
      <c r="B44" s="19"/>
      <c r="C44" s="19"/>
      <c r="D44" s="19"/>
      <c r="E44" s="19"/>
      <c r="F44" s="19"/>
      <c r="G44" s="19"/>
      <c r="H44" s="19"/>
      <c r="I44" s="19"/>
      <c r="J44" s="19"/>
      <c r="K44" s="1447"/>
      <c r="L44" s="1447"/>
      <c r="M44" s="26" t="s">
        <v>955</v>
      </c>
      <c r="N44" s="27">
        <f>N43*$I$3</f>
        <v>0</v>
      </c>
      <c r="O44" s="27">
        <f t="shared" ref="O44:T44" si="36">O43*O3</f>
        <v>0</v>
      </c>
      <c r="P44" s="27">
        <f t="shared" si="36"/>
        <v>0</v>
      </c>
      <c r="Q44" s="27">
        <f t="shared" si="36"/>
        <v>0</v>
      </c>
      <c r="R44" s="33">
        <f t="shared" si="36"/>
        <v>700</v>
      </c>
      <c r="S44" s="33">
        <f t="shared" si="36"/>
        <v>500</v>
      </c>
      <c r="T44" s="33">
        <f t="shared" si="36"/>
        <v>1440</v>
      </c>
      <c r="U44" s="34">
        <f t="shared" si="35"/>
        <v>2640</v>
      </c>
      <c r="V44" s="19"/>
    </row>
    <row r="45" spans="1:24" ht="24">
      <c r="A45" s="19"/>
      <c r="B45" s="19"/>
      <c r="C45" s="19"/>
      <c r="D45" s="19"/>
      <c r="E45" s="19"/>
      <c r="F45" s="19"/>
      <c r="G45" s="19"/>
      <c r="H45" s="19"/>
      <c r="I45" s="19"/>
      <c r="J45" s="19"/>
      <c r="K45" s="1447"/>
      <c r="L45" s="1447"/>
      <c r="M45" s="26" t="s">
        <v>983</v>
      </c>
      <c r="N45" s="33">
        <v>0</v>
      </c>
      <c r="O45" s="33">
        <v>0</v>
      </c>
      <c r="P45" s="33">
        <v>0</v>
      </c>
      <c r="Q45" s="33">
        <v>0</v>
      </c>
      <c r="R45" s="36">
        <f>R14</f>
        <v>273738011.15280265</v>
      </c>
      <c r="S45" s="36">
        <f t="shared" ref="S45:T45" si="37">SUM($N$14:$Q$14)*S44/SUM($S$44:$T$44)</f>
        <v>167976405.65221155</v>
      </c>
      <c r="T45" s="36">
        <f t="shared" si="37"/>
        <v>483772048.27836925</v>
      </c>
      <c r="U45" s="37">
        <f t="shared" si="35"/>
        <v>925486465.08338344</v>
      </c>
      <c r="V45" s="19"/>
    </row>
    <row r="46" spans="1:24">
      <c r="A46" s="19"/>
      <c r="B46" s="19"/>
      <c r="C46" s="19"/>
      <c r="D46" s="19"/>
      <c r="E46" s="19"/>
      <c r="F46" s="19"/>
      <c r="G46" s="19"/>
      <c r="H46" s="19"/>
      <c r="I46" s="19"/>
      <c r="J46" s="19"/>
      <c r="K46" s="1447"/>
      <c r="L46" s="1447"/>
      <c r="M46" s="26" t="s">
        <v>957</v>
      </c>
      <c r="N46" s="33">
        <f t="shared" ref="N46:Q46" si="38">N45*$I$5/100</f>
        <v>0</v>
      </c>
      <c r="O46" s="33">
        <f t="shared" si="38"/>
        <v>0</v>
      </c>
      <c r="P46" s="33">
        <f t="shared" si="38"/>
        <v>0</v>
      </c>
      <c r="Q46" s="33">
        <f t="shared" si="38"/>
        <v>0</v>
      </c>
      <c r="R46" s="36">
        <f t="shared" ref="R46:T46" si="39">R45*R$4/100</f>
        <v>6506760.2506193807</v>
      </c>
      <c r="S46" s="36">
        <f t="shared" si="39"/>
        <v>4266259.4028139487</v>
      </c>
      <c r="T46" s="36">
        <f t="shared" si="39"/>
        <v>8719603.7122079879</v>
      </c>
      <c r="U46" s="37">
        <f t="shared" si="35"/>
        <v>19492623.365641318</v>
      </c>
      <c r="V46" s="19"/>
    </row>
    <row r="47" spans="1:24">
      <c r="A47" s="19"/>
      <c r="B47" s="19"/>
      <c r="C47" s="19"/>
      <c r="D47" s="19"/>
      <c r="E47" s="19"/>
      <c r="F47" s="19"/>
      <c r="G47" s="19"/>
      <c r="H47" s="19"/>
      <c r="I47" s="19"/>
      <c r="J47" s="19"/>
      <c r="K47" s="1447"/>
      <c r="L47" s="1447"/>
      <c r="M47" s="26" t="s">
        <v>958</v>
      </c>
      <c r="N47" s="33">
        <f>N45*$I$6/100</f>
        <v>0</v>
      </c>
      <c r="O47" s="33">
        <f t="shared" ref="O47:T47" si="40">O45*O5/100</f>
        <v>0</v>
      </c>
      <c r="P47" s="33">
        <f t="shared" si="40"/>
        <v>0</v>
      </c>
      <c r="Q47" s="33">
        <f t="shared" si="40"/>
        <v>0</v>
      </c>
      <c r="R47" s="36">
        <f t="shared" si="40"/>
        <v>15466401.044424281</v>
      </c>
      <c r="S47" s="36">
        <f t="shared" si="40"/>
        <v>8606892.8081304953</v>
      </c>
      <c r="T47" s="36">
        <f t="shared" si="40"/>
        <v>13147624.374026265</v>
      </c>
      <c r="U47" s="37">
        <f t="shared" si="35"/>
        <v>37220918.226581037</v>
      </c>
      <c r="V47" s="19"/>
    </row>
    <row r="48" spans="1:24">
      <c r="A48" s="19"/>
      <c r="B48" s="19"/>
      <c r="C48" s="19"/>
      <c r="D48" s="19"/>
      <c r="E48" s="19"/>
      <c r="F48" s="19"/>
      <c r="G48" s="19"/>
      <c r="H48" s="19"/>
      <c r="I48" s="19"/>
      <c r="J48" s="19"/>
      <c r="K48" s="1447"/>
      <c r="L48" s="1447"/>
      <c r="M48" s="26" t="s">
        <v>961</v>
      </c>
      <c r="N48" s="33">
        <f t="shared" ref="N48:T48" si="41">N46*$D$5/1000</f>
        <v>0</v>
      </c>
      <c r="O48" s="33">
        <f t="shared" si="41"/>
        <v>0</v>
      </c>
      <c r="P48" s="33">
        <f t="shared" si="41"/>
        <v>0</v>
      </c>
      <c r="Q48" s="33">
        <f t="shared" si="41"/>
        <v>0</v>
      </c>
      <c r="R48" s="33">
        <f t="shared" si="41"/>
        <v>16527.171036573229</v>
      </c>
      <c r="S48" s="33">
        <f t="shared" si="41"/>
        <v>10836.29888314743</v>
      </c>
      <c r="T48" s="33">
        <f t="shared" si="41"/>
        <v>22147.793429008289</v>
      </c>
      <c r="U48" s="38">
        <f t="shared" si="35"/>
        <v>49511.263348728942</v>
      </c>
      <c r="V48" s="885">
        <f>U48/$U$19-1</f>
        <v>-0.27720849848589335</v>
      </c>
    </row>
    <row r="49" spans="1:24">
      <c r="A49" s="19"/>
      <c r="B49" s="19"/>
      <c r="C49" s="19"/>
      <c r="D49" s="19"/>
      <c r="E49" s="19"/>
      <c r="F49" s="19"/>
      <c r="G49" s="19"/>
      <c r="H49" s="19"/>
      <c r="I49" s="19"/>
      <c r="J49" s="19"/>
      <c r="K49" s="1447"/>
      <c r="L49" s="1447"/>
      <c r="M49" s="26" t="s">
        <v>962</v>
      </c>
      <c r="N49" s="33">
        <f t="shared" ref="N49:T49" si="42">N47*$D$5/1000</f>
        <v>0</v>
      </c>
      <c r="O49" s="33">
        <f t="shared" si="42"/>
        <v>0</v>
      </c>
      <c r="P49" s="33">
        <f t="shared" si="42"/>
        <v>0</v>
      </c>
      <c r="Q49" s="33">
        <f t="shared" si="42"/>
        <v>0</v>
      </c>
      <c r="R49" s="33">
        <f t="shared" si="42"/>
        <v>39284.658652837672</v>
      </c>
      <c r="S49" s="33">
        <f t="shared" si="42"/>
        <v>21861.507732651458</v>
      </c>
      <c r="T49" s="33">
        <f t="shared" si="42"/>
        <v>33394.965910026716</v>
      </c>
      <c r="U49" s="42">
        <f t="shared" si="35"/>
        <v>94541.132295515854</v>
      </c>
      <c r="V49" s="885">
        <f>U49/$U$20-1</f>
        <v>-0.36940975212749627</v>
      </c>
      <c r="W49" s="186">
        <f>(U48+U49)/2</f>
        <v>72026.197822122398</v>
      </c>
      <c r="X49" s="885">
        <f>W49/$V$20-1</f>
        <v>-0.34049458705879165</v>
      </c>
    </row>
    <row r="50" spans="1:24">
      <c r="A50" s="19"/>
      <c r="B50" s="19"/>
      <c r="C50" s="19"/>
      <c r="D50" s="19"/>
      <c r="E50" s="19"/>
      <c r="F50" s="19"/>
      <c r="G50" s="19"/>
      <c r="H50" s="19"/>
      <c r="I50" s="19"/>
      <c r="J50" s="19"/>
      <c r="K50" s="1447"/>
      <c r="L50" s="1447"/>
      <c r="M50" s="1439" t="s">
        <v>989</v>
      </c>
      <c r="N50" s="1440"/>
      <c r="O50" s="1440"/>
      <c r="P50" s="1440"/>
      <c r="Q50" s="1440"/>
      <c r="R50" s="1440"/>
      <c r="S50" s="1440"/>
      <c r="T50" s="1441"/>
      <c r="U50" s="37">
        <f>$U$17-U46</f>
        <v>7475905.3522643</v>
      </c>
      <c r="V50" s="885"/>
    </row>
    <row r="51" spans="1:24">
      <c r="A51" s="19"/>
      <c r="B51" s="19"/>
      <c r="C51" s="19"/>
      <c r="D51" s="19"/>
      <c r="E51" s="19"/>
      <c r="F51" s="19"/>
      <c r="G51" s="19"/>
      <c r="H51" s="19"/>
      <c r="I51" s="19"/>
      <c r="J51" s="19"/>
      <c r="K51" s="1447"/>
      <c r="L51" s="1447"/>
      <c r="M51" s="1439" t="s">
        <v>990</v>
      </c>
      <c r="N51" s="1440"/>
      <c r="O51" s="1440"/>
      <c r="P51" s="1440"/>
      <c r="Q51" s="1440"/>
      <c r="R51" s="1440"/>
      <c r="S51" s="1440"/>
      <c r="T51" s="1441"/>
      <c r="U51" s="37">
        <f>U50*$D$5/1000</f>
        <v>18988.799594751319</v>
      </c>
      <c r="V51" s="19"/>
    </row>
    <row r="52" spans="1:24">
      <c r="A52" s="19"/>
      <c r="B52" s="19"/>
      <c r="C52" s="19"/>
      <c r="D52" s="19"/>
      <c r="E52" s="19"/>
      <c r="F52" s="19"/>
      <c r="G52" s="19"/>
      <c r="H52" s="19"/>
      <c r="I52" s="19"/>
      <c r="J52" s="19"/>
      <c r="K52" s="1447"/>
      <c r="L52" s="1447"/>
      <c r="M52" s="1439" t="s">
        <v>991</v>
      </c>
      <c r="N52" s="1440"/>
      <c r="O52" s="1440"/>
      <c r="P52" s="1440"/>
      <c r="Q52" s="1440"/>
      <c r="R52" s="1440"/>
      <c r="S52" s="1440"/>
      <c r="T52" s="1441"/>
      <c r="U52" s="37">
        <f>$U$18-U47</f>
        <v>21804603.262464538</v>
      </c>
      <c r="V52" s="19"/>
    </row>
    <row r="53" spans="1:24">
      <c r="A53" s="19"/>
      <c r="B53" s="19"/>
      <c r="C53" s="19"/>
      <c r="D53" s="19"/>
      <c r="E53" s="19"/>
      <c r="F53" s="19"/>
      <c r="G53" s="19"/>
      <c r="H53" s="19"/>
      <c r="I53" s="19"/>
      <c r="J53" s="19"/>
      <c r="K53" s="1447"/>
      <c r="L53" s="1448"/>
      <c r="M53" s="1439" t="s">
        <v>992</v>
      </c>
      <c r="N53" s="1440"/>
      <c r="O53" s="1440"/>
      <c r="P53" s="1440"/>
      <c r="Q53" s="1440"/>
      <c r="R53" s="1440"/>
      <c r="S53" s="1440"/>
      <c r="T53" s="1441"/>
      <c r="U53" s="37">
        <f>U52*$D$5/1000</f>
        <v>55383.692286659927</v>
      </c>
      <c r="V53" s="19"/>
    </row>
    <row r="54" spans="1:24">
      <c r="A54" s="19"/>
      <c r="B54" s="19"/>
      <c r="C54" s="19"/>
      <c r="D54" s="19"/>
      <c r="E54" s="19"/>
      <c r="F54" s="19"/>
      <c r="G54" s="19"/>
      <c r="H54" s="19"/>
      <c r="I54" s="19"/>
      <c r="J54" s="19"/>
      <c r="K54" s="1447"/>
      <c r="L54" s="1453" t="s">
        <v>996</v>
      </c>
      <c r="M54" s="26" t="s">
        <v>978</v>
      </c>
      <c r="N54" s="27">
        <f t="shared" ref="N54:T54" si="43">C19</f>
        <v>0</v>
      </c>
      <c r="O54" s="27">
        <f t="shared" si="43"/>
        <v>0</v>
      </c>
      <c r="P54" s="27">
        <f t="shared" si="43"/>
        <v>0</v>
      </c>
      <c r="Q54" s="27">
        <f t="shared" si="43"/>
        <v>0</v>
      </c>
      <c r="R54" s="27">
        <f t="shared" si="43"/>
        <v>0</v>
      </c>
      <c r="S54" s="33">
        <f t="shared" si="43"/>
        <v>11</v>
      </c>
      <c r="T54" s="33">
        <f t="shared" si="43"/>
        <v>29</v>
      </c>
      <c r="U54" s="22">
        <f t="shared" ref="U54:U60" si="44">SUM(N54:T54)</f>
        <v>40</v>
      </c>
      <c r="V54" s="19"/>
    </row>
    <row r="55" spans="1:24">
      <c r="A55" s="19"/>
      <c r="B55" s="19"/>
      <c r="C55" s="19"/>
      <c r="D55" s="19"/>
      <c r="E55" s="19"/>
      <c r="F55" s="19"/>
      <c r="G55" s="19"/>
      <c r="H55" s="19"/>
      <c r="I55" s="19"/>
      <c r="J55" s="19"/>
      <c r="K55" s="1447"/>
      <c r="L55" s="1447"/>
      <c r="M55" s="26" t="s">
        <v>955</v>
      </c>
      <c r="N55" s="27">
        <f t="shared" ref="N55:T55" si="45">N54*N3</f>
        <v>0</v>
      </c>
      <c r="O55" s="27">
        <f t="shared" si="45"/>
        <v>0</v>
      </c>
      <c r="P55" s="27">
        <f t="shared" si="45"/>
        <v>0</v>
      </c>
      <c r="Q55" s="27">
        <f t="shared" si="45"/>
        <v>0</v>
      </c>
      <c r="R55" s="33">
        <f t="shared" si="45"/>
        <v>0</v>
      </c>
      <c r="S55" s="33">
        <f t="shared" si="45"/>
        <v>550</v>
      </c>
      <c r="T55" s="33">
        <f t="shared" si="45"/>
        <v>2088</v>
      </c>
      <c r="U55" s="34">
        <f t="shared" si="44"/>
        <v>2638</v>
      </c>
      <c r="V55" s="19"/>
    </row>
    <row r="56" spans="1:24" ht="24">
      <c r="A56" s="19"/>
      <c r="B56" s="19"/>
      <c r="C56" s="19"/>
      <c r="D56" s="19"/>
      <c r="E56" s="19"/>
      <c r="F56" s="19"/>
      <c r="G56" s="19"/>
      <c r="H56" s="19"/>
      <c r="I56" s="19"/>
      <c r="J56" s="19"/>
      <c r="K56" s="1447"/>
      <c r="L56" s="1447"/>
      <c r="M56" s="26" t="s">
        <v>983</v>
      </c>
      <c r="N56" s="33">
        <v>0</v>
      </c>
      <c r="O56" s="33">
        <v>0</v>
      </c>
      <c r="P56" s="33">
        <v>0</v>
      </c>
      <c r="Q56" s="33">
        <v>0</v>
      </c>
      <c r="R56" s="33">
        <v>0</v>
      </c>
      <c r="S56" s="36">
        <f t="shared" ref="S56:T56" si="46">SUM($N$14:$R$14)*S55/SUM($S$55:$T$55)</f>
        <v>192955858.90669483</v>
      </c>
      <c r="T56" s="36">
        <f t="shared" si="46"/>
        <v>732530606.17668879</v>
      </c>
      <c r="U56" s="37">
        <f t="shared" si="44"/>
        <v>925486465.08338356</v>
      </c>
      <c r="V56" s="19"/>
    </row>
    <row r="57" spans="1:24">
      <c r="A57" s="19"/>
      <c r="B57" s="19"/>
      <c r="C57" s="19"/>
      <c r="D57" s="19"/>
      <c r="E57" s="19"/>
      <c r="F57" s="19"/>
      <c r="G57" s="19"/>
      <c r="H57" s="19"/>
      <c r="I57" s="19"/>
      <c r="J57" s="19"/>
      <c r="K57" s="1447"/>
      <c r="L57" s="1447"/>
      <c r="M57" s="26" t="s">
        <v>957</v>
      </c>
      <c r="N57" s="27">
        <f t="shared" ref="N57:T57" si="47">N56*N4/100</f>
        <v>0</v>
      </c>
      <c r="O57" s="27">
        <f t="shared" si="47"/>
        <v>0</v>
      </c>
      <c r="P57" s="27">
        <f t="shared" si="47"/>
        <v>0</v>
      </c>
      <c r="Q57" s="27">
        <f t="shared" si="47"/>
        <v>0</v>
      </c>
      <c r="R57" s="27">
        <f t="shared" si="47"/>
        <v>0</v>
      </c>
      <c r="S57" s="36">
        <f t="shared" si="47"/>
        <v>4900686.7612891458</v>
      </c>
      <c r="T57" s="36">
        <f t="shared" si="47"/>
        <v>13203277.485037409</v>
      </c>
      <c r="U57" s="37">
        <f t="shared" si="44"/>
        <v>18103964.246326555</v>
      </c>
      <c r="V57" s="19"/>
    </row>
    <row r="58" spans="1:24">
      <c r="A58" s="19"/>
      <c r="B58" s="19"/>
      <c r="C58" s="19"/>
      <c r="D58" s="19"/>
      <c r="E58" s="19"/>
      <c r="F58" s="19"/>
      <c r="G58" s="19"/>
      <c r="H58" s="19"/>
      <c r="I58" s="19"/>
      <c r="J58" s="19"/>
      <c r="K58" s="1447"/>
      <c r="L58" s="1447"/>
      <c r="M58" s="26" t="s">
        <v>958</v>
      </c>
      <c r="N58" s="27">
        <f t="shared" ref="N58:T58" si="48">N56*N5/100</f>
        <v>0</v>
      </c>
      <c r="O58" s="27">
        <f t="shared" si="48"/>
        <v>0</v>
      </c>
      <c r="P58" s="27">
        <f t="shared" si="48"/>
        <v>0</v>
      </c>
      <c r="Q58" s="27">
        <f t="shared" si="48"/>
        <v>0</v>
      </c>
      <c r="R58" s="27">
        <f t="shared" si="48"/>
        <v>0</v>
      </c>
      <c r="S58" s="36">
        <f t="shared" si="48"/>
        <v>9886807.542180609</v>
      </c>
      <c r="T58" s="36">
        <f t="shared" si="48"/>
        <v>19908213.562076315</v>
      </c>
      <c r="U58" s="37">
        <f t="shared" si="44"/>
        <v>29795021.104256924</v>
      </c>
      <c r="V58" s="19"/>
    </row>
    <row r="59" spans="1:24">
      <c r="A59" s="19"/>
      <c r="B59" s="19"/>
      <c r="C59" s="19"/>
      <c r="D59" s="19"/>
      <c r="E59" s="19"/>
      <c r="F59" s="19"/>
      <c r="G59" s="19"/>
      <c r="H59" s="19"/>
      <c r="I59" s="19"/>
      <c r="J59" s="19"/>
      <c r="K59" s="1447"/>
      <c r="L59" s="1447"/>
      <c r="M59" s="26" t="s">
        <v>961</v>
      </c>
      <c r="N59" s="33">
        <f t="shared" ref="N59:T59" si="49">N57*$D$5/1000</f>
        <v>0</v>
      </c>
      <c r="O59" s="33">
        <f t="shared" si="49"/>
        <v>0</v>
      </c>
      <c r="P59" s="33">
        <f t="shared" si="49"/>
        <v>0</v>
      </c>
      <c r="Q59" s="33">
        <f t="shared" si="49"/>
        <v>0</v>
      </c>
      <c r="R59" s="33">
        <f t="shared" si="49"/>
        <v>0</v>
      </c>
      <c r="S59" s="33">
        <f t="shared" si="49"/>
        <v>12447.74437367443</v>
      </c>
      <c r="T59" s="33">
        <f t="shared" si="49"/>
        <v>33536.324811995015</v>
      </c>
      <c r="U59" s="38">
        <f t="shared" si="44"/>
        <v>45984.069185669447</v>
      </c>
      <c r="V59" s="885">
        <f>U59/$U$19-1</f>
        <v>-0.32870033676303179</v>
      </c>
    </row>
    <row r="60" spans="1:24">
      <c r="A60" s="19"/>
      <c r="B60" s="19"/>
      <c r="C60" s="19"/>
      <c r="D60" s="19"/>
      <c r="E60" s="19"/>
      <c r="F60" s="19"/>
      <c r="G60" s="19"/>
      <c r="H60" s="19"/>
      <c r="I60" s="19"/>
      <c r="J60" s="19"/>
      <c r="K60" s="1447"/>
      <c r="L60" s="1447"/>
      <c r="M60" s="26" t="s">
        <v>962</v>
      </c>
      <c r="N60" s="33">
        <f t="shared" ref="N60:T60" si="50">N58*$D$5/1000</f>
        <v>0</v>
      </c>
      <c r="O60" s="33">
        <f t="shared" si="50"/>
        <v>0</v>
      </c>
      <c r="P60" s="33">
        <f t="shared" si="50"/>
        <v>0</v>
      </c>
      <c r="Q60" s="33">
        <f t="shared" si="50"/>
        <v>0</v>
      </c>
      <c r="R60" s="33">
        <f t="shared" si="50"/>
        <v>0</v>
      </c>
      <c r="S60" s="33">
        <f t="shared" si="50"/>
        <v>25112.491157138746</v>
      </c>
      <c r="T60" s="33">
        <f t="shared" si="50"/>
        <v>50566.862447673841</v>
      </c>
      <c r="U60" s="42">
        <f t="shared" si="44"/>
        <v>75679.353604812582</v>
      </c>
      <c r="V60" s="885">
        <f>U60/$U$20-1</f>
        <v>-0.49521799464683225</v>
      </c>
      <c r="W60" s="186">
        <f>(U59+U60)/2</f>
        <v>60831.711395241015</v>
      </c>
      <c r="X60" s="885">
        <f>W60/$V$20-1</f>
        <v>-0.44299651853458544</v>
      </c>
    </row>
    <row r="61" spans="1:24">
      <c r="A61" s="19"/>
      <c r="B61" s="19"/>
      <c r="C61" s="19"/>
      <c r="D61" s="19"/>
      <c r="E61" s="19"/>
      <c r="F61" s="19"/>
      <c r="G61" s="19"/>
      <c r="H61" s="19"/>
      <c r="I61" s="19"/>
      <c r="J61" s="19"/>
      <c r="K61" s="1447"/>
      <c r="L61" s="1447"/>
      <c r="M61" s="1439" t="s">
        <v>989</v>
      </c>
      <c r="N61" s="1440"/>
      <c r="O61" s="1440"/>
      <c r="P61" s="1440"/>
      <c r="Q61" s="1440"/>
      <c r="R61" s="1440"/>
      <c r="S61" s="1440"/>
      <c r="T61" s="1441"/>
      <c r="U61" s="37">
        <f>$U$17-U57</f>
        <v>8864564.4715790637</v>
      </c>
      <c r="V61" s="19"/>
    </row>
    <row r="62" spans="1:24">
      <c r="A62" s="19"/>
      <c r="B62" s="19"/>
      <c r="C62" s="19"/>
      <c r="D62" s="19"/>
      <c r="E62" s="19"/>
      <c r="F62" s="19"/>
      <c r="G62" s="19"/>
      <c r="H62" s="19"/>
      <c r="I62" s="19"/>
      <c r="J62" s="19"/>
      <c r="K62" s="1447"/>
      <c r="L62" s="1447"/>
      <c r="M62" s="1439" t="s">
        <v>990</v>
      </c>
      <c r="N62" s="1440"/>
      <c r="O62" s="1440"/>
      <c r="P62" s="1440"/>
      <c r="Q62" s="1440"/>
      <c r="R62" s="1440"/>
      <c r="S62" s="1440"/>
      <c r="T62" s="1441"/>
      <c r="U62" s="37">
        <f>U61*$D$5/1000</f>
        <v>22515.993757810822</v>
      </c>
      <c r="V62" s="19"/>
    </row>
    <row r="63" spans="1:24">
      <c r="H63" s="19"/>
      <c r="I63" s="19"/>
      <c r="J63" s="19"/>
      <c r="K63" s="1447"/>
      <c r="L63" s="1447"/>
      <c r="M63" s="1439" t="s">
        <v>991</v>
      </c>
      <c r="N63" s="1440"/>
      <c r="O63" s="1440"/>
      <c r="P63" s="1440"/>
      <c r="Q63" s="1440"/>
      <c r="R63" s="1440"/>
      <c r="S63" s="1440"/>
      <c r="T63" s="1441"/>
      <c r="U63" s="37">
        <f>$U$18-U58</f>
        <v>29230500.384788651</v>
      </c>
      <c r="V63" s="19"/>
    </row>
    <row r="64" spans="1:24">
      <c r="H64" s="19"/>
      <c r="I64" s="19"/>
      <c r="J64" s="19"/>
      <c r="K64" s="1448"/>
      <c r="L64" s="1448"/>
      <c r="M64" s="1439" t="s">
        <v>992</v>
      </c>
      <c r="N64" s="1440"/>
      <c r="O64" s="1440"/>
      <c r="P64" s="1440"/>
      <c r="Q64" s="1440"/>
      <c r="R64" s="1440"/>
      <c r="S64" s="1440"/>
      <c r="T64" s="1441"/>
      <c r="U64" s="37">
        <f>U63*$D$5/1000</f>
        <v>74245.470977363162</v>
      </c>
      <c r="V64" s="186"/>
    </row>
    <row r="65" spans="1:22">
      <c r="H65" s="19"/>
      <c r="I65" s="19"/>
      <c r="J65" s="19"/>
      <c r="K65" s="19"/>
      <c r="L65" s="19"/>
      <c r="M65" s="19"/>
      <c r="N65" s="19"/>
      <c r="O65" s="19"/>
      <c r="P65" s="19"/>
      <c r="Q65" s="19"/>
      <c r="R65" s="19"/>
      <c r="S65" s="19"/>
      <c r="T65" s="19"/>
      <c r="U65" s="19"/>
      <c r="V65" s="19"/>
    </row>
    <row r="66" spans="1:22">
      <c r="H66" s="19"/>
      <c r="I66" s="19"/>
      <c r="J66" s="19"/>
      <c r="K66" s="19"/>
      <c r="L66" s="19"/>
      <c r="M66" s="19"/>
      <c r="N66" s="19"/>
      <c r="O66" s="19"/>
      <c r="P66" s="19"/>
      <c r="Q66" s="19"/>
      <c r="R66" s="19"/>
      <c r="S66" s="19"/>
      <c r="T66" s="19"/>
      <c r="U66" s="19"/>
      <c r="V66" s="19"/>
    </row>
    <row r="69" spans="1:22">
      <c r="B69" s="187"/>
      <c r="C69" s="187"/>
      <c r="D69" s="187"/>
      <c r="E69" s="187"/>
      <c r="F69" s="187"/>
      <c r="G69" s="187"/>
      <c r="H69" s="187"/>
      <c r="I69" s="187"/>
      <c r="J69" s="187"/>
      <c r="K69" s="187"/>
      <c r="L69" s="187"/>
      <c r="M69" s="187"/>
    </row>
    <row r="72" spans="1:22">
      <c r="A72" s="1423" t="s">
        <v>763</v>
      </c>
      <c r="B72" s="1424"/>
      <c r="C72" s="15">
        <f>(U64+U62)/2/1000000</f>
        <v>4.8380732367586991E-2</v>
      </c>
    </row>
    <row r="73" spans="1:22">
      <c r="A73" s="1425" t="s">
        <v>588</v>
      </c>
      <c r="B73" s="1426"/>
      <c r="C73" s="16">
        <v>2019</v>
      </c>
    </row>
  </sheetData>
  <mergeCells count="51">
    <mergeCell ref="A16:A17"/>
    <mergeCell ref="A18:A19"/>
    <mergeCell ref="A73:B73"/>
    <mergeCell ref="F25:G25"/>
    <mergeCell ref="F28:H28"/>
    <mergeCell ref="C30:D30"/>
    <mergeCell ref="C31:D31"/>
    <mergeCell ref="B21:H21"/>
    <mergeCell ref="C22:E22"/>
    <mergeCell ref="F22:H22"/>
    <mergeCell ref="C23:D23"/>
    <mergeCell ref="C24:D24"/>
    <mergeCell ref="M41:T41"/>
    <mergeCell ref="M42:T42"/>
    <mergeCell ref="M28:T28"/>
    <mergeCell ref="M29:T29"/>
    <mergeCell ref="M30:T30"/>
    <mergeCell ref="M31:T31"/>
    <mergeCell ref="M39:T39"/>
    <mergeCell ref="L13:L20"/>
    <mergeCell ref="L21:L31"/>
    <mergeCell ref="M63:T63"/>
    <mergeCell ref="M64:T64"/>
    <mergeCell ref="A72:B72"/>
    <mergeCell ref="C25:D25"/>
    <mergeCell ref="B27:H27"/>
    <mergeCell ref="C28:E28"/>
    <mergeCell ref="C29:D29"/>
    <mergeCell ref="F29:G29"/>
    <mergeCell ref="K43:K64"/>
    <mergeCell ref="L43:L53"/>
    <mergeCell ref="L54:L64"/>
    <mergeCell ref="M61:T61"/>
    <mergeCell ref="M62:T62"/>
    <mergeCell ref="M40:T40"/>
    <mergeCell ref="M50:T50"/>
    <mergeCell ref="M51:T51"/>
    <mergeCell ref="M52:T52"/>
    <mergeCell ref="M53:T53"/>
    <mergeCell ref="E2:I2"/>
    <mergeCell ref="E3:I3"/>
    <mergeCell ref="L3:L5"/>
    <mergeCell ref="E4:I4"/>
    <mergeCell ref="E5:I5"/>
    <mergeCell ref="L6:L12"/>
    <mergeCell ref="K21:K42"/>
    <mergeCell ref="L32:L42"/>
    <mergeCell ref="F30:G30"/>
    <mergeCell ref="F31:G31"/>
    <mergeCell ref="F23:G23"/>
    <mergeCell ref="F24:G24"/>
  </mergeCells>
  <hyperlinks>
    <hyperlink ref="C3" r:id="rId1" xr:uid="{00000000-0004-0000-1100-000000000000}"/>
    <hyperlink ref="E3" r:id="rId2" xr:uid="{00000000-0004-0000-1100-000001000000}"/>
    <hyperlink ref="C4" r:id="rId3" xr:uid="{00000000-0004-0000-1100-000002000000}"/>
    <hyperlink ref="E4" r:id="rId4" xr:uid="{00000000-0004-0000-1100-000003000000}"/>
  </hyperlink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E13"/>
  <sheetViews>
    <sheetView workbookViewId="0">
      <selection activeCell="D22" sqref="D22"/>
    </sheetView>
  </sheetViews>
  <sheetFormatPr defaultColWidth="11.125" defaultRowHeight="15"/>
  <cols>
    <col min="1" max="1" width="16.375" style="189" customWidth="1"/>
    <col min="2" max="2" width="14.125" style="189" customWidth="1"/>
    <col min="3" max="3" width="18.125" style="189" bestFit="1" customWidth="1"/>
    <col min="4" max="4" width="18.125" style="189" customWidth="1"/>
    <col min="5" max="5" width="79.625" style="189" bestFit="1" customWidth="1"/>
    <col min="6" max="16384" width="11.125" style="189"/>
  </cols>
  <sheetData>
    <row r="1" spans="1:5">
      <c r="A1" s="861" t="s">
        <v>2</v>
      </c>
      <c r="B1" s="861"/>
      <c r="C1" s="861"/>
      <c r="D1" s="861"/>
      <c r="E1" s="861"/>
    </row>
    <row r="2" spans="1:5">
      <c r="A2" s="861" t="s">
        <v>997</v>
      </c>
      <c r="B2" s="861" t="s">
        <v>998</v>
      </c>
      <c r="C2" s="861" t="s">
        <v>999</v>
      </c>
      <c r="D2" s="861" t="s">
        <v>1000</v>
      </c>
      <c r="E2" s="861" t="s">
        <v>1001</v>
      </c>
    </row>
    <row r="3" spans="1:5">
      <c r="A3" s="877">
        <v>0.1</v>
      </c>
      <c r="B3" s="877">
        <v>0.01</v>
      </c>
      <c r="C3" s="878">
        <v>2E-3</v>
      </c>
      <c r="D3" s="879">
        <f>B3-C3</f>
        <v>8.0000000000000002E-3</v>
      </c>
      <c r="E3" s="861" t="s">
        <v>1002</v>
      </c>
    </row>
    <row r="4" spans="1:5">
      <c r="A4" s="877">
        <v>0.05</v>
      </c>
      <c r="B4" s="877">
        <v>0.04</v>
      </c>
      <c r="C4" s="878">
        <v>2E-3</v>
      </c>
      <c r="D4" s="878">
        <f t="shared" ref="D4:D5" si="0">B4-C4</f>
        <v>3.7999999999999999E-2</v>
      </c>
      <c r="E4" s="861" t="s">
        <v>1003</v>
      </c>
    </row>
    <row r="5" spans="1:5">
      <c r="A5" s="877">
        <v>0.85</v>
      </c>
      <c r="B5" s="877">
        <v>0</v>
      </c>
      <c r="C5" s="878">
        <v>0</v>
      </c>
      <c r="D5" s="878">
        <f t="shared" si="0"/>
        <v>0</v>
      </c>
      <c r="E5" s="861" t="s">
        <v>1004</v>
      </c>
    </row>
    <row r="7" spans="1:5">
      <c r="A7" s="1066"/>
      <c r="B7" s="1070" t="s">
        <v>1005</v>
      </c>
      <c r="C7" s="1070" t="s">
        <v>402</v>
      </c>
      <c r="D7" s="861"/>
      <c r="E7" s="861"/>
    </row>
    <row r="8" spans="1:5">
      <c r="A8" s="1066" t="s">
        <v>1006</v>
      </c>
      <c r="B8" s="1067">
        <v>0.9</v>
      </c>
      <c r="C8" s="1067">
        <v>1</v>
      </c>
      <c r="D8" s="877"/>
      <c r="E8" s="861"/>
    </row>
    <row r="9" spans="1:5">
      <c r="A9" s="1066" t="s">
        <v>1007</v>
      </c>
      <c r="B9" s="1068">
        <f>B8*SUMPRODUCT(A3:A5,D3:D5)</f>
        <v>2.4300000000000003E-3</v>
      </c>
      <c r="C9" s="1068">
        <f>C8*SUMPRODUCT(A3:A5,B3:B5)</f>
        <v>3.0000000000000001E-3</v>
      </c>
      <c r="D9" s="880"/>
      <c r="E9" s="861"/>
    </row>
    <row r="10" spans="1:5">
      <c r="A10" s="1066" t="s">
        <v>1008</v>
      </c>
      <c r="B10" s="1069">
        <f>B9*Hypothèses!$C$56</f>
        <v>5.485544554455446E-2</v>
      </c>
      <c r="C10" s="1069">
        <f>C9*Hypothèses!$C$56</f>
        <v>6.7722772277227714E-2</v>
      </c>
      <c r="D10" s="861" t="s">
        <v>146</v>
      </c>
      <c r="E10" s="861"/>
    </row>
    <row r="11" spans="1:5" ht="15.95" thickBot="1">
      <c r="A11" s="861"/>
      <c r="B11" s="861"/>
      <c r="C11" s="881"/>
      <c r="D11" s="861"/>
      <c r="E11" s="861"/>
    </row>
    <row r="12" spans="1:5">
      <c r="A12" s="1463" t="s">
        <v>763</v>
      </c>
      <c r="B12" s="1464"/>
      <c r="C12" s="882">
        <f>B10</f>
        <v>5.485544554455446E-2</v>
      </c>
      <c r="D12" s="861"/>
      <c r="E12" s="861"/>
    </row>
    <row r="13" spans="1:5" ht="15.95" thickBot="1">
      <c r="A13" s="1465" t="s">
        <v>588</v>
      </c>
      <c r="B13" s="1466"/>
      <c r="C13" s="883">
        <v>2018</v>
      </c>
      <c r="D13" s="861"/>
      <c r="E13" s="861"/>
    </row>
  </sheetData>
  <mergeCells count="2">
    <mergeCell ref="A12:B12"/>
    <mergeCell ref="A13:B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outlinePr summaryBelow="0" summaryRight="0"/>
  </sheetPr>
  <dimension ref="A1:M1000"/>
  <sheetViews>
    <sheetView zoomScale="70" zoomScaleNormal="70" workbookViewId="0">
      <selection activeCell="E21" sqref="E21"/>
    </sheetView>
  </sheetViews>
  <sheetFormatPr defaultColWidth="12.625" defaultRowHeight="15" customHeight="1"/>
  <cols>
    <col min="1" max="1" width="48.5" customWidth="1"/>
    <col min="2" max="2" width="12.625" customWidth="1"/>
    <col min="3" max="3" width="12.5" customWidth="1"/>
    <col min="4" max="4" width="9.625" customWidth="1"/>
    <col min="5" max="5" width="18.125" customWidth="1"/>
    <col min="6" max="6" width="12.625" customWidth="1"/>
  </cols>
  <sheetData>
    <row r="1" spans="1:13" ht="15.75" customHeight="1">
      <c r="A1" s="298" t="s">
        <v>1009</v>
      </c>
      <c r="B1" s="17"/>
      <c r="C1" s="17"/>
      <c r="D1" s="17"/>
      <c r="E1" s="17"/>
      <c r="F1" s="17"/>
      <c r="G1" s="17"/>
      <c r="H1" s="17"/>
      <c r="I1" s="17"/>
      <c r="J1" s="17"/>
      <c r="K1" s="17"/>
      <c r="L1" s="17"/>
      <c r="M1" s="17"/>
    </row>
    <row r="2" spans="1:13" ht="15.75" customHeight="1">
      <c r="A2" s="50" t="s">
        <v>1010</v>
      </c>
      <c r="B2" s="299">
        <f>Hypothèses!C56</f>
        <v>22.574257425742573</v>
      </c>
      <c r="C2" s="299" t="s">
        <v>532</v>
      </c>
      <c r="D2" s="17"/>
      <c r="E2" s="17"/>
      <c r="F2" s="17"/>
      <c r="G2" s="17"/>
      <c r="H2" s="17"/>
      <c r="I2" s="17"/>
      <c r="J2" s="17"/>
      <c r="K2" s="17"/>
      <c r="L2" s="17"/>
      <c r="M2" s="17"/>
    </row>
    <row r="3" spans="1:13" ht="15.75" customHeight="1">
      <c r="A3" s="51" t="s">
        <v>1011</v>
      </c>
      <c r="B3" s="52">
        <f>B2*0.02</f>
        <v>0.45148514851485144</v>
      </c>
      <c r="C3" s="52" t="s">
        <v>532</v>
      </c>
      <c r="D3" s="17"/>
      <c r="E3" s="17"/>
      <c r="F3" s="17"/>
      <c r="G3" s="17"/>
      <c r="H3" s="17"/>
      <c r="I3" s="17"/>
      <c r="J3" s="17"/>
      <c r="K3" s="17"/>
      <c r="L3" s="17"/>
      <c r="M3" s="17"/>
    </row>
    <row r="4" spans="1:13" ht="15.75" customHeight="1">
      <c r="A4" s="11"/>
      <c r="B4" s="17"/>
      <c r="C4" s="17"/>
      <c r="D4" s="17"/>
      <c r="E4" s="17"/>
      <c r="F4" s="17"/>
      <c r="G4" s="17"/>
      <c r="H4" s="17"/>
      <c r="I4" s="17"/>
      <c r="J4" s="17"/>
      <c r="K4" s="17"/>
      <c r="L4" s="17"/>
      <c r="M4" s="17"/>
    </row>
    <row r="5" spans="1:13" ht="15.75" customHeight="1">
      <c r="A5" s="298" t="s">
        <v>1012</v>
      </c>
      <c r="B5" s="17"/>
      <c r="C5" s="17"/>
      <c r="D5" s="17"/>
      <c r="E5" s="17"/>
      <c r="F5" s="17"/>
      <c r="G5" s="17"/>
      <c r="H5" s="17"/>
      <c r="I5" s="17"/>
      <c r="J5" s="17"/>
      <c r="K5" s="17"/>
      <c r="L5" s="17"/>
      <c r="M5" s="17"/>
    </row>
    <row r="6" spans="1:13" ht="14.1">
      <c r="A6" s="50" t="s">
        <v>1013</v>
      </c>
      <c r="B6" s="53">
        <f>Hypothèses!B25</f>
        <v>2.54</v>
      </c>
      <c r="C6" s="53" t="s">
        <v>56</v>
      </c>
      <c r="D6" s="17"/>
      <c r="E6" s="17" t="s">
        <v>1014</v>
      </c>
      <c r="F6" s="54" t="s">
        <v>1015</v>
      </c>
      <c r="G6" s="55" t="s">
        <v>1016</v>
      </c>
      <c r="H6" s="56" t="s">
        <v>1017</v>
      </c>
      <c r="I6" s="56" t="s">
        <v>1018</v>
      </c>
      <c r="J6" s="57" t="s">
        <v>1019</v>
      </c>
      <c r="K6" s="58" t="s">
        <v>1020</v>
      </c>
      <c r="L6" s="58" t="s">
        <v>1021</v>
      </c>
      <c r="M6" s="17"/>
    </row>
    <row r="7" spans="1:13" ht="14.1">
      <c r="A7" s="50" t="s">
        <v>1022</v>
      </c>
      <c r="B7" s="59">
        <v>4.7</v>
      </c>
      <c r="C7" s="59" t="s">
        <v>1023</v>
      </c>
      <c r="D7" s="17"/>
      <c r="E7" s="60" t="s">
        <v>1024</v>
      </c>
      <c r="F7" s="61">
        <v>6</v>
      </c>
      <c r="G7" s="62">
        <v>9</v>
      </c>
      <c r="H7" s="63">
        <v>200</v>
      </c>
      <c r="I7" s="64">
        <f t="shared" ref="I7:I11" si="0">H7/$H$12</f>
        <v>0.45558086560364464</v>
      </c>
      <c r="J7" s="61">
        <v>58</v>
      </c>
      <c r="K7" s="65">
        <v>66</v>
      </c>
      <c r="L7" s="66">
        <f t="shared" ref="L7:L11" si="1">AVERAGE(J7:K7)*$B$8</f>
        <v>234.69553035999999</v>
      </c>
      <c r="M7" s="17"/>
    </row>
    <row r="8" spans="1:13" ht="15.75" customHeight="1">
      <c r="A8" s="50" t="s">
        <v>1025</v>
      </c>
      <c r="B8" s="53">
        <v>3.78541178</v>
      </c>
      <c r="C8" s="53" t="s">
        <v>1026</v>
      </c>
      <c r="D8" s="17"/>
      <c r="E8" s="60" t="s">
        <v>1027</v>
      </c>
      <c r="F8" s="67">
        <v>6</v>
      </c>
      <c r="G8" s="68">
        <v>10</v>
      </c>
      <c r="H8" s="69">
        <v>109</v>
      </c>
      <c r="I8" s="70">
        <f t="shared" si="0"/>
        <v>0.24829157175398633</v>
      </c>
      <c r="J8" s="67">
        <v>77</v>
      </c>
      <c r="K8" s="71">
        <v>179</v>
      </c>
      <c r="L8" s="72">
        <f t="shared" si="1"/>
        <v>484.53270784</v>
      </c>
      <c r="M8" s="17"/>
    </row>
    <row r="9" spans="1:13" ht="15.75" customHeight="1">
      <c r="A9" s="50" t="s">
        <v>1028</v>
      </c>
      <c r="B9" s="59">
        <v>127923</v>
      </c>
      <c r="C9" s="59" t="s">
        <v>1029</v>
      </c>
      <c r="D9" s="17"/>
      <c r="E9" s="60" t="s">
        <v>1030</v>
      </c>
      <c r="F9" s="67">
        <v>8</v>
      </c>
      <c r="G9" s="68">
        <v>16</v>
      </c>
      <c r="H9" s="69">
        <v>63</v>
      </c>
      <c r="I9" s="70">
        <f t="shared" si="0"/>
        <v>0.14350797266514806</v>
      </c>
      <c r="J9" s="67">
        <v>233</v>
      </c>
      <c r="K9" s="71">
        <v>336</v>
      </c>
      <c r="L9" s="72">
        <f t="shared" si="1"/>
        <v>1076.9496514099999</v>
      </c>
      <c r="M9" s="17"/>
    </row>
    <row r="10" spans="1:13" ht="15.75" customHeight="1">
      <c r="A10" s="50" t="s">
        <v>1031</v>
      </c>
      <c r="B10" s="73">
        <v>172380000</v>
      </c>
      <c r="C10" s="73" t="s">
        <v>1032</v>
      </c>
      <c r="D10" s="17"/>
      <c r="E10" s="60" t="s">
        <v>1033</v>
      </c>
      <c r="F10" s="67">
        <v>14</v>
      </c>
      <c r="G10" s="68">
        <v>20</v>
      </c>
      <c r="H10" s="69">
        <v>60</v>
      </c>
      <c r="I10" s="70">
        <f t="shared" si="0"/>
        <v>0.1366742596810934</v>
      </c>
      <c r="J10" s="67">
        <v>358</v>
      </c>
      <c r="K10" s="71">
        <v>672</v>
      </c>
      <c r="L10" s="72">
        <f t="shared" si="1"/>
        <v>1949.4870667</v>
      </c>
      <c r="M10" s="17"/>
    </row>
    <row r="11" spans="1:13" ht="15.75" customHeight="1">
      <c r="A11" s="50" t="s">
        <v>1034</v>
      </c>
      <c r="B11" s="59">
        <v>105</v>
      </c>
      <c r="C11" s="59" t="s">
        <v>204</v>
      </c>
      <c r="D11" s="17"/>
      <c r="E11" s="74" t="s">
        <v>1035</v>
      </c>
      <c r="F11" s="75">
        <v>8</v>
      </c>
      <c r="G11" s="76">
        <v>40</v>
      </c>
      <c r="H11" s="77">
        <v>7</v>
      </c>
      <c r="I11" s="78">
        <f t="shared" si="0"/>
        <v>1.5945330296127564E-2</v>
      </c>
      <c r="J11" s="75">
        <v>640</v>
      </c>
      <c r="K11" s="79">
        <v>640</v>
      </c>
      <c r="L11" s="80">
        <f t="shared" si="1"/>
        <v>2422.6635391999998</v>
      </c>
      <c r="M11" s="17"/>
    </row>
    <row r="12" spans="1:13" ht="15.75" customHeight="1">
      <c r="A12" s="50" t="s">
        <v>1036</v>
      </c>
      <c r="B12" s="81">
        <f>L7*I7+L8*I8+L9*I9+L10*I10+L11*I11</f>
        <v>686.85391353482908</v>
      </c>
      <c r="C12" s="81" t="s">
        <v>1037</v>
      </c>
      <c r="D12" s="17"/>
      <c r="E12" s="82"/>
      <c r="F12" s="82"/>
      <c r="G12" s="82"/>
      <c r="H12" s="83">
        <f t="shared" ref="H12:I12" si="2">SUM(H7:H11)</f>
        <v>439</v>
      </c>
      <c r="I12" s="84">
        <f t="shared" si="2"/>
        <v>0.99999999999999989</v>
      </c>
      <c r="J12" s="82"/>
      <c r="K12" s="82"/>
      <c r="L12" s="82"/>
      <c r="M12" s="17"/>
    </row>
    <row r="13" spans="1:13" ht="15.75" customHeight="1">
      <c r="A13" s="50" t="s">
        <v>1038</v>
      </c>
      <c r="B13" s="53">
        <f>B11/60*B12*B6*B9/1000/1000000</f>
        <v>0.39055731659006038</v>
      </c>
      <c r="C13" s="53" t="s">
        <v>532</v>
      </c>
      <c r="D13" s="17"/>
      <c r="E13" s="17"/>
      <c r="F13" s="17"/>
      <c r="G13" s="17"/>
      <c r="H13" s="17"/>
      <c r="I13" s="17"/>
      <c r="J13" s="17"/>
      <c r="K13" s="17"/>
      <c r="L13" s="17"/>
      <c r="M13" s="17"/>
    </row>
    <row r="14" spans="1:13" ht="15.75" customHeight="1">
      <c r="A14" s="309"/>
      <c r="B14" s="309"/>
      <c r="C14" s="309"/>
      <c r="D14" s="17"/>
      <c r="E14" s="17"/>
      <c r="F14" s="17"/>
      <c r="G14" s="17"/>
      <c r="H14" s="17"/>
      <c r="I14" s="17"/>
      <c r="J14" s="17"/>
      <c r="K14" s="17"/>
      <c r="L14" s="17"/>
      <c r="M14" s="17"/>
    </row>
    <row r="15" spans="1:13" ht="15.75" customHeight="1">
      <c r="A15" s="298" t="s">
        <v>1039</v>
      </c>
      <c r="B15" s="309"/>
      <c r="C15" s="309"/>
      <c r="D15" s="804" t="s">
        <v>47</v>
      </c>
      <c r="E15" s="239"/>
      <c r="F15" s="239"/>
      <c r="G15" s="17"/>
      <c r="H15" s="17"/>
      <c r="I15" s="17"/>
      <c r="J15" s="17"/>
      <c r="K15" s="17"/>
      <c r="L15" s="17"/>
      <c r="M15" s="17"/>
    </row>
    <row r="16" spans="1:13" ht="15.75" customHeight="1">
      <c r="A16" s="50" t="s">
        <v>1040</v>
      </c>
      <c r="B16" s="85">
        <v>0.14599999999999999</v>
      </c>
      <c r="C16" s="53" t="s">
        <v>532</v>
      </c>
      <c r="D16" s="238" t="s">
        <v>230</v>
      </c>
      <c r="E16" s="239"/>
      <c r="F16" s="239"/>
      <c r="G16" s="17"/>
      <c r="H16" s="17"/>
      <c r="I16" s="17"/>
      <c r="J16" s="17"/>
      <c r="K16" s="17"/>
      <c r="L16" s="17"/>
      <c r="M16" s="309"/>
    </row>
    <row r="17" spans="1:13" ht="15.75" customHeight="1">
      <c r="A17" s="50" t="s">
        <v>1041</v>
      </c>
      <c r="B17" s="81">
        <v>25918</v>
      </c>
      <c r="C17" s="53" t="s">
        <v>1042</v>
      </c>
      <c r="D17" s="238" t="s">
        <v>1043</v>
      </c>
      <c r="E17" s="239"/>
      <c r="F17" s="239"/>
      <c r="G17" s="17"/>
      <c r="H17" s="17"/>
      <c r="I17" s="17"/>
      <c r="J17" s="17"/>
      <c r="K17" s="17"/>
      <c r="L17" s="17"/>
      <c r="M17" s="309"/>
    </row>
    <row r="18" spans="1:13" ht="15.75" customHeight="1">
      <c r="A18" s="50" t="s">
        <v>1044</v>
      </c>
      <c r="B18" s="81">
        <v>127923</v>
      </c>
      <c r="C18" s="53" t="s">
        <v>1042</v>
      </c>
      <c r="D18" s="239" t="s">
        <v>1045</v>
      </c>
      <c r="E18" s="239" t="s">
        <v>1046</v>
      </c>
      <c r="F18" s="239"/>
      <c r="G18" s="17"/>
      <c r="H18" s="17"/>
      <c r="I18" s="17"/>
      <c r="J18" s="17"/>
      <c r="K18" s="17"/>
      <c r="L18" s="17"/>
      <c r="M18" s="309"/>
    </row>
    <row r="19" spans="1:13" ht="15.75" customHeight="1">
      <c r="A19" s="50" t="s">
        <v>1047</v>
      </c>
      <c r="B19" s="86">
        <f>B17/B18</f>
        <v>0.20260625532546922</v>
      </c>
      <c r="C19" s="53"/>
      <c r="D19" s="804"/>
      <c r="E19" s="239"/>
      <c r="F19" s="239"/>
      <c r="G19" s="17"/>
      <c r="H19" s="17"/>
      <c r="I19" s="17"/>
      <c r="J19" s="17"/>
      <c r="K19" s="17"/>
      <c r="L19" s="17"/>
      <c r="M19" s="309"/>
    </row>
    <row r="20" spans="1:13" ht="15.75" customHeight="1">
      <c r="A20" s="87" t="s">
        <v>1048</v>
      </c>
      <c r="B20" s="53">
        <f>B16/(B19)</f>
        <v>0.72060953777297632</v>
      </c>
      <c r="C20" s="53" t="s">
        <v>532</v>
      </c>
      <c r="D20" s="804"/>
      <c r="E20" s="239"/>
      <c r="F20" s="239"/>
      <c r="G20" s="17"/>
      <c r="H20" s="17"/>
      <c r="I20" s="17"/>
      <c r="J20" s="17"/>
      <c r="K20" s="17"/>
      <c r="L20" s="17"/>
      <c r="M20" s="309"/>
    </row>
    <row r="21" spans="1:13" ht="15.75" customHeight="1">
      <c r="A21" s="10"/>
      <c r="B21" s="88"/>
      <c r="C21" s="10"/>
      <c r="D21" s="10"/>
      <c r="E21" s="17"/>
      <c r="F21" s="17"/>
      <c r="G21" s="17"/>
      <c r="H21" s="17"/>
      <c r="I21" s="17"/>
      <c r="J21" s="17"/>
      <c r="K21" s="17"/>
      <c r="L21" s="17"/>
      <c r="M21" s="309"/>
    </row>
    <row r="22" spans="1:13" ht="15.75" customHeight="1">
      <c r="A22" s="10"/>
      <c r="B22" s="88"/>
      <c r="C22" s="10"/>
      <c r="D22" s="10"/>
      <c r="E22" s="17"/>
      <c r="F22" s="17"/>
      <c r="G22" s="17"/>
      <c r="H22" s="17"/>
      <c r="I22" s="17"/>
      <c r="J22" s="17"/>
      <c r="K22" s="17"/>
      <c r="L22" s="17"/>
      <c r="M22" s="309"/>
    </row>
    <row r="23" spans="1:13" ht="15.75" customHeight="1">
      <c r="A23" s="17"/>
      <c r="B23" s="17"/>
      <c r="C23" s="17"/>
      <c r="D23" s="17"/>
      <c r="E23" s="17"/>
      <c r="F23" s="17"/>
      <c r="G23" s="17"/>
      <c r="H23" s="17"/>
      <c r="I23" s="17"/>
      <c r="J23" s="17"/>
      <c r="K23" s="17"/>
      <c r="L23" s="17"/>
      <c r="M23" s="17"/>
    </row>
    <row r="24" spans="1:13" ht="15.75" customHeight="1">
      <c r="A24" s="17"/>
      <c r="B24" s="17"/>
      <c r="C24" s="17"/>
      <c r="D24" s="17"/>
      <c r="E24" s="17"/>
      <c r="F24" s="17"/>
      <c r="G24" s="17"/>
      <c r="H24" s="17"/>
      <c r="I24" s="17"/>
      <c r="J24" s="17"/>
      <c r="K24" s="17"/>
      <c r="L24" s="17"/>
      <c r="M24" s="17"/>
    </row>
    <row r="25" spans="1:13" ht="15.75" customHeight="1">
      <c r="A25" s="17"/>
      <c r="B25" s="17"/>
      <c r="C25" s="17"/>
      <c r="D25" s="17"/>
      <c r="E25" s="17"/>
      <c r="F25" s="17"/>
      <c r="G25" s="17"/>
      <c r="H25" s="17"/>
      <c r="I25" s="17"/>
      <c r="J25" s="17"/>
      <c r="K25" s="17"/>
      <c r="L25" s="17"/>
      <c r="M25" s="17"/>
    </row>
    <row r="26" spans="1:13" ht="15.75" customHeight="1">
      <c r="A26" s="17"/>
      <c r="B26" s="17"/>
      <c r="C26" s="17"/>
      <c r="D26" s="17"/>
      <c r="E26" s="17"/>
      <c r="F26" s="17"/>
      <c r="G26" s="17"/>
      <c r="H26" s="17"/>
      <c r="I26" s="17"/>
      <c r="J26" s="17"/>
      <c r="K26" s="17"/>
      <c r="L26" s="17"/>
      <c r="M26" s="17"/>
    </row>
    <row r="27" spans="1:13" ht="15.75" customHeight="1">
      <c r="A27" s="17"/>
      <c r="B27" s="17"/>
      <c r="C27" s="17"/>
      <c r="D27" s="17"/>
      <c r="E27" s="17"/>
      <c r="F27" s="17"/>
      <c r="G27" s="17"/>
      <c r="H27" s="17"/>
      <c r="I27" s="17"/>
      <c r="J27" s="17"/>
      <c r="K27" s="17"/>
      <c r="L27" s="17"/>
      <c r="M27" s="17"/>
    </row>
    <row r="28" spans="1:13" ht="15.75" customHeight="1">
      <c r="A28" s="17"/>
      <c r="B28" s="17"/>
      <c r="C28" s="17"/>
      <c r="D28" s="17"/>
      <c r="E28" s="17"/>
      <c r="F28" s="17"/>
      <c r="G28" s="17"/>
      <c r="H28" s="17"/>
      <c r="I28" s="17"/>
      <c r="J28" s="17"/>
      <c r="K28" s="17"/>
      <c r="L28" s="17"/>
      <c r="M28" s="17"/>
    </row>
    <row r="29" spans="1:13" ht="15.75" customHeight="1">
      <c r="A29" s="17"/>
      <c r="B29" s="17"/>
      <c r="C29" s="17"/>
      <c r="D29" s="17"/>
      <c r="E29" s="17"/>
      <c r="F29" s="17"/>
      <c r="G29" s="17"/>
      <c r="H29" s="17"/>
      <c r="I29" s="17"/>
      <c r="J29" s="17"/>
      <c r="K29" s="17"/>
      <c r="L29" s="17"/>
      <c r="M29" s="17"/>
    </row>
    <row r="30" spans="1:13" ht="15.75" customHeight="1">
      <c r="A30" s="17"/>
      <c r="B30" s="17"/>
      <c r="C30" s="17"/>
      <c r="D30" s="17"/>
      <c r="E30" s="17"/>
      <c r="F30" s="17"/>
      <c r="G30" s="17"/>
      <c r="H30" s="17"/>
      <c r="I30" s="17"/>
      <c r="J30" s="17"/>
      <c r="K30" s="17"/>
      <c r="L30" s="17"/>
      <c r="M30" s="17"/>
    </row>
    <row r="31" spans="1:13" ht="15.75" customHeight="1">
      <c r="A31" s="17"/>
      <c r="B31" s="17"/>
      <c r="C31" s="17"/>
      <c r="D31" s="17"/>
      <c r="E31" s="17"/>
      <c r="F31" s="17"/>
      <c r="G31" s="17"/>
      <c r="H31" s="17"/>
      <c r="I31" s="17"/>
      <c r="J31" s="17"/>
      <c r="K31" s="17"/>
      <c r="L31" s="17"/>
      <c r="M31" s="17"/>
    </row>
    <row r="32" spans="1:13" ht="15.75" customHeight="1">
      <c r="A32" s="17"/>
      <c r="B32" s="17"/>
      <c r="C32" s="17"/>
      <c r="D32" s="17"/>
      <c r="E32" s="17"/>
      <c r="F32" s="17"/>
      <c r="G32" s="17"/>
      <c r="H32" s="17"/>
      <c r="I32" s="17"/>
      <c r="J32" s="17"/>
      <c r="K32" s="17"/>
      <c r="L32" s="17"/>
      <c r="M32" s="17"/>
    </row>
    <row r="33" spans="1:13" ht="15.75" customHeight="1">
      <c r="A33" s="17"/>
      <c r="B33" s="17"/>
      <c r="C33" s="17"/>
      <c r="D33" s="17"/>
      <c r="E33" s="17"/>
      <c r="F33" s="17"/>
      <c r="G33" s="17"/>
      <c r="H33" s="17"/>
      <c r="I33" s="17"/>
      <c r="J33" s="17"/>
      <c r="K33" s="17"/>
      <c r="L33" s="17"/>
      <c r="M33" s="17"/>
    </row>
    <row r="34" spans="1:13" ht="15.75" customHeight="1">
      <c r="A34" s="17"/>
      <c r="B34" s="17"/>
      <c r="C34" s="17"/>
      <c r="D34" s="17"/>
      <c r="E34" s="17"/>
      <c r="F34" s="17"/>
      <c r="G34" s="17"/>
      <c r="H34" s="17"/>
      <c r="I34" s="17"/>
      <c r="J34" s="17"/>
      <c r="K34" s="17"/>
      <c r="L34" s="17"/>
      <c r="M34" s="17"/>
    </row>
    <row r="35" spans="1:13" ht="15.75" customHeight="1">
      <c r="A35" s="17"/>
      <c r="B35" s="17"/>
      <c r="C35" s="17"/>
      <c r="D35" s="17"/>
      <c r="E35" s="17"/>
      <c r="F35" s="17"/>
      <c r="G35" s="17"/>
      <c r="H35" s="17"/>
      <c r="I35" s="17"/>
      <c r="J35" s="17"/>
      <c r="K35" s="17"/>
      <c r="L35" s="17"/>
      <c r="M35" s="17"/>
    </row>
    <row r="36" spans="1:13" ht="15.75" customHeight="1">
      <c r="A36" s="17"/>
      <c r="B36" s="17"/>
      <c r="C36" s="17"/>
      <c r="D36" s="17"/>
      <c r="E36" s="17"/>
      <c r="F36" s="17"/>
      <c r="G36" s="17"/>
      <c r="H36" s="17"/>
      <c r="I36" s="17"/>
      <c r="J36" s="17"/>
      <c r="K36" s="17"/>
      <c r="L36" s="17"/>
      <c r="M36" s="17"/>
    </row>
    <row r="37" spans="1:13" ht="15.75" customHeight="1">
      <c r="A37" s="17"/>
      <c r="B37" s="17"/>
      <c r="C37" s="17"/>
      <c r="D37" s="17"/>
      <c r="E37" s="17"/>
      <c r="F37" s="17"/>
      <c r="G37" s="17"/>
      <c r="H37" s="17"/>
      <c r="I37" s="17"/>
      <c r="J37" s="17"/>
      <c r="K37" s="17"/>
      <c r="L37" s="17"/>
      <c r="M37" s="17"/>
    </row>
    <row r="38" spans="1:13" ht="15.75" customHeight="1">
      <c r="A38" s="17"/>
      <c r="B38" s="17"/>
      <c r="C38" s="17"/>
      <c r="D38" s="17"/>
      <c r="E38" s="17"/>
      <c r="F38" s="17"/>
      <c r="G38" s="17"/>
      <c r="H38" s="17"/>
      <c r="I38" s="17"/>
      <c r="J38" s="17"/>
      <c r="K38" s="17"/>
      <c r="L38" s="17"/>
      <c r="M38" s="17"/>
    </row>
    <row r="39" spans="1:13" ht="15.75" customHeight="1">
      <c r="A39" s="17"/>
      <c r="B39" s="17"/>
      <c r="C39" s="17"/>
      <c r="D39" s="17"/>
      <c r="E39" s="17"/>
      <c r="F39" s="17"/>
      <c r="G39" s="17"/>
      <c r="H39" s="17"/>
      <c r="I39" s="17"/>
      <c r="J39" s="17"/>
      <c r="K39" s="17"/>
      <c r="L39" s="17"/>
      <c r="M39" s="17"/>
    </row>
    <row r="40" spans="1:13" ht="15.75" customHeight="1">
      <c r="A40" s="17"/>
      <c r="B40" s="17"/>
      <c r="C40" s="17"/>
      <c r="D40" s="17"/>
      <c r="E40" s="17"/>
      <c r="F40" s="17"/>
      <c r="G40" s="17"/>
      <c r="H40" s="17"/>
      <c r="I40" s="17"/>
      <c r="J40" s="17"/>
      <c r="K40" s="17"/>
      <c r="L40" s="17"/>
      <c r="M40" s="17"/>
    </row>
    <row r="41" spans="1:13" ht="15.75" customHeight="1">
      <c r="A41" s="17"/>
      <c r="B41" s="17"/>
      <c r="C41" s="17"/>
      <c r="D41" s="17"/>
      <c r="E41" s="17"/>
      <c r="F41" s="17"/>
      <c r="G41" s="17"/>
      <c r="H41" s="17"/>
      <c r="I41" s="17"/>
      <c r="J41" s="17"/>
      <c r="K41" s="17"/>
      <c r="L41" s="17"/>
      <c r="M41" s="17"/>
    </row>
    <row r="42" spans="1:13" ht="15.75" customHeight="1">
      <c r="A42" s="17"/>
      <c r="B42" s="17"/>
      <c r="C42" s="17"/>
      <c r="D42" s="17"/>
      <c r="E42" s="17"/>
      <c r="F42" s="17"/>
      <c r="G42" s="17"/>
      <c r="H42" s="17"/>
      <c r="I42" s="17"/>
      <c r="J42" s="17"/>
      <c r="K42" s="17"/>
      <c r="L42" s="17"/>
      <c r="M42" s="17"/>
    </row>
    <row r="43" spans="1:13" ht="15.75" customHeight="1">
      <c r="A43" s="17"/>
      <c r="B43" s="17"/>
      <c r="C43" s="17"/>
      <c r="D43" s="17"/>
      <c r="E43" s="17"/>
      <c r="F43" s="17"/>
      <c r="G43" s="17"/>
      <c r="H43" s="17"/>
      <c r="I43" s="17"/>
      <c r="J43" s="17"/>
      <c r="K43" s="17"/>
      <c r="L43" s="17"/>
      <c r="M43" s="17"/>
    </row>
    <row r="44" spans="1:13" ht="15.75" customHeight="1">
      <c r="A44" s="17"/>
      <c r="B44" s="17"/>
      <c r="C44" s="17"/>
      <c r="D44" s="17"/>
      <c r="E44" s="17"/>
      <c r="F44" s="17"/>
      <c r="G44" s="17"/>
      <c r="H44" s="17"/>
      <c r="I44" s="17"/>
      <c r="J44" s="17"/>
      <c r="K44" s="17"/>
      <c r="L44" s="17"/>
      <c r="M44" s="17"/>
    </row>
    <row r="45" spans="1:13" ht="15.75" customHeight="1">
      <c r="A45" s="17"/>
      <c r="B45" s="17"/>
      <c r="C45" s="17"/>
      <c r="D45" s="17"/>
      <c r="E45" s="17"/>
      <c r="F45" s="17"/>
      <c r="G45" s="17"/>
      <c r="H45" s="17"/>
      <c r="I45" s="17"/>
      <c r="J45" s="17"/>
      <c r="K45" s="17"/>
      <c r="L45" s="17"/>
      <c r="M45" s="17"/>
    </row>
    <row r="46" spans="1:13" ht="15.75" customHeight="1">
      <c r="A46" s="17"/>
      <c r="B46" s="17"/>
      <c r="C46" s="17"/>
      <c r="D46" s="17"/>
      <c r="E46" s="17"/>
      <c r="F46" s="17"/>
      <c r="G46" s="17"/>
      <c r="H46" s="17"/>
      <c r="I46" s="17"/>
      <c r="J46" s="17"/>
      <c r="K46" s="17"/>
      <c r="L46" s="17"/>
      <c r="M46" s="17"/>
    </row>
    <row r="47" spans="1:13" ht="15.75" customHeight="1">
      <c r="A47" s="17"/>
      <c r="B47" s="17"/>
      <c r="C47" s="17"/>
      <c r="D47" s="17"/>
      <c r="E47" s="17"/>
      <c r="F47" s="17"/>
      <c r="G47" s="17"/>
      <c r="H47" s="17"/>
      <c r="I47" s="17"/>
      <c r="J47" s="17"/>
      <c r="K47" s="17"/>
      <c r="L47" s="17"/>
      <c r="M47" s="17"/>
    </row>
    <row r="48" spans="1:13" ht="15.75" customHeight="1">
      <c r="A48" s="17"/>
      <c r="B48" s="17"/>
      <c r="C48" s="17"/>
      <c r="D48" s="17"/>
      <c r="E48" s="17"/>
      <c r="F48" s="17"/>
      <c r="G48" s="17"/>
      <c r="H48" s="17"/>
      <c r="I48" s="17"/>
      <c r="J48" s="17"/>
      <c r="K48" s="17"/>
      <c r="L48" s="17"/>
      <c r="M48" s="17"/>
    </row>
    <row r="49" spans="1:13" ht="15.75" customHeight="1">
      <c r="A49" s="17"/>
      <c r="B49" s="17"/>
      <c r="C49" s="17"/>
      <c r="D49" s="17"/>
      <c r="E49" s="17"/>
      <c r="F49" s="17"/>
      <c r="G49" s="17"/>
      <c r="H49" s="17"/>
      <c r="I49" s="17"/>
      <c r="J49" s="17"/>
      <c r="K49" s="17"/>
      <c r="L49" s="17"/>
      <c r="M49" s="17"/>
    </row>
    <row r="50" spans="1:13" ht="15.75" customHeight="1">
      <c r="A50" s="17"/>
      <c r="B50" s="17"/>
      <c r="C50" s="17"/>
      <c r="D50" s="17"/>
      <c r="E50" s="17"/>
      <c r="F50" s="17"/>
      <c r="G50" s="17"/>
      <c r="H50" s="17"/>
      <c r="I50" s="17"/>
      <c r="J50" s="17"/>
      <c r="K50" s="17"/>
      <c r="L50" s="17"/>
      <c r="M50" s="17"/>
    </row>
    <row r="51" spans="1:13" ht="15.75" customHeight="1">
      <c r="A51" s="17"/>
      <c r="B51" s="17"/>
      <c r="C51" s="17"/>
      <c r="D51" s="17"/>
      <c r="E51" s="17"/>
      <c r="F51" s="17"/>
      <c r="G51" s="17"/>
      <c r="H51" s="17"/>
      <c r="I51" s="17"/>
      <c r="J51" s="17"/>
      <c r="K51" s="17"/>
      <c r="L51" s="17"/>
      <c r="M51" s="17"/>
    </row>
    <row r="52" spans="1:13" ht="15.75" customHeight="1">
      <c r="A52" s="17"/>
      <c r="B52" s="17"/>
      <c r="C52" s="17"/>
      <c r="D52" s="17"/>
      <c r="E52" s="17"/>
      <c r="F52" s="17"/>
      <c r="G52" s="17"/>
      <c r="H52" s="17"/>
      <c r="I52" s="17"/>
      <c r="J52" s="17"/>
      <c r="K52" s="17"/>
      <c r="L52" s="17"/>
      <c r="M52" s="17"/>
    </row>
    <row r="53" spans="1:13" ht="15.75" customHeight="1">
      <c r="A53" s="17"/>
      <c r="B53" s="17"/>
      <c r="C53" s="17"/>
      <c r="D53" s="17"/>
      <c r="E53" s="17"/>
      <c r="F53" s="17"/>
      <c r="G53" s="17"/>
      <c r="H53" s="17"/>
      <c r="I53" s="17"/>
      <c r="J53" s="17"/>
      <c r="K53" s="17"/>
      <c r="L53" s="17"/>
      <c r="M53" s="17"/>
    </row>
    <row r="54" spans="1:13" ht="15.75" customHeight="1">
      <c r="A54" s="17"/>
      <c r="B54" s="17"/>
      <c r="C54" s="17"/>
      <c r="D54" s="17"/>
      <c r="E54" s="17"/>
      <c r="F54" s="17"/>
      <c r="G54" s="17"/>
      <c r="H54" s="17"/>
      <c r="I54" s="17"/>
      <c r="J54" s="17"/>
      <c r="K54" s="17"/>
      <c r="L54" s="17"/>
      <c r="M54" s="17"/>
    </row>
    <row r="55" spans="1:13" ht="15.75" customHeight="1">
      <c r="A55" s="17"/>
      <c r="B55" s="17"/>
      <c r="C55" s="17"/>
      <c r="D55" s="17"/>
      <c r="E55" s="17"/>
      <c r="F55" s="17"/>
      <c r="G55" s="17"/>
      <c r="H55" s="17"/>
      <c r="I55" s="17"/>
      <c r="J55" s="17"/>
      <c r="K55" s="17"/>
      <c r="L55" s="17"/>
      <c r="M55" s="17"/>
    </row>
    <row r="56" spans="1:13" ht="15.75" customHeight="1">
      <c r="A56" s="17"/>
      <c r="B56" s="17"/>
      <c r="C56" s="17"/>
      <c r="D56" s="17"/>
      <c r="E56" s="17"/>
      <c r="F56" s="17"/>
      <c r="G56" s="17"/>
      <c r="H56" s="17"/>
      <c r="I56" s="17"/>
      <c r="J56" s="17"/>
      <c r="K56" s="17"/>
      <c r="L56" s="17"/>
      <c r="M56" s="17"/>
    </row>
    <row r="57" spans="1:13" ht="15.75" customHeight="1">
      <c r="A57" s="17"/>
      <c r="B57" s="17"/>
      <c r="C57" s="17"/>
      <c r="D57" s="17"/>
      <c r="E57" s="17"/>
      <c r="F57" s="17"/>
      <c r="G57" s="17"/>
      <c r="H57" s="17"/>
      <c r="I57" s="17"/>
      <c r="J57" s="17"/>
      <c r="K57" s="17"/>
      <c r="L57" s="17"/>
      <c r="M57" s="17"/>
    </row>
    <row r="58" spans="1:13" ht="15.75" customHeight="1">
      <c r="A58" s="17"/>
      <c r="B58" s="17"/>
      <c r="C58" s="17"/>
      <c r="D58" s="17"/>
      <c r="E58" s="17"/>
      <c r="F58" s="17"/>
      <c r="G58" s="17"/>
      <c r="H58" s="17"/>
      <c r="I58" s="17"/>
      <c r="J58" s="17"/>
      <c r="K58" s="17"/>
      <c r="L58" s="17"/>
      <c r="M58" s="17"/>
    </row>
    <row r="59" spans="1:13" ht="15.75" customHeight="1">
      <c r="A59" s="17"/>
      <c r="B59" s="17"/>
      <c r="C59" s="17"/>
      <c r="D59" s="17"/>
      <c r="E59" s="17"/>
      <c r="F59" s="17"/>
      <c r="G59" s="17"/>
      <c r="H59" s="17"/>
      <c r="I59" s="17"/>
      <c r="J59" s="17"/>
      <c r="K59" s="17"/>
      <c r="L59" s="17"/>
      <c r="M59" s="17"/>
    </row>
    <row r="60" spans="1:13" ht="15.75" customHeight="1">
      <c r="A60" s="17"/>
      <c r="B60" s="17"/>
      <c r="C60" s="17"/>
      <c r="D60" s="17"/>
      <c r="E60" s="17"/>
      <c r="F60" s="17"/>
      <c r="G60" s="17"/>
      <c r="H60" s="17"/>
      <c r="I60" s="17"/>
      <c r="J60" s="17"/>
      <c r="K60" s="17"/>
      <c r="L60" s="17"/>
      <c r="M60" s="17"/>
    </row>
    <row r="61" spans="1:13" ht="15.75" customHeight="1">
      <c r="A61" s="17"/>
      <c r="B61" s="17"/>
      <c r="C61" s="17"/>
      <c r="D61" s="17"/>
      <c r="E61" s="17"/>
      <c r="F61" s="17"/>
      <c r="G61" s="17"/>
      <c r="H61" s="17"/>
      <c r="I61" s="17"/>
      <c r="J61" s="17"/>
      <c r="K61" s="17"/>
      <c r="L61" s="17"/>
      <c r="M61" s="17"/>
    </row>
    <row r="62" spans="1:13" ht="15.75" customHeight="1">
      <c r="A62" s="17"/>
      <c r="B62" s="17"/>
      <c r="C62" s="17"/>
      <c r="D62" s="17"/>
      <c r="E62" s="17"/>
      <c r="F62" s="17"/>
      <c r="G62" s="17"/>
      <c r="H62" s="17"/>
      <c r="I62" s="17"/>
      <c r="J62" s="17"/>
      <c r="K62" s="17"/>
      <c r="L62" s="17"/>
      <c r="M62" s="17"/>
    </row>
    <row r="63" spans="1:13" ht="15.75" customHeight="1">
      <c r="A63" s="17"/>
      <c r="B63" s="17"/>
      <c r="C63" s="17"/>
      <c r="D63" s="17"/>
      <c r="E63" s="17"/>
      <c r="F63" s="17"/>
      <c r="G63" s="17"/>
      <c r="H63" s="17"/>
      <c r="I63" s="17"/>
      <c r="J63" s="17"/>
      <c r="K63" s="17"/>
      <c r="L63" s="17"/>
      <c r="M63" s="17"/>
    </row>
    <row r="64" spans="1:13" ht="15.75" customHeight="1">
      <c r="A64" s="17"/>
      <c r="B64" s="17"/>
      <c r="C64" s="17"/>
      <c r="D64" s="17"/>
      <c r="E64" s="17"/>
      <c r="F64" s="17"/>
      <c r="G64" s="17"/>
      <c r="H64" s="17"/>
      <c r="I64" s="17"/>
      <c r="J64" s="17"/>
      <c r="K64" s="17"/>
      <c r="L64" s="17"/>
      <c r="M64" s="17"/>
    </row>
    <row r="65" spans="1:13" ht="15.75" customHeight="1">
      <c r="A65" s="17"/>
      <c r="B65" s="17"/>
      <c r="C65" s="17"/>
      <c r="D65" s="17"/>
      <c r="E65" s="17"/>
      <c r="F65" s="17"/>
      <c r="G65" s="17"/>
      <c r="H65" s="17"/>
      <c r="I65" s="17"/>
      <c r="J65" s="17"/>
      <c r="K65" s="17"/>
      <c r="L65" s="17"/>
      <c r="M65" s="17"/>
    </row>
    <row r="66" spans="1:13" ht="15.75" customHeight="1">
      <c r="A66" s="17"/>
      <c r="B66" s="17"/>
      <c r="C66" s="17"/>
      <c r="D66" s="17"/>
      <c r="E66" s="17"/>
      <c r="F66" s="17"/>
      <c r="G66" s="17"/>
      <c r="H66" s="17"/>
      <c r="I66" s="17"/>
      <c r="J66" s="17"/>
      <c r="K66" s="17"/>
      <c r="L66" s="17"/>
      <c r="M66" s="17"/>
    </row>
    <row r="67" spans="1:13" ht="15.75" customHeight="1">
      <c r="A67" s="17"/>
      <c r="B67" s="17"/>
      <c r="C67" s="17"/>
      <c r="D67" s="17"/>
      <c r="E67" s="17"/>
      <c r="F67" s="17"/>
      <c r="G67" s="17"/>
      <c r="H67" s="17"/>
      <c r="I67" s="17"/>
      <c r="J67" s="17"/>
      <c r="K67" s="17"/>
      <c r="L67" s="17"/>
      <c r="M67" s="17"/>
    </row>
    <row r="68" spans="1:13" ht="15.75" customHeight="1">
      <c r="A68" s="17"/>
      <c r="B68" s="17"/>
      <c r="C68" s="17"/>
      <c r="D68" s="17"/>
      <c r="E68" s="17"/>
      <c r="F68" s="17"/>
      <c r="G68" s="17"/>
      <c r="H68" s="17"/>
      <c r="I68" s="17"/>
      <c r="J68" s="17"/>
      <c r="K68" s="17"/>
      <c r="L68" s="17"/>
      <c r="M68" s="17"/>
    </row>
    <row r="69" spans="1:13" ht="15.75" customHeight="1">
      <c r="A69" s="17"/>
      <c r="B69" s="17"/>
      <c r="C69" s="17"/>
      <c r="D69" s="17"/>
      <c r="E69" s="17"/>
      <c r="F69" s="17"/>
      <c r="G69" s="17"/>
      <c r="H69" s="17"/>
      <c r="I69" s="17"/>
      <c r="J69" s="17"/>
      <c r="K69" s="17"/>
      <c r="L69" s="17"/>
      <c r="M69" s="17"/>
    </row>
    <row r="70" spans="1:13" ht="15.75" customHeight="1">
      <c r="A70" s="17"/>
      <c r="B70" s="17"/>
      <c r="C70" s="17"/>
      <c r="D70" s="17"/>
      <c r="E70" s="17"/>
      <c r="F70" s="17"/>
      <c r="G70" s="17"/>
      <c r="H70" s="17"/>
      <c r="I70" s="17"/>
      <c r="J70" s="17"/>
      <c r="K70" s="17"/>
      <c r="L70" s="17"/>
      <c r="M70" s="17"/>
    </row>
    <row r="71" spans="1:13" ht="15.75" customHeight="1">
      <c r="A71" s="17"/>
      <c r="B71" s="17"/>
      <c r="C71" s="17"/>
      <c r="D71" s="17"/>
      <c r="E71" s="17"/>
      <c r="F71" s="17"/>
      <c r="G71" s="17"/>
      <c r="H71" s="17"/>
      <c r="I71" s="17"/>
      <c r="J71" s="17"/>
      <c r="K71" s="17"/>
      <c r="L71" s="17"/>
      <c r="M71" s="17"/>
    </row>
    <row r="72" spans="1:13" ht="15.75" customHeight="1">
      <c r="A72" s="17"/>
      <c r="B72" s="17"/>
      <c r="C72" s="17"/>
      <c r="D72" s="17"/>
      <c r="E72" s="17"/>
      <c r="F72" s="17"/>
      <c r="G72" s="17"/>
      <c r="H72" s="17"/>
      <c r="I72" s="17"/>
      <c r="J72" s="17"/>
      <c r="K72" s="17"/>
      <c r="L72" s="17"/>
      <c r="M72" s="17"/>
    </row>
    <row r="73" spans="1:13" ht="15.75" customHeight="1">
      <c r="A73" s="17"/>
      <c r="B73" s="17"/>
      <c r="C73" s="17"/>
      <c r="D73" s="17"/>
      <c r="E73" s="17"/>
      <c r="F73" s="17"/>
      <c r="G73" s="17"/>
      <c r="H73" s="17"/>
      <c r="I73" s="17"/>
      <c r="J73" s="17"/>
      <c r="K73" s="17"/>
      <c r="L73" s="17"/>
      <c r="M73" s="17"/>
    </row>
    <row r="74" spans="1:13" ht="15.75" customHeight="1">
      <c r="A74" s="17"/>
      <c r="B74" s="17"/>
      <c r="C74" s="17"/>
      <c r="D74" s="17"/>
      <c r="E74" s="17"/>
      <c r="F74" s="17"/>
      <c r="G74" s="17"/>
      <c r="H74" s="17"/>
      <c r="I74" s="17"/>
      <c r="J74" s="17"/>
      <c r="K74" s="17"/>
      <c r="L74" s="17"/>
      <c r="M74" s="17"/>
    </row>
    <row r="75" spans="1:13" ht="15.75" customHeight="1">
      <c r="A75" s="17"/>
      <c r="B75" s="17"/>
      <c r="C75" s="17"/>
      <c r="D75" s="17"/>
      <c r="E75" s="17"/>
      <c r="F75" s="17"/>
      <c r="G75" s="17"/>
      <c r="H75" s="17"/>
      <c r="I75" s="17"/>
      <c r="J75" s="17"/>
      <c r="K75" s="17"/>
      <c r="L75" s="17"/>
      <c r="M75" s="17"/>
    </row>
    <row r="76" spans="1:13" ht="15.75" customHeight="1">
      <c r="A76" s="17"/>
      <c r="B76" s="17"/>
      <c r="C76" s="17"/>
      <c r="D76" s="17"/>
      <c r="E76" s="17"/>
      <c r="F76" s="17"/>
      <c r="G76" s="17"/>
      <c r="H76" s="17"/>
      <c r="I76" s="17"/>
      <c r="J76" s="17"/>
      <c r="K76" s="17"/>
      <c r="L76" s="17"/>
      <c r="M76" s="17"/>
    </row>
    <row r="77" spans="1:13" ht="15.75" customHeight="1">
      <c r="A77" s="17"/>
      <c r="B77" s="17"/>
      <c r="C77" s="17"/>
      <c r="D77" s="17"/>
      <c r="E77" s="17"/>
      <c r="F77" s="17"/>
      <c r="G77" s="17"/>
      <c r="H77" s="17"/>
      <c r="I77" s="17"/>
      <c r="J77" s="17"/>
      <c r="K77" s="17"/>
      <c r="L77" s="17"/>
      <c r="M77" s="17"/>
    </row>
    <row r="78" spans="1:13" ht="15.75" customHeight="1">
      <c r="A78" s="17"/>
      <c r="B78" s="17"/>
      <c r="C78" s="17"/>
      <c r="D78" s="17"/>
      <c r="E78" s="17"/>
      <c r="F78" s="17"/>
      <c r="G78" s="17"/>
      <c r="H78" s="17"/>
      <c r="I78" s="17"/>
      <c r="J78" s="17"/>
      <c r="K78" s="17"/>
      <c r="L78" s="17"/>
      <c r="M78" s="17"/>
    </row>
    <row r="79" spans="1:13" ht="15.75" customHeight="1">
      <c r="A79" s="17"/>
      <c r="B79" s="17"/>
      <c r="C79" s="17"/>
      <c r="D79" s="17"/>
      <c r="E79" s="17"/>
      <c r="F79" s="17"/>
      <c r="G79" s="17"/>
      <c r="H79" s="17"/>
      <c r="I79" s="17"/>
      <c r="J79" s="17"/>
      <c r="K79" s="17"/>
      <c r="L79" s="17"/>
      <c r="M79" s="17"/>
    </row>
    <row r="80" spans="1:13" ht="15.75" customHeight="1">
      <c r="A80" s="17"/>
      <c r="B80" s="17"/>
      <c r="C80" s="17"/>
      <c r="D80" s="17"/>
      <c r="E80" s="17"/>
      <c r="F80" s="17"/>
      <c r="G80" s="17"/>
      <c r="H80" s="17"/>
      <c r="I80" s="17"/>
      <c r="J80" s="17"/>
      <c r="K80" s="17"/>
      <c r="L80" s="17"/>
      <c r="M80" s="17"/>
    </row>
    <row r="81" spans="1:13" ht="15.75" customHeight="1">
      <c r="A81" s="17"/>
      <c r="B81" s="17"/>
      <c r="C81" s="17"/>
      <c r="D81" s="17"/>
      <c r="E81" s="17"/>
      <c r="F81" s="17"/>
      <c r="G81" s="17"/>
      <c r="H81" s="17"/>
      <c r="I81" s="17"/>
      <c r="J81" s="17"/>
      <c r="K81" s="17"/>
      <c r="L81" s="17"/>
      <c r="M81" s="17"/>
    </row>
    <row r="82" spans="1:13" ht="15.75" customHeight="1">
      <c r="A82" s="17"/>
      <c r="B82" s="17"/>
      <c r="C82" s="17"/>
      <c r="D82" s="17"/>
      <c r="E82" s="17"/>
      <c r="F82" s="17"/>
      <c r="G82" s="17"/>
      <c r="H82" s="17"/>
      <c r="I82" s="17"/>
      <c r="J82" s="17"/>
      <c r="K82" s="17"/>
      <c r="L82" s="17"/>
      <c r="M82" s="17"/>
    </row>
    <row r="83" spans="1:13" ht="15.75" customHeight="1">
      <c r="A83" s="17"/>
      <c r="B83" s="17"/>
      <c r="C83" s="17"/>
      <c r="D83" s="17"/>
      <c r="E83" s="17"/>
      <c r="F83" s="17"/>
      <c r="G83" s="17"/>
      <c r="H83" s="17"/>
      <c r="I83" s="17"/>
      <c r="J83" s="17"/>
      <c r="K83" s="17"/>
      <c r="L83" s="17"/>
      <c r="M83" s="17"/>
    </row>
    <row r="84" spans="1:13" ht="15.75" customHeight="1">
      <c r="A84" s="17"/>
      <c r="B84" s="17"/>
      <c r="C84" s="17"/>
      <c r="D84" s="17"/>
      <c r="E84" s="17"/>
      <c r="F84" s="17"/>
      <c r="G84" s="17"/>
      <c r="H84" s="17"/>
      <c r="I84" s="17"/>
      <c r="J84" s="17"/>
      <c r="K84" s="17"/>
      <c r="L84" s="17"/>
      <c r="M84" s="17"/>
    </row>
    <row r="85" spans="1:13" ht="15.75" customHeight="1">
      <c r="A85" s="17"/>
      <c r="B85" s="17"/>
      <c r="C85" s="17"/>
      <c r="D85" s="17"/>
      <c r="E85" s="17"/>
      <c r="F85" s="17"/>
      <c r="G85" s="17"/>
      <c r="H85" s="17"/>
      <c r="I85" s="17"/>
      <c r="J85" s="17"/>
      <c r="K85" s="17"/>
      <c r="L85" s="17"/>
      <c r="M85" s="17"/>
    </row>
    <row r="86" spans="1:13" ht="15.75" customHeight="1">
      <c r="A86" s="17"/>
      <c r="B86" s="17"/>
      <c r="C86" s="17"/>
      <c r="D86" s="17"/>
      <c r="E86" s="17"/>
      <c r="F86" s="17"/>
      <c r="G86" s="17"/>
      <c r="H86" s="17"/>
      <c r="I86" s="17"/>
      <c r="J86" s="17"/>
      <c r="K86" s="17"/>
      <c r="L86" s="17"/>
      <c r="M86" s="17"/>
    </row>
    <row r="87" spans="1:13" ht="15.75" customHeight="1">
      <c r="A87" s="17"/>
      <c r="B87" s="17"/>
      <c r="C87" s="17"/>
      <c r="D87" s="17"/>
      <c r="E87" s="17"/>
      <c r="F87" s="17"/>
      <c r="G87" s="17"/>
      <c r="H87" s="17"/>
      <c r="I87" s="17"/>
      <c r="J87" s="17"/>
      <c r="K87" s="17"/>
      <c r="L87" s="17"/>
      <c r="M87" s="17"/>
    </row>
    <row r="88" spans="1:13" ht="15.75" customHeight="1">
      <c r="A88" s="17"/>
      <c r="B88" s="17"/>
      <c r="C88" s="17"/>
      <c r="D88" s="17"/>
      <c r="E88" s="17"/>
      <c r="F88" s="17"/>
      <c r="G88" s="17"/>
      <c r="H88" s="17"/>
      <c r="I88" s="17"/>
      <c r="J88" s="17"/>
      <c r="K88" s="17"/>
      <c r="L88" s="17"/>
      <c r="M88" s="17"/>
    </row>
    <row r="89" spans="1:13" ht="15.75" customHeight="1">
      <c r="A89" s="17"/>
      <c r="B89" s="17"/>
      <c r="C89" s="17"/>
      <c r="D89" s="17"/>
      <c r="E89" s="17"/>
      <c r="F89" s="17"/>
      <c r="G89" s="17"/>
      <c r="H89" s="17"/>
      <c r="I89" s="17"/>
      <c r="J89" s="17"/>
      <c r="K89" s="17"/>
      <c r="L89" s="17"/>
      <c r="M89" s="17"/>
    </row>
    <row r="90" spans="1:13" ht="15.75" customHeight="1">
      <c r="A90" s="17"/>
      <c r="B90" s="17"/>
      <c r="C90" s="17"/>
      <c r="D90" s="17"/>
      <c r="E90" s="17"/>
      <c r="F90" s="17"/>
      <c r="G90" s="17"/>
      <c r="H90" s="17"/>
      <c r="I90" s="17"/>
      <c r="J90" s="17"/>
      <c r="K90" s="17"/>
      <c r="L90" s="17"/>
      <c r="M90" s="17"/>
    </row>
    <row r="91" spans="1:13" ht="15.75" customHeight="1">
      <c r="A91" s="17"/>
      <c r="B91" s="17"/>
      <c r="C91" s="17"/>
      <c r="D91" s="17"/>
      <c r="E91" s="17"/>
      <c r="F91" s="17"/>
      <c r="G91" s="17"/>
      <c r="H91" s="17"/>
      <c r="I91" s="17"/>
      <c r="J91" s="17"/>
      <c r="K91" s="17"/>
      <c r="L91" s="17"/>
      <c r="M91" s="17"/>
    </row>
    <row r="92" spans="1:13" ht="15.75" customHeight="1">
      <c r="A92" s="17"/>
      <c r="B92" s="17"/>
      <c r="C92" s="17"/>
      <c r="D92" s="17"/>
      <c r="E92" s="17"/>
      <c r="F92" s="17"/>
      <c r="G92" s="17"/>
      <c r="H92" s="17"/>
      <c r="I92" s="17"/>
      <c r="J92" s="17"/>
      <c r="K92" s="17"/>
      <c r="L92" s="17"/>
      <c r="M92" s="17"/>
    </row>
    <row r="93" spans="1:13" ht="15.75" customHeight="1">
      <c r="A93" s="17"/>
      <c r="B93" s="17"/>
      <c r="C93" s="17"/>
      <c r="D93" s="17"/>
      <c r="E93" s="17"/>
      <c r="F93" s="17"/>
      <c r="G93" s="17"/>
      <c r="H93" s="17"/>
      <c r="I93" s="17"/>
      <c r="J93" s="17"/>
      <c r="K93" s="17"/>
      <c r="L93" s="17"/>
      <c r="M93" s="17"/>
    </row>
    <row r="94" spans="1:13" ht="15.75" customHeight="1">
      <c r="A94" s="17"/>
      <c r="B94" s="17"/>
      <c r="C94" s="17"/>
      <c r="D94" s="17"/>
      <c r="E94" s="17"/>
      <c r="F94" s="17"/>
      <c r="G94" s="17"/>
      <c r="H94" s="17"/>
      <c r="I94" s="17"/>
      <c r="J94" s="17"/>
      <c r="K94" s="17"/>
      <c r="L94" s="17"/>
      <c r="M94" s="17"/>
    </row>
    <row r="95" spans="1:13" ht="15.75" customHeight="1">
      <c r="A95" s="17"/>
      <c r="B95" s="17"/>
      <c r="C95" s="17"/>
      <c r="D95" s="17"/>
      <c r="E95" s="17"/>
      <c r="F95" s="17"/>
      <c r="G95" s="17"/>
      <c r="H95" s="17"/>
      <c r="I95" s="17"/>
      <c r="J95" s="17"/>
      <c r="K95" s="17"/>
      <c r="L95" s="17"/>
      <c r="M95" s="17"/>
    </row>
    <row r="96" spans="1:13" ht="15.75" customHeight="1">
      <c r="A96" s="17"/>
      <c r="B96" s="17"/>
      <c r="C96" s="17"/>
      <c r="D96" s="17"/>
      <c r="E96" s="17"/>
      <c r="F96" s="17"/>
      <c r="G96" s="17"/>
      <c r="H96" s="17"/>
      <c r="I96" s="17"/>
      <c r="J96" s="17"/>
      <c r="K96" s="17"/>
      <c r="L96" s="17"/>
      <c r="M96" s="17"/>
    </row>
    <row r="97" spans="1:13" ht="15.75" customHeight="1">
      <c r="A97" s="17"/>
      <c r="B97" s="17"/>
      <c r="C97" s="17"/>
      <c r="D97" s="17"/>
      <c r="E97" s="17"/>
      <c r="F97" s="17"/>
      <c r="G97" s="17"/>
      <c r="H97" s="17"/>
      <c r="I97" s="17"/>
      <c r="J97" s="17"/>
      <c r="K97" s="17"/>
      <c r="L97" s="17"/>
      <c r="M97" s="17"/>
    </row>
    <row r="98" spans="1:13" ht="15.75" customHeight="1">
      <c r="A98" s="17"/>
      <c r="B98" s="17"/>
      <c r="C98" s="17"/>
      <c r="D98" s="17"/>
      <c r="E98" s="17"/>
      <c r="F98" s="17"/>
      <c r="G98" s="17"/>
      <c r="H98" s="17"/>
      <c r="I98" s="17"/>
      <c r="J98" s="17"/>
      <c r="K98" s="17"/>
      <c r="L98" s="17"/>
      <c r="M98" s="17"/>
    </row>
    <row r="99" spans="1:13" ht="15.75" customHeight="1">
      <c r="A99" s="17"/>
      <c r="B99" s="17"/>
      <c r="C99" s="17"/>
      <c r="D99" s="17"/>
      <c r="E99" s="17"/>
      <c r="F99" s="17"/>
      <c r="G99" s="17"/>
      <c r="H99" s="17"/>
      <c r="I99" s="17"/>
      <c r="J99" s="17"/>
      <c r="K99" s="17"/>
      <c r="L99" s="17"/>
      <c r="M99" s="17"/>
    </row>
    <row r="100" spans="1:13" ht="15.75" customHeight="1">
      <c r="A100" s="17"/>
      <c r="B100" s="17"/>
      <c r="C100" s="17"/>
      <c r="D100" s="17"/>
      <c r="E100" s="17"/>
      <c r="F100" s="17"/>
      <c r="G100" s="17"/>
      <c r="H100" s="17"/>
      <c r="I100" s="17"/>
      <c r="J100" s="17"/>
      <c r="K100" s="17"/>
      <c r="L100" s="17"/>
      <c r="M100" s="17"/>
    </row>
    <row r="101" spans="1:13" ht="15.75" customHeight="1">
      <c r="A101" s="17"/>
      <c r="B101" s="17"/>
      <c r="C101" s="17"/>
      <c r="D101" s="17"/>
      <c r="E101" s="17"/>
      <c r="F101" s="17"/>
      <c r="G101" s="17"/>
      <c r="H101" s="17"/>
      <c r="I101" s="17"/>
      <c r="J101" s="17"/>
      <c r="K101" s="17"/>
      <c r="L101" s="17"/>
      <c r="M101" s="17"/>
    </row>
    <row r="102" spans="1:13" ht="15.75" customHeight="1">
      <c r="A102" s="17"/>
      <c r="B102" s="17"/>
      <c r="C102" s="17"/>
      <c r="D102" s="17"/>
      <c r="E102" s="17"/>
      <c r="F102" s="17"/>
      <c r="G102" s="17"/>
      <c r="H102" s="17"/>
      <c r="I102" s="17"/>
      <c r="J102" s="17"/>
      <c r="K102" s="17"/>
      <c r="L102" s="17"/>
      <c r="M102" s="17"/>
    </row>
    <row r="103" spans="1:13" ht="15.75" customHeight="1">
      <c r="A103" s="17"/>
      <c r="B103" s="17"/>
      <c r="C103" s="17"/>
      <c r="D103" s="17"/>
      <c r="E103" s="17"/>
      <c r="F103" s="17"/>
      <c r="G103" s="17"/>
      <c r="H103" s="17"/>
      <c r="I103" s="17"/>
      <c r="J103" s="17"/>
      <c r="K103" s="17"/>
      <c r="L103" s="17"/>
      <c r="M103" s="17"/>
    </row>
    <row r="104" spans="1:13" ht="15.75" customHeight="1">
      <c r="A104" s="17"/>
      <c r="B104" s="17"/>
      <c r="C104" s="17"/>
      <c r="D104" s="17"/>
      <c r="E104" s="17"/>
      <c r="F104" s="17"/>
      <c r="G104" s="17"/>
      <c r="H104" s="17"/>
      <c r="I104" s="17"/>
      <c r="J104" s="17"/>
      <c r="K104" s="17"/>
      <c r="L104" s="17"/>
      <c r="M104" s="17"/>
    </row>
    <row r="105" spans="1:13" ht="15.75" customHeight="1">
      <c r="A105" s="17"/>
      <c r="B105" s="17"/>
      <c r="C105" s="17"/>
      <c r="D105" s="17"/>
      <c r="E105" s="17"/>
      <c r="F105" s="17"/>
      <c r="G105" s="17"/>
      <c r="H105" s="17"/>
      <c r="I105" s="17"/>
      <c r="J105" s="17"/>
      <c r="K105" s="17"/>
      <c r="L105" s="17"/>
      <c r="M105" s="17"/>
    </row>
    <row r="106" spans="1:13" ht="15.75" customHeight="1">
      <c r="A106" s="17"/>
      <c r="B106" s="17"/>
      <c r="C106" s="17"/>
      <c r="D106" s="17"/>
      <c r="E106" s="17"/>
      <c r="F106" s="17"/>
      <c r="G106" s="17"/>
      <c r="H106" s="17"/>
      <c r="I106" s="17"/>
      <c r="J106" s="17"/>
      <c r="K106" s="17"/>
      <c r="L106" s="17"/>
      <c r="M106" s="17"/>
    </row>
    <row r="107" spans="1:13" ht="15.75" customHeight="1">
      <c r="A107" s="17"/>
      <c r="B107" s="17"/>
      <c r="C107" s="17"/>
      <c r="D107" s="17"/>
      <c r="E107" s="17"/>
      <c r="F107" s="17"/>
      <c r="G107" s="17"/>
      <c r="H107" s="17"/>
      <c r="I107" s="17"/>
      <c r="J107" s="17"/>
      <c r="K107" s="17"/>
      <c r="L107" s="17"/>
      <c r="M107" s="17"/>
    </row>
    <row r="108" spans="1:13" ht="15.75" customHeight="1">
      <c r="A108" s="17"/>
      <c r="B108" s="17"/>
      <c r="C108" s="17"/>
      <c r="D108" s="17"/>
      <c r="E108" s="17"/>
      <c r="F108" s="17"/>
      <c r="G108" s="17"/>
      <c r="H108" s="17"/>
      <c r="I108" s="17"/>
      <c r="J108" s="17"/>
      <c r="K108" s="17"/>
      <c r="L108" s="17"/>
      <c r="M108" s="17"/>
    </row>
    <row r="109" spans="1:13" ht="15.75" customHeight="1">
      <c r="A109" s="17"/>
      <c r="B109" s="17"/>
      <c r="C109" s="17"/>
      <c r="D109" s="17"/>
      <c r="E109" s="17"/>
      <c r="F109" s="17"/>
      <c r="G109" s="17"/>
      <c r="H109" s="17"/>
      <c r="I109" s="17"/>
      <c r="J109" s="17"/>
      <c r="K109" s="17"/>
      <c r="L109" s="17"/>
      <c r="M109" s="17"/>
    </row>
    <row r="110" spans="1:13" ht="15.75" customHeight="1">
      <c r="A110" s="17"/>
      <c r="B110" s="17"/>
      <c r="C110" s="17"/>
      <c r="D110" s="17"/>
      <c r="E110" s="17"/>
      <c r="F110" s="17"/>
      <c r="G110" s="17"/>
      <c r="H110" s="17"/>
      <c r="I110" s="17"/>
      <c r="J110" s="17"/>
      <c r="K110" s="17"/>
      <c r="L110" s="17"/>
      <c r="M110" s="17"/>
    </row>
    <row r="111" spans="1:13" ht="15.75" customHeight="1">
      <c r="A111" s="17"/>
      <c r="B111" s="17"/>
      <c r="C111" s="17"/>
      <c r="D111" s="17"/>
      <c r="E111" s="17"/>
      <c r="F111" s="17"/>
      <c r="G111" s="17"/>
      <c r="H111" s="17"/>
      <c r="I111" s="17"/>
      <c r="J111" s="17"/>
      <c r="K111" s="17"/>
      <c r="L111" s="17"/>
      <c r="M111" s="17"/>
    </row>
    <row r="112" spans="1:13" ht="15.75" customHeight="1">
      <c r="A112" s="17"/>
      <c r="B112" s="17"/>
      <c r="C112" s="17"/>
      <c r="D112" s="17"/>
      <c r="E112" s="17"/>
      <c r="F112" s="17"/>
      <c r="G112" s="17"/>
      <c r="H112" s="17"/>
      <c r="I112" s="17"/>
      <c r="J112" s="17"/>
      <c r="K112" s="17"/>
      <c r="L112" s="17"/>
      <c r="M112" s="17"/>
    </row>
    <row r="113" spans="1:13" ht="15.75" customHeight="1">
      <c r="A113" s="17"/>
      <c r="B113" s="17"/>
      <c r="C113" s="17"/>
      <c r="D113" s="17"/>
      <c r="E113" s="17"/>
      <c r="F113" s="17"/>
      <c r="G113" s="17"/>
      <c r="H113" s="17"/>
      <c r="I113" s="17"/>
      <c r="J113" s="17"/>
      <c r="K113" s="17"/>
      <c r="L113" s="17"/>
      <c r="M113" s="17"/>
    </row>
    <row r="114" spans="1:13" ht="15.75" customHeight="1">
      <c r="A114" s="17"/>
      <c r="B114" s="17"/>
      <c r="C114" s="17"/>
      <c r="D114" s="17"/>
      <c r="E114" s="17"/>
      <c r="F114" s="17"/>
      <c r="G114" s="17"/>
      <c r="H114" s="17"/>
      <c r="I114" s="17"/>
      <c r="J114" s="17"/>
      <c r="K114" s="17"/>
      <c r="L114" s="17"/>
      <c r="M114" s="17"/>
    </row>
    <row r="115" spans="1:13" ht="15.75" customHeight="1">
      <c r="A115" s="17"/>
      <c r="B115" s="17"/>
      <c r="C115" s="17"/>
      <c r="D115" s="17"/>
      <c r="E115" s="17"/>
      <c r="F115" s="17"/>
      <c r="G115" s="17"/>
      <c r="H115" s="17"/>
      <c r="I115" s="17"/>
      <c r="J115" s="17"/>
      <c r="K115" s="17"/>
      <c r="L115" s="17"/>
      <c r="M115" s="17"/>
    </row>
    <row r="116" spans="1:13" ht="15.75" customHeight="1">
      <c r="A116" s="17"/>
      <c r="B116" s="17"/>
      <c r="C116" s="17"/>
      <c r="D116" s="17"/>
      <c r="E116" s="17"/>
      <c r="F116" s="17"/>
      <c r="G116" s="17"/>
      <c r="H116" s="17"/>
      <c r="I116" s="17"/>
      <c r="J116" s="17"/>
      <c r="K116" s="17"/>
      <c r="L116" s="17"/>
      <c r="M116" s="17"/>
    </row>
    <row r="117" spans="1:13" ht="15.75" customHeight="1">
      <c r="A117" s="17"/>
      <c r="B117" s="17"/>
      <c r="C117" s="17"/>
      <c r="D117" s="17"/>
      <c r="E117" s="17"/>
      <c r="F117" s="17"/>
      <c r="G117" s="17"/>
      <c r="H117" s="17"/>
      <c r="I117" s="17"/>
      <c r="J117" s="17"/>
      <c r="K117" s="17"/>
      <c r="L117" s="17"/>
      <c r="M117" s="17"/>
    </row>
    <row r="118" spans="1:13" ht="15.75" customHeight="1">
      <c r="A118" s="17"/>
      <c r="B118" s="17"/>
      <c r="C118" s="17"/>
      <c r="D118" s="17"/>
      <c r="E118" s="17"/>
      <c r="F118" s="17"/>
      <c r="G118" s="17"/>
      <c r="H118" s="17"/>
      <c r="I118" s="17"/>
      <c r="J118" s="17"/>
      <c r="K118" s="17"/>
      <c r="L118" s="17"/>
      <c r="M118" s="17"/>
    </row>
    <row r="119" spans="1:13" ht="15.75" customHeight="1">
      <c r="A119" s="17"/>
      <c r="B119" s="17"/>
      <c r="C119" s="17"/>
      <c r="D119" s="17"/>
      <c r="E119" s="17"/>
      <c r="F119" s="17"/>
      <c r="G119" s="17"/>
      <c r="H119" s="17"/>
      <c r="I119" s="17"/>
      <c r="J119" s="17"/>
      <c r="K119" s="17"/>
      <c r="L119" s="17"/>
      <c r="M119" s="17"/>
    </row>
    <row r="120" spans="1:13" ht="15.75" customHeight="1">
      <c r="A120" s="17"/>
      <c r="B120" s="17"/>
      <c r="C120" s="17"/>
      <c r="D120" s="17"/>
      <c r="E120" s="17"/>
      <c r="F120" s="17"/>
      <c r="G120" s="17"/>
      <c r="H120" s="17"/>
      <c r="I120" s="17"/>
      <c r="J120" s="17"/>
      <c r="K120" s="17"/>
      <c r="L120" s="17"/>
      <c r="M120" s="17"/>
    </row>
    <row r="121" spans="1:13" ht="15.75" customHeight="1">
      <c r="A121" s="17"/>
      <c r="B121" s="17"/>
      <c r="C121" s="17"/>
      <c r="D121" s="17"/>
      <c r="E121" s="17"/>
      <c r="F121" s="17"/>
      <c r="G121" s="17"/>
      <c r="H121" s="17"/>
      <c r="I121" s="17"/>
      <c r="J121" s="17"/>
      <c r="K121" s="17"/>
      <c r="L121" s="17"/>
      <c r="M121" s="17"/>
    </row>
    <row r="122" spans="1:13" ht="15.75" customHeight="1">
      <c r="A122" s="17"/>
      <c r="B122" s="17"/>
      <c r="C122" s="17"/>
      <c r="D122" s="17"/>
      <c r="E122" s="17"/>
      <c r="F122" s="17"/>
      <c r="G122" s="17"/>
      <c r="H122" s="17"/>
      <c r="I122" s="17"/>
      <c r="J122" s="17"/>
      <c r="K122" s="17"/>
      <c r="L122" s="17"/>
      <c r="M122" s="17"/>
    </row>
    <row r="123" spans="1:13" ht="15.75" customHeight="1">
      <c r="A123" s="17"/>
      <c r="B123" s="17"/>
      <c r="C123" s="17"/>
      <c r="D123" s="17"/>
      <c r="E123" s="17"/>
      <c r="F123" s="17"/>
      <c r="G123" s="17"/>
      <c r="H123" s="17"/>
      <c r="I123" s="17"/>
      <c r="J123" s="17"/>
      <c r="K123" s="17"/>
      <c r="L123" s="17"/>
      <c r="M123" s="17"/>
    </row>
    <row r="124" spans="1:13" ht="15.75" customHeight="1">
      <c r="A124" s="17"/>
      <c r="B124" s="17"/>
      <c r="C124" s="17"/>
      <c r="D124" s="17"/>
      <c r="E124" s="17"/>
      <c r="F124" s="17"/>
      <c r="G124" s="17"/>
      <c r="H124" s="17"/>
      <c r="I124" s="17"/>
      <c r="J124" s="17"/>
      <c r="K124" s="17"/>
      <c r="L124" s="17"/>
      <c r="M124" s="17"/>
    </row>
    <row r="125" spans="1:13" ht="15.75" customHeight="1">
      <c r="A125" s="17"/>
      <c r="B125" s="17"/>
      <c r="C125" s="17"/>
      <c r="D125" s="17"/>
      <c r="E125" s="17"/>
      <c r="F125" s="17"/>
      <c r="G125" s="17"/>
      <c r="H125" s="17"/>
      <c r="I125" s="17"/>
      <c r="J125" s="17"/>
      <c r="K125" s="17"/>
      <c r="L125" s="17"/>
      <c r="M125" s="17"/>
    </row>
    <row r="126" spans="1:13" ht="15.75" customHeight="1">
      <c r="A126" s="17"/>
      <c r="B126" s="17"/>
      <c r="C126" s="17"/>
      <c r="D126" s="17"/>
      <c r="E126" s="17"/>
      <c r="F126" s="17"/>
      <c r="G126" s="17"/>
      <c r="H126" s="17"/>
      <c r="I126" s="17"/>
      <c r="J126" s="17"/>
      <c r="K126" s="17"/>
      <c r="L126" s="17"/>
      <c r="M126" s="17"/>
    </row>
    <row r="127" spans="1:13" ht="15.75" customHeight="1">
      <c r="A127" s="17"/>
      <c r="B127" s="17"/>
      <c r="C127" s="17"/>
      <c r="D127" s="17"/>
      <c r="E127" s="17"/>
      <c r="F127" s="17"/>
      <c r="G127" s="17"/>
      <c r="H127" s="17"/>
      <c r="I127" s="17"/>
      <c r="J127" s="17"/>
      <c r="K127" s="17"/>
      <c r="L127" s="17"/>
      <c r="M127" s="17"/>
    </row>
    <row r="128" spans="1:13" ht="15.75" customHeight="1">
      <c r="A128" s="17"/>
      <c r="B128" s="17"/>
      <c r="C128" s="17"/>
      <c r="D128" s="17"/>
      <c r="E128" s="17"/>
      <c r="F128" s="17"/>
      <c r="G128" s="17"/>
      <c r="H128" s="17"/>
      <c r="I128" s="17"/>
      <c r="J128" s="17"/>
      <c r="K128" s="17"/>
      <c r="L128" s="17"/>
      <c r="M128" s="17"/>
    </row>
    <row r="129" spans="1:13" ht="15.75" customHeight="1">
      <c r="A129" s="17"/>
      <c r="B129" s="17"/>
      <c r="C129" s="17"/>
      <c r="D129" s="17"/>
      <c r="E129" s="17"/>
      <c r="F129" s="17"/>
      <c r="G129" s="17"/>
      <c r="H129" s="17"/>
      <c r="I129" s="17"/>
      <c r="J129" s="17"/>
      <c r="K129" s="17"/>
      <c r="L129" s="17"/>
      <c r="M129" s="17"/>
    </row>
    <row r="130" spans="1:13" ht="15.75" customHeight="1">
      <c r="A130" s="17"/>
      <c r="B130" s="17"/>
      <c r="C130" s="17"/>
      <c r="D130" s="17"/>
      <c r="E130" s="17"/>
      <c r="F130" s="17"/>
      <c r="G130" s="17"/>
      <c r="H130" s="17"/>
      <c r="I130" s="17"/>
      <c r="J130" s="17"/>
      <c r="K130" s="17"/>
      <c r="L130" s="17"/>
      <c r="M130" s="17"/>
    </row>
    <row r="131" spans="1:13" ht="15.75" customHeight="1">
      <c r="A131" s="17"/>
      <c r="B131" s="17"/>
      <c r="C131" s="17"/>
      <c r="D131" s="17"/>
      <c r="E131" s="17"/>
      <c r="F131" s="17"/>
      <c r="G131" s="17"/>
      <c r="H131" s="17"/>
      <c r="I131" s="17"/>
      <c r="J131" s="17"/>
      <c r="K131" s="17"/>
      <c r="L131" s="17"/>
      <c r="M131" s="17"/>
    </row>
    <row r="132" spans="1:13" ht="15.75" customHeight="1">
      <c r="A132" s="17"/>
      <c r="B132" s="17"/>
      <c r="C132" s="17"/>
      <c r="D132" s="17"/>
      <c r="E132" s="17"/>
      <c r="F132" s="17"/>
      <c r="G132" s="17"/>
      <c r="H132" s="17"/>
      <c r="I132" s="17"/>
      <c r="J132" s="17"/>
      <c r="K132" s="17"/>
      <c r="L132" s="17"/>
      <c r="M132" s="17"/>
    </row>
    <row r="133" spans="1:13" ht="15.75" customHeight="1">
      <c r="A133" s="17"/>
      <c r="B133" s="17"/>
      <c r="C133" s="17"/>
      <c r="D133" s="17"/>
      <c r="E133" s="17"/>
      <c r="F133" s="17"/>
      <c r="G133" s="17"/>
      <c r="H133" s="17"/>
      <c r="I133" s="17"/>
      <c r="J133" s="17"/>
      <c r="K133" s="17"/>
      <c r="L133" s="17"/>
      <c r="M133" s="17"/>
    </row>
    <row r="134" spans="1:13" ht="15.75" customHeight="1">
      <c r="A134" s="17"/>
      <c r="B134" s="17"/>
      <c r="C134" s="17"/>
      <c r="D134" s="17"/>
      <c r="E134" s="17"/>
      <c r="F134" s="17"/>
      <c r="G134" s="17"/>
      <c r="H134" s="17"/>
      <c r="I134" s="17"/>
      <c r="J134" s="17"/>
      <c r="K134" s="17"/>
      <c r="L134" s="17"/>
      <c r="M134" s="17"/>
    </row>
    <row r="135" spans="1:13" ht="15.75" customHeight="1">
      <c r="A135" s="17"/>
      <c r="B135" s="17"/>
      <c r="C135" s="17"/>
      <c r="D135" s="17"/>
      <c r="E135" s="17"/>
      <c r="F135" s="17"/>
      <c r="G135" s="17"/>
      <c r="H135" s="17"/>
      <c r="I135" s="17"/>
      <c r="J135" s="17"/>
      <c r="K135" s="17"/>
      <c r="L135" s="17"/>
      <c r="M135" s="17"/>
    </row>
    <row r="136" spans="1:13" ht="15.75" customHeight="1">
      <c r="A136" s="17"/>
      <c r="B136" s="17"/>
      <c r="C136" s="17"/>
      <c r="D136" s="17"/>
      <c r="E136" s="17"/>
      <c r="F136" s="17"/>
      <c r="G136" s="17"/>
      <c r="H136" s="17"/>
      <c r="I136" s="17"/>
      <c r="J136" s="17"/>
      <c r="K136" s="17"/>
      <c r="L136" s="17"/>
      <c r="M136" s="17"/>
    </row>
    <row r="137" spans="1:13" ht="15.75" customHeight="1">
      <c r="A137" s="17"/>
      <c r="B137" s="17"/>
      <c r="C137" s="17"/>
      <c r="D137" s="17"/>
      <c r="E137" s="17"/>
      <c r="F137" s="17"/>
      <c r="G137" s="17"/>
      <c r="H137" s="17"/>
      <c r="I137" s="17"/>
      <c r="J137" s="17"/>
      <c r="K137" s="17"/>
      <c r="L137" s="17"/>
      <c r="M137" s="17"/>
    </row>
    <row r="138" spans="1:13" ht="15.75" customHeight="1">
      <c r="A138" s="17"/>
      <c r="B138" s="17"/>
      <c r="C138" s="17"/>
      <c r="D138" s="17"/>
      <c r="E138" s="17"/>
      <c r="F138" s="17"/>
      <c r="G138" s="17"/>
      <c r="H138" s="17"/>
      <c r="I138" s="17"/>
      <c r="J138" s="17"/>
      <c r="K138" s="17"/>
      <c r="L138" s="17"/>
      <c r="M138" s="17"/>
    </row>
    <row r="139" spans="1:13" ht="15.75" customHeight="1">
      <c r="A139" s="17"/>
      <c r="B139" s="17"/>
      <c r="C139" s="17"/>
      <c r="D139" s="17"/>
      <c r="E139" s="17"/>
      <c r="F139" s="17"/>
      <c r="G139" s="17"/>
      <c r="H139" s="17"/>
      <c r="I139" s="17"/>
      <c r="J139" s="17"/>
      <c r="K139" s="17"/>
      <c r="L139" s="17"/>
      <c r="M139" s="17"/>
    </row>
    <row r="140" spans="1:13" ht="15.75" customHeight="1">
      <c r="A140" s="17"/>
      <c r="B140" s="17"/>
      <c r="C140" s="17"/>
      <c r="D140" s="17"/>
      <c r="E140" s="17"/>
      <c r="F140" s="17"/>
      <c r="G140" s="17"/>
      <c r="H140" s="17"/>
      <c r="I140" s="17"/>
      <c r="J140" s="17"/>
      <c r="K140" s="17"/>
      <c r="L140" s="17"/>
      <c r="M140" s="17"/>
    </row>
    <row r="141" spans="1:13" ht="15.75" customHeight="1">
      <c r="A141" s="17"/>
      <c r="B141" s="17"/>
      <c r="C141" s="17"/>
      <c r="D141" s="17"/>
      <c r="E141" s="17"/>
      <c r="F141" s="17"/>
      <c r="G141" s="17"/>
      <c r="H141" s="17"/>
      <c r="I141" s="17"/>
      <c r="J141" s="17"/>
      <c r="K141" s="17"/>
      <c r="L141" s="17"/>
      <c r="M141" s="17"/>
    </row>
    <row r="142" spans="1:13" ht="15.75" customHeight="1">
      <c r="A142" s="17"/>
      <c r="B142" s="17"/>
      <c r="C142" s="17"/>
      <c r="D142" s="17"/>
      <c r="E142" s="17"/>
      <c r="F142" s="17"/>
      <c r="G142" s="17"/>
      <c r="H142" s="17"/>
      <c r="I142" s="17"/>
      <c r="J142" s="17"/>
      <c r="K142" s="17"/>
      <c r="L142" s="17"/>
      <c r="M142" s="17"/>
    </row>
    <row r="143" spans="1:13" ht="15.75" customHeight="1">
      <c r="A143" s="17"/>
      <c r="B143" s="17"/>
      <c r="C143" s="17"/>
      <c r="D143" s="17"/>
      <c r="E143" s="17"/>
      <c r="F143" s="17"/>
      <c r="G143" s="17"/>
      <c r="H143" s="17"/>
      <c r="I143" s="17"/>
      <c r="J143" s="17"/>
      <c r="K143" s="17"/>
      <c r="L143" s="17"/>
      <c r="M143" s="17"/>
    </row>
    <row r="144" spans="1:13" ht="15.75" customHeight="1">
      <c r="A144" s="17"/>
      <c r="B144" s="17"/>
      <c r="C144" s="17"/>
      <c r="D144" s="17"/>
      <c r="E144" s="17"/>
      <c r="F144" s="17"/>
      <c r="G144" s="17"/>
      <c r="H144" s="17"/>
      <c r="I144" s="17"/>
      <c r="J144" s="17"/>
      <c r="K144" s="17"/>
      <c r="L144" s="17"/>
      <c r="M144" s="17"/>
    </row>
    <row r="145" spans="1:13" ht="15.75" customHeight="1">
      <c r="A145" s="17"/>
      <c r="B145" s="17"/>
      <c r="C145" s="17"/>
      <c r="D145" s="17"/>
      <c r="E145" s="17"/>
      <c r="F145" s="17"/>
      <c r="G145" s="17"/>
      <c r="H145" s="17"/>
      <c r="I145" s="17"/>
      <c r="J145" s="17"/>
      <c r="K145" s="17"/>
      <c r="L145" s="17"/>
      <c r="M145" s="17"/>
    </row>
    <row r="146" spans="1:13" ht="15.75" customHeight="1">
      <c r="A146" s="17"/>
      <c r="B146" s="17"/>
      <c r="C146" s="17"/>
      <c r="D146" s="17"/>
      <c r="E146" s="17"/>
      <c r="F146" s="17"/>
      <c r="G146" s="17"/>
      <c r="H146" s="17"/>
      <c r="I146" s="17"/>
      <c r="J146" s="17"/>
      <c r="K146" s="17"/>
      <c r="L146" s="17"/>
      <c r="M146" s="17"/>
    </row>
    <row r="147" spans="1:13" ht="15.75" customHeight="1">
      <c r="A147" s="17"/>
      <c r="B147" s="17"/>
      <c r="C147" s="17"/>
      <c r="D147" s="17"/>
      <c r="E147" s="17"/>
      <c r="F147" s="17"/>
      <c r="G147" s="17"/>
      <c r="H147" s="17"/>
      <c r="I147" s="17"/>
      <c r="J147" s="17"/>
      <c r="K147" s="17"/>
      <c r="L147" s="17"/>
      <c r="M147" s="17"/>
    </row>
    <row r="148" spans="1:13" ht="15.75" customHeight="1">
      <c r="A148" s="17"/>
      <c r="B148" s="17"/>
      <c r="C148" s="17"/>
      <c r="D148" s="17"/>
      <c r="E148" s="17"/>
      <c r="F148" s="17"/>
      <c r="G148" s="17"/>
      <c r="H148" s="17"/>
      <c r="I148" s="17"/>
      <c r="J148" s="17"/>
      <c r="K148" s="17"/>
      <c r="L148" s="17"/>
      <c r="M148" s="17"/>
    </row>
    <row r="149" spans="1:13" ht="15.75" customHeight="1">
      <c r="A149" s="17"/>
      <c r="B149" s="17"/>
      <c r="C149" s="17"/>
      <c r="D149" s="17"/>
      <c r="E149" s="17"/>
      <c r="F149" s="17"/>
      <c r="G149" s="17"/>
      <c r="H149" s="17"/>
      <c r="I149" s="17"/>
      <c r="J149" s="17"/>
      <c r="K149" s="17"/>
      <c r="L149" s="17"/>
      <c r="M149" s="17"/>
    </row>
    <row r="150" spans="1:13" ht="15.75" customHeight="1">
      <c r="A150" s="17"/>
      <c r="B150" s="17"/>
      <c r="C150" s="17"/>
      <c r="D150" s="17"/>
      <c r="E150" s="17"/>
      <c r="F150" s="17"/>
      <c r="G150" s="17"/>
      <c r="H150" s="17"/>
      <c r="I150" s="17"/>
      <c r="J150" s="17"/>
      <c r="K150" s="17"/>
      <c r="L150" s="17"/>
      <c r="M150" s="17"/>
    </row>
    <row r="151" spans="1:13" ht="15.75" customHeight="1">
      <c r="A151" s="17"/>
      <c r="B151" s="17"/>
      <c r="C151" s="17"/>
      <c r="D151" s="17"/>
      <c r="E151" s="17"/>
      <c r="F151" s="17"/>
      <c r="G151" s="17"/>
      <c r="H151" s="17"/>
      <c r="I151" s="17"/>
      <c r="J151" s="17"/>
      <c r="K151" s="17"/>
      <c r="L151" s="17"/>
      <c r="M151" s="17"/>
    </row>
    <row r="152" spans="1:13" ht="15.75" customHeight="1">
      <c r="A152" s="17"/>
      <c r="B152" s="17"/>
      <c r="C152" s="17"/>
      <c r="D152" s="17"/>
      <c r="E152" s="17"/>
      <c r="F152" s="17"/>
      <c r="G152" s="17"/>
      <c r="H152" s="17"/>
      <c r="I152" s="17"/>
      <c r="J152" s="17"/>
      <c r="K152" s="17"/>
      <c r="L152" s="17"/>
      <c r="M152" s="17"/>
    </row>
    <row r="153" spans="1:13" ht="15.75" customHeight="1">
      <c r="A153" s="17"/>
      <c r="B153" s="17"/>
      <c r="C153" s="17"/>
      <c r="D153" s="17"/>
      <c r="E153" s="17"/>
      <c r="F153" s="17"/>
      <c r="G153" s="17"/>
      <c r="H153" s="17"/>
      <c r="I153" s="17"/>
      <c r="J153" s="17"/>
      <c r="K153" s="17"/>
      <c r="L153" s="17"/>
      <c r="M153" s="17"/>
    </row>
    <row r="154" spans="1:13" ht="15.75" customHeight="1">
      <c r="A154" s="17"/>
      <c r="B154" s="17"/>
      <c r="C154" s="17"/>
      <c r="D154" s="17"/>
      <c r="E154" s="17"/>
      <c r="F154" s="17"/>
      <c r="G154" s="17"/>
      <c r="H154" s="17"/>
      <c r="I154" s="17"/>
      <c r="J154" s="17"/>
      <c r="K154" s="17"/>
      <c r="L154" s="17"/>
      <c r="M154" s="17"/>
    </row>
    <row r="155" spans="1:13" ht="15.75" customHeight="1">
      <c r="A155" s="17"/>
      <c r="B155" s="17"/>
      <c r="C155" s="17"/>
      <c r="D155" s="17"/>
      <c r="E155" s="17"/>
      <c r="F155" s="17"/>
      <c r="G155" s="17"/>
      <c r="H155" s="17"/>
      <c r="I155" s="17"/>
      <c r="J155" s="17"/>
      <c r="K155" s="17"/>
      <c r="L155" s="17"/>
      <c r="M155" s="17"/>
    </row>
    <row r="156" spans="1:13" ht="15.75" customHeight="1">
      <c r="A156" s="17"/>
      <c r="B156" s="17"/>
      <c r="C156" s="17"/>
      <c r="D156" s="17"/>
      <c r="E156" s="17"/>
      <c r="F156" s="17"/>
      <c r="G156" s="17"/>
      <c r="H156" s="17"/>
      <c r="I156" s="17"/>
      <c r="J156" s="17"/>
      <c r="K156" s="17"/>
      <c r="L156" s="17"/>
      <c r="M156" s="17"/>
    </row>
    <row r="157" spans="1:13" ht="15.75" customHeight="1">
      <c r="A157" s="17"/>
      <c r="B157" s="17"/>
      <c r="C157" s="17"/>
      <c r="D157" s="17"/>
      <c r="E157" s="17"/>
      <c r="F157" s="17"/>
      <c r="G157" s="17"/>
      <c r="H157" s="17"/>
      <c r="I157" s="17"/>
      <c r="J157" s="17"/>
      <c r="K157" s="17"/>
      <c r="L157" s="17"/>
      <c r="M157" s="17"/>
    </row>
    <row r="158" spans="1:13" ht="15.75" customHeight="1">
      <c r="A158" s="17"/>
      <c r="B158" s="17"/>
      <c r="C158" s="17"/>
      <c r="D158" s="17"/>
      <c r="E158" s="17"/>
      <c r="F158" s="17"/>
      <c r="G158" s="17"/>
      <c r="H158" s="17"/>
      <c r="I158" s="17"/>
      <c r="J158" s="17"/>
      <c r="K158" s="17"/>
      <c r="L158" s="17"/>
      <c r="M158" s="17"/>
    </row>
    <row r="159" spans="1:13" ht="15.75" customHeight="1">
      <c r="A159" s="17"/>
      <c r="B159" s="17"/>
      <c r="C159" s="17"/>
      <c r="D159" s="17"/>
      <c r="E159" s="17"/>
      <c r="F159" s="17"/>
      <c r="G159" s="17"/>
      <c r="H159" s="17"/>
      <c r="I159" s="17"/>
      <c r="J159" s="17"/>
      <c r="K159" s="17"/>
      <c r="L159" s="17"/>
      <c r="M159" s="17"/>
    </row>
    <row r="160" spans="1:13" ht="15.75" customHeight="1">
      <c r="A160" s="17"/>
      <c r="B160" s="17"/>
      <c r="C160" s="17"/>
      <c r="D160" s="17"/>
      <c r="E160" s="17"/>
      <c r="F160" s="17"/>
      <c r="G160" s="17"/>
      <c r="H160" s="17"/>
      <c r="I160" s="17"/>
      <c r="J160" s="17"/>
      <c r="K160" s="17"/>
      <c r="L160" s="17"/>
      <c r="M160" s="17"/>
    </row>
    <row r="161" spans="1:13" ht="15.75" customHeight="1">
      <c r="A161" s="17"/>
      <c r="B161" s="17"/>
      <c r="C161" s="17"/>
      <c r="D161" s="17"/>
      <c r="E161" s="17"/>
      <c r="F161" s="17"/>
      <c r="G161" s="17"/>
      <c r="H161" s="17"/>
      <c r="I161" s="17"/>
      <c r="J161" s="17"/>
      <c r="K161" s="17"/>
      <c r="L161" s="17"/>
      <c r="M161" s="17"/>
    </row>
    <row r="162" spans="1:13" ht="15.75" customHeight="1">
      <c r="A162" s="17"/>
      <c r="B162" s="17"/>
      <c r="C162" s="17"/>
      <c r="D162" s="17"/>
      <c r="E162" s="17"/>
      <c r="F162" s="17"/>
      <c r="G162" s="17"/>
      <c r="H162" s="17"/>
      <c r="I162" s="17"/>
      <c r="J162" s="17"/>
      <c r="K162" s="17"/>
      <c r="L162" s="17"/>
      <c r="M162" s="17"/>
    </row>
    <row r="163" spans="1:13" ht="15.75" customHeight="1">
      <c r="A163" s="17"/>
      <c r="B163" s="17"/>
      <c r="C163" s="17"/>
      <c r="D163" s="17"/>
      <c r="E163" s="17"/>
      <c r="F163" s="17"/>
      <c r="G163" s="17"/>
      <c r="H163" s="17"/>
      <c r="I163" s="17"/>
      <c r="J163" s="17"/>
      <c r="K163" s="17"/>
      <c r="L163" s="17"/>
      <c r="M163" s="17"/>
    </row>
    <row r="164" spans="1:13" ht="15.75" customHeight="1">
      <c r="A164" s="17"/>
      <c r="B164" s="17"/>
      <c r="C164" s="17"/>
      <c r="D164" s="17"/>
      <c r="E164" s="17"/>
      <c r="F164" s="17"/>
      <c r="G164" s="17"/>
      <c r="H164" s="17"/>
      <c r="I164" s="17"/>
      <c r="J164" s="17"/>
      <c r="K164" s="17"/>
      <c r="L164" s="17"/>
      <c r="M164" s="17"/>
    </row>
    <row r="165" spans="1:13" ht="15.75" customHeight="1">
      <c r="A165" s="17"/>
      <c r="B165" s="17"/>
      <c r="C165" s="17"/>
      <c r="D165" s="17"/>
      <c r="E165" s="17"/>
      <c r="F165" s="17"/>
      <c r="G165" s="17"/>
      <c r="H165" s="17"/>
      <c r="I165" s="17"/>
      <c r="J165" s="17"/>
      <c r="K165" s="17"/>
      <c r="L165" s="17"/>
      <c r="M165" s="17"/>
    </row>
    <row r="166" spans="1:13" ht="15.75" customHeight="1">
      <c r="A166" s="17"/>
      <c r="B166" s="17"/>
      <c r="C166" s="17"/>
      <c r="D166" s="17"/>
      <c r="E166" s="17"/>
      <c r="F166" s="17"/>
      <c r="G166" s="17"/>
      <c r="H166" s="17"/>
      <c r="I166" s="17"/>
      <c r="J166" s="17"/>
      <c r="K166" s="17"/>
      <c r="L166" s="17"/>
      <c r="M166" s="17"/>
    </row>
    <row r="167" spans="1:13" ht="15.75" customHeight="1">
      <c r="A167" s="17"/>
      <c r="B167" s="17"/>
      <c r="C167" s="17"/>
      <c r="D167" s="17"/>
      <c r="E167" s="17"/>
      <c r="F167" s="17"/>
      <c r="G167" s="17"/>
      <c r="H167" s="17"/>
      <c r="I167" s="17"/>
      <c r="J167" s="17"/>
      <c r="K167" s="17"/>
      <c r="L167" s="17"/>
      <c r="M167" s="17"/>
    </row>
    <row r="168" spans="1:13" ht="15.75" customHeight="1">
      <c r="A168" s="17"/>
      <c r="B168" s="17"/>
      <c r="C168" s="17"/>
      <c r="D168" s="17"/>
      <c r="E168" s="17"/>
      <c r="F168" s="17"/>
      <c r="G168" s="17"/>
      <c r="H168" s="17"/>
      <c r="I168" s="17"/>
      <c r="J168" s="17"/>
      <c r="K168" s="17"/>
      <c r="L168" s="17"/>
      <c r="M168" s="17"/>
    </row>
    <row r="169" spans="1:13" ht="15.75" customHeight="1">
      <c r="A169" s="17"/>
      <c r="B169" s="17"/>
      <c r="C169" s="17"/>
      <c r="D169" s="17"/>
      <c r="E169" s="17"/>
      <c r="F169" s="17"/>
      <c r="G169" s="17"/>
      <c r="H169" s="17"/>
      <c r="I169" s="17"/>
      <c r="J169" s="17"/>
      <c r="K169" s="17"/>
      <c r="L169" s="17"/>
      <c r="M169" s="17"/>
    </row>
    <row r="170" spans="1:13" ht="15.75" customHeight="1">
      <c r="A170" s="17"/>
      <c r="B170" s="17"/>
      <c r="C170" s="17"/>
      <c r="D170" s="17"/>
      <c r="E170" s="17"/>
      <c r="F170" s="17"/>
      <c r="G170" s="17"/>
      <c r="H170" s="17"/>
      <c r="I170" s="17"/>
      <c r="J170" s="17"/>
      <c r="K170" s="17"/>
      <c r="L170" s="17"/>
      <c r="M170" s="17"/>
    </row>
    <row r="171" spans="1:13" ht="15.75" customHeight="1">
      <c r="A171" s="17"/>
      <c r="B171" s="17"/>
      <c r="C171" s="17"/>
      <c r="D171" s="17"/>
      <c r="E171" s="17"/>
      <c r="F171" s="17"/>
      <c r="G171" s="17"/>
      <c r="H171" s="17"/>
      <c r="I171" s="17"/>
      <c r="J171" s="17"/>
      <c r="K171" s="17"/>
      <c r="L171" s="17"/>
      <c r="M171" s="17"/>
    </row>
    <row r="172" spans="1:13" ht="15.75" customHeight="1">
      <c r="A172" s="17"/>
      <c r="B172" s="17"/>
      <c r="C172" s="17"/>
      <c r="D172" s="17"/>
      <c r="E172" s="17"/>
      <c r="F172" s="17"/>
      <c r="G172" s="17"/>
      <c r="H172" s="17"/>
      <c r="I172" s="17"/>
      <c r="J172" s="17"/>
      <c r="K172" s="17"/>
      <c r="L172" s="17"/>
      <c r="M172" s="17"/>
    </row>
    <row r="173" spans="1:13" ht="15.75" customHeight="1">
      <c r="A173" s="17"/>
      <c r="B173" s="17"/>
      <c r="C173" s="17"/>
      <c r="D173" s="17"/>
      <c r="E173" s="17"/>
      <c r="F173" s="17"/>
      <c r="G173" s="17"/>
      <c r="H173" s="17"/>
      <c r="I173" s="17"/>
      <c r="J173" s="17"/>
      <c r="K173" s="17"/>
      <c r="L173" s="17"/>
      <c r="M173" s="17"/>
    </row>
    <row r="174" spans="1:13" ht="15.75" customHeight="1">
      <c r="A174" s="17"/>
      <c r="B174" s="17"/>
      <c r="C174" s="17"/>
      <c r="D174" s="17"/>
      <c r="E174" s="17"/>
      <c r="F174" s="17"/>
      <c r="G174" s="17"/>
      <c r="H174" s="17"/>
      <c r="I174" s="17"/>
      <c r="J174" s="17"/>
      <c r="K174" s="17"/>
      <c r="L174" s="17"/>
      <c r="M174" s="17"/>
    </row>
    <row r="175" spans="1:13" ht="15.75" customHeight="1">
      <c r="A175" s="17"/>
      <c r="B175" s="17"/>
      <c r="C175" s="17"/>
      <c r="D175" s="17"/>
      <c r="E175" s="17"/>
      <c r="F175" s="17"/>
      <c r="G175" s="17"/>
      <c r="H175" s="17"/>
      <c r="I175" s="17"/>
      <c r="J175" s="17"/>
      <c r="K175" s="17"/>
      <c r="L175" s="17"/>
      <c r="M175" s="17"/>
    </row>
    <row r="176" spans="1:13" ht="15.75" customHeight="1">
      <c r="A176" s="17"/>
      <c r="B176" s="17"/>
      <c r="C176" s="17"/>
      <c r="D176" s="17"/>
      <c r="E176" s="17"/>
      <c r="F176" s="17"/>
      <c r="G176" s="17"/>
      <c r="H176" s="17"/>
      <c r="I176" s="17"/>
      <c r="J176" s="17"/>
      <c r="K176" s="17"/>
      <c r="L176" s="17"/>
      <c r="M176" s="17"/>
    </row>
    <row r="177" spans="1:13" ht="15.75" customHeight="1">
      <c r="A177" s="17"/>
      <c r="B177" s="17"/>
      <c r="C177" s="17"/>
      <c r="D177" s="17"/>
      <c r="E177" s="17"/>
      <c r="F177" s="17"/>
      <c r="G177" s="17"/>
      <c r="H177" s="17"/>
      <c r="I177" s="17"/>
      <c r="J177" s="17"/>
      <c r="K177" s="17"/>
      <c r="L177" s="17"/>
      <c r="M177" s="17"/>
    </row>
    <row r="178" spans="1:13" ht="15.75" customHeight="1">
      <c r="A178" s="17"/>
      <c r="B178" s="17"/>
      <c r="C178" s="17"/>
      <c r="D178" s="17"/>
      <c r="E178" s="17"/>
      <c r="F178" s="17"/>
      <c r="G178" s="17"/>
      <c r="H178" s="17"/>
      <c r="I178" s="17"/>
      <c r="J178" s="17"/>
      <c r="K178" s="17"/>
      <c r="L178" s="17"/>
      <c r="M178" s="17"/>
    </row>
    <row r="179" spans="1:13" ht="15.75" customHeight="1">
      <c r="A179" s="17"/>
      <c r="B179" s="17"/>
      <c r="C179" s="17"/>
      <c r="D179" s="17"/>
      <c r="E179" s="17"/>
      <c r="F179" s="17"/>
      <c r="G179" s="17"/>
      <c r="H179" s="17"/>
      <c r="I179" s="17"/>
      <c r="J179" s="17"/>
      <c r="K179" s="17"/>
      <c r="L179" s="17"/>
      <c r="M179" s="17"/>
    </row>
    <row r="180" spans="1:13" ht="15.75" customHeight="1">
      <c r="A180" s="17"/>
      <c r="B180" s="17"/>
      <c r="C180" s="17"/>
      <c r="D180" s="17"/>
      <c r="E180" s="17"/>
      <c r="F180" s="17"/>
      <c r="G180" s="17"/>
      <c r="H180" s="17"/>
      <c r="I180" s="17"/>
      <c r="J180" s="17"/>
      <c r="K180" s="17"/>
      <c r="L180" s="17"/>
      <c r="M180" s="17"/>
    </row>
    <row r="181" spans="1:13" ht="15.75" customHeight="1">
      <c r="A181" s="17"/>
      <c r="B181" s="17"/>
      <c r="C181" s="17"/>
      <c r="D181" s="17"/>
      <c r="E181" s="17"/>
      <c r="F181" s="17"/>
      <c r="G181" s="17"/>
      <c r="H181" s="17"/>
      <c r="I181" s="17"/>
      <c r="J181" s="17"/>
      <c r="K181" s="17"/>
      <c r="L181" s="17"/>
      <c r="M181" s="17"/>
    </row>
    <row r="182" spans="1:13" ht="15.75" customHeight="1">
      <c r="A182" s="17"/>
      <c r="B182" s="17"/>
      <c r="C182" s="17"/>
      <c r="D182" s="17"/>
      <c r="E182" s="17"/>
      <c r="F182" s="17"/>
      <c r="G182" s="17"/>
      <c r="H182" s="17"/>
      <c r="I182" s="17"/>
      <c r="J182" s="17"/>
      <c r="K182" s="17"/>
      <c r="L182" s="17"/>
      <c r="M182" s="17"/>
    </row>
    <row r="183" spans="1:13" ht="15.75" customHeight="1">
      <c r="A183" s="17"/>
      <c r="B183" s="17"/>
      <c r="C183" s="17"/>
      <c r="D183" s="17"/>
      <c r="E183" s="17"/>
      <c r="F183" s="17"/>
      <c r="G183" s="17"/>
      <c r="H183" s="17"/>
      <c r="I183" s="17"/>
      <c r="J183" s="17"/>
      <c r="K183" s="17"/>
      <c r="L183" s="17"/>
      <c r="M183" s="17"/>
    </row>
    <row r="184" spans="1:13" ht="15.75" customHeight="1">
      <c r="A184" s="17"/>
      <c r="B184" s="17"/>
      <c r="C184" s="17"/>
      <c r="D184" s="17"/>
      <c r="E184" s="17"/>
      <c r="F184" s="17"/>
      <c r="G184" s="17"/>
      <c r="H184" s="17"/>
      <c r="I184" s="17"/>
      <c r="J184" s="17"/>
      <c r="K184" s="17"/>
      <c r="L184" s="17"/>
      <c r="M184" s="17"/>
    </row>
    <row r="185" spans="1:13" ht="15.75" customHeight="1">
      <c r="A185" s="17"/>
      <c r="B185" s="17"/>
      <c r="C185" s="17"/>
      <c r="D185" s="17"/>
      <c r="E185" s="17"/>
      <c r="F185" s="17"/>
      <c r="G185" s="17"/>
      <c r="H185" s="17"/>
      <c r="I185" s="17"/>
      <c r="J185" s="17"/>
      <c r="K185" s="17"/>
      <c r="L185" s="17"/>
      <c r="M185" s="17"/>
    </row>
    <row r="186" spans="1:13" ht="15.75" customHeight="1">
      <c r="A186" s="17"/>
      <c r="B186" s="17"/>
      <c r="C186" s="17"/>
      <c r="D186" s="17"/>
      <c r="E186" s="17"/>
      <c r="F186" s="17"/>
      <c r="G186" s="17"/>
      <c r="H186" s="17"/>
      <c r="I186" s="17"/>
      <c r="J186" s="17"/>
      <c r="K186" s="17"/>
      <c r="L186" s="17"/>
      <c r="M186" s="17"/>
    </row>
    <row r="187" spans="1:13" ht="15.75" customHeight="1">
      <c r="A187" s="17"/>
      <c r="B187" s="17"/>
      <c r="C187" s="17"/>
      <c r="D187" s="17"/>
      <c r="E187" s="17"/>
      <c r="F187" s="17"/>
      <c r="G187" s="17"/>
      <c r="H187" s="17"/>
      <c r="I187" s="17"/>
      <c r="J187" s="17"/>
      <c r="K187" s="17"/>
      <c r="L187" s="17"/>
      <c r="M187" s="17"/>
    </row>
    <row r="188" spans="1:13" ht="15.75" customHeight="1">
      <c r="A188" s="17"/>
      <c r="B188" s="17"/>
      <c r="C188" s="17"/>
      <c r="D188" s="17"/>
      <c r="E188" s="17"/>
      <c r="F188" s="17"/>
      <c r="G188" s="17"/>
      <c r="H188" s="17"/>
      <c r="I188" s="17"/>
      <c r="J188" s="17"/>
      <c r="K188" s="17"/>
      <c r="L188" s="17"/>
      <c r="M188" s="17"/>
    </row>
    <row r="189" spans="1:13" ht="15.75" customHeight="1">
      <c r="A189" s="17"/>
      <c r="B189" s="17"/>
      <c r="C189" s="17"/>
      <c r="D189" s="17"/>
      <c r="E189" s="17"/>
      <c r="F189" s="17"/>
      <c r="G189" s="17"/>
      <c r="H189" s="17"/>
      <c r="I189" s="17"/>
      <c r="J189" s="17"/>
      <c r="K189" s="17"/>
      <c r="L189" s="17"/>
      <c r="M189" s="17"/>
    </row>
    <row r="190" spans="1:13" ht="15.75" customHeight="1">
      <c r="A190" s="17"/>
      <c r="B190" s="17"/>
      <c r="C190" s="17"/>
      <c r="D190" s="17"/>
      <c r="E190" s="17"/>
      <c r="F190" s="17"/>
      <c r="G190" s="17"/>
      <c r="H190" s="17"/>
      <c r="I190" s="17"/>
      <c r="J190" s="17"/>
      <c r="K190" s="17"/>
      <c r="L190" s="17"/>
      <c r="M190" s="17"/>
    </row>
    <row r="191" spans="1:13" ht="15.75" customHeight="1">
      <c r="A191" s="17"/>
      <c r="B191" s="17"/>
      <c r="C191" s="17"/>
      <c r="D191" s="17"/>
      <c r="E191" s="17"/>
      <c r="F191" s="17"/>
      <c r="G191" s="17"/>
      <c r="H191" s="17"/>
      <c r="I191" s="17"/>
      <c r="J191" s="17"/>
      <c r="K191" s="17"/>
      <c r="L191" s="17"/>
      <c r="M191" s="17"/>
    </row>
    <row r="192" spans="1:13" ht="15.75" customHeight="1">
      <c r="A192" s="17"/>
      <c r="B192" s="17"/>
      <c r="C192" s="17"/>
      <c r="D192" s="17"/>
      <c r="E192" s="17"/>
      <c r="F192" s="17"/>
      <c r="G192" s="17"/>
      <c r="H192" s="17"/>
      <c r="I192" s="17"/>
      <c r="J192" s="17"/>
      <c r="K192" s="17"/>
      <c r="L192" s="17"/>
      <c r="M192" s="17"/>
    </row>
    <row r="193" spans="1:13" ht="15.75" customHeight="1">
      <c r="A193" s="17"/>
      <c r="B193" s="17"/>
      <c r="C193" s="17"/>
      <c r="D193" s="17"/>
      <c r="E193" s="17"/>
      <c r="F193" s="17"/>
      <c r="G193" s="17"/>
      <c r="H193" s="17"/>
      <c r="I193" s="17"/>
      <c r="J193" s="17"/>
      <c r="K193" s="17"/>
      <c r="L193" s="17"/>
      <c r="M193" s="17"/>
    </row>
    <row r="194" spans="1:13" ht="15.75" customHeight="1">
      <c r="A194" s="17"/>
      <c r="B194" s="17"/>
      <c r="C194" s="17"/>
      <c r="D194" s="17"/>
      <c r="E194" s="17"/>
      <c r="F194" s="17"/>
      <c r="G194" s="17"/>
      <c r="H194" s="17"/>
      <c r="I194" s="17"/>
      <c r="J194" s="17"/>
      <c r="K194" s="17"/>
      <c r="L194" s="17"/>
      <c r="M194" s="17"/>
    </row>
    <row r="195" spans="1:13" ht="15.75" customHeight="1">
      <c r="A195" s="17"/>
      <c r="B195" s="17"/>
      <c r="C195" s="17"/>
      <c r="D195" s="17"/>
      <c r="E195" s="17"/>
      <c r="F195" s="17"/>
      <c r="G195" s="17"/>
      <c r="H195" s="17"/>
      <c r="I195" s="17"/>
      <c r="J195" s="17"/>
      <c r="K195" s="17"/>
      <c r="L195" s="17"/>
      <c r="M195" s="17"/>
    </row>
    <row r="196" spans="1:13" ht="15.75" customHeight="1">
      <c r="A196" s="17"/>
      <c r="B196" s="17"/>
      <c r="C196" s="17"/>
      <c r="D196" s="17"/>
      <c r="E196" s="17"/>
      <c r="F196" s="17"/>
      <c r="G196" s="17"/>
      <c r="H196" s="17"/>
      <c r="I196" s="17"/>
      <c r="J196" s="17"/>
      <c r="K196" s="17"/>
      <c r="L196" s="17"/>
      <c r="M196" s="17"/>
    </row>
    <row r="197" spans="1:13" ht="15.75" customHeight="1">
      <c r="A197" s="17"/>
      <c r="B197" s="17"/>
      <c r="C197" s="17"/>
      <c r="D197" s="17"/>
      <c r="E197" s="17"/>
      <c r="F197" s="17"/>
      <c r="G197" s="17"/>
      <c r="H197" s="17"/>
      <c r="I197" s="17"/>
      <c r="J197" s="17"/>
      <c r="K197" s="17"/>
      <c r="L197" s="17"/>
      <c r="M197" s="17"/>
    </row>
    <row r="198" spans="1:13" ht="15.75" customHeight="1">
      <c r="A198" s="17"/>
      <c r="B198" s="17"/>
      <c r="C198" s="17"/>
      <c r="D198" s="17"/>
      <c r="E198" s="17"/>
      <c r="F198" s="17"/>
      <c r="G198" s="17"/>
      <c r="H198" s="17"/>
      <c r="I198" s="17"/>
      <c r="J198" s="17"/>
      <c r="K198" s="17"/>
      <c r="L198" s="17"/>
      <c r="M198" s="17"/>
    </row>
    <row r="199" spans="1:13" ht="15.75" customHeight="1">
      <c r="A199" s="17"/>
      <c r="B199" s="17"/>
      <c r="C199" s="17"/>
      <c r="D199" s="17"/>
      <c r="E199" s="17"/>
      <c r="F199" s="17"/>
      <c r="G199" s="17"/>
      <c r="H199" s="17"/>
      <c r="I199" s="17"/>
      <c r="J199" s="17"/>
      <c r="K199" s="17"/>
      <c r="L199" s="17"/>
      <c r="M199" s="17"/>
    </row>
    <row r="200" spans="1:13" ht="15.75" customHeight="1">
      <c r="A200" s="17"/>
      <c r="B200" s="17"/>
      <c r="C200" s="17"/>
      <c r="D200" s="17"/>
      <c r="E200" s="17"/>
      <c r="F200" s="17"/>
      <c r="G200" s="17"/>
      <c r="H200" s="17"/>
      <c r="I200" s="17"/>
      <c r="J200" s="17"/>
      <c r="K200" s="17"/>
      <c r="L200" s="17"/>
      <c r="M200" s="17"/>
    </row>
    <row r="201" spans="1:13" ht="15.75" customHeight="1">
      <c r="A201" s="17"/>
      <c r="B201" s="17"/>
      <c r="C201" s="17"/>
      <c r="D201" s="17"/>
      <c r="E201" s="17"/>
      <c r="F201" s="17"/>
      <c r="G201" s="17"/>
      <c r="H201" s="17"/>
      <c r="I201" s="17"/>
      <c r="J201" s="17"/>
      <c r="K201" s="17"/>
      <c r="L201" s="17"/>
      <c r="M201" s="17"/>
    </row>
    <row r="202" spans="1:13" ht="15.75" customHeight="1">
      <c r="A202" s="17"/>
      <c r="B202" s="17"/>
      <c r="C202" s="17"/>
      <c r="D202" s="17"/>
      <c r="E202" s="17"/>
      <c r="F202" s="17"/>
      <c r="G202" s="17"/>
      <c r="H202" s="17"/>
      <c r="I202" s="17"/>
      <c r="J202" s="17"/>
      <c r="K202" s="17"/>
      <c r="L202" s="17"/>
      <c r="M202" s="17"/>
    </row>
    <row r="203" spans="1:13" ht="15.75" customHeight="1">
      <c r="A203" s="17"/>
      <c r="B203" s="17"/>
      <c r="C203" s="17"/>
      <c r="D203" s="17"/>
      <c r="E203" s="17"/>
      <c r="F203" s="17"/>
      <c r="G203" s="17"/>
      <c r="H203" s="17"/>
      <c r="I203" s="17"/>
      <c r="J203" s="17"/>
      <c r="K203" s="17"/>
      <c r="L203" s="17"/>
      <c r="M203" s="17"/>
    </row>
    <row r="204" spans="1:13" ht="15.75" customHeight="1">
      <c r="A204" s="17"/>
      <c r="B204" s="17"/>
      <c r="C204" s="17"/>
      <c r="D204" s="17"/>
      <c r="E204" s="17"/>
      <c r="F204" s="17"/>
      <c r="G204" s="17"/>
      <c r="H204" s="17"/>
      <c r="I204" s="17"/>
      <c r="J204" s="17"/>
      <c r="K204" s="17"/>
      <c r="L204" s="17"/>
      <c r="M204" s="17"/>
    </row>
    <row r="205" spans="1:13" ht="15.75" customHeight="1">
      <c r="A205" s="17"/>
      <c r="B205" s="17"/>
      <c r="C205" s="17"/>
      <c r="D205" s="17"/>
      <c r="E205" s="17"/>
      <c r="F205" s="17"/>
      <c r="G205" s="17"/>
      <c r="H205" s="17"/>
      <c r="I205" s="17"/>
      <c r="J205" s="17"/>
      <c r="K205" s="17"/>
      <c r="L205" s="17"/>
      <c r="M205" s="17"/>
    </row>
    <row r="206" spans="1:13" ht="15.75" customHeight="1">
      <c r="A206" s="17"/>
      <c r="B206" s="17"/>
      <c r="C206" s="17"/>
      <c r="D206" s="17"/>
      <c r="E206" s="17"/>
      <c r="F206" s="17"/>
      <c r="G206" s="17"/>
      <c r="H206" s="17"/>
      <c r="I206" s="17"/>
      <c r="J206" s="17"/>
      <c r="K206" s="17"/>
      <c r="L206" s="17"/>
      <c r="M206" s="17"/>
    </row>
    <row r="207" spans="1:13" ht="15.75" customHeight="1">
      <c r="A207" s="17"/>
      <c r="B207" s="17"/>
      <c r="C207" s="17"/>
      <c r="D207" s="17"/>
      <c r="E207" s="17"/>
      <c r="F207" s="17"/>
      <c r="G207" s="17"/>
      <c r="H207" s="17"/>
      <c r="I207" s="17"/>
      <c r="J207" s="17"/>
      <c r="K207" s="17"/>
      <c r="L207" s="17"/>
      <c r="M207" s="17"/>
    </row>
    <row r="208" spans="1:13" ht="15.75" customHeight="1">
      <c r="A208" s="17"/>
      <c r="B208" s="17"/>
      <c r="C208" s="17"/>
      <c r="D208" s="17"/>
      <c r="E208" s="17"/>
      <c r="F208" s="17"/>
      <c r="G208" s="17"/>
      <c r="H208" s="17"/>
      <c r="I208" s="17"/>
      <c r="J208" s="17"/>
      <c r="K208" s="17"/>
      <c r="L208" s="17"/>
      <c r="M208" s="17"/>
    </row>
    <row r="209" spans="1:13" ht="15.75" customHeight="1">
      <c r="A209" s="17"/>
      <c r="B209" s="17"/>
      <c r="C209" s="17"/>
      <c r="D209" s="17"/>
      <c r="E209" s="17"/>
      <c r="F209" s="17"/>
      <c r="G209" s="17"/>
      <c r="H209" s="17"/>
      <c r="I209" s="17"/>
      <c r="J209" s="17"/>
      <c r="K209" s="17"/>
      <c r="L209" s="17"/>
      <c r="M209" s="17"/>
    </row>
    <row r="210" spans="1:13" ht="15.75" customHeight="1">
      <c r="A210" s="17"/>
      <c r="B210" s="17"/>
      <c r="C210" s="17"/>
      <c r="D210" s="17"/>
      <c r="E210" s="17"/>
      <c r="F210" s="17"/>
      <c r="G210" s="17"/>
      <c r="H210" s="17"/>
      <c r="I210" s="17"/>
      <c r="J210" s="17"/>
      <c r="K210" s="17"/>
      <c r="L210" s="17"/>
      <c r="M210" s="17"/>
    </row>
    <row r="211" spans="1:13" ht="15.75" customHeight="1">
      <c r="A211" s="17"/>
      <c r="B211" s="17"/>
      <c r="C211" s="17"/>
      <c r="D211" s="17"/>
      <c r="E211" s="17"/>
      <c r="F211" s="17"/>
      <c r="G211" s="17"/>
      <c r="H211" s="17"/>
      <c r="I211" s="17"/>
      <c r="J211" s="17"/>
      <c r="K211" s="17"/>
      <c r="L211" s="17"/>
      <c r="M211" s="17"/>
    </row>
    <row r="212" spans="1:13" ht="15.75" customHeight="1">
      <c r="A212" s="17"/>
      <c r="B212" s="17"/>
      <c r="C212" s="17"/>
      <c r="D212" s="17"/>
      <c r="E212" s="17"/>
      <c r="F212" s="17"/>
      <c r="G212" s="17"/>
      <c r="H212" s="17"/>
      <c r="I212" s="17"/>
      <c r="J212" s="17"/>
      <c r="K212" s="17"/>
      <c r="L212" s="17"/>
      <c r="M212" s="17"/>
    </row>
    <row r="213" spans="1:13" ht="15.75" customHeight="1">
      <c r="A213" s="17"/>
      <c r="B213" s="17"/>
      <c r="C213" s="17"/>
      <c r="D213" s="17"/>
      <c r="E213" s="17"/>
      <c r="F213" s="17"/>
      <c r="G213" s="17"/>
      <c r="H213" s="17"/>
      <c r="I213" s="17"/>
      <c r="J213" s="17"/>
      <c r="K213" s="17"/>
      <c r="L213" s="17"/>
      <c r="M213" s="17"/>
    </row>
    <row r="214" spans="1:13" ht="15.75" customHeight="1">
      <c r="A214" s="17"/>
      <c r="B214" s="17"/>
      <c r="C214" s="17"/>
      <c r="D214" s="17"/>
      <c r="E214" s="17"/>
      <c r="F214" s="17"/>
      <c r="G214" s="17"/>
      <c r="H214" s="17"/>
      <c r="I214" s="17"/>
      <c r="J214" s="17"/>
      <c r="K214" s="17"/>
      <c r="L214" s="17"/>
      <c r="M214" s="17"/>
    </row>
    <row r="215" spans="1:13" ht="15.75" customHeight="1">
      <c r="A215" s="17"/>
      <c r="B215" s="17"/>
      <c r="C215" s="17"/>
      <c r="D215" s="17"/>
      <c r="E215" s="17"/>
      <c r="F215" s="17"/>
      <c r="G215" s="17"/>
      <c r="H215" s="17"/>
      <c r="I215" s="17"/>
      <c r="J215" s="17"/>
      <c r="K215" s="17"/>
      <c r="L215" s="17"/>
      <c r="M215" s="17"/>
    </row>
    <row r="216" spans="1:13" ht="15.75" customHeight="1">
      <c r="A216" s="17"/>
      <c r="B216" s="17"/>
      <c r="C216" s="17"/>
      <c r="D216" s="17"/>
      <c r="E216" s="17"/>
      <c r="F216" s="17"/>
      <c r="G216" s="17"/>
      <c r="H216" s="17"/>
      <c r="I216" s="17"/>
      <c r="J216" s="17"/>
      <c r="K216" s="17"/>
      <c r="L216" s="17"/>
      <c r="M216" s="17"/>
    </row>
    <row r="217" spans="1:13" ht="15.75" customHeight="1">
      <c r="A217" s="17"/>
      <c r="B217" s="17"/>
      <c r="C217" s="17"/>
      <c r="D217" s="17"/>
      <c r="E217" s="17"/>
      <c r="F217" s="17"/>
      <c r="G217" s="17"/>
      <c r="H217" s="17"/>
      <c r="I217" s="17"/>
      <c r="J217" s="17"/>
      <c r="K217" s="17"/>
      <c r="L217" s="17"/>
      <c r="M217" s="17"/>
    </row>
    <row r="218" spans="1:13" ht="15.75" customHeight="1">
      <c r="A218" s="17"/>
      <c r="B218" s="17"/>
      <c r="C218" s="17"/>
      <c r="D218" s="17"/>
      <c r="E218" s="17"/>
      <c r="F218" s="17"/>
      <c r="G218" s="17"/>
      <c r="H218" s="17"/>
      <c r="I218" s="17"/>
      <c r="J218" s="17"/>
      <c r="K218" s="17"/>
      <c r="L218" s="17"/>
      <c r="M218" s="17"/>
    </row>
    <row r="219" spans="1:13" ht="15.75" customHeight="1">
      <c r="A219" s="17"/>
      <c r="B219" s="17"/>
      <c r="C219" s="17"/>
      <c r="D219" s="17"/>
      <c r="E219" s="17"/>
      <c r="F219" s="17"/>
      <c r="G219" s="17"/>
      <c r="H219" s="17"/>
      <c r="I219" s="17"/>
      <c r="J219" s="17"/>
      <c r="K219" s="17"/>
      <c r="L219" s="17"/>
      <c r="M219" s="17"/>
    </row>
    <row r="220" spans="1:13" ht="15.75" customHeight="1">
      <c r="A220" s="17"/>
      <c r="B220" s="17"/>
      <c r="C220" s="17"/>
      <c r="D220" s="17"/>
      <c r="E220" s="17"/>
      <c r="F220" s="17"/>
      <c r="G220" s="17"/>
      <c r="H220" s="17"/>
      <c r="I220" s="17"/>
      <c r="J220" s="17"/>
      <c r="K220" s="17"/>
      <c r="L220" s="17"/>
      <c r="M220" s="17"/>
    </row>
    <row r="221" spans="1:13" ht="15.75" customHeight="1">
      <c r="A221" s="309"/>
      <c r="B221" s="309"/>
      <c r="C221" s="309"/>
      <c r="D221" s="309"/>
      <c r="E221" s="309"/>
      <c r="F221" s="309"/>
      <c r="G221" s="309"/>
      <c r="H221" s="309"/>
      <c r="I221" s="309"/>
      <c r="J221" s="309"/>
      <c r="K221" s="309"/>
      <c r="L221" s="309"/>
      <c r="M221" s="309"/>
    </row>
    <row r="222" spans="1:13" ht="15.75" customHeight="1">
      <c r="A222" s="309"/>
      <c r="B222" s="309"/>
      <c r="C222" s="309"/>
      <c r="D222" s="309"/>
      <c r="E222" s="309"/>
      <c r="F222" s="309"/>
      <c r="G222" s="309"/>
      <c r="H222" s="309"/>
      <c r="I222" s="309"/>
      <c r="J222" s="309"/>
      <c r="K222" s="309"/>
      <c r="L222" s="309"/>
      <c r="M222" s="309"/>
    </row>
    <row r="223" spans="1:13" ht="15.75" customHeight="1">
      <c r="A223" s="309"/>
      <c r="B223" s="309"/>
      <c r="C223" s="309"/>
      <c r="D223" s="309"/>
      <c r="E223" s="309"/>
      <c r="F223" s="309"/>
      <c r="G223" s="309"/>
      <c r="H223" s="309"/>
      <c r="I223" s="309"/>
      <c r="J223" s="309"/>
      <c r="K223" s="309"/>
      <c r="L223" s="309"/>
      <c r="M223" s="309"/>
    </row>
    <row r="224" spans="1:13" ht="15.75" customHeight="1">
      <c r="A224" s="309"/>
      <c r="B224" s="309"/>
      <c r="C224" s="309"/>
      <c r="D224" s="309"/>
      <c r="E224" s="309"/>
      <c r="F224" s="309"/>
      <c r="G224" s="309"/>
      <c r="H224" s="309"/>
      <c r="I224" s="309"/>
      <c r="J224" s="309"/>
      <c r="K224" s="309"/>
      <c r="L224" s="309"/>
      <c r="M224" s="309"/>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16" r:id="rId1" xr:uid="{00000000-0004-0000-1300-000000000000}"/>
    <hyperlink ref="D17" r:id="rId2" xr:uid="{00000000-0004-0000-1300-000001000000}"/>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L16"/>
  <sheetViews>
    <sheetView workbookViewId="0">
      <selection activeCell="F3" sqref="F3:F6"/>
    </sheetView>
  </sheetViews>
  <sheetFormatPr defaultColWidth="10.875" defaultRowHeight="14.1"/>
  <cols>
    <col min="1" max="6" width="10.875" style="355"/>
    <col min="7" max="7" width="16.125" style="355" customWidth="1"/>
    <col min="8" max="8" width="17" style="355" customWidth="1"/>
    <col min="9" max="9" width="14.375" style="355" customWidth="1"/>
    <col min="10" max="16384" width="10.875" style="355"/>
  </cols>
  <sheetData>
    <row r="2" spans="2:12" ht="60">
      <c r="B2" s="354" t="s">
        <v>1049</v>
      </c>
      <c r="C2" s="354" t="s">
        <v>1050</v>
      </c>
      <c r="D2" s="354" t="s">
        <v>1051</v>
      </c>
      <c r="E2" s="354" t="s">
        <v>1052</v>
      </c>
      <c r="F2" s="354" t="s">
        <v>477</v>
      </c>
      <c r="G2" s="354" t="s">
        <v>1053</v>
      </c>
      <c r="H2" s="354" t="s">
        <v>1054</v>
      </c>
      <c r="I2" s="354" t="s">
        <v>1055</v>
      </c>
      <c r="J2" s="354" t="s">
        <v>1056</v>
      </c>
      <c r="K2" s="354" t="s">
        <v>1057</v>
      </c>
      <c r="L2" s="354" t="s">
        <v>1058</v>
      </c>
    </row>
    <row r="3" spans="2:12" ht="45">
      <c r="B3" s="332" t="s">
        <v>284</v>
      </c>
      <c r="C3" s="332" t="s">
        <v>369</v>
      </c>
      <c r="D3" s="332" t="s">
        <v>378</v>
      </c>
      <c r="E3" s="332" t="s">
        <v>478</v>
      </c>
      <c r="F3" s="332" t="s">
        <v>212</v>
      </c>
      <c r="G3" s="332" t="s">
        <v>206</v>
      </c>
      <c r="H3" s="332" t="s">
        <v>380</v>
      </c>
      <c r="I3" s="332" t="s">
        <v>386</v>
      </c>
      <c r="J3" s="332" t="s">
        <v>371</v>
      </c>
      <c r="K3" s="332" t="s">
        <v>375</v>
      </c>
      <c r="L3" s="332" t="s">
        <v>120</v>
      </c>
    </row>
    <row r="4" spans="2:12" ht="45">
      <c r="B4" s="332" t="s">
        <v>285</v>
      </c>
      <c r="C4" s="332" t="s">
        <v>370</v>
      </c>
      <c r="D4" s="332" t="s">
        <v>379</v>
      </c>
      <c r="E4" s="332" t="s">
        <v>479</v>
      </c>
      <c r="F4" s="332" t="s">
        <v>213</v>
      </c>
      <c r="G4" s="332" t="s">
        <v>207</v>
      </c>
      <c r="H4" s="332" t="s">
        <v>381</v>
      </c>
      <c r="I4" s="332" t="s">
        <v>387</v>
      </c>
      <c r="J4" s="332" t="s">
        <v>372</v>
      </c>
      <c r="K4" s="332" t="s">
        <v>376</v>
      </c>
      <c r="L4" s="332" t="s">
        <v>50</v>
      </c>
    </row>
    <row r="5" spans="2:12" ht="45">
      <c r="B5" s="332" t="s">
        <v>286</v>
      </c>
      <c r="C5" s="356"/>
      <c r="D5" s="356"/>
      <c r="E5" s="356"/>
      <c r="F5" s="332" t="s">
        <v>214</v>
      </c>
      <c r="G5" s="332" t="s">
        <v>208</v>
      </c>
      <c r="H5" s="332" t="s">
        <v>382</v>
      </c>
      <c r="I5" s="332" t="s">
        <v>388</v>
      </c>
      <c r="J5" s="332" t="s">
        <v>373</v>
      </c>
      <c r="K5" s="332" t="s">
        <v>377</v>
      </c>
      <c r="L5" s="356"/>
    </row>
    <row r="6" spans="2:12" ht="45">
      <c r="B6" s="356"/>
      <c r="C6" s="332"/>
      <c r="D6" s="332"/>
      <c r="E6" s="332"/>
      <c r="F6" s="332" t="s">
        <v>215</v>
      </c>
      <c r="G6" s="332" t="s">
        <v>209</v>
      </c>
      <c r="H6" s="332" t="s">
        <v>383</v>
      </c>
      <c r="I6" s="356"/>
      <c r="J6" s="332" t="s">
        <v>374</v>
      </c>
      <c r="K6" s="356"/>
    </row>
    <row r="7" spans="2:12" ht="30">
      <c r="B7" s="332"/>
      <c r="C7" s="332"/>
      <c r="D7" s="332"/>
      <c r="E7" s="332"/>
      <c r="F7" s="356"/>
      <c r="G7" s="356"/>
      <c r="H7" s="332" t="s">
        <v>384</v>
      </c>
      <c r="J7" s="356"/>
    </row>
    <row r="8" spans="2:12" ht="15">
      <c r="B8" s="332"/>
      <c r="C8" s="332"/>
      <c r="D8" s="332"/>
      <c r="E8" s="332"/>
      <c r="F8" s="332"/>
      <c r="G8" s="332"/>
      <c r="H8" s="332" t="s">
        <v>385</v>
      </c>
    </row>
    <row r="9" spans="2:12" ht="15">
      <c r="B9" s="332"/>
      <c r="C9" s="332"/>
      <c r="D9" s="332"/>
      <c r="E9" s="332"/>
      <c r="F9" s="332"/>
      <c r="G9" s="332"/>
      <c r="H9" s="332" t="s">
        <v>514</v>
      </c>
    </row>
    <row r="10" spans="2:12" ht="15">
      <c r="B10" s="332"/>
      <c r="C10" s="332"/>
      <c r="D10" s="332"/>
      <c r="E10" s="332"/>
      <c r="F10" s="332"/>
      <c r="G10" s="332"/>
      <c r="H10" s="332" t="s">
        <v>515</v>
      </c>
    </row>
    <row r="11" spans="2:12">
      <c r="B11" s="332"/>
      <c r="C11" s="332"/>
      <c r="D11" s="332"/>
      <c r="E11" s="332"/>
      <c r="F11" s="332"/>
      <c r="G11" s="332"/>
      <c r="H11" s="356"/>
    </row>
    <row r="12" spans="2:12">
      <c r="B12" s="332"/>
      <c r="C12" s="332"/>
      <c r="D12" s="332"/>
      <c r="E12" s="332"/>
      <c r="F12" s="332"/>
      <c r="G12" s="332"/>
    </row>
    <row r="13" spans="2:12">
      <c r="B13" s="332"/>
      <c r="C13" s="332"/>
      <c r="D13" s="332"/>
      <c r="E13" s="332"/>
      <c r="F13" s="332"/>
      <c r="G13" s="332"/>
    </row>
    <row r="14" spans="2:12">
      <c r="B14" s="332"/>
      <c r="C14" s="332"/>
      <c r="D14" s="332"/>
      <c r="E14" s="332"/>
      <c r="F14" s="332"/>
      <c r="G14" s="332"/>
    </row>
    <row r="15" spans="2:12">
      <c r="B15" s="332"/>
      <c r="C15" s="332"/>
      <c r="D15" s="332"/>
      <c r="E15" s="332"/>
      <c r="F15" s="332"/>
      <c r="G15" s="332"/>
    </row>
    <row r="16" spans="2:12">
      <c r="B16" s="3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NOBELEN Florent</dc:creator>
  <cp:keywords/>
  <dc:description/>
  <cp:lastModifiedBy/>
  <cp:revision/>
  <dcterms:created xsi:type="dcterms:W3CDTF">2020-04-29T14:27:34Z</dcterms:created>
  <dcterms:modified xsi:type="dcterms:W3CDTF">2021-07-19T08:09:22Z</dcterms:modified>
  <cp:category/>
  <cp:contentStatus/>
</cp:coreProperties>
</file>